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inaahuja/Documents/Columbia MPH/Thesis/thesis/Data/"/>
    </mc:Choice>
  </mc:AlternateContent>
  <xr:revisionPtr revIDLastSave="0" documentId="13_ncr:1_{62CC0D5C-E0A0-9B40-810F-92BDB7B19044}" xr6:coauthVersionLast="36" xr6:coauthVersionMax="36" xr10:uidLastSave="{00000000-0000-0000-0000-000000000000}"/>
  <bookViews>
    <workbookView xWindow="9160" yWindow="740" windowWidth="22440" windowHeight="16000" activeTab="2" xr2:uid="{BDDD0CD5-94C6-5149-ADCB-DA83448E0826}"/>
  </bookViews>
  <sheets>
    <sheet name="Dataset" sheetId="1" r:id="rId1"/>
    <sheet name="dataset_2" sheetId="2" r:id="rId2"/>
    <sheet name="outcom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5" i="2" l="1"/>
  <c r="J135" i="2"/>
  <c r="I135" i="2"/>
  <c r="H135" i="2"/>
  <c r="G135" i="2"/>
  <c r="D135" i="2"/>
  <c r="J134" i="2"/>
  <c r="H134" i="2"/>
  <c r="F134" i="2"/>
  <c r="D134" i="2"/>
  <c r="K133" i="2"/>
  <c r="J133" i="2"/>
  <c r="I133" i="2"/>
  <c r="H133" i="2"/>
  <c r="G133" i="2"/>
  <c r="F133" i="2"/>
  <c r="E133" i="2"/>
  <c r="D133" i="2"/>
  <c r="K132" i="2"/>
  <c r="J132" i="2"/>
  <c r="I132" i="2"/>
  <c r="H132" i="2"/>
  <c r="G132" i="2"/>
  <c r="F132" i="2"/>
  <c r="D132" i="2"/>
  <c r="K131" i="2"/>
  <c r="J131" i="2"/>
  <c r="I131" i="2"/>
  <c r="H131" i="2"/>
  <c r="D131" i="2"/>
  <c r="K130" i="2"/>
  <c r="J130" i="2"/>
  <c r="I130" i="2"/>
  <c r="H130" i="2"/>
  <c r="G130" i="2"/>
  <c r="F130" i="2"/>
  <c r="D130" i="2"/>
  <c r="K129" i="2"/>
  <c r="J129" i="2"/>
  <c r="I129" i="2"/>
  <c r="H129" i="2"/>
  <c r="G129" i="2"/>
  <c r="D129" i="2"/>
  <c r="J128" i="2"/>
  <c r="I128" i="2"/>
  <c r="H128" i="2"/>
  <c r="G128" i="2"/>
  <c r="F128" i="2"/>
  <c r="D128" i="2"/>
  <c r="K127" i="2"/>
  <c r="J127" i="2"/>
  <c r="I127" i="2"/>
  <c r="H127" i="2"/>
  <c r="G127" i="2"/>
  <c r="F127" i="2"/>
  <c r="D127" i="2"/>
  <c r="K126" i="2"/>
  <c r="J126" i="2"/>
  <c r="I126" i="2"/>
  <c r="H126" i="2"/>
  <c r="G126" i="2"/>
  <c r="F126" i="2"/>
  <c r="E126" i="2"/>
  <c r="D126" i="2"/>
  <c r="K125" i="2"/>
  <c r="J125" i="2"/>
  <c r="I125" i="2"/>
  <c r="H125" i="2"/>
  <c r="D125" i="2"/>
  <c r="K124" i="2"/>
  <c r="J124" i="2"/>
  <c r="I124" i="2"/>
  <c r="H124" i="2"/>
  <c r="G124" i="2"/>
  <c r="E124" i="2"/>
  <c r="D124" i="2"/>
  <c r="K123" i="2"/>
  <c r="J123" i="2"/>
  <c r="I123" i="2"/>
  <c r="H123" i="2"/>
  <c r="G123" i="2"/>
  <c r="F123" i="2"/>
  <c r="E123" i="2"/>
  <c r="D123" i="2"/>
  <c r="K122" i="2"/>
  <c r="J122" i="2"/>
  <c r="I122" i="2"/>
  <c r="H122" i="2"/>
  <c r="G122" i="2"/>
  <c r="D122" i="2"/>
  <c r="K121" i="2"/>
  <c r="J121" i="2"/>
  <c r="I121" i="2"/>
  <c r="H121" i="2"/>
  <c r="G121" i="2"/>
  <c r="F121" i="2"/>
  <c r="D121" i="2"/>
  <c r="K120" i="2"/>
  <c r="J120" i="2"/>
  <c r="I120" i="2"/>
  <c r="H120" i="2"/>
  <c r="G120" i="2"/>
  <c r="D120" i="2"/>
  <c r="K119" i="2"/>
  <c r="J119" i="2"/>
  <c r="I119" i="2"/>
  <c r="H119" i="2"/>
  <c r="G119" i="2"/>
  <c r="F119" i="2"/>
  <c r="D119" i="2"/>
  <c r="K118" i="2"/>
  <c r="J118" i="2"/>
  <c r="I118" i="2"/>
  <c r="H118" i="2"/>
  <c r="G118" i="2"/>
  <c r="D118" i="2"/>
  <c r="K117" i="2"/>
  <c r="J117" i="2"/>
  <c r="I117" i="2"/>
  <c r="H117" i="2"/>
  <c r="G117" i="2"/>
  <c r="D117" i="2"/>
  <c r="K116" i="2"/>
  <c r="J116" i="2"/>
  <c r="I116" i="2"/>
  <c r="H116" i="2"/>
  <c r="G116" i="2"/>
  <c r="F116" i="2"/>
  <c r="D116" i="2"/>
  <c r="K115" i="2"/>
  <c r="J115" i="2"/>
  <c r="I115" i="2"/>
  <c r="H115" i="2"/>
  <c r="G115" i="2"/>
  <c r="F115" i="2"/>
  <c r="D115" i="2"/>
  <c r="K114" i="2"/>
  <c r="J114" i="2"/>
  <c r="I114" i="2"/>
  <c r="H114" i="2"/>
  <c r="D114" i="2"/>
  <c r="K113" i="2"/>
  <c r="J113" i="2"/>
  <c r="I113" i="2"/>
  <c r="H113" i="2"/>
  <c r="F113" i="2"/>
  <c r="D113" i="2"/>
  <c r="J112" i="2"/>
  <c r="H112" i="2"/>
  <c r="D112" i="2"/>
  <c r="K111" i="2"/>
  <c r="J111" i="2"/>
  <c r="H111" i="2"/>
  <c r="F111" i="2"/>
  <c r="D111" i="2"/>
  <c r="K110" i="2"/>
  <c r="J110" i="2"/>
  <c r="I110" i="2"/>
  <c r="H110" i="2"/>
  <c r="E110" i="2"/>
  <c r="D110" i="2"/>
  <c r="J109" i="2"/>
  <c r="I109" i="2"/>
  <c r="H109" i="2"/>
  <c r="E109" i="2"/>
  <c r="D109" i="2"/>
  <c r="J108" i="2"/>
  <c r="I108" i="2"/>
  <c r="H108" i="2"/>
  <c r="G108" i="2"/>
  <c r="F108" i="2"/>
  <c r="D108" i="2"/>
  <c r="K107" i="2"/>
  <c r="J107" i="2"/>
  <c r="I107" i="2"/>
  <c r="H107" i="2"/>
  <c r="G107" i="2"/>
  <c r="F107" i="2"/>
  <c r="D107" i="2"/>
  <c r="K106" i="2"/>
  <c r="J106" i="2"/>
  <c r="I106" i="2"/>
  <c r="H106" i="2"/>
  <c r="G106" i="2"/>
  <c r="F106" i="2"/>
  <c r="D106" i="2"/>
  <c r="K105" i="2"/>
  <c r="J105" i="2"/>
  <c r="I105" i="2"/>
  <c r="H105" i="2"/>
  <c r="G105" i="2"/>
  <c r="F105" i="2"/>
  <c r="D105" i="2"/>
  <c r="K104" i="2"/>
  <c r="J104" i="2"/>
  <c r="I104" i="2"/>
  <c r="H104" i="2"/>
  <c r="D104" i="2"/>
  <c r="K103" i="2"/>
  <c r="J103" i="2"/>
  <c r="I103" i="2"/>
  <c r="H103" i="2"/>
  <c r="G103" i="2"/>
  <c r="D103" i="2"/>
  <c r="K102" i="2"/>
  <c r="J102" i="2"/>
  <c r="I102" i="2"/>
  <c r="H102" i="2"/>
  <c r="G102" i="2"/>
  <c r="F102" i="2"/>
  <c r="E102" i="2"/>
  <c r="D102" i="2"/>
  <c r="J101" i="2"/>
  <c r="H101" i="2"/>
  <c r="G101" i="2"/>
  <c r="D101" i="2"/>
  <c r="K100" i="2"/>
  <c r="J100" i="2"/>
  <c r="H100" i="2"/>
  <c r="G100" i="2"/>
  <c r="D100" i="2"/>
  <c r="J99" i="2"/>
  <c r="H99" i="2"/>
  <c r="D99" i="2"/>
  <c r="K98" i="2"/>
  <c r="J98" i="2"/>
  <c r="I98" i="2"/>
  <c r="H98" i="2"/>
  <c r="F98" i="2"/>
  <c r="E98" i="2"/>
  <c r="D98" i="2"/>
  <c r="K97" i="2"/>
  <c r="J97" i="2"/>
  <c r="I97" i="2"/>
  <c r="H97" i="2"/>
  <c r="G97" i="2"/>
  <c r="F97" i="2"/>
  <c r="D97" i="2"/>
  <c r="K96" i="2"/>
  <c r="J96" i="2"/>
  <c r="I96" i="2"/>
  <c r="H96" i="2"/>
  <c r="G96" i="2"/>
  <c r="F96" i="2"/>
  <c r="D96" i="2"/>
  <c r="K95" i="2"/>
  <c r="J95" i="2"/>
  <c r="I95" i="2"/>
  <c r="H95" i="2"/>
  <c r="G95" i="2"/>
  <c r="F95" i="2"/>
  <c r="D95" i="2"/>
  <c r="K94" i="2"/>
  <c r="J94" i="2"/>
  <c r="I94" i="2"/>
  <c r="H94" i="2"/>
  <c r="G94" i="2"/>
  <c r="F94" i="2"/>
  <c r="E94" i="2"/>
  <c r="D94" i="2"/>
  <c r="K93" i="2"/>
  <c r="J93" i="2"/>
  <c r="I93" i="2"/>
  <c r="H93" i="2"/>
  <c r="G93" i="2"/>
  <c r="F93" i="2"/>
  <c r="E93" i="2"/>
  <c r="D93" i="2"/>
  <c r="K92" i="2"/>
  <c r="J92" i="2"/>
  <c r="I92" i="2"/>
  <c r="H92" i="2"/>
  <c r="G92" i="2"/>
  <c r="D92" i="2"/>
  <c r="K91" i="2"/>
  <c r="J91" i="2"/>
  <c r="I91" i="2"/>
  <c r="H91" i="2"/>
  <c r="F91" i="2"/>
  <c r="E91" i="2"/>
  <c r="D91" i="2"/>
  <c r="K90" i="2"/>
  <c r="J90" i="2"/>
  <c r="I90" i="2"/>
  <c r="H90" i="2"/>
  <c r="G90" i="2"/>
  <c r="F90" i="2"/>
  <c r="E90" i="2"/>
  <c r="D90" i="2"/>
  <c r="J89" i="2"/>
  <c r="I89" i="2"/>
  <c r="H89" i="2"/>
  <c r="G89" i="2"/>
  <c r="F89" i="2"/>
  <c r="D89" i="2"/>
  <c r="K88" i="2"/>
  <c r="J88" i="2"/>
  <c r="I88" i="2"/>
  <c r="H88" i="2"/>
  <c r="G88" i="2"/>
  <c r="F88" i="2"/>
  <c r="D88" i="2"/>
  <c r="J87" i="2"/>
  <c r="I87" i="2"/>
  <c r="H87" i="2"/>
  <c r="G87" i="2"/>
  <c r="D87" i="2"/>
  <c r="H86" i="2"/>
  <c r="G86" i="2"/>
  <c r="D86" i="2"/>
  <c r="K85" i="2"/>
  <c r="J85" i="2"/>
  <c r="I85" i="2"/>
  <c r="H85" i="2"/>
  <c r="G85" i="2"/>
  <c r="F85" i="2"/>
  <c r="D85" i="2"/>
  <c r="K84" i="2"/>
  <c r="J84" i="2"/>
  <c r="I84" i="2"/>
  <c r="H84" i="2"/>
  <c r="G84" i="2"/>
  <c r="F84" i="2"/>
  <c r="E84" i="2"/>
  <c r="D84" i="2"/>
  <c r="K83" i="2"/>
  <c r="J83" i="2"/>
  <c r="I83" i="2"/>
  <c r="H83" i="2"/>
  <c r="G83" i="2"/>
  <c r="F83" i="2"/>
  <c r="D83" i="2"/>
  <c r="K82" i="2"/>
  <c r="J82" i="2"/>
  <c r="I82" i="2"/>
  <c r="H82" i="2"/>
  <c r="G82" i="2"/>
  <c r="F82" i="2"/>
  <c r="D82" i="2"/>
  <c r="K81" i="2"/>
  <c r="J81" i="2"/>
  <c r="I81" i="2"/>
  <c r="H81" i="2"/>
  <c r="G81" i="2"/>
  <c r="F81" i="2"/>
  <c r="D81" i="2"/>
  <c r="K80" i="2"/>
  <c r="J80" i="2"/>
  <c r="I80" i="2"/>
  <c r="H80" i="2"/>
  <c r="G80" i="2"/>
  <c r="F80" i="2"/>
  <c r="D80" i="2"/>
  <c r="K79" i="2"/>
  <c r="J79" i="2"/>
  <c r="I79" i="2"/>
  <c r="H79" i="2"/>
  <c r="G79" i="2"/>
  <c r="F79" i="2"/>
  <c r="D79" i="2"/>
  <c r="K78" i="2"/>
  <c r="J78" i="2"/>
  <c r="I78" i="2"/>
  <c r="H78" i="2"/>
  <c r="G78" i="2"/>
  <c r="F78" i="2"/>
  <c r="D78" i="2"/>
  <c r="K77" i="2"/>
  <c r="J77" i="2"/>
  <c r="I77" i="2"/>
  <c r="H77" i="2"/>
  <c r="G77" i="2"/>
  <c r="F77" i="2"/>
  <c r="D77" i="2"/>
  <c r="K76" i="2"/>
  <c r="J76" i="2"/>
  <c r="I76" i="2"/>
  <c r="H76" i="2"/>
  <c r="G76" i="2"/>
  <c r="D76" i="2"/>
  <c r="K75" i="2"/>
  <c r="J75" i="2"/>
  <c r="I75" i="2"/>
  <c r="H75" i="2"/>
  <c r="D75" i="2"/>
  <c r="K74" i="2"/>
  <c r="J74" i="2"/>
  <c r="I74" i="2"/>
  <c r="H74" i="2"/>
  <c r="D74" i="2"/>
  <c r="K73" i="2"/>
  <c r="J73" i="2"/>
  <c r="I73" i="2"/>
  <c r="H73" i="2"/>
  <c r="D73" i="2"/>
  <c r="K72" i="2"/>
  <c r="J72" i="2"/>
  <c r="I72" i="2"/>
  <c r="H72" i="2"/>
  <c r="D72" i="2"/>
  <c r="K71" i="2"/>
  <c r="J71" i="2"/>
  <c r="I71" i="2"/>
  <c r="H71" i="2"/>
  <c r="G71" i="2"/>
  <c r="F71" i="2"/>
  <c r="D71" i="2"/>
  <c r="J70" i="2"/>
  <c r="H70" i="2"/>
  <c r="D70" i="2"/>
  <c r="H69" i="2"/>
  <c r="D69" i="2"/>
  <c r="J68" i="2"/>
  <c r="I68" i="2"/>
  <c r="H68" i="2"/>
  <c r="D68" i="2"/>
  <c r="J67" i="2"/>
  <c r="I67" i="2"/>
  <c r="H67" i="2"/>
  <c r="D67" i="2"/>
  <c r="K66" i="2"/>
  <c r="J66" i="2"/>
  <c r="H66" i="2"/>
  <c r="D66" i="2"/>
  <c r="K65" i="2"/>
  <c r="J65" i="2"/>
  <c r="I65" i="2"/>
  <c r="H65" i="2"/>
  <c r="D65" i="2"/>
  <c r="K64" i="2"/>
  <c r="J64" i="2"/>
  <c r="I64" i="2"/>
  <c r="H64" i="2"/>
  <c r="G64" i="2"/>
  <c r="D64" i="2"/>
  <c r="K63" i="2"/>
  <c r="J63" i="2"/>
  <c r="H63" i="2"/>
  <c r="D63" i="2"/>
  <c r="J62" i="2"/>
  <c r="H62" i="2"/>
  <c r="D62" i="2"/>
  <c r="J61" i="2"/>
  <c r="I61" i="2"/>
  <c r="H61" i="2"/>
  <c r="E61" i="2"/>
  <c r="D61" i="2"/>
  <c r="K60" i="2"/>
  <c r="J60" i="2"/>
  <c r="I60" i="2"/>
  <c r="H60" i="2"/>
  <c r="G60" i="2"/>
  <c r="D60" i="2"/>
  <c r="J59" i="2"/>
  <c r="H59" i="2"/>
  <c r="G59" i="2"/>
  <c r="F59" i="2"/>
  <c r="D59" i="2"/>
  <c r="K58" i="2"/>
  <c r="J58" i="2"/>
  <c r="I58" i="2"/>
  <c r="H58" i="2"/>
  <c r="G58" i="2"/>
  <c r="F58" i="2"/>
  <c r="E58" i="2"/>
  <c r="D58" i="2"/>
  <c r="K57" i="2"/>
  <c r="J57" i="2"/>
  <c r="I57" i="2"/>
  <c r="H57" i="2"/>
  <c r="D57" i="2"/>
  <c r="K56" i="2"/>
  <c r="J56" i="2"/>
  <c r="I56" i="2"/>
  <c r="H56" i="2"/>
  <c r="F56" i="2"/>
  <c r="D56" i="2"/>
  <c r="J55" i="2"/>
  <c r="H55" i="2"/>
  <c r="D55" i="2"/>
  <c r="J54" i="2"/>
  <c r="I54" i="2"/>
  <c r="H54" i="2"/>
  <c r="D54" i="2"/>
  <c r="K53" i="2"/>
  <c r="J53" i="2"/>
  <c r="H53" i="2"/>
  <c r="D53" i="2"/>
  <c r="K52" i="2"/>
  <c r="J52" i="2"/>
  <c r="I52" i="2"/>
  <c r="H52" i="2"/>
  <c r="E52" i="2"/>
  <c r="D52" i="2"/>
  <c r="K51" i="2"/>
  <c r="J51" i="2"/>
  <c r="I51" i="2"/>
  <c r="H51" i="2"/>
  <c r="G51" i="2"/>
  <c r="D51" i="2"/>
  <c r="K50" i="2"/>
  <c r="J50" i="2"/>
  <c r="I50" i="2"/>
  <c r="H50" i="2"/>
  <c r="G50" i="2"/>
  <c r="F50" i="2"/>
  <c r="D50" i="2"/>
  <c r="K49" i="2"/>
  <c r="J49" i="2"/>
  <c r="I49" i="2"/>
  <c r="H49" i="2"/>
  <c r="G49" i="2"/>
  <c r="F49" i="2"/>
  <c r="D49" i="2"/>
  <c r="J48" i="2"/>
  <c r="I48" i="2"/>
  <c r="H48" i="2"/>
  <c r="G48" i="2"/>
  <c r="D48" i="2"/>
  <c r="J47" i="2"/>
  <c r="I47" i="2"/>
  <c r="H47" i="2"/>
  <c r="G47" i="2"/>
  <c r="F47" i="2"/>
  <c r="D47" i="2"/>
  <c r="K46" i="2"/>
  <c r="J46" i="2"/>
  <c r="I46" i="2"/>
  <c r="H46" i="2"/>
  <c r="F46" i="2"/>
  <c r="D46" i="2"/>
  <c r="J45" i="2"/>
  <c r="I45" i="2"/>
  <c r="H45" i="2"/>
  <c r="G45" i="2"/>
  <c r="D45" i="2"/>
  <c r="K44" i="2"/>
  <c r="J44" i="2"/>
  <c r="I44" i="2"/>
  <c r="H44" i="2"/>
  <c r="G44" i="2"/>
  <c r="F44" i="2"/>
  <c r="E44" i="2"/>
  <c r="D44" i="2"/>
  <c r="K43" i="2"/>
  <c r="J43" i="2"/>
  <c r="I43" i="2"/>
  <c r="H43" i="2"/>
  <c r="G43" i="2"/>
  <c r="F43" i="2"/>
  <c r="E43" i="2"/>
  <c r="D43" i="2"/>
  <c r="K42" i="2"/>
  <c r="J42" i="2"/>
  <c r="I42" i="2"/>
  <c r="H42" i="2"/>
  <c r="F42" i="2"/>
  <c r="D42" i="2"/>
  <c r="K41" i="2"/>
  <c r="J41" i="2"/>
  <c r="I41" i="2"/>
  <c r="H41" i="2"/>
  <c r="G41" i="2"/>
  <c r="F41" i="2"/>
  <c r="D41" i="2"/>
  <c r="K40" i="2"/>
  <c r="J40" i="2"/>
  <c r="I40" i="2"/>
  <c r="H40" i="2"/>
  <c r="G40" i="2"/>
  <c r="F40" i="2"/>
  <c r="D40" i="2"/>
  <c r="K39" i="2"/>
  <c r="J39" i="2"/>
  <c r="I39" i="2"/>
  <c r="H39" i="2"/>
  <c r="G39" i="2"/>
  <c r="F39" i="2"/>
  <c r="D39" i="2"/>
  <c r="K38" i="2"/>
  <c r="J38" i="2"/>
  <c r="I38" i="2"/>
  <c r="H38" i="2"/>
  <c r="G38" i="2"/>
  <c r="F38" i="2"/>
  <c r="D38" i="2"/>
  <c r="K37" i="2"/>
  <c r="J37" i="2"/>
  <c r="I37" i="2"/>
  <c r="H37" i="2"/>
  <c r="G37" i="2"/>
  <c r="F37" i="2"/>
  <c r="D37" i="2"/>
  <c r="K36" i="2"/>
  <c r="J36" i="2"/>
  <c r="I36" i="2"/>
  <c r="H36" i="2"/>
  <c r="G36" i="2"/>
  <c r="F36" i="2"/>
  <c r="D36" i="2"/>
  <c r="K35" i="2"/>
  <c r="J35" i="2"/>
  <c r="I35" i="2"/>
  <c r="H35" i="2"/>
  <c r="G35" i="2"/>
  <c r="F35" i="2"/>
  <c r="D35" i="2"/>
  <c r="K34" i="2"/>
  <c r="J34" i="2"/>
  <c r="I34" i="2"/>
  <c r="H34" i="2"/>
  <c r="G34" i="2"/>
  <c r="F34" i="2"/>
  <c r="E34" i="2"/>
  <c r="D34" i="2"/>
  <c r="K33" i="2"/>
  <c r="J33" i="2"/>
  <c r="I33" i="2"/>
  <c r="H33" i="2"/>
  <c r="G33" i="2"/>
  <c r="F33" i="2"/>
  <c r="D33" i="2"/>
  <c r="K32" i="2"/>
  <c r="J32" i="2"/>
  <c r="I32" i="2"/>
  <c r="H32" i="2"/>
  <c r="G32" i="2"/>
  <c r="F32" i="2"/>
  <c r="D32" i="2"/>
  <c r="K31" i="2"/>
  <c r="J31" i="2"/>
  <c r="I31" i="2"/>
  <c r="H31" i="2"/>
  <c r="G31" i="2"/>
  <c r="F31" i="2"/>
  <c r="D31" i="2"/>
  <c r="K30" i="2"/>
  <c r="J30" i="2"/>
  <c r="I30" i="2"/>
  <c r="H30" i="2"/>
  <c r="G30" i="2"/>
  <c r="F30" i="2"/>
  <c r="D30" i="2"/>
  <c r="K29" i="2"/>
  <c r="J29" i="2"/>
  <c r="I29" i="2"/>
  <c r="H29" i="2"/>
  <c r="G29" i="2"/>
  <c r="F29" i="2"/>
  <c r="D29" i="2"/>
  <c r="K28" i="2"/>
  <c r="J28" i="2"/>
  <c r="I28" i="2"/>
  <c r="H28" i="2"/>
  <c r="G28" i="2"/>
  <c r="F28" i="2"/>
  <c r="E28" i="2"/>
  <c r="D28" i="2"/>
  <c r="K27" i="2"/>
  <c r="J27" i="2"/>
  <c r="I27" i="2"/>
  <c r="H27" i="2"/>
  <c r="F27" i="2"/>
  <c r="D27" i="2"/>
  <c r="K26" i="2"/>
  <c r="J26" i="2"/>
  <c r="I26" i="2"/>
  <c r="H26" i="2"/>
  <c r="G26" i="2"/>
  <c r="F26" i="2"/>
  <c r="D26" i="2"/>
  <c r="K25" i="2"/>
  <c r="J25" i="2"/>
  <c r="I25" i="2"/>
  <c r="H25" i="2"/>
  <c r="G25" i="2"/>
  <c r="F25" i="2"/>
  <c r="D25" i="2"/>
  <c r="K24" i="2"/>
  <c r="J24" i="2"/>
  <c r="I24" i="2"/>
  <c r="H24" i="2"/>
  <c r="G24" i="2"/>
  <c r="F24" i="2"/>
  <c r="E24" i="2"/>
  <c r="D24" i="2"/>
  <c r="K23" i="2"/>
  <c r="J23" i="2"/>
  <c r="I23" i="2"/>
  <c r="H23" i="2"/>
  <c r="G23" i="2"/>
  <c r="F23" i="2"/>
  <c r="D23" i="2"/>
  <c r="K22" i="2"/>
  <c r="J22" i="2"/>
  <c r="I22" i="2"/>
  <c r="H22" i="2"/>
  <c r="G22" i="2"/>
  <c r="F22" i="2"/>
  <c r="E22" i="2"/>
  <c r="D22" i="2"/>
  <c r="K21" i="2"/>
  <c r="J21" i="2"/>
  <c r="I21" i="2"/>
  <c r="H21" i="2"/>
  <c r="G21" i="2"/>
  <c r="F21" i="2"/>
  <c r="D21" i="2"/>
  <c r="K20" i="2"/>
  <c r="J20" i="2"/>
  <c r="I20" i="2"/>
  <c r="H20" i="2"/>
  <c r="F20" i="2"/>
  <c r="D20" i="2"/>
  <c r="K19" i="2"/>
  <c r="J19" i="2"/>
  <c r="I19" i="2"/>
  <c r="H19" i="2"/>
  <c r="D19" i="2"/>
  <c r="K18" i="2"/>
  <c r="J18" i="2"/>
  <c r="I18" i="2"/>
  <c r="H18" i="2"/>
  <c r="G18" i="2"/>
  <c r="F18" i="2"/>
  <c r="D18" i="2"/>
  <c r="K17" i="2"/>
  <c r="J17" i="2"/>
  <c r="I17" i="2"/>
  <c r="H17" i="2"/>
  <c r="G17" i="2"/>
  <c r="F17" i="2"/>
  <c r="D17" i="2"/>
  <c r="K16" i="2"/>
  <c r="J16" i="2"/>
  <c r="I16" i="2"/>
  <c r="H16" i="2"/>
  <c r="G16" i="2"/>
  <c r="F16" i="2"/>
  <c r="D16" i="2"/>
  <c r="K15" i="2"/>
  <c r="J15" i="2"/>
  <c r="I15" i="2"/>
  <c r="H15" i="2"/>
  <c r="G15" i="2"/>
  <c r="F15" i="2"/>
  <c r="D15" i="2"/>
  <c r="K14" i="2"/>
  <c r="J14" i="2"/>
  <c r="I14" i="2"/>
  <c r="H14" i="2"/>
  <c r="G14" i="2"/>
  <c r="F14" i="2"/>
  <c r="D14" i="2"/>
  <c r="K13" i="2"/>
  <c r="J13" i="2"/>
  <c r="I13" i="2"/>
  <c r="H13" i="2"/>
  <c r="G13" i="2"/>
  <c r="F13" i="2"/>
  <c r="D13" i="2"/>
  <c r="J12" i="2"/>
  <c r="I12" i="2"/>
  <c r="H12" i="2"/>
  <c r="G12" i="2"/>
  <c r="F12" i="2"/>
  <c r="D12" i="2"/>
  <c r="J11" i="2"/>
  <c r="I11" i="2"/>
  <c r="H11" i="2"/>
  <c r="G11" i="2"/>
  <c r="F11" i="2"/>
  <c r="E11" i="2"/>
  <c r="D11" i="2"/>
  <c r="K10" i="2"/>
  <c r="J10" i="2"/>
  <c r="I10" i="2"/>
  <c r="H10" i="2"/>
  <c r="G10" i="2"/>
  <c r="F10" i="2"/>
  <c r="D10" i="2"/>
  <c r="K9" i="2"/>
  <c r="J9" i="2"/>
  <c r="I9" i="2"/>
  <c r="H9" i="2"/>
  <c r="G9" i="2"/>
  <c r="F9" i="2"/>
  <c r="D9" i="2"/>
  <c r="J8" i="2"/>
  <c r="H8" i="2"/>
  <c r="G8" i="2"/>
  <c r="D8" i="2"/>
  <c r="K7" i="2"/>
  <c r="J7" i="2"/>
  <c r="I7" i="2"/>
  <c r="H7" i="2"/>
  <c r="F7" i="2"/>
  <c r="D7" i="2"/>
  <c r="K6" i="2"/>
  <c r="J6" i="2"/>
  <c r="I6" i="2"/>
  <c r="H6" i="2"/>
  <c r="G6" i="2"/>
  <c r="F6" i="2"/>
  <c r="E6" i="2"/>
  <c r="D6" i="2"/>
  <c r="K5" i="2"/>
  <c r="H5" i="2"/>
  <c r="G5" i="2"/>
  <c r="F5" i="2"/>
  <c r="D5" i="2"/>
  <c r="K4" i="2"/>
  <c r="J4" i="2"/>
  <c r="I4" i="2"/>
  <c r="H4" i="2"/>
  <c r="G4" i="2"/>
  <c r="F4" i="2"/>
  <c r="E4" i="2"/>
  <c r="D4" i="2"/>
  <c r="K3" i="2"/>
  <c r="J3" i="2"/>
  <c r="I3" i="2"/>
  <c r="H3" i="2"/>
  <c r="G3" i="2"/>
  <c r="F3" i="2"/>
  <c r="D3" i="2"/>
  <c r="K2" i="2"/>
  <c r="J2" i="2"/>
  <c r="I2" i="2"/>
  <c r="H2" i="2"/>
  <c r="F2" i="2"/>
  <c r="D2" i="2"/>
  <c r="AC10" i="1" l="1"/>
  <c r="AC9" i="1"/>
  <c r="AC8" i="1"/>
  <c r="AC7" i="1"/>
  <c r="AC6" i="1"/>
  <c r="AC5" i="1"/>
  <c r="AC4" i="1"/>
  <c r="AC3" i="1"/>
  <c r="AC2" i="1"/>
  <c r="AB10" i="1"/>
  <c r="AB9" i="1"/>
  <c r="AB8" i="1"/>
  <c r="AB7" i="1"/>
  <c r="AB6" i="1"/>
  <c r="AB5" i="1"/>
  <c r="AB4" i="1"/>
  <c r="AB2" i="1"/>
  <c r="AB3" i="1"/>
  <c r="AA10" i="1"/>
  <c r="AA9" i="1"/>
  <c r="AA8" i="1"/>
  <c r="AA7" i="1"/>
  <c r="AA6" i="1"/>
  <c r="AA5" i="1"/>
  <c r="AA4" i="1"/>
  <c r="AA3" i="1"/>
  <c r="AA2" i="1"/>
  <c r="Z10" i="1"/>
  <c r="Z9" i="1"/>
  <c r="Z8" i="1"/>
  <c r="Z7" i="1"/>
  <c r="Z6" i="1"/>
  <c r="Z5" i="1"/>
  <c r="Z4" i="1"/>
  <c r="Z3" i="1"/>
  <c r="Z2" i="1"/>
  <c r="Y10" i="1"/>
  <c r="Y9" i="1"/>
  <c r="Y8" i="1"/>
  <c r="Y7" i="1"/>
  <c r="Y6" i="1"/>
  <c r="Y5" i="1"/>
  <c r="Y4" i="1"/>
  <c r="Y3" i="1"/>
  <c r="Y2" i="1"/>
  <c r="X10" i="1"/>
  <c r="X9" i="1"/>
  <c r="X8" i="1"/>
  <c r="X7" i="1"/>
  <c r="X6" i="1"/>
  <c r="X5" i="1"/>
  <c r="X4" i="1"/>
  <c r="X3" i="1"/>
  <c r="X2" i="1"/>
  <c r="W10" i="1"/>
  <c r="W9" i="1"/>
  <c r="W8" i="1"/>
  <c r="W7" i="1"/>
  <c r="W6" i="1"/>
  <c r="W5" i="1"/>
  <c r="W4" i="1"/>
  <c r="W3" i="1"/>
  <c r="W2" i="1"/>
  <c r="V10" i="1"/>
  <c r="V9" i="1"/>
  <c r="V8" i="1"/>
  <c r="V7" i="1"/>
  <c r="V6" i="1"/>
  <c r="V5" i="1"/>
  <c r="V4" i="1"/>
  <c r="U4" i="1"/>
  <c r="V2" i="1"/>
  <c r="U10" i="1"/>
  <c r="U9" i="1"/>
  <c r="U8" i="1"/>
  <c r="U7" i="1"/>
  <c r="U6" i="1"/>
  <c r="U5" i="1"/>
  <c r="U3" i="1"/>
  <c r="D2" i="1"/>
  <c r="F2" i="1"/>
  <c r="H2" i="1"/>
  <c r="I2" i="1"/>
  <c r="J2" i="1"/>
  <c r="K2" i="1"/>
  <c r="R2" i="1"/>
  <c r="D3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D5" i="1"/>
  <c r="F5" i="1"/>
  <c r="G5" i="1"/>
  <c r="H5" i="1"/>
  <c r="K5" i="1"/>
  <c r="D6" i="1"/>
  <c r="E6" i="1"/>
  <c r="F6" i="1"/>
  <c r="G6" i="1"/>
  <c r="H6" i="1"/>
  <c r="I6" i="1"/>
  <c r="J6" i="1"/>
  <c r="K6" i="1"/>
  <c r="D7" i="1"/>
  <c r="F7" i="1"/>
  <c r="H7" i="1"/>
  <c r="I7" i="1"/>
  <c r="J7" i="1"/>
  <c r="K7" i="1"/>
  <c r="D8" i="1"/>
  <c r="G8" i="1"/>
  <c r="H8" i="1"/>
  <c r="J8" i="1"/>
  <c r="D9" i="1"/>
  <c r="F9" i="1"/>
  <c r="G9" i="1"/>
  <c r="H9" i="1"/>
  <c r="I9" i="1"/>
  <c r="J9" i="1"/>
  <c r="K9" i="1"/>
  <c r="D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D12" i="1"/>
  <c r="F12" i="1"/>
  <c r="G12" i="1"/>
  <c r="H12" i="1"/>
  <c r="I12" i="1"/>
  <c r="J12" i="1"/>
  <c r="D13" i="1"/>
  <c r="F13" i="1"/>
  <c r="G13" i="1"/>
  <c r="H13" i="1"/>
  <c r="I13" i="1"/>
  <c r="J13" i="1"/>
  <c r="K13" i="1"/>
  <c r="D14" i="1"/>
  <c r="F14" i="1"/>
  <c r="G14" i="1"/>
  <c r="H14" i="1"/>
  <c r="I14" i="1"/>
  <c r="J14" i="1"/>
  <c r="K14" i="1"/>
  <c r="D15" i="1"/>
  <c r="F15" i="1"/>
  <c r="G15" i="1"/>
  <c r="H15" i="1"/>
  <c r="I15" i="1"/>
  <c r="J15" i="1"/>
  <c r="K15" i="1"/>
  <c r="D16" i="1"/>
  <c r="F16" i="1"/>
  <c r="G16" i="1"/>
  <c r="H16" i="1"/>
  <c r="I16" i="1"/>
  <c r="J16" i="1"/>
  <c r="K16" i="1"/>
  <c r="D17" i="1"/>
  <c r="F17" i="1"/>
  <c r="G17" i="1"/>
  <c r="H17" i="1"/>
  <c r="I17" i="1"/>
  <c r="J17" i="1"/>
  <c r="K17" i="1"/>
  <c r="D18" i="1"/>
  <c r="F18" i="1"/>
  <c r="G18" i="1"/>
  <c r="H18" i="1"/>
  <c r="I18" i="1"/>
  <c r="J18" i="1"/>
  <c r="K18" i="1"/>
  <c r="D19" i="1"/>
  <c r="H19" i="1"/>
  <c r="I19" i="1"/>
  <c r="J19" i="1"/>
  <c r="K19" i="1"/>
  <c r="D20" i="1"/>
  <c r="F20" i="1"/>
  <c r="H20" i="1"/>
  <c r="I20" i="1"/>
  <c r="J20" i="1"/>
  <c r="K20" i="1"/>
  <c r="D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D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D25" i="1"/>
  <c r="F25" i="1"/>
  <c r="G25" i="1"/>
  <c r="H25" i="1"/>
  <c r="I25" i="1"/>
  <c r="J25" i="1"/>
  <c r="K25" i="1"/>
  <c r="D26" i="1"/>
  <c r="F26" i="1"/>
  <c r="G26" i="1"/>
  <c r="H26" i="1"/>
  <c r="I26" i="1"/>
  <c r="J26" i="1"/>
  <c r="K26" i="1"/>
  <c r="D27" i="1"/>
  <c r="F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F29" i="1"/>
  <c r="G29" i="1"/>
  <c r="H29" i="1"/>
  <c r="I29" i="1"/>
  <c r="J29" i="1"/>
  <c r="K29" i="1"/>
  <c r="D30" i="1"/>
  <c r="F30" i="1"/>
  <c r="G30" i="1"/>
  <c r="H30" i="1"/>
  <c r="I30" i="1"/>
  <c r="J30" i="1"/>
  <c r="K30" i="1"/>
  <c r="D31" i="1"/>
  <c r="F31" i="1"/>
  <c r="G31" i="1"/>
  <c r="H31" i="1"/>
  <c r="I31" i="1"/>
  <c r="J31" i="1"/>
  <c r="K31" i="1"/>
  <c r="D32" i="1"/>
  <c r="F32" i="1"/>
  <c r="G32" i="1"/>
  <c r="H32" i="1"/>
  <c r="I32" i="1"/>
  <c r="J32" i="1"/>
  <c r="K32" i="1"/>
  <c r="D33" i="1"/>
  <c r="F33" i="1"/>
  <c r="G33" i="1"/>
  <c r="H33" i="1"/>
  <c r="I33" i="1"/>
  <c r="J33" i="1"/>
  <c r="K33" i="1"/>
  <c r="D34" i="1"/>
  <c r="E34" i="1"/>
  <c r="F34" i="1"/>
  <c r="G34" i="1"/>
  <c r="H34" i="1"/>
  <c r="I34" i="1"/>
  <c r="J34" i="1"/>
  <c r="K34" i="1"/>
  <c r="D35" i="1"/>
  <c r="F35" i="1"/>
  <c r="G35" i="1"/>
  <c r="H35" i="1"/>
  <c r="I35" i="1"/>
  <c r="J35" i="1"/>
  <c r="K35" i="1"/>
  <c r="D36" i="1"/>
  <c r="F36" i="1"/>
  <c r="G36" i="1"/>
  <c r="H36" i="1"/>
  <c r="I36" i="1"/>
  <c r="J36" i="1"/>
  <c r="K36" i="1"/>
  <c r="D37" i="1"/>
  <c r="F37" i="1"/>
  <c r="G37" i="1"/>
  <c r="H37" i="1"/>
  <c r="I37" i="1"/>
  <c r="J37" i="1"/>
  <c r="K37" i="1"/>
  <c r="D38" i="1"/>
  <c r="F38" i="1"/>
  <c r="G38" i="1"/>
  <c r="H38" i="1"/>
  <c r="I38" i="1"/>
  <c r="J38" i="1"/>
  <c r="K38" i="1"/>
  <c r="D39" i="1"/>
  <c r="F39" i="1"/>
  <c r="G39" i="1"/>
  <c r="H39" i="1"/>
  <c r="I39" i="1"/>
  <c r="J39" i="1"/>
  <c r="K39" i="1"/>
  <c r="D40" i="1"/>
  <c r="F40" i="1"/>
  <c r="G40" i="1"/>
  <c r="H40" i="1"/>
  <c r="I40" i="1"/>
  <c r="J40" i="1"/>
  <c r="K40" i="1"/>
  <c r="D41" i="1"/>
  <c r="F41" i="1"/>
  <c r="G41" i="1"/>
  <c r="H41" i="1"/>
  <c r="I41" i="1"/>
  <c r="J41" i="1"/>
  <c r="K41" i="1"/>
  <c r="D42" i="1"/>
  <c r="F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G45" i="1"/>
  <c r="H45" i="1"/>
  <c r="I45" i="1"/>
  <c r="J45" i="1"/>
  <c r="D46" i="1"/>
  <c r="F46" i="1"/>
  <c r="H46" i="1"/>
  <c r="I46" i="1"/>
  <c r="J46" i="1"/>
  <c r="K46" i="1"/>
  <c r="D47" i="1"/>
  <c r="F47" i="1"/>
  <c r="G47" i="1"/>
  <c r="H47" i="1"/>
  <c r="I47" i="1"/>
  <c r="J47" i="1"/>
  <c r="D48" i="1"/>
  <c r="G48" i="1"/>
  <c r="H48" i="1"/>
  <c r="I48" i="1"/>
  <c r="J48" i="1"/>
  <c r="D49" i="1"/>
  <c r="F49" i="1"/>
  <c r="G49" i="1"/>
  <c r="H49" i="1"/>
  <c r="I49" i="1"/>
  <c r="J49" i="1"/>
  <c r="K49" i="1"/>
  <c r="D50" i="1"/>
  <c r="F50" i="1"/>
  <c r="G50" i="1"/>
  <c r="H50" i="1"/>
  <c r="I50" i="1"/>
  <c r="J50" i="1"/>
  <c r="K50" i="1"/>
  <c r="D51" i="1"/>
  <c r="G51" i="1"/>
  <c r="H51" i="1"/>
  <c r="I51" i="1"/>
  <c r="J51" i="1"/>
  <c r="K51" i="1"/>
  <c r="D52" i="1"/>
  <c r="E52" i="1"/>
  <c r="H52" i="1"/>
  <c r="I52" i="1"/>
  <c r="J52" i="1"/>
  <c r="K52" i="1"/>
  <c r="D53" i="1"/>
  <c r="H53" i="1"/>
  <c r="J53" i="1"/>
  <c r="K53" i="1"/>
  <c r="D54" i="1"/>
  <c r="H54" i="1"/>
  <c r="I54" i="1"/>
  <c r="J54" i="1"/>
  <c r="D55" i="1"/>
  <c r="H55" i="1"/>
  <c r="J55" i="1"/>
  <c r="D56" i="1"/>
  <c r="F56" i="1"/>
  <c r="H56" i="1"/>
  <c r="I56" i="1"/>
  <c r="J56" i="1"/>
  <c r="K56" i="1"/>
  <c r="D57" i="1"/>
  <c r="H57" i="1"/>
  <c r="I57" i="1"/>
  <c r="J57" i="1"/>
  <c r="K57" i="1"/>
  <c r="D58" i="1"/>
  <c r="E58" i="1"/>
  <c r="F58" i="1"/>
  <c r="G58" i="1"/>
  <c r="H58" i="1"/>
  <c r="I58" i="1"/>
  <c r="J58" i="1"/>
  <c r="K58" i="1"/>
  <c r="D59" i="1"/>
  <c r="F59" i="1"/>
  <c r="G59" i="1"/>
  <c r="H59" i="1"/>
  <c r="J59" i="1"/>
  <c r="D60" i="1"/>
  <c r="G60" i="1"/>
  <c r="H60" i="1"/>
  <c r="I60" i="1"/>
  <c r="J60" i="1"/>
  <c r="K60" i="1"/>
  <c r="D61" i="1"/>
  <c r="E61" i="1"/>
  <c r="H61" i="1"/>
  <c r="I61" i="1"/>
  <c r="J61" i="1"/>
  <c r="D62" i="1"/>
  <c r="H62" i="1"/>
  <c r="J62" i="1"/>
  <c r="D63" i="1"/>
  <c r="H63" i="1"/>
  <c r="J63" i="1"/>
  <c r="K63" i="1"/>
  <c r="D64" i="1"/>
  <c r="G64" i="1"/>
  <c r="H64" i="1"/>
  <c r="I64" i="1"/>
  <c r="J64" i="1"/>
  <c r="K64" i="1"/>
  <c r="D65" i="1"/>
  <c r="H65" i="1"/>
  <c r="I65" i="1"/>
  <c r="J65" i="1"/>
  <c r="K65" i="1"/>
  <c r="D66" i="1"/>
  <c r="H66" i="1"/>
  <c r="J66" i="1"/>
  <c r="K66" i="1"/>
  <c r="D67" i="1"/>
  <c r="H67" i="1"/>
  <c r="I67" i="1"/>
  <c r="J67" i="1"/>
  <c r="D68" i="1"/>
  <c r="H68" i="1"/>
  <c r="I68" i="1"/>
  <c r="J68" i="1"/>
  <c r="D69" i="1"/>
  <c r="H69" i="1"/>
  <c r="D70" i="1"/>
  <c r="H70" i="1"/>
  <c r="J70" i="1"/>
  <c r="D71" i="1"/>
  <c r="F71" i="1"/>
  <c r="G71" i="1"/>
  <c r="H71" i="1"/>
  <c r="I71" i="1"/>
  <c r="J71" i="1"/>
  <c r="K71" i="1"/>
  <c r="D72" i="1"/>
  <c r="H72" i="1"/>
  <c r="I72" i="1"/>
  <c r="J72" i="1"/>
  <c r="K72" i="1"/>
  <c r="D73" i="1"/>
  <c r="H73" i="1"/>
  <c r="I73" i="1"/>
  <c r="J73" i="1"/>
  <c r="K73" i="1"/>
  <c r="D74" i="1"/>
  <c r="H74" i="1"/>
  <c r="I74" i="1"/>
  <c r="J74" i="1"/>
  <c r="K74" i="1"/>
  <c r="D75" i="1"/>
  <c r="H75" i="1"/>
  <c r="I75" i="1"/>
  <c r="J75" i="1"/>
  <c r="K75" i="1"/>
  <c r="D76" i="1"/>
  <c r="G76" i="1"/>
  <c r="H76" i="1"/>
  <c r="I76" i="1"/>
  <c r="J76" i="1"/>
  <c r="K76" i="1"/>
  <c r="D77" i="1"/>
  <c r="F77" i="1"/>
  <c r="G77" i="1"/>
  <c r="H77" i="1"/>
  <c r="I77" i="1"/>
  <c r="J77" i="1"/>
  <c r="K77" i="1"/>
  <c r="D78" i="1"/>
  <c r="F78" i="1"/>
  <c r="G78" i="1"/>
  <c r="H78" i="1"/>
  <c r="I78" i="1"/>
  <c r="J78" i="1"/>
  <c r="K78" i="1"/>
  <c r="D79" i="1"/>
  <c r="F79" i="1"/>
  <c r="G79" i="1"/>
  <c r="H79" i="1"/>
  <c r="I79" i="1"/>
  <c r="J79" i="1"/>
  <c r="K79" i="1"/>
  <c r="D80" i="1"/>
  <c r="F80" i="1"/>
  <c r="G80" i="1"/>
  <c r="H80" i="1"/>
  <c r="I80" i="1"/>
  <c r="J80" i="1"/>
  <c r="K80" i="1"/>
  <c r="D81" i="1"/>
  <c r="F81" i="1"/>
  <c r="G81" i="1"/>
  <c r="H81" i="1"/>
  <c r="I81" i="1"/>
  <c r="J81" i="1"/>
  <c r="K81" i="1"/>
  <c r="D82" i="1"/>
  <c r="F82" i="1"/>
  <c r="G82" i="1"/>
  <c r="H82" i="1"/>
  <c r="I82" i="1"/>
  <c r="J82" i="1"/>
  <c r="K82" i="1"/>
  <c r="D83" i="1"/>
  <c r="F83" i="1"/>
  <c r="G83" i="1"/>
  <c r="H83" i="1"/>
  <c r="I83" i="1"/>
  <c r="J83" i="1"/>
  <c r="K83" i="1"/>
  <c r="D84" i="1"/>
  <c r="E84" i="1"/>
  <c r="F84" i="1"/>
  <c r="G84" i="1"/>
  <c r="H84" i="1"/>
  <c r="I84" i="1"/>
  <c r="J84" i="1"/>
  <c r="K84" i="1"/>
  <c r="D85" i="1"/>
  <c r="F85" i="1"/>
  <c r="G85" i="1"/>
  <c r="H85" i="1"/>
  <c r="I85" i="1"/>
  <c r="J85" i="1"/>
  <c r="K85" i="1"/>
  <c r="D86" i="1"/>
  <c r="G86" i="1"/>
  <c r="H86" i="1"/>
  <c r="D87" i="1"/>
  <c r="G87" i="1"/>
  <c r="H87" i="1"/>
  <c r="I87" i="1"/>
  <c r="J87" i="1"/>
  <c r="D88" i="1"/>
  <c r="F88" i="1"/>
  <c r="G88" i="1"/>
  <c r="H88" i="1"/>
  <c r="I88" i="1"/>
  <c r="J88" i="1"/>
  <c r="K88" i="1"/>
  <c r="D89" i="1"/>
  <c r="F89" i="1"/>
  <c r="G89" i="1"/>
  <c r="H89" i="1"/>
  <c r="I89" i="1"/>
  <c r="J89" i="1"/>
  <c r="D90" i="1"/>
  <c r="E90" i="1"/>
  <c r="F90" i="1"/>
  <c r="G90" i="1"/>
  <c r="H90" i="1"/>
  <c r="I90" i="1"/>
  <c r="J90" i="1"/>
  <c r="K90" i="1"/>
  <c r="D91" i="1"/>
  <c r="E91" i="1"/>
  <c r="F91" i="1"/>
  <c r="H91" i="1"/>
  <c r="I91" i="1"/>
  <c r="J91" i="1"/>
  <c r="K91" i="1"/>
  <c r="D92" i="1"/>
  <c r="G92" i="1"/>
  <c r="H92" i="1"/>
  <c r="I92" i="1"/>
  <c r="J92" i="1"/>
  <c r="K92" i="1"/>
  <c r="D93" i="1"/>
  <c r="E93" i="1"/>
  <c r="F93" i="1"/>
  <c r="G93" i="1"/>
  <c r="H93" i="1"/>
  <c r="I93" i="1"/>
  <c r="J93" i="1"/>
  <c r="K93" i="1"/>
  <c r="D94" i="1"/>
  <c r="E94" i="1"/>
  <c r="F94" i="1"/>
  <c r="G94" i="1"/>
  <c r="H94" i="1"/>
  <c r="I94" i="1"/>
  <c r="J94" i="1"/>
  <c r="K94" i="1"/>
  <c r="D95" i="1"/>
  <c r="F95" i="1"/>
  <c r="G95" i="1"/>
  <c r="H95" i="1"/>
  <c r="I95" i="1"/>
  <c r="J95" i="1"/>
  <c r="K95" i="1"/>
  <c r="D96" i="1"/>
  <c r="F96" i="1"/>
  <c r="G96" i="1"/>
  <c r="H96" i="1"/>
  <c r="I96" i="1"/>
  <c r="J96" i="1"/>
  <c r="K96" i="1"/>
  <c r="D97" i="1"/>
  <c r="F97" i="1"/>
  <c r="G97" i="1"/>
  <c r="H97" i="1"/>
  <c r="I97" i="1"/>
  <c r="J97" i="1"/>
  <c r="K97" i="1"/>
  <c r="D98" i="1"/>
  <c r="E98" i="1"/>
  <c r="F98" i="1"/>
  <c r="H98" i="1"/>
  <c r="I98" i="1"/>
  <c r="J98" i="1"/>
  <c r="K98" i="1"/>
  <c r="D99" i="1"/>
  <c r="H99" i="1"/>
  <c r="J99" i="1"/>
  <c r="D100" i="1"/>
  <c r="G100" i="1"/>
  <c r="H100" i="1"/>
  <c r="J100" i="1"/>
  <c r="K100" i="1"/>
  <c r="D101" i="1"/>
  <c r="G101" i="1"/>
  <c r="H101" i="1"/>
  <c r="J101" i="1"/>
  <c r="D102" i="1"/>
  <c r="E102" i="1"/>
  <c r="F102" i="1"/>
  <c r="G102" i="1"/>
  <c r="H102" i="1"/>
  <c r="I102" i="1"/>
  <c r="J102" i="1"/>
  <c r="K102" i="1"/>
  <c r="D103" i="1"/>
  <c r="G103" i="1"/>
  <c r="H103" i="1"/>
  <c r="I103" i="1"/>
  <c r="J103" i="1"/>
  <c r="K103" i="1"/>
  <c r="D104" i="1"/>
  <c r="H104" i="1"/>
  <c r="I104" i="1"/>
  <c r="J104" i="1"/>
  <c r="K104" i="1"/>
  <c r="D105" i="1"/>
  <c r="F105" i="1"/>
  <c r="G105" i="1"/>
  <c r="H105" i="1"/>
  <c r="I105" i="1"/>
  <c r="J105" i="1"/>
  <c r="K105" i="1"/>
  <c r="D106" i="1"/>
  <c r="F106" i="1"/>
  <c r="G106" i="1"/>
  <c r="H106" i="1"/>
  <c r="I106" i="1"/>
  <c r="J106" i="1"/>
  <c r="K106" i="1"/>
  <c r="D107" i="1"/>
  <c r="F107" i="1"/>
  <c r="G107" i="1"/>
  <c r="H107" i="1"/>
  <c r="I107" i="1"/>
  <c r="J107" i="1"/>
  <c r="K107" i="1"/>
  <c r="D108" i="1"/>
  <c r="F108" i="1"/>
  <c r="G108" i="1"/>
  <c r="H108" i="1"/>
  <c r="I108" i="1"/>
  <c r="J108" i="1"/>
  <c r="D109" i="1"/>
  <c r="E109" i="1"/>
  <c r="H109" i="1"/>
  <c r="I109" i="1"/>
  <c r="J109" i="1"/>
  <c r="D110" i="1"/>
  <c r="E110" i="1"/>
  <c r="H110" i="1"/>
  <c r="I110" i="1"/>
  <c r="J110" i="1"/>
  <c r="K110" i="1"/>
  <c r="D111" i="1"/>
  <c r="F111" i="1"/>
  <c r="H111" i="1"/>
  <c r="J111" i="1"/>
  <c r="K111" i="1"/>
  <c r="D112" i="1"/>
  <c r="H112" i="1"/>
  <c r="J112" i="1"/>
  <c r="D113" i="1"/>
  <c r="F113" i="1"/>
  <c r="H113" i="1"/>
  <c r="I113" i="1"/>
  <c r="J113" i="1"/>
  <c r="K113" i="1"/>
  <c r="D114" i="1"/>
  <c r="H114" i="1"/>
  <c r="I114" i="1"/>
  <c r="J114" i="1"/>
  <c r="K114" i="1"/>
  <c r="D115" i="1"/>
  <c r="F115" i="1"/>
  <c r="G115" i="1"/>
  <c r="H115" i="1"/>
  <c r="I115" i="1"/>
  <c r="J115" i="1"/>
  <c r="K115" i="1"/>
  <c r="D116" i="1"/>
  <c r="F116" i="1"/>
  <c r="G116" i="1"/>
  <c r="H116" i="1"/>
  <c r="I116" i="1"/>
  <c r="J116" i="1"/>
  <c r="K116" i="1"/>
  <c r="D117" i="1"/>
  <c r="G117" i="1"/>
  <c r="H117" i="1"/>
  <c r="I117" i="1"/>
  <c r="J117" i="1"/>
  <c r="K117" i="1"/>
  <c r="D118" i="1"/>
  <c r="G118" i="1"/>
  <c r="H118" i="1"/>
  <c r="I118" i="1"/>
  <c r="J118" i="1"/>
  <c r="K118" i="1"/>
  <c r="D119" i="1"/>
  <c r="F119" i="1"/>
  <c r="G119" i="1"/>
  <c r="H119" i="1"/>
  <c r="I119" i="1"/>
  <c r="J119" i="1"/>
  <c r="K119" i="1"/>
  <c r="D120" i="1"/>
  <c r="G120" i="1"/>
  <c r="H120" i="1"/>
  <c r="I120" i="1"/>
  <c r="J120" i="1"/>
  <c r="K120" i="1"/>
  <c r="D121" i="1"/>
  <c r="F121" i="1"/>
  <c r="G121" i="1"/>
  <c r="H121" i="1"/>
  <c r="I121" i="1"/>
  <c r="J121" i="1"/>
  <c r="K121" i="1"/>
  <c r="D122" i="1"/>
  <c r="G122" i="1"/>
  <c r="H122" i="1"/>
  <c r="I122" i="1"/>
  <c r="J122" i="1"/>
  <c r="K122" i="1"/>
  <c r="D123" i="1"/>
  <c r="E123" i="1"/>
  <c r="F123" i="1"/>
  <c r="G123" i="1"/>
  <c r="H123" i="1"/>
  <c r="I123" i="1"/>
  <c r="J123" i="1"/>
  <c r="K123" i="1"/>
  <c r="D124" i="1"/>
  <c r="E124" i="1"/>
  <c r="G124" i="1"/>
  <c r="H124" i="1"/>
  <c r="I124" i="1"/>
  <c r="J124" i="1"/>
  <c r="K124" i="1"/>
  <c r="D125" i="1"/>
  <c r="H125" i="1"/>
  <c r="I125" i="1"/>
  <c r="J125" i="1"/>
  <c r="K125" i="1"/>
  <c r="D126" i="1"/>
  <c r="E126" i="1"/>
  <c r="F126" i="1"/>
  <c r="G126" i="1"/>
  <c r="H126" i="1"/>
  <c r="I126" i="1"/>
  <c r="J126" i="1"/>
  <c r="K126" i="1"/>
  <c r="D127" i="1"/>
  <c r="F127" i="1"/>
  <c r="G127" i="1"/>
  <c r="H127" i="1"/>
  <c r="I127" i="1"/>
  <c r="J127" i="1"/>
  <c r="K127" i="1"/>
  <c r="D128" i="1"/>
  <c r="F128" i="1"/>
  <c r="G128" i="1"/>
  <c r="H128" i="1"/>
  <c r="I128" i="1"/>
  <c r="J128" i="1"/>
  <c r="D129" i="1"/>
  <c r="G129" i="1"/>
  <c r="H129" i="1"/>
  <c r="I129" i="1"/>
  <c r="J129" i="1"/>
  <c r="K129" i="1"/>
  <c r="D130" i="1"/>
  <c r="F130" i="1"/>
  <c r="G130" i="1"/>
  <c r="H130" i="1"/>
  <c r="I130" i="1"/>
  <c r="J130" i="1"/>
  <c r="K130" i="1"/>
  <c r="D131" i="1"/>
  <c r="H131" i="1"/>
  <c r="I131" i="1"/>
  <c r="J131" i="1"/>
  <c r="K131" i="1"/>
  <c r="D132" i="1"/>
  <c r="F132" i="1"/>
  <c r="G132" i="1"/>
  <c r="H132" i="1"/>
  <c r="I132" i="1"/>
  <c r="J132" i="1"/>
  <c r="K132" i="1"/>
  <c r="D133" i="1"/>
  <c r="E133" i="1"/>
  <c r="F133" i="1"/>
  <c r="G133" i="1"/>
  <c r="H133" i="1"/>
  <c r="I133" i="1"/>
  <c r="J133" i="1"/>
  <c r="K133" i="1"/>
  <c r="D134" i="1"/>
  <c r="F134" i="1"/>
  <c r="H134" i="1"/>
  <c r="J134" i="1"/>
  <c r="D135" i="1"/>
  <c r="G135" i="1"/>
  <c r="H135" i="1"/>
  <c r="I135" i="1"/>
  <c r="J135" i="1"/>
  <c r="K135" i="1"/>
</calcChain>
</file>

<file path=xl/sharedStrings.xml><?xml version="1.0" encoding="utf-8"?>
<sst xmlns="http://schemas.openxmlformats.org/spreadsheetml/2006/main" count="1522" uniqueCount="734">
  <si>
    <t>12 (41%)</t>
  </si>
  <si>
    <t>12 (35%)</t>
  </si>
  <si>
    <t>24.9 (3.7)</t>
  </si>
  <si>
    <t>83.4 (11.6)</t>
  </si>
  <si>
    <t>130.4 (24)</t>
  </si>
  <si>
    <t>117.5 (52.7)</t>
  </si>
  <si>
    <t>23 (51%)</t>
  </si>
  <si>
    <t>30 (53%)</t>
  </si>
  <si>
    <t>27 (4.3)</t>
  </si>
  <si>
    <t>84.9 (10.8)</t>
  </si>
  <si>
    <t>133.5 (20.6)</t>
  </si>
  <si>
    <t>119.5 (44.1)</t>
  </si>
  <si>
    <t>7 (23%)</t>
  </si>
  <si>
    <t>10 (27%)</t>
  </si>
  <si>
    <t>22.2 (3.8)</t>
  </si>
  <si>
    <t>78.1 (8.9)</t>
  </si>
  <si>
    <t>118.4 (13)</t>
  </si>
  <si>
    <t>112.2 (58.8)</t>
  </si>
  <si>
    <t>13 (45%)</t>
  </si>
  <si>
    <t>14 (44%)</t>
  </si>
  <si>
    <t>25.8 (4.1)</t>
  </si>
  <si>
    <t>80.9 (13.9)</t>
  </si>
  <si>
    <t>128.5 (19.1)</t>
  </si>
  <si>
    <t>114.4 (36.8)</t>
  </si>
  <si>
    <t>15 (43%)</t>
  </si>
  <si>
    <t>13 (33%)</t>
  </si>
  <si>
    <t>26.8 (5.8)</t>
  </si>
  <si>
    <t>82.7 (12.8)</t>
  </si>
  <si>
    <t>124.5 (21.2)</t>
  </si>
  <si>
    <t>104.5 (29)</t>
  </si>
  <si>
    <t>4 (15%)</t>
  </si>
  <si>
    <t>7 (18%)</t>
  </si>
  <si>
    <t>24.5 (4.4)</t>
  </si>
  <si>
    <t>78.3 (10)</t>
  </si>
  <si>
    <t>116.8 (14)</t>
  </si>
  <si>
    <t>103.4 (14.9)</t>
  </si>
  <si>
    <t>Ward #20</t>
  </si>
  <si>
    <t>7 (26%)</t>
  </si>
  <si>
    <t>25.7 (5.1)</t>
  </si>
  <si>
    <t>80.2 (10.6)</t>
  </si>
  <si>
    <t>121.8 (17.9)</t>
  </si>
  <si>
    <t>119.6 (67.9)</t>
  </si>
  <si>
    <t>22 (47%)</t>
  </si>
  <si>
    <t>26 (52%)</t>
  </si>
  <si>
    <t>26.6 (5.3)</t>
  </si>
  <si>
    <t>86.1 (13.4)</t>
  </si>
  <si>
    <t>132.7 (26.3)</t>
  </si>
  <si>
    <t>119.6 (42.9)</t>
  </si>
  <si>
    <t>12 (26%)</t>
  </si>
  <si>
    <t>21 (35%)</t>
  </si>
  <si>
    <t>24.6 (5)</t>
  </si>
  <si>
    <t>82.6 (9.1)</t>
  </si>
  <si>
    <t>123.7 (16.8)</t>
  </si>
  <si>
    <t>106.4 (20.5)</t>
  </si>
  <si>
    <t>18 (42%)</t>
  </si>
  <si>
    <t>13 (23%)</t>
  </si>
  <si>
    <t>24.8 (4.8)</t>
  </si>
  <si>
    <t>81.5 (11.4)</t>
  </si>
  <si>
    <t>120 (17)</t>
  </si>
  <si>
    <t>111.7 (28.1)</t>
  </si>
  <si>
    <t>23 (43%)</t>
  </si>
  <si>
    <t>21 (33%)</t>
  </si>
  <si>
    <t>28.5 (6.5)</t>
  </si>
  <si>
    <t>83 (13.7)</t>
  </si>
  <si>
    <t>125.7 (19.8)</t>
  </si>
  <si>
    <t>105.6 (18.3)</t>
  </si>
  <si>
    <t>25 (52%)</t>
  </si>
  <si>
    <t>28 (49%)</t>
  </si>
  <si>
    <t>28.1 (6.3)</t>
  </si>
  <si>
    <t>84 (11.9)</t>
  </si>
  <si>
    <t>128.8 (18.2)</t>
  </si>
  <si>
    <t>115.1 (43.3)</t>
  </si>
  <si>
    <t>Ward #19</t>
  </si>
  <si>
    <t>3 (14%)</t>
  </si>
  <si>
    <t>18 (46%)</t>
  </si>
  <si>
    <t>23.2 (3.9)</t>
  </si>
  <si>
    <t>85.6 (13.4)</t>
  </si>
  <si>
    <t>125.6 (21.5)</t>
  </si>
  <si>
    <t>106.5 (43.1)</t>
  </si>
  <si>
    <t>6 (21%)</t>
  </si>
  <si>
    <t>12 (32%)</t>
  </si>
  <si>
    <t>83.4 (11.2)</t>
  </si>
  <si>
    <t>125.2 (16.7)</t>
  </si>
  <si>
    <t>101.2 (16.2)</t>
  </si>
  <si>
    <t>14 (30%)</t>
  </si>
  <si>
    <t>22.9 (3.9)</t>
  </si>
  <si>
    <t>85.4 (12.3)</t>
  </si>
  <si>
    <t>125.6 (22.3)</t>
  </si>
  <si>
    <t>111.5 (57.1)</t>
  </si>
  <si>
    <t>17 (34%)</t>
  </si>
  <si>
    <t>26 (45%)</t>
  </si>
  <si>
    <t>24.8 (4.5)</t>
  </si>
  <si>
    <t>85.3 (13.1)</t>
  </si>
  <si>
    <t>128.1 (21.7)</t>
  </si>
  <si>
    <t>110.9 (35.7)</t>
  </si>
  <si>
    <t>9 (36%)</t>
  </si>
  <si>
    <t>12 (36%)</t>
  </si>
  <si>
    <t>22.3 (3.9)</t>
  </si>
  <si>
    <t>83.8 (11.6)</t>
  </si>
  <si>
    <t>124.5 (20.3)</t>
  </si>
  <si>
    <t>109.6 (37.2)</t>
  </si>
  <si>
    <t>14 (39%)</t>
  </si>
  <si>
    <t>19 (40%)</t>
  </si>
  <si>
    <t>27.3 (5.2)</t>
  </si>
  <si>
    <t>84.5 (10.9)</t>
  </si>
  <si>
    <t>126.5 (22.4)</t>
  </si>
  <si>
    <t>116.1 (34.2)</t>
  </si>
  <si>
    <t>Ward #18</t>
  </si>
  <si>
    <t>10 (34%)</t>
  </si>
  <si>
    <t>10 (29%)</t>
  </si>
  <si>
    <t>26.6 (3.9)</t>
  </si>
  <si>
    <t>82 (9.5)</t>
  </si>
  <si>
    <t>118.9 (13.2)</t>
  </si>
  <si>
    <t>115.8 (39.2)</t>
  </si>
  <si>
    <t>4 (13%)</t>
  </si>
  <si>
    <t>16 (44%)</t>
  </si>
  <si>
    <t>23.7 (4.9)</t>
  </si>
  <si>
    <t>83.5 (13.2)</t>
  </si>
  <si>
    <t>126.7 (19.9)</t>
  </si>
  <si>
    <t>119.6 (74.1)</t>
  </si>
  <si>
    <t>13 (28%)</t>
  </si>
  <si>
    <t>19 (33%)</t>
  </si>
  <si>
    <t>24.1 (4.6)</t>
  </si>
  <si>
    <t>81.5 (11.5)</t>
  </si>
  <si>
    <t>120.4 (15.6)</t>
  </si>
  <si>
    <t>106.7 (37.6)</t>
  </si>
  <si>
    <t>2 (6%)</t>
  </si>
  <si>
    <t>5 (14%)</t>
  </si>
  <si>
    <t>21 (3.7)</t>
  </si>
  <si>
    <t>80.7 (12.2)</t>
  </si>
  <si>
    <t>121.9 (18.2)</t>
  </si>
  <si>
    <t>96.1 (11.1)</t>
  </si>
  <si>
    <t>4 (11%)</t>
  </si>
  <si>
    <t>19.1 (3.5)</t>
  </si>
  <si>
    <t>76 (9.8)</t>
  </si>
  <si>
    <t>115 (12.9)</t>
  </si>
  <si>
    <t>94.8 (10.3)</t>
  </si>
  <si>
    <t>9 (39%)</t>
  </si>
  <si>
    <t>16 (70%)</t>
  </si>
  <si>
    <t>28.2 (4)</t>
  </si>
  <si>
    <t>89.5 (10.6)</t>
  </si>
  <si>
    <t>131.6 (18.5)</t>
  </si>
  <si>
    <t>132.2 (93.6)</t>
  </si>
  <si>
    <t>20 (74%)</t>
  </si>
  <si>
    <t>18 (60%)</t>
  </si>
  <si>
    <t>29.3 (5.3)</t>
  </si>
  <si>
    <t>84.1 (12.7)</t>
  </si>
  <si>
    <t>132 (19.2)</t>
  </si>
  <si>
    <t>132.6 (79.1)</t>
  </si>
  <si>
    <t>Ward #17</t>
  </si>
  <si>
    <t>21 (57%)</t>
  </si>
  <si>
    <t>27 (5.5)</t>
  </si>
  <si>
    <t>89.6 (14.4)</t>
  </si>
  <si>
    <t>133.1 (24.1)</t>
  </si>
  <si>
    <t>142.2 (74.2)</t>
  </si>
  <si>
    <t>20 (61%)</t>
  </si>
  <si>
    <t>16 (41%)</t>
  </si>
  <si>
    <t>28.5 (4.1)</t>
  </si>
  <si>
    <t>84.2 (11.6)</t>
  </si>
  <si>
    <t>126.7 (20.1)</t>
  </si>
  <si>
    <t>128.1 (57.4)</t>
  </si>
  <si>
    <t>23 (72%)</t>
  </si>
  <si>
    <t>19 (50%)</t>
  </si>
  <si>
    <t>29 (4.9)</t>
  </si>
  <si>
    <t>82.9 (11.4)</t>
  </si>
  <si>
    <t>127.7 (19.5)</t>
  </si>
  <si>
    <t>130.4 (59.2)</t>
  </si>
  <si>
    <t>8 (35%)</t>
  </si>
  <si>
    <t>23.1 (4.6)</t>
  </si>
  <si>
    <t>84.3 (11.9)</t>
  </si>
  <si>
    <t>127.6 (21)</t>
  </si>
  <si>
    <t>111.5 (35.4)</t>
  </si>
  <si>
    <t>10 (31%)</t>
  </si>
  <si>
    <t>5 (13%)</t>
  </si>
  <si>
    <t>23.6 (3.2)</t>
  </si>
  <si>
    <t>78.3 (9.6)</t>
  </si>
  <si>
    <t>114.3 (13.5)</t>
  </si>
  <si>
    <t>109.5 (34.7)</t>
  </si>
  <si>
    <t>14 (47%)</t>
  </si>
  <si>
    <t>15 (38%)</t>
  </si>
  <si>
    <t>27.3 (6.4)</t>
  </si>
  <si>
    <t>82.9 (10.9)</t>
  </si>
  <si>
    <t>125.5 (18.7)</t>
  </si>
  <si>
    <t>120.5 (45.4)</t>
  </si>
  <si>
    <t>Ward #16</t>
  </si>
  <si>
    <t>3 (16%)</t>
  </si>
  <si>
    <t>9 (26%)</t>
  </si>
  <si>
    <t>25.2 (4.1)</t>
  </si>
  <si>
    <t>81.4 (12.9)</t>
  </si>
  <si>
    <t>118.1 (19.3)</t>
  </si>
  <si>
    <t>98.4 (10.4)</t>
  </si>
  <si>
    <t>28 (51%)</t>
  </si>
  <si>
    <t>24 (40%)</t>
  </si>
  <si>
    <t>26.1 (3.5)</t>
  </si>
  <si>
    <t>83.9 (10.9)</t>
  </si>
  <si>
    <t>124.1 (17.9)</t>
  </si>
  <si>
    <t>128.1 (58.5)</t>
  </si>
  <si>
    <t>11 (28%)</t>
  </si>
  <si>
    <t>23 (4.4)</t>
  </si>
  <si>
    <t>81.1 (13)</t>
  </si>
  <si>
    <t>121.3 (21.3)</t>
  </si>
  <si>
    <t>96.9 (13.3)</t>
  </si>
  <si>
    <t>14 (67%)</t>
  </si>
  <si>
    <t>9 (35%)</t>
  </si>
  <si>
    <t>27.9 (6.3)</t>
  </si>
  <si>
    <t>78.1 (12.3)</t>
  </si>
  <si>
    <t>121.2 (14.2)</t>
  </si>
  <si>
    <t>122.6 (41.9)</t>
  </si>
  <si>
    <t>20 (45%)</t>
  </si>
  <si>
    <t>21 (43%)</t>
  </si>
  <si>
    <t>27.4 (5.7)</t>
  </si>
  <si>
    <t>83.7 (10.2)</t>
  </si>
  <si>
    <t>129 (20.9)</t>
  </si>
  <si>
    <t>119.4 (51.7)</t>
  </si>
  <si>
    <t>17 (40%)</t>
  </si>
  <si>
    <t>12 (27%)</t>
  </si>
  <si>
    <t>26.6 (3.7)</t>
  </si>
  <si>
    <t>78.2 (10.3)</t>
  </si>
  <si>
    <t>119.5 (15.8)</t>
  </si>
  <si>
    <t>110 (37.2)</t>
  </si>
  <si>
    <t>Ward #15</t>
  </si>
  <si>
    <t>7 (30%)</t>
  </si>
  <si>
    <t>7 (24%)</t>
  </si>
  <si>
    <t>23.1 (4.3)</t>
  </si>
  <si>
    <t>79.4 (8.7)</t>
  </si>
  <si>
    <t>119.8 (18.4)</t>
  </si>
  <si>
    <t>106.3 (25.7)</t>
  </si>
  <si>
    <t>3 (11%)</t>
  </si>
  <si>
    <t>21.6 (4.8)</t>
  </si>
  <si>
    <t>83.4 (10.1)</t>
  </si>
  <si>
    <t>124.5 (17.9)</t>
  </si>
  <si>
    <t>97.8 (10.5)</t>
  </si>
  <si>
    <t>12 (38%)</t>
  </si>
  <si>
    <t>16 (43%)</t>
  </si>
  <si>
    <t>24.8 (4.7)</t>
  </si>
  <si>
    <t>84.9 (8.7)</t>
  </si>
  <si>
    <t>128.9 (13.8)</t>
  </si>
  <si>
    <t>115.1 (55.5)</t>
  </si>
  <si>
    <t>6 (15%)</t>
  </si>
  <si>
    <t>14 (35%)</t>
  </si>
  <si>
    <t>22.8 (3.6)</t>
  </si>
  <si>
    <t>84.6 (12.8)</t>
  </si>
  <si>
    <t>125.6 (18.5)</t>
  </si>
  <si>
    <t>101.1 (17.5)</t>
  </si>
  <si>
    <t>3 (10%)</t>
  </si>
  <si>
    <t>23.3 (4.2)</t>
  </si>
  <si>
    <t>83.9 (11.9)</t>
  </si>
  <si>
    <t>124.7 (16.6)</t>
  </si>
  <si>
    <t>103.7 (17.3)</t>
  </si>
  <si>
    <t>2 (7%)</t>
  </si>
  <si>
    <t>10 (26%)</t>
  </si>
  <si>
    <t>21.7 (4.1)</t>
  </si>
  <si>
    <t>82.9 (11.9)</t>
  </si>
  <si>
    <t>125.7 (20.8)</t>
  </si>
  <si>
    <t>104.2 (33.5)</t>
  </si>
  <si>
    <t>Ward #14</t>
  </si>
  <si>
    <t>4 (18%)</t>
  </si>
  <si>
    <t>10 (30%)</t>
  </si>
  <si>
    <t>25.8 (6.9)</t>
  </si>
  <si>
    <t>81.9 (10.5)</t>
  </si>
  <si>
    <t>121.4 (16.3)</t>
  </si>
  <si>
    <t>106.8 (30.3)</t>
  </si>
  <si>
    <t>9 (23%)</t>
  </si>
  <si>
    <t>24.6 (5.8)</t>
  </si>
  <si>
    <t>81.3 (9.3)</t>
  </si>
  <si>
    <t>118.1 (14)</t>
  </si>
  <si>
    <t>111.5 (40.9)</t>
  </si>
  <si>
    <t>23 (44%)</t>
  </si>
  <si>
    <t>20 (33%)</t>
  </si>
  <si>
    <t>26.4 (3.4)</t>
  </si>
  <si>
    <t>82.2 (8.9)</t>
  </si>
  <si>
    <t>123.9 (16.4)</t>
  </si>
  <si>
    <t>117 (55.8)</t>
  </si>
  <si>
    <t>11 (39%)</t>
  </si>
  <si>
    <t>25.5 (4.5)</t>
  </si>
  <si>
    <t>80 (10.2)</t>
  </si>
  <si>
    <t>119.7 (16.3)</t>
  </si>
  <si>
    <t>119.9 (42.1)</t>
  </si>
  <si>
    <t>2 (18%)</t>
  </si>
  <si>
    <t>4 (31%)</t>
  </si>
  <si>
    <t>26.6 (3.1)</t>
  </si>
  <si>
    <t>84.4 (16.6)</t>
  </si>
  <si>
    <t>125.5 (27.8)</t>
  </si>
  <si>
    <t>100 (9.2)</t>
  </si>
  <si>
    <t>11 (32%)</t>
  </si>
  <si>
    <t>29.2 (4.2)</t>
  </si>
  <si>
    <t>83.6 (12.3)</t>
  </si>
  <si>
    <t>123.2 (16.8)</t>
  </si>
  <si>
    <t>138.9 (69.8)</t>
  </si>
  <si>
    <t>3 (50%)</t>
  </si>
  <si>
    <t>4 (33%)</t>
  </si>
  <si>
    <t>28.5 (3.7)</t>
  </si>
  <si>
    <t>80.9 (8)</t>
  </si>
  <si>
    <t>124.6 (9.9)</t>
  </si>
  <si>
    <t>122.7 (26)</t>
  </si>
  <si>
    <t>3 (9%)</t>
  </si>
  <si>
    <t>17 (44%)</t>
  </si>
  <si>
    <t>27.3 (5.4)</t>
  </si>
  <si>
    <t>85.7 (11.1)</t>
  </si>
  <si>
    <t>129.4 (18)</t>
  </si>
  <si>
    <t>102.6 (16.6)</t>
  </si>
  <si>
    <t>5 (15%)</t>
  </si>
  <si>
    <t>24.6 (4.8)</t>
  </si>
  <si>
    <t>82.5 (11.9)</t>
  </si>
  <si>
    <t>120.7 (15.4)</t>
  </si>
  <si>
    <t>112.2 (41.1)</t>
  </si>
  <si>
    <t>Ward #13</t>
  </si>
  <si>
    <t>5 (19%)</t>
  </si>
  <si>
    <t>6 (16%)</t>
  </si>
  <si>
    <t>23.3 (4.1)</t>
  </si>
  <si>
    <t>79.4 (10.7)</t>
  </si>
  <si>
    <t>119.3 (21.1)</t>
  </si>
  <si>
    <t>105.4 (32.7)</t>
  </si>
  <si>
    <t>8 (31%)</t>
  </si>
  <si>
    <t>25.7 (5.3)</t>
  </si>
  <si>
    <t>84.9 (11.1)</t>
  </si>
  <si>
    <t>126 (19.1)</t>
  </si>
  <si>
    <t>133.8 (67.4)</t>
  </si>
  <si>
    <t>1 (4%)</t>
  </si>
  <si>
    <t>15 (41%)</t>
  </si>
  <si>
    <t>24 (4.4)</t>
  </si>
  <si>
    <t>83.8 (8.9)</t>
  </si>
  <si>
    <t>125.2 (17)</t>
  </si>
  <si>
    <t>98.7 (13.6)</t>
  </si>
  <si>
    <t>0 (0%)</t>
  </si>
  <si>
    <t>21 (4.1)</t>
  </si>
  <si>
    <t>81.5 (10.8)</t>
  </si>
  <si>
    <t>118.9 (15.8)</t>
  </si>
  <si>
    <t>93.5 (9.6)</t>
  </si>
  <si>
    <t>11 (30%)</t>
  </si>
  <si>
    <t>9 (22%)</t>
  </si>
  <si>
    <t>24.5 (5)</t>
  </si>
  <si>
    <t>81 (9.9)</t>
  </si>
  <si>
    <t>122.7 (17.5)</t>
  </si>
  <si>
    <t>117.6 (57.1)</t>
  </si>
  <si>
    <t>24.8 (5.5)</t>
  </si>
  <si>
    <t>79 (14.1)</t>
  </si>
  <si>
    <t>117.1 (20.4)</t>
  </si>
  <si>
    <t>105.3 (25.1)</t>
  </si>
  <si>
    <t>3 (12%)</t>
  </si>
  <si>
    <t>23.5 (4.4)</t>
  </si>
  <si>
    <t>80.7 (11.7)</t>
  </si>
  <si>
    <t>121.7 (21.4)</t>
  </si>
  <si>
    <t>104.3 (18.2)</t>
  </si>
  <si>
    <t>Ward #12</t>
  </si>
  <si>
    <t>11 (55%)</t>
  </si>
  <si>
    <t>15 (50%)</t>
  </si>
  <si>
    <t>28.9 (5.2)</t>
  </si>
  <si>
    <t>81.8 (12.7)</t>
  </si>
  <si>
    <t>129.9 (17.2)</t>
  </si>
  <si>
    <t>127.7 (75.4)</t>
  </si>
  <si>
    <t>12 (63%)</t>
  </si>
  <si>
    <t>12 (40%)</t>
  </si>
  <si>
    <t>27.5 (4.6)</t>
  </si>
  <si>
    <t>79.8 (10.3)</t>
  </si>
  <si>
    <t>120.8 (17.2)</t>
  </si>
  <si>
    <t>122.4 (26.4)</t>
  </si>
  <si>
    <t>10 (37%)</t>
  </si>
  <si>
    <t>25.5 (4.4)</t>
  </si>
  <si>
    <t>83.8 (12.9)</t>
  </si>
  <si>
    <t>128.3 (22.2)</t>
  </si>
  <si>
    <t>125.7 (75.7)</t>
  </si>
  <si>
    <t>15 (44%)</t>
  </si>
  <si>
    <t>19 (49%)</t>
  </si>
  <si>
    <t>27.1 (4.8)</t>
  </si>
  <si>
    <t>80.8 (11.2)</t>
  </si>
  <si>
    <t>124.5 (21.1)</t>
  </si>
  <si>
    <t>110.1 (18.8)</t>
  </si>
  <si>
    <t>14 (36%)</t>
  </si>
  <si>
    <t>27.1 (4.6)</t>
  </si>
  <si>
    <t>84.1 (11.2)</t>
  </si>
  <si>
    <t>127.7 (21.8)</t>
  </si>
  <si>
    <t>117.2 (43.7)</t>
  </si>
  <si>
    <t>14 (33%)</t>
  </si>
  <si>
    <t>20 (43%)</t>
  </si>
  <si>
    <t>26.4 (5.6)</t>
  </si>
  <si>
    <t>86 (15)</t>
  </si>
  <si>
    <t>132.4 (23)</t>
  </si>
  <si>
    <t>115.6 (55.8)</t>
  </si>
  <si>
    <t>9 (90%)</t>
  </si>
  <si>
    <t>7 (41%)</t>
  </si>
  <si>
    <t>27.8 (4.6)</t>
  </si>
  <si>
    <t>79.4 (9.9)</t>
  </si>
  <si>
    <t>123.1 (15.2)</t>
  </si>
  <si>
    <t>117.6 (29.3)</t>
  </si>
  <si>
    <t>13 (46%)</t>
  </si>
  <si>
    <t>18 (58%)</t>
  </si>
  <si>
    <t>86 (12.7)</t>
  </si>
  <si>
    <t>127 (17.6)</t>
  </si>
  <si>
    <t>109.8 (17.2)</t>
  </si>
  <si>
    <t>19 (56%)</t>
  </si>
  <si>
    <t>18 (49%)</t>
  </si>
  <si>
    <t>30.5 (5.1)</t>
  </si>
  <si>
    <t>83.8 (8.6)</t>
  </si>
  <si>
    <t>127.4 (17.5)</t>
  </si>
  <si>
    <t>129.5 (46.5)</t>
  </si>
  <si>
    <t>Ward #11</t>
  </si>
  <si>
    <t>12 (34%)</t>
  </si>
  <si>
    <t>20 (51%)</t>
  </si>
  <si>
    <t>29.6 (4.7)</t>
  </si>
  <si>
    <t>85 (13.1)</t>
  </si>
  <si>
    <t>133 (20.9)</t>
  </si>
  <si>
    <t>124.1 (49.1)</t>
  </si>
  <si>
    <t>17 (46%)</t>
  </si>
  <si>
    <t>27.9 (4.5)</t>
  </si>
  <si>
    <t>82.1 (12.4)</t>
  </si>
  <si>
    <t>128.1 (17.7)</t>
  </si>
  <si>
    <t>123.6 (40.8)</t>
  </si>
  <si>
    <t>34 (61%)</t>
  </si>
  <si>
    <t>28.1 (5)</t>
  </si>
  <si>
    <t>85.5 (12.1)</t>
  </si>
  <si>
    <t>132.3 (21)</t>
  </si>
  <si>
    <t>130.2 (61.2)</t>
  </si>
  <si>
    <t>38 (60%)</t>
  </si>
  <si>
    <t>27 (39%)</t>
  </si>
  <si>
    <t>29.1 (4.8)</t>
  </si>
  <si>
    <t>85.1 (11.5)</t>
  </si>
  <si>
    <t>130.5 (20.2)</t>
  </si>
  <si>
    <t>121.5 (40.7)</t>
  </si>
  <si>
    <t>7 (21%)</t>
  </si>
  <si>
    <t>18 (47%)</t>
  </si>
  <si>
    <t>28.9 (4.4)</t>
  </si>
  <si>
    <t>81.6 (9.8)</t>
  </si>
  <si>
    <t>126.3 (17.1)</t>
  </si>
  <si>
    <t>106.9 (40.3)</t>
  </si>
  <si>
    <t>18 (53%)</t>
  </si>
  <si>
    <t>20 (48%)</t>
  </si>
  <si>
    <t>29.5 (4.7)</t>
  </si>
  <si>
    <t>84.5 (13.7)</t>
  </si>
  <si>
    <t>129.7 (25.8)</t>
  </si>
  <si>
    <t>120.1 (34.2)</t>
  </si>
  <si>
    <t>24 (60%)</t>
  </si>
  <si>
    <t>27 (54%)</t>
  </si>
  <si>
    <t>28.9 (5.1)</t>
  </si>
  <si>
    <t>84.2 (9.5)</t>
  </si>
  <si>
    <t>132 (20.2)</t>
  </si>
  <si>
    <t>141.8 (75.5)</t>
  </si>
  <si>
    <t>12 (43%)</t>
  </si>
  <si>
    <t>25.6 (4.6)</t>
  </si>
  <si>
    <t>80.4 (8.4)</t>
  </si>
  <si>
    <t>126.3 (15.1)</t>
  </si>
  <si>
    <t>108 (29.7)</t>
  </si>
  <si>
    <t>Ward #10</t>
  </si>
  <si>
    <t>28.2 (5)</t>
  </si>
  <si>
    <t>83.4 (13)</t>
  </si>
  <si>
    <t>127.6 (19.8)</t>
  </si>
  <si>
    <t>107.3 (22)</t>
  </si>
  <si>
    <t>5 (16%)</t>
  </si>
  <si>
    <t>23.3 (4.3)</t>
  </si>
  <si>
    <t>80 (13.2)</t>
  </si>
  <si>
    <t>118.4 (22.4)</t>
  </si>
  <si>
    <t>113.3 (46.3)</t>
  </si>
  <si>
    <t>17 (61%)</t>
  </si>
  <si>
    <t>14 (37%)</t>
  </si>
  <si>
    <t>27.8 (3.6)</t>
  </si>
  <si>
    <t>80.5 (9.1)</t>
  </si>
  <si>
    <t>124 (13.9)</t>
  </si>
  <si>
    <t>111.8 (29.4)</t>
  </si>
  <si>
    <t>14 (45%)</t>
  </si>
  <si>
    <t>26.1 (4.4)</t>
  </si>
  <si>
    <t>83 (12.8)</t>
  </si>
  <si>
    <t>128.1 (22.1)</t>
  </si>
  <si>
    <t>110.9 (17.6)</t>
  </si>
  <si>
    <t>10 (53%)</t>
  </si>
  <si>
    <t>8 (30%)</t>
  </si>
  <si>
    <t>29.4 (5.2)</t>
  </si>
  <si>
    <t>81.8 (8)</t>
  </si>
  <si>
    <t>121.3 (13.9)</t>
  </si>
  <si>
    <t>106.8 (20.7)</t>
  </si>
  <si>
    <t>10 (48%)</t>
  </si>
  <si>
    <t>29.1 (6.2)</t>
  </si>
  <si>
    <t>84.8 (14.4)</t>
  </si>
  <si>
    <t>126.1 (15.8)</t>
  </si>
  <si>
    <t>118.2 (52.5)</t>
  </si>
  <si>
    <t>17 (57%)</t>
  </si>
  <si>
    <t>26.5 (3.5)</t>
  </si>
  <si>
    <t>81.7 (8.4)</t>
  </si>
  <si>
    <t>126.6 (20.6)</t>
  </si>
  <si>
    <t>111.5 (21.3)</t>
  </si>
  <si>
    <t>Ward #9</t>
  </si>
  <si>
    <t>1 (6%)</t>
  </si>
  <si>
    <t>8 (21%)</t>
  </si>
  <si>
    <t>21.3 (4.4)</t>
  </si>
  <si>
    <t>79 (12.9)</t>
  </si>
  <si>
    <t>114.5 (15.2)</t>
  </si>
  <si>
    <t>97.8 (10)</t>
  </si>
  <si>
    <t>14 (48%)</t>
  </si>
  <si>
    <t>25 (66%)</t>
  </si>
  <si>
    <t>28.1 (5.6)</t>
  </si>
  <si>
    <t>86.8 (14.5)</t>
  </si>
  <si>
    <t>129.6 (20.6)</t>
  </si>
  <si>
    <t>150.3 (80.3)</t>
  </si>
  <si>
    <t>6 (17%)</t>
  </si>
  <si>
    <t>23 (3.7)</t>
  </si>
  <si>
    <t>79.1 (8.6)</t>
  </si>
  <si>
    <t>118.3 (14.8)</t>
  </si>
  <si>
    <t>103.6 (12.3)</t>
  </si>
  <si>
    <t>19 (41%)</t>
  </si>
  <si>
    <t>19 (38%)</t>
  </si>
  <si>
    <t>27(5.2)</t>
  </si>
  <si>
    <t>83.9 (11.5)</t>
  </si>
  <si>
    <t>126.5 (23.1)</t>
  </si>
  <si>
    <t>112.7 (36.1)</t>
  </si>
  <si>
    <t>21 (60%)</t>
  </si>
  <si>
    <t>28.2 (4.2)</t>
  </si>
  <si>
    <t>84.2 (9.3)</t>
  </si>
  <si>
    <t>128.9 (15.6)</t>
  </si>
  <si>
    <t>116.9 (51.5)</t>
  </si>
  <si>
    <t>17 (50%)</t>
  </si>
  <si>
    <t>27.5 (6.2)</t>
  </si>
  <si>
    <t>82.7 (10.4)</t>
  </si>
  <si>
    <t>126.4 (19.1)</t>
  </si>
  <si>
    <t>112.8 (30.6)</t>
  </si>
  <si>
    <t>22 (50%)</t>
  </si>
  <si>
    <t>29 (56%)</t>
  </si>
  <si>
    <t>26.9 (5.8)</t>
  </si>
  <si>
    <t>90.8 (10.8)</t>
  </si>
  <si>
    <t>136.9 (19.8)</t>
  </si>
  <si>
    <t>124.1 (53.8)</t>
  </si>
  <si>
    <t>Ward #8</t>
  </si>
  <si>
    <t>13 (42%)</t>
  </si>
  <si>
    <t>20 (56%)</t>
  </si>
  <si>
    <t>27.1 (5)</t>
  </si>
  <si>
    <t>87.4 (9)</t>
  </si>
  <si>
    <t>135 (22.8)</t>
  </si>
  <si>
    <t>129.8 (48.6)</t>
  </si>
  <si>
    <t>24.3 (5.1)</t>
  </si>
  <si>
    <t>86.8 (11.2)</t>
  </si>
  <si>
    <t>131.1 (19.7)</t>
  </si>
  <si>
    <t>17 (45%)</t>
  </si>
  <si>
    <t>23.4 (5.4)</t>
  </si>
  <si>
    <t>83.8 (8.8)</t>
  </si>
  <si>
    <t>128.2 (19.1)</t>
  </si>
  <si>
    <t>6 (18%)</t>
  </si>
  <si>
    <t>14 (38%)</t>
  </si>
  <si>
    <t>25.2 (4.7)</t>
  </si>
  <si>
    <t>82.7 (10.7)</t>
  </si>
  <si>
    <t>124 (16.6)</t>
  </si>
  <si>
    <t>11 (31%)</t>
  </si>
  <si>
    <t>25.6 (4.5)</t>
  </si>
  <si>
    <t>84.6 (10.2)</t>
  </si>
  <si>
    <t>133.9 (18.3)</t>
  </si>
  <si>
    <t>17 (43%)</t>
  </si>
  <si>
    <t>23.4 (5.7)</t>
  </si>
  <si>
    <t>84.8 (15.7)</t>
  </si>
  <si>
    <t>129.8 (23.1)</t>
  </si>
  <si>
    <t>Ward #7</t>
  </si>
  <si>
    <t>33 (70%)</t>
  </si>
  <si>
    <t>27 (43%)</t>
  </si>
  <si>
    <t>26.2 (5.1)</t>
  </si>
  <si>
    <t>86.5 (11.9)</t>
  </si>
  <si>
    <t>130.9 (19.4)</t>
  </si>
  <si>
    <t>21 (54%)</t>
  </si>
  <si>
    <t>25.5 (6.4)</t>
  </si>
  <si>
    <t>90.8 (13.6)</t>
  </si>
  <si>
    <t>137.4 (24)</t>
  </si>
  <si>
    <t>4 (14%)</t>
  </si>
  <si>
    <t>18 (45%)</t>
  </si>
  <si>
    <t>23 (4.1)</t>
  </si>
  <si>
    <t>85.8 (12.6)</t>
  </si>
  <si>
    <t>131.4 (21)</t>
  </si>
  <si>
    <t>9 (25%)</t>
  </si>
  <si>
    <t>25.9 (5.8)</t>
  </si>
  <si>
    <t>89.6 (13.6)</t>
  </si>
  <si>
    <t>136.9 (24.4)</t>
  </si>
  <si>
    <t>23.3 (5)</t>
  </si>
  <si>
    <t>85.4 (11.4)</t>
  </si>
  <si>
    <t>133.1 (22.3)</t>
  </si>
  <si>
    <t>8 (25%)</t>
  </si>
  <si>
    <t>24.4 (5.1)</t>
  </si>
  <si>
    <t>84.4 (12.7)</t>
  </si>
  <si>
    <t>128 (21.4)</t>
  </si>
  <si>
    <t>Ward #6</t>
  </si>
  <si>
    <t>6 (19%)</t>
  </si>
  <si>
    <t>11 (29%)</t>
  </si>
  <si>
    <t>22.3 (5.2)</t>
  </si>
  <si>
    <t>81.8 (11.3)</t>
  </si>
  <si>
    <t>121 (18.7)</t>
  </si>
  <si>
    <t>13 (32%)</t>
  </si>
  <si>
    <t>24.1 (4.3)</t>
  </si>
  <si>
    <t>86 (13)</t>
  </si>
  <si>
    <t>136 (29.3)</t>
  </si>
  <si>
    <t>7 (25%)</t>
  </si>
  <si>
    <t>24.1 (6.8)</t>
  </si>
  <si>
    <t>88.3 (11.9)</t>
  </si>
  <si>
    <t>137.2 (19.7)</t>
  </si>
  <si>
    <t>24.3 (4.8)</t>
  </si>
  <si>
    <t>87.5 (14.3)</t>
  </si>
  <si>
    <t>133.3 (23.2)</t>
  </si>
  <si>
    <t>15 (45%)</t>
  </si>
  <si>
    <t>26 (4.9)</t>
  </si>
  <si>
    <t>87.5 (11.9)</t>
  </si>
  <si>
    <t>134.8 (22)</t>
  </si>
  <si>
    <t>15 (42%)</t>
  </si>
  <si>
    <t>24.1 (5)</t>
  </si>
  <si>
    <t>86.5 (12.2)</t>
  </si>
  <si>
    <t>130.5 (18.7)</t>
  </si>
  <si>
    <t>Ward #5</t>
  </si>
  <si>
    <t>23.2 (4.2)</t>
  </si>
  <si>
    <t>78.2 (13.4)</t>
  </si>
  <si>
    <t>115.9 (18.6)</t>
  </si>
  <si>
    <t>11 (38%)</t>
  </si>
  <si>
    <t>13 (34%)</t>
  </si>
  <si>
    <t>25.7 (6.5)</t>
  </si>
  <si>
    <t>82 (11.4)</t>
  </si>
  <si>
    <t>121.9 (16.5)</t>
  </si>
  <si>
    <t>16 (42%)</t>
  </si>
  <si>
    <t>22.5 (3.9)</t>
  </si>
  <si>
    <t>82.2 (10.2)</t>
  </si>
  <si>
    <t>127.6 (21.2)</t>
  </si>
  <si>
    <t>23.9 (5.7)</t>
  </si>
  <si>
    <t>83.4 (13.1)</t>
  </si>
  <si>
    <t>122.5 (22.8)</t>
  </si>
  <si>
    <t>105.9 (51.7)</t>
  </si>
  <si>
    <t>9 (24%)</t>
  </si>
  <si>
    <t>22.9 (4.5)</t>
  </si>
  <si>
    <t>82.2 (12.6)</t>
  </si>
  <si>
    <t>122.5 (19.6)</t>
  </si>
  <si>
    <t>5 (23%)</t>
  </si>
  <si>
    <t>3 (8%)</t>
  </si>
  <si>
    <t>22.8 (6.1)</t>
  </si>
  <si>
    <t>76.6 (10.4)</t>
  </si>
  <si>
    <t>113.1 (13.3)</t>
  </si>
  <si>
    <t>Ward #4</t>
  </si>
  <si>
    <t>7 (19%)</t>
  </si>
  <si>
    <t>26.2 (4.7)</t>
  </si>
  <si>
    <t>86.1 (10.6)</t>
  </si>
  <si>
    <t>126.4 (17.2)</t>
  </si>
  <si>
    <t>23.9 (4.4)</t>
  </si>
  <si>
    <t>86 (12.4)</t>
  </si>
  <si>
    <t>130.9 (22.1)</t>
  </si>
  <si>
    <t>16 (59%)</t>
  </si>
  <si>
    <t>16 (50%)</t>
  </si>
  <si>
    <t>25.5 (4.2)</t>
  </si>
  <si>
    <t>87.5 (12)</t>
  </si>
  <si>
    <t>134 (18.5)</t>
  </si>
  <si>
    <t>24 (44%)</t>
  </si>
  <si>
    <t>22.8 (3.5)</t>
  </si>
  <si>
    <t>84.3 (11.3)</t>
  </si>
  <si>
    <t>125.9 (16.1)</t>
  </si>
  <si>
    <t>19 (35%)</t>
  </si>
  <si>
    <t>24.6 (4.1)</t>
  </si>
  <si>
    <t>85.8 (9.8)</t>
  </si>
  <si>
    <t>128.4 (18.7)</t>
  </si>
  <si>
    <t>13 (27%)</t>
  </si>
  <si>
    <t>13 (22%)</t>
  </si>
  <si>
    <t>24.2 (4.5)</t>
  </si>
  <si>
    <t>79.7 (10.5)</t>
  </si>
  <si>
    <t>122.4 (20.3)</t>
  </si>
  <si>
    <t>8 (18%)</t>
  </si>
  <si>
    <t>19 (34%)</t>
  </si>
  <si>
    <t>23.8 (4.4)</t>
  </si>
  <si>
    <t>84.5 (13.2)</t>
  </si>
  <si>
    <t>125.2 (18.8)</t>
  </si>
  <si>
    <t>Ward #3</t>
  </si>
  <si>
    <t>7 (27%)</t>
  </si>
  <si>
    <t>26.2 (6)</t>
  </si>
  <si>
    <t>84.6 (13.7)</t>
  </si>
  <si>
    <t>125 (19.2)</t>
  </si>
  <si>
    <t>10 (33%)</t>
  </si>
  <si>
    <t>12 (30%)</t>
  </si>
  <si>
    <t>26.3 (5.8)</t>
  </si>
  <si>
    <t>83 (11.9)</t>
  </si>
  <si>
    <t>125.8 (17.5)</t>
  </si>
  <si>
    <t>8 (29%)</t>
  </si>
  <si>
    <t>26.6 (6)</t>
  </si>
  <si>
    <t>81.8 (8.3)</t>
  </si>
  <si>
    <t>124.9 (14.8)</t>
  </si>
  <si>
    <t>3 (15%)</t>
  </si>
  <si>
    <t>25.8 (3.9)</t>
  </si>
  <si>
    <t>85.6 (8.5)</t>
  </si>
  <si>
    <t>126.3 (12.9)</t>
  </si>
  <si>
    <t>11 (41%)</t>
  </si>
  <si>
    <t>19 (51%)</t>
  </si>
  <si>
    <t>24.4 (4.4)</t>
  </si>
  <si>
    <t>85.5 (10.5)</t>
  </si>
  <si>
    <t>132.1 (21.2)</t>
  </si>
  <si>
    <t>23.7 (4.5)</t>
  </si>
  <si>
    <t>83.7 (10.6)</t>
  </si>
  <si>
    <t>126.7 (19.3)</t>
  </si>
  <si>
    <t>Ward #2</t>
  </si>
  <si>
    <t>12 (52%)</t>
  </si>
  <si>
    <t>22(56%)</t>
  </si>
  <si>
    <t>85.4 (10.4)</t>
  </si>
  <si>
    <t>130.3 (17.6)</t>
  </si>
  <si>
    <t>18 (51%)</t>
  </si>
  <si>
    <t>23 (57%)</t>
  </si>
  <si>
    <t>27 (5.8)</t>
  </si>
  <si>
    <t>85.7 (9.2)</t>
  </si>
  <si>
    <t>134.1 (18.5)</t>
  </si>
  <si>
    <t>8 (26%)</t>
  </si>
  <si>
    <t>17 (47%)</t>
  </si>
  <si>
    <t>24.5 (4.3)</t>
  </si>
  <si>
    <t>86.3 (14.8)</t>
  </si>
  <si>
    <t>132.3 (25.1)</t>
  </si>
  <si>
    <t>5 (50%)</t>
  </si>
  <si>
    <t>6 (46%)</t>
  </si>
  <si>
    <t>26.5 (4.0)</t>
  </si>
  <si>
    <t>84.2 (7.2)</t>
  </si>
  <si>
    <t>137.3 (24.8)</t>
  </si>
  <si>
    <t>5 (22%)</t>
  </si>
  <si>
    <t>84.4 (14%)</t>
  </si>
  <si>
    <t>127.3 (20.1)</t>
  </si>
  <si>
    <t>5 (17%)</t>
  </si>
  <si>
    <t>26.8 (6.8)</t>
  </si>
  <si>
    <t>82.3 (11.3)</t>
  </si>
  <si>
    <t>126.1 (17.9)</t>
  </si>
  <si>
    <t>26.7 (4.4)</t>
  </si>
  <si>
    <t>85.5 (11)</t>
  </si>
  <si>
    <t>127 (16.6)</t>
  </si>
  <si>
    <t>Ward #1</t>
  </si>
  <si>
    <t>Diabetes (0)</t>
  </si>
  <si>
    <t>Hypertension (0)</t>
  </si>
  <si>
    <t>Bmi(0)</t>
  </si>
  <si>
    <t>Dbp(0)</t>
  </si>
  <si>
    <t>Sbp(0)</t>
  </si>
  <si>
    <t>Fasting blood glucose(0)</t>
  </si>
  <si>
    <t>% caste</t>
  </si>
  <si>
    <t>% Marital Status</t>
  </si>
  <si>
    <t>% without hs education</t>
  </si>
  <si>
    <t>% employed</t>
  </si>
  <si>
    <t>% private toilet</t>
  </si>
  <si>
    <t>% public source</t>
  </si>
  <si>
    <t>Fuel used for cooking- % wood/dung</t>
  </si>
  <si>
    <t>% female</t>
  </si>
  <si>
    <t>Median Age</t>
  </si>
  <si>
    <t>CEB</t>
  </si>
  <si>
    <t>fbg</t>
  </si>
  <si>
    <t>sbp</t>
  </si>
  <si>
    <t>dbp</t>
  </si>
  <si>
    <t>bmi</t>
  </si>
  <si>
    <t>hypertension</t>
  </si>
  <si>
    <t>diabetes</t>
  </si>
  <si>
    <t>fbg_sd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</si>
</sst>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0" fillId="0" borderId="5" xfId="0" applyNumberFormat="1" applyBorder="1"/>
    <xf numFmtId="0" fontId="0" fillId="0" borderId="3" xfId="0" applyNumberFormat="1" applyBorder="1"/>
    <xf numFmtId="0" fontId="0" fillId="0" borderId="6" xfId="0" applyNumberFormat="1" applyBorder="1"/>
    <xf numFmtId="0" fontId="1" fillId="2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5" xfId="0" applyNumberFormat="1" applyBorder="1" applyAlignment="1">
      <alignment wrapText="1"/>
    </xf>
    <xf numFmtId="0" fontId="0" fillId="0" borderId="3" xfId="0" applyNumberFormat="1" applyBorder="1" applyAlignment="1">
      <alignment wrapText="1"/>
    </xf>
    <xf numFmtId="0" fontId="0" fillId="0" borderId="5" xfId="0" applyBorder="1" applyAlignment="1">
      <alignment wrapText="1"/>
    </xf>
    <xf numFmtId="164" fontId="1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BAAE-AE15-5140-A32E-A1EF69C41411}">
  <dimension ref="A1:AC135"/>
  <sheetViews>
    <sheetView workbookViewId="0">
      <selection activeCell="B1" sqref="B1:B1048576"/>
    </sheetView>
  </sheetViews>
  <sheetFormatPr baseColWidth="10" defaultRowHeight="16" x14ac:dyDescent="0.2"/>
  <cols>
    <col min="4" max="4" width="11.6640625" bestFit="1" customWidth="1"/>
    <col min="5" max="5" width="13.5" customWidth="1"/>
    <col min="6" max="6" width="11.6640625" customWidth="1"/>
    <col min="7" max="10" width="11.6640625" bestFit="1" customWidth="1"/>
    <col min="11" max="11" width="11.6640625" customWidth="1"/>
    <col min="16" max="16" width="16.1640625" customWidth="1"/>
    <col min="17" max="17" width="13.33203125" customWidth="1"/>
    <col min="23" max="23" width="14.5" customWidth="1"/>
  </cols>
  <sheetData>
    <row r="1" spans="1:29" ht="52" customHeight="1" thickBot="1" x14ac:dyDescent="0.25">
      <c r="A1" s="3"/>
      <c r="B1" s="9" t="s">
        <v>726</v>
      </c>
      <c r="C1" s="8" t="s">
        <v>725</v>
      </c>
      <c r="D1" s="8" t="s">
        <v>724</v>
      </c>
      <c r="E1" s="8" t="s">
        <v>723</v>
      </c>
      <c r="F1" s="8" t="s">
        <v>722</v>
      </c>
      <c r="G1" s="8" t="s">
        <v>721</v>
      </c>
      <c r="H1" s="8" t="s">
        <v>720</v>
      </c>
      <c r="I1" s="8" t="s">
        <v>719</v>
      </c>
      <c r="J1" s="8" t="s">
        <v>718</v>
      </c>
      <c r="K1" s="8" t="s">
        <v>717</v>
      </c>
      <c r="L1" s="7" t="s">
        <v>716</v>
      </c>
      <c r="M1" s="7" t="s">
        <v>715</v>
      </c>
      <c r="N1" s="7" t="s">
        <v>714</v>
      </c>
      <c r="O1" s="7" t="s">
        <v>713</v>
      </c>
      <c r="P1" s="7" t="s">
        <v>712</v>
      </c>
      <c r="Q1" s="7" t="s">
        <v>711</v>
      </c>
      <c r="U1" s="10" t="s">
        <v>725</v>
      </c>
      <c r="V1" s="8" t="s">
        <v>724</v>
      </c>
      <c r="W1" s="8" t="s">
        <v>723</v>
      </c>
      <c r="X1" s="8" t="s">
        <v>722</v>
      </c>
      <c r="Y1" s="8" t="s">
        <v>721</v>
      </c>
      <c r="Z1" s="8" t="s">
        <v>720</v>
      </c>
      <c r="AA1" s="8" t="s">
        <v>719</v>
      </c>
      <c r="AB1" s="8" t="s">
        <v>718</v>
      </c>
      <c r="AC1" s="8" t="s">
        <v>717</v>
      </c>
    </row>
    <row r="2" spans="1:29" ht="35" thickBot="1" x14ac:dyDescent="0.25">
      <c r="A2" s="15" t="s">
        <v>710</v>
      </c>
      <c r="B2" s="1">
        <v>1</v>
      </c>
      <c r="C2" s="6">
        <v>43.081081081081081</v>
      </c>
      <c r="D2" s="1">
        <f>40/57</f>
        <v>0.70175438596491224</v>
      </c>
      <c r="E2" s="1">
        <v>0</v>
      </c>
      <c r="F2" s="1">
        <f>1/37</f>
        <v>2.7027027027027029E-2</v>
      </c>
      <c r="G2" s="1">
        <v>100</v>
      </c>
      <c r="H2" s="1">
        <f>20/37</f>
        <v>0.54054054054054057</v>
      </c>
      <c r="I2" s="1">
        <f>1/37</f>
        <v>2.7027027027027029E-2</v>
      </c>
      <c r="J2" s="1">
        <f>30/37</f>
        <v>0.81081081081081086</v>
      </c>
      <c r="K2" s="1">
        <f>21/37</f>
        <v>0.56756756756756754</v>
      </c>
      <c r="L2" s="1">
        <v>123.4</v>
      </c>
      <c r="M2" s="1" t="s">
        <v>709</v>
      </c>
      <c r="N2" s="1" t="s">
        <v>708</v>
      </c>
      <c r="O2" s="1" t="s">
        <v>707</v>
      </c>
      <c r="P2" s="1" t="s">
        <v>391</v>
      </c>
      <c r="Q2" s="1" t="s">
        <v>437</v>
      </c>
      <c r="R2">
        <f>CORREL(H:H,I:I)</f>
        <v>0.32191583705153487</v>
      </c>
      <c r="T2" s="10" t="s">
        <v>725</v>
      </c>
      <c r="U2">
        <v>1</v>
      </c>
      <c r="V2">
        <f>CORREL(C:C,D:D)</f>
        <v>6.6849262786692398E-2</v>
      </c>
      <c r="W2">
        <f>CORREL(E:E,C:C)</f>
        <v>-0.20339026809764826</v>
      </c>
      <c r="X2">
        <f>CORREL(F:F,C:C)</f>
        <v>-0.14442534667492715</v>
      </c>
      <c r="Y2">
        <f>CORREL(G:G,C:C)</f>
        <v>0.49683974041657258</v>
      </c>
      <c r="Z2">
        <f>CORREL(H:H,C:C)</f>
        <v>-0.49677505186714965</v>
      </c>
      <c r="AA2">
        <f>CORREL(I:I,C:C)</f>
        <v>-0.64804776658575924</v>
      </c>
      <c r="AB2">
        <f>CORREL(J:J,C:C)</f>
        <v>0.17879406060579564</v>
      </c>
      <c r="AC2">
        <f>CORREL(K:K,C:C)</f>
        <v>-9.1849311361370645E-2</v>
      </c>
    </row>
    <row r="3" spans="1:29" ht="35" thickBot="1" x14ac:dyDescent="0.25">
      <c r="A3" s="13"/>
      <c r="B3" s="1">
        <v>2</v>
      </c>
      <c r="C3" s="4">
        <v>42.89473684210526</v>
      </c>
      <c r="D3" s="1">
        <f>38/57</f>
        <v>0.66666666666666663</v>
      </c>
      <c r="E3" s="1">
        <v>0</v>
      </c>
      <c r="F3" s="1">
        <f>3/38</f>
        <v>7.8947368421052627E-2</v>
      </c>
      <c r="G3" s="1">
        <f>28/38</f>
        <v>0.73684210526315785</v>
      </c>
      <c r="H3" s="1">
        <f>22/38</f>
        <v>0.57894736842105265</v>
      </c>
      <c r="I3" s="1">
        <f>1/38</f>
        <v>2.6315789473684209E-2</v>
      </c>
      <c r="J3" s="1">
        <f>29/38</f>
        <v>0.76315789473684215</v>
      </c>
      <c r="K3" s="1">
        <f>9/38</f>
        <v>0.23684210526315788</v>
      </c>
      <c r="L3" s="1">
        <v>109.8</v>
      </c>
      <c r="M3" s="1" t="s">
        <v>706</v>
      </c>
      <c r="N3" s="1" t="s">
        <v>705</v>
      </c>
      <c r="O3" s="1" t="s">
        <v>704</v>
      </c>
      <c r="P3" s="1" t="s">
        <v>80</v>
      </c>
      <c r="Q3" s="1" t="s">
        <v>703</v>
      </c>
      <c r="T3" s="10" t="s">
        <v>724</v>
      </c>
      <c r="U3" s="11">
        <f>CORREL(D:D,C:C)</f>
        <v>6.6849262786692398E-2</v>
      </c>
      <c r="V3">
        <v>1</v>
      </c>
      <c r="W3">
        <f>CORREL(E:E,D:D)</f>
        <v>-2.7047999581351869E-2</v>
      </c>
      <c r="X3">
        <f>CORREL(F:F,D:D)</f>
        <v>-1.9162277959723452E-2</v>
      </c>
      <c r="Y3">
        <f>CORREL(G:G,D:D)</f>
        <v>-4.7320081638779404E-2</v>
      </c>
      <c r="Z3">
        <f>CORREL(H:H,D:D)</f>
        <v>7.0890022737883224E-3</v>
      </c>
      <c r="AA3">
        <f>CORREL(I:I,D:D)</f>
        <v>-9.626348030296146E-2</v>
      </c>
      <c r="AB3">
        <f>CORREL(J:J,D:D)</f>
        <v>-1.1371708226849353E-2</v>
      </c>
      <c r="AC3">
        <f>CORREL(K:K,D:D)</f>
        <v>-1.0083896016932475E-2</v>
      </c>
    </row>
    <row r="4" spans="1:29" ht="69" thickBot="1" x14ac:dyDescent="0.25">
      <c r="A4" s="13"/>
      <c r="B4" s="1">
        <v>3</v>
      </c>
      <c r="C4" s="4">
        <v>45.333333333333336</v>
      </c>
      <c r="D4" s="1">
        <f>40/56</f>
        <v>0.7142857142857143</v>
      </c>
      <c r="E4" s="1">
        <f>1/36</f>
        <v>2.7777777777777776E-2</v>
      </c>
      <c r="F4" s="1">
        <f>2/36</f>
        <v>5.5555555555555552E-2</v>
      </c>
      <c r="G4" s="1">
        <f>17/36</f>
        <v>0.47222222222222221</v>
      </c>
      <c r="H4" s="1">
        <f>16/36</f>
        <v>0.44444444444444442</v>
      </c>
      <c r="I4" s="1">
        <f>11/36</f>
        <v>0.30555555555555558</v>
      </c>
      <c r="J4" s="1">
        <f>34/38</f>
        <v>0.89473684210526316</v>
      </c>
      <c r="K4" s="1">
        <f>27/36</f>
        <v>0.75</v>
      </c>
      <c r="L4" s="1">
        <v>111.4</v>
      </c>
      <c r="M4" s="1" t="s">
        <v>702</v>
      </c>
      <c r="N4" s="1" t="s">
        <v>701</v>
      </c>
      <c r="O4" s="1" t="s">
        <v>438</v>
      </c>
      <c r="P4" s="1" t="s">
        <v>593</v>
      </c>
      <c r="Q4" s="1" t="s">
        <v>700</v>
      </c>
      <c r="T4" s="10" t="s">
        <v>723</v>
      </c>
      <c r="U4" s="11">
        <f>CORREL(E:E,C:C)</f>
        <v>-0.20339026809764826</v>
      </c>
      <c r="V4">
        <f>CORREL(D:D,E:E)</f>
        <v>-2.7047999581351869E-2</v>
      </c>
      <c r="W4">
        <f>CORREL(E:E,E:E)</f>
        <v>1</v>
      </c>
      <c r="X4">
        <f>CORREL(F:F,E:E)</f>
        <v>0.57661675341198482</v>
      </c>
      <c r="Y4">
        <f>CORREL(G:G,E:E)</f>
        <v>-0.10785239251630807</v>
      </c>
      <c r="Z4">
        <f>CORREL(H:H,E:E)</f>
        <v>0.23023375826487433</v>
      </c>
      <c r="AA4">
        <f>CORREL(I:I,E:E)</f>
        <v>0.39372603588050276</v>
      </c>
      <c r="AB4">
        <f>CORREL(J:J,E:E)</f>
        <v>-3.7476790442087848E-2</v>
      </c>
      <c r="AC4">
        <f>CORREL(K:K,E:E)</f>
        <v>6.5160359744390731E-2</v>
      </c>
    </row>
    <row r="5" spans="1:29" ht="35" thickBot="1" x14ac:dyDescent="0.25">
      <c r="A5" s="13"/>
      <c r="B5" s="1">
        <v>4</v>
      </c>
      <c r="C5" s="5">
        <v>47.07692307692308</v>
      </c>
      <c r="D5" s="1">
        <f>14/20</f>
        <v>0.7</v>
      </c>
      <c r="E5" s="1">
        <v>0</v>
      </c>
      <c r="F5" s="1">
        <f>2/13</f>
        <v>0.15384615384615385</v>
      </c>
      <c r="G5" s="1">
        <f>10/13</f>
        <v>0.76923076923076927</v>
      </c>
      <c r="H5" s="1">
        <f>8/13</f>
        <v>0.61538461538461542</v>
      </c>
      <c r="I5" s="2">
        <v>0</v>
      </c>
      <c r="J5" s="1">
        <v>100</v>
      </c>
      <c r="K5" s="1">
        <f>6/13</f>
        <v>0.46153846153846156</v>
      </c>
      <c r="L5" s="1">
        <v>113.1</v>
      </c>
      <c r="M5" s="1" t="s">
        <v>699</v>
      </c>
      <c r="N5" s="1" t="s">
        <v>698</v>
      </c>
      <c r="O5" s="1" t="s">
        <v>697</v>
      </c>
      <c r="P5" s="1" t="s">
        <v>696</v>
      </c>
      <c r="Q5" s="1" t="s">
        <v>695</v>
      </c>
      <c r="T5" s="10" t="s">
        <v>722</v>
      </c>
      <c r="U5" s="11">
        <f>CORREL(F:F,C:C)</f>
        <v>-0.14442534667492715</v>
      </c>
      <c r="V5">
        <f>CORREL(D:D,F:F)</f>
        <v>-1.9162277959723452E-2</v>
      </c>
      <c r="W5">
        <f>CORREL(E:E,F:F)</f>
        <v>0.57661675341198482</v>
      </c>
      <c r="X5">
        <f>CORREL(F:F,F:F)</f>
        <v>1.0000000000000002</v>
      </c>
      <c r="Y5">
        <f>CORREL(G:G,F:F)</f>
        <v>-8.2400587131155903E-2</v>
      </c>
      <c r="Z5">
        <f>CORREL(H:H,F:F)</f>
        <v>0.1181193740012846</v>
      </c>
      <c r="AA5">
        <f>CORREL(I:I,F:F)</f>
        <v>0.30249311036461396</v>
      </c>
      <c r="AB5">
        <f>CORREL(J:J,F:F)</f>
        <v>-1.9515523574358488E-2</v>
      </c>
      <c r="AC5">
        <f>CORREL(K:K,F:F)</f>
        <v>-2.8710635225440793E-3</v>
      </c>
    </row>
    <row r="6" spans="1:29" ht="35" thickBot="1" x14ac:dyDescent="0.25">
      <c r="A6" s="13"/>
      <c r="B6" s="1">
        <v>5</v>
      </c>
      <c r="C6" s="4">
        <v>52.5</v>
      </c>
      <c r="D6" s="1">
        <f>38/55</f>
        <v>0.69090909090909092</v>
      </c>
      <c r="E6" s="1">
        <f>1/36</f>
        <v>2.7777777777777776E-2</v>
      </c>
      <c r="F6" s="1">
        <f>7/36</f>
        <v>0.19444444444444445</v>
      </c>
      <c r="G6" s="1">
        <f>30/36</f>
        <v>0.83333333333333337</v>
      </c>
      <c r="H6" s="1">
        <f>14/36</f>
        <v>0.3888888888888889</v>
      </c>
      <c r="I6" s="1">
        <f>9/36</f>
        <v>0.25</v>
      </c>
      <c r="J6" s="1">
        <f>33/36</f>
        <v>0.91666666666666663</v>
      </c>
      <c r="K6" s="1">
        <f>14/36</f>
        <v>0.3888888888888889</v>
      </c>
      <c r="L6" s="1">
        <v>112.8</v>
      </c>
      <c r="M6" s="1" t="s">
        <v>694</v>
      </c>
      <c r="N6" s="1" t="s">
        <v>693</v>
      </c>
      <c r="O6" s="1" t="s">
        <v>692</v>
      </c>
      <c r="P6" s="1" t="s">
        <v>691</v>
      </c>
      <c r="Q6" s="1" t="s">
        <v>690</v>
      </c>
      <c r="T6" s="10" t="s">
        <v>721</v>
      </c>
      <c r="U6" s="11">
        <f>CORREL(G:G,C:C)</f>
        <v>0.49683974041657258</v>
      </c>
      <c r="V6">
        <f>CORREL(D:D,G:G)</f>
        <v>-4.7320081638779404E-2</v>
      </c>
      <c r="W6">
        <f>CORREL(E:E,G:G)</f>
        <v>-0.10785239251630807</v>
      </c>
      <c r="X6">
        <f>CORREL(F:F,G:G)</f>
        <v>-8.2400587131155903E-2</v>
      </c>
      <c r="Y6">
        <f>CORREL(G:G,G:G)</f>
        <v>1</v>
      </c>
      <c r="Z6">
        <f>CORREL(H:H,G:G)</f>
        <v>-0.21809387562672991</v>
      </c>
      <c r="AA6">
        <f>CORREL(I:I,G:G)</f>
        <v>-0.45338939375007137</v>
      </c>
      <c r="AB6">
        <f>CORREL(J:J,G:G)</f>
        <v>2.459812018252178E-2</v>
      </c>
      <c r="AC6">
        <f>CORREL(K:K,G:G)</f>
        <v>-6.1480599942035197E-2</v>
      </c>
    </row>
    <row r="7" spans="1:29" ht="35" thickBot="1" x14ac:dyDescent="0.25">
      <c r="A7" s="13"/>
      <c r="B7" s="1">
        <v>108</v>
      </c>
      <c r="C7" s="1">
        <v>49.85</v>
      </c>
      <c r="D7" s="1">
        <f>42/61</f>
        <v>0.68852459016393441</v>
      </c>
      <c r="E7" s="1">
        <v>0</v>
      </c>
      <c r="F7" s="1">
        <f>3/40</f>
        <v>7.4999999999999997E-2</v>
      </c>
      <c r="G7" s="1">
        <v>100</v>
      </c>
      <c r="H7" s="1">
        <f>17/40</f>
        <v>0.42499999999999999</v>
      </c>
      <c r="I7" s="1">
        <f>4/40</f>
        <v>0.1</v>
      </c>
      <c r="J7" s="1">
        <f>38/40</f>
        <v>0.95</v>
      </c>
      <c r="K7" s="2">
        <f>1/40</f>
        <v>2.5000000000000001E-2</v>
      </c>
      <c r="L7" s="1">
        <v>117</v>
      </c>
      <c r="M7" s="1" t="s">
        <v>689</v>
      </c>
      <c r="N7" s="1" t="s">
        <v>688</v>
      </c>
      <c r="O7" s="1" t="s">
        <v>687</v>
      </c>
      <c r="P7" s="1" t="s">
        <v>686</v>
      </c>
      <c r="Q7" s="1" t="s">
        <v>685</v>
      </c>
      <c r="T7" s="10" t="s">
        <v>720</v>
      </c>
      <c r="U7" s="11">
        <f>CORREL(H:H,C:C)</f>
        <v>-0.49677505186714965</v>
      </c>
      <c r="V7">
        <f>CORREL(D:D,H:H)</f>
        <v>7.0890022737883224E-3</v>
      </c>
      <c r="W7">
        <f>CORREL(E:E,H:H)</f>
        <v>0.23023375826487433</v>
      </c>
      <c r="X7">
        <f>CORREL(F:F,H:H)</f>
        <v>0.1181193740012846</v>
      </c>
      <c r="Y7">
        <f>CORREL(G:G,H:H)</f>
        <v>-0.21809387562672991</v>
      </c>
      <c r="Z7">
        <f>CORREL(H:H,H:H)</f>
        <v>1.0000000000000002</v>
      </c>
      <c r="AA7">
        <f>CORREL(I:I,H:H)</f>
        <v>0.32191583705153487</v>
      </c>
      <c r="AB7">
        <f>CORREL(J:J,H:H)</f>
        <v>7.5084906551202715E-2</v>
      </c>
      <c r="AC7">
        <f>CORREL(K:K,H:H)</f>
        <v>0.114797407032819</v>
      </c>
    </row>
    <row r="8" spans="1:29" ht="52" thickBot="1" x14ac:dyDescent="0.25">
      <c r="A8" s="14"/>
      <c r="B8" s="1">
        <v>110</v>
      </c>
      <c r="C8" s="1">
        <v>52.9</v>
      </c>
      <c r="D8" s="1">
        <f>42/61</f>
        <v>0.68852459016393441</v>
      </c>
      <c r="E8" s="1">
        <v>0</v>
      </c>
      <c r="F8" s="1">
        <v>0</v>
      </c>
      <c r="G8" s="1">
        <f>36/40</f>
        <v>0.9</v>
      </c>
      <c r="H8" s="1">
        <f>19/40</f>
        <v>0.47499999999999998</v>
      </c>
      <c r="I8" s="1">
        <v>0</v>
      </c>
      <c r="J8" s="1">
        <f>33/40</f>
        <v>0.82499999999999996</v>
      </c>
      <c r="K8" s="1">
        <v>0</v>
      </c>
      <c r="L8" s="1">
        <v>118.2</v>
      </c>
      <c r="M8" s="1" t="s">
        <v>684</v>
      </c>
      <c r="N8" s="1" t="s">
        <v>683</v>
      </c>
      <c r="O8" s="1" t="s">
        <v>163</v>
      </c>
      <c r="P8" s="1" t="s">
        <v>682</v>
      </c>
      <c r="Q8" s="1" t="s">
        <v>681</v>
      </c>
      <c r="T8" s="10" t="s">
        <v>719</v>
      </c>
      <c r="U8" s="11">
        <f>CORREL(I:I,C:C)</f>
        <v>-0.64804776658575924</v>
      </c>
      <c r="V8">
        <f>CORREL(D:D,I:I)</f>
        <v>-9.626348030296146E-2</v>
      </c>
      <c r="W8">
        <f>CORREL(E:E,I:I)</f>
        <v>0.39372603588050276</v>
      </c>
      <c r="X8">
        <f>CORREL(F:F,I:I)</f>
        <v>0.30249311036461396</v>
      </c>
      <c r="Y8">
        <f>CORREL(G:G,I:I)</f>
        <v>-0.45338939375007137</v>
      </c>
      <c r="Z8">
        <f>CORREL(H:H,I:I)</f>
        <v>0.32191583705153487</v>
      </c>
      <c r="AA8">
        <f>CORREL(I:I,I:I)</f>
        <v>1</v>
      </c>
      <c r="AB8">
        <f>CORREL(J:J,I:I)</f>
        <v>-0.16990985602444039</v>
      </c>
      <c r="AC8">
        <f>CORREL(K:K,I:I)</f>
        <v>3.8411672830888741E-2</v>
      </c>
    </row>
    <row r="9" spans="1:29" ht="35" thickBot="1" x14ac:dyDescent="0.25">
      <c r="A9" s="12" t="s">
        <v>680</v>
      </c>
      <c r="B9" s="1">
        <v>6</v>
      </c>
      <c r="C9" s="1">
        <v>38.358974358974358</v>
      </c>
      <c r="D9" s="1">
        <f>38/58</f>
        <v>0.65517241379310343</v>
      </c>
      <c r="E9" s="1">
        <v>0</v>
      </c>
      <c r="F9" s="1">
        <f>12/39</f>
        <v>0.30769230769230771</v>
      </c>
      <c r="G9" s="1">
        <f>29/39</f>
        <v>0.74358974358974361</v>
      </c>
      <c r="H9" s="1">
        <f>20/39</f>
        <v>0.51282051282051277</v>
      </c>
      <c r="I9" s="1">
        <f>11/39</f>
        <v>0.28205128205128205</v>
      </c>
      <c r="J9" s="1">
        <f>29/39</f>
        <v>0.74358974358974361</v>
      </c>
      <c r="K9" s="1">
        <f>19/39</f>
        <v>0.48717948717948717</v>
      </c>
      <c r="L9" s="1">
        <v>98.6</v>
      </c>
      <c r="M9" s="1" t="s">
        <v>679</v>
      </c>
      <c r="N9" s="1" t="s">
        <v>678</v>
      </c>
      <c r="O9" s="1" t="s">
        <v>677</v>
      </c>
      <c r="P9" s="1" t="s">
        <v>197</v>
      </c>
      <c r="Q9" s="1" t="s">
        <v>492</v>
      </c>
      <c r="T9" s="10" t="s">
        <v>718</v>
      </c>
      <c r="U9" s="11">
        <f>CORREL(J:J,C:C)</f>
        <v>0.17879406060579564</v>
      </c>
      <c r="V9">
        <f>CORREL(D:D,J:J)</f>
        <v>-1.1371708226849353E-2</v>
      </c>
      <c r="W9">
        <f>CORREL(E:E,J:J)</f>
        <v>-3.7476790442087848E-2</v>
      </c>
      <c r="X9">
        <f>CORREL(F:F,J:J)</f>
        <v>-1.9515523574358488E-2</v>
      </c>
      <c r="Y9">
        <f>CORREL(G:G,J:J)</f>
        <v>2.459812018252178E-2</v>
      </c>
      <c r="Z9">
        <f>CORREL(H:H,J:J)</f>
        <v>7.5084906551202715E-2</v>
      </c>
      <c r="AA9">
        <f>CORREL(I:I,J:J)</f>
        <v>-0.16990985602444039</v>
      </c>
      <c r="AB9">
        <f>CORREL(J:J,J:J)</f>
        <v>1</v>
      </c>
      <c r="AC9">
        <f>CORREL(K:K,J:J)</f>
        <v>-1.5299739128804534E-2</v>
      </c>
    </row>
    <row r="10" spans="1:29" ht="35" thickBot="1" x14ac:dyDescent="0.25">
      <c r="A10" s="13"/>
      <c r="B10" s="1">
        <v>7</v>
      </c>
      <c r="C10" s="1">
        <v>44</v>
      </c>
      <c r="D10" s="1">
        <f>40/57</f>
        <v>0.70175438596491224</v>
      </c>
      <c r="E10" s="1">
        <v>0</v>
      </c>
      <c r="F10" s="1">
        <f>5/37</f>
        <v>0.13513513513513514</v>
      </c>
      <c r="G10" s="1">
        <f>20/37</f>
        <v>0.54054054054054057</v>
      </c>
      <c r="H10" s="1">
        <f>24/37</f>
        <v>0.64864864864864868</v>
      </c>
      <c r="I10" s="1">
        <f>13/37</f>
        <v>0.35135135135135137</v>
      </c>
      <c r="J10" s="1">
        <f>29/37</f>
        <v>0.78378378378378377</v>
      </c>
      <c r="K10" s="1">
        <f>34/37</f>
        <v>0.91891891891891897</v>
      </c>
      <c r="L10" s="1">
        <v>154.5</v>
      </c>
      <c r="M10" s="1" t="s">
        <v>676</v>
      </c>
      <c r="N10" s="1" t="s">
        <v>675</v>
      </c>
      <c r="O10" s="1" t="s">
        <v>674</v>
      </c>
      <c r="P10" s="1" t="s">
        <v>673</v>
      </c>
      <c r="Q10" s="1" t="s">
        <v>672</v>
      </c>
      <c r="T10" s="10" t="s">
        <v>717</v>
      </c>
      <c r="U10" s="11">
        <f>CORREL(K:K,C:C)</f>
        <v>-9.1849311361370645E-2</v>
      </c>
      <c r="V10">
        <f>CORREL(D:D,K:K)</f>
        <v>-1.0083896016932475E-2</v>
      </c>
      <c r="W10">
        <f>CORREL(E:E,K:K)</f>
        <v>6.5160359744390731E-2</v>
      </c>
      <c r="X10">
        <f>CORREL(F:F,K:K)</f>
        <v>-2.8710635225440793E-3</v>
      </c>
      <c r="Y10">
        <f>CORREL(G:G,K:K)</f>
        <v>-6.1480599942035197E-2</v>
      </c>
      <c r="Z10">
        <f>CORREL(H:H,K:K)</f>
        <v>0.114797407032819</v>
      </c>
      <c r="AA10">
        <f>CORREL(I:I,K:K)</f>
        <v>3.8411672830888741E-2</v>
      </c>
      <c r="AB10">
        <f>CORREL(J:J,K:K)</f>
        <v>-1.5299739128804534E-2</v>
      </c>
      <c r="AC10">
        <f>CORREL(K:K,K:K)</f>
        <v>1</v>
      </c>
    </row>
    <row r="11" spans="1:29" ht="35" thickBot="1" x14ac:dyDescent="0.25">
      <c r="A11" s="13"/>
      <c r="B11" s="1">
        <v>8</v>
      </c>
      <c r="C11" s="1">
        <v>39.578947368421055</v>
      </c>
      <c r="D11" s="1">
        <f>38/57</f>
        <v>0.66666666666666663</v>
      </c>
      <c r="E11" s="1">
        <f>2/38</f>
        <v>5.2631578947368418E-2</v>
      </c>
      <c r="F11" s="1">
        <f>15/38</f>
        <v>0.39473684210526316</v>
      </c>
      <c r="G11" s="1">
        <f>36/38</f>
        <v>0.94736842105263153</v>
      </c>
      <c r="H11" s="1">
        <f>22/38</f>
        <v>0.57894736842105265</v>
      </c>
      <c r="I11" s="1">
        <f>10/38</f>
        <v>0.26315789473684209</v>
      </c>
      <c r="J11" s="1">
        <f>31/38</f>
        <v>0.81578947368421051</v>
      </c>
      <c r="K11" s="1">
        <v>100</v>
      </c>
      <c r="L11" s="1">
        <v>105.6</v>
      </c>
      <c r="M11" s="1" t="s">
        <v>671</v>
      </c>
      <c r="N11" s="1" t="s">
        <v>670</v>
      </c>
      <c r="O11" s="1" t="s">
        <v>669</v>
      </c>
      <c r="P11" s="1" t="s">
        <v>453</v>
      </c>
      <c r="Q11" s="1" t="s">
        <v>668</v>
      </c>
    </row>
    <row r="12" spans="1:29" ht="35" thickBot="1" x14ac:dyDescent="0.25">
      <c r="A12" s="13"/>
      <c r="B12" s="1">
        <v>9</v>
      </c>
      <c r="C12" s="1">
        <v>47.722222222222221</v>
      </c>
      <c r="D12" s="1">
        <f>32/52</f>
        <v>0.61538461538461542</v>
      </c>
      <c r="E12" s="1">
        <v>0</v>
      </c>
      <c r="F12" s="1">
        <f>10/36</f>
        <v>0.27777777777777779</v>
      </c>
      <c r="G12" s="1">
        <f>13/36</f>
        <v>0.3611111111111111</v>
      </c>
      <c r="H12" s="1">
        <f>15/36</f>
        <v>0.41666666666666669</v>
      </c>
      <c r="I12" s="1">
        <f>17/36</f>
        <v>0.47222222222222221</v>
      </c>
      <c r="J12" s="1">
        <f>29/36</f>
        <v>0.80555555555555558</v>
      </c>
      <c r="K12" s="1">
        <v>0</v>
      </c>
      <c r="L12" s="1">
        <v>123.8</v>
      </c>
      <c r="M12" s="1" t="s">
        <v>667</v>
      </c>
      <c r="N12" s="1" t="s">
        <v>666</v>
      </c>
      <c r="O12" s="1" t="s">
        <v>665</v>
      </c>
      <c r="P12" s="1" t="s">
        <v>538</v>
      </c>
      <c r="Q12" s="1" t="s">
        <v>664</v>
      </c>
    </row>
    <row r="13" spans="1:29" ht="35" thickBot="1" x14ac:dyDescent="0.25">
      <c r="A13" s="13"/>
      <c r="B13" s="1">
        <v>10</v>
      </c>
      <c r="C13" s="1">
        <v>38.475000000000001</v>
      </c>
      <c r="D13" s="1">
        <f>40/60</f>
        <v>0.66666666666666663</v>
      </c>
      <c r="E13" s="1">
        <v>0</v>
      </c>
      <c r="F13" s="1">
        <f>6/40</f>
        <v>0.15</v>
      </c>
      <c r="G13" s="1">
        <f>34/40</f>
        <v>0.85</v>
      </c>
      <c r="H13" s="1">
        <f>17/40</f>
        <v>0.42499999999999999</v>
      </c>
      <c r="I13" s="1">
        <f>14/40</f>
        <v>0.35</v>
      </c>
      <c r="J13" s="1">
        <f>32/40</f>
        <v>0.8</v>
      </c>
      <c r="K13" s="1">
        <f>3/40</f>
        <v>7.4999999999999997E-2</v>
      </c>
      <c r="L13" s="1">
        <v>102.1</v>
      </c>
      <c r="M13" s="1" t="s">
        <v>663</v>
      </c>
      <c r="N13" s="1" t="s">
        <v>662</v>
      </c>
      <c r="O13" s="1" t="s">
        <v>661</v>
      </c>
      <c r="P13" s="1" t="s">
        <v>660</v>
      </c>
      <c r="Q13" s="1" t="s">
        <v>659</v>
      </c>
    </row>
    <row r="14" spans="1:29" ht="18" thickBot="1" x14ac:dyDescent="0.25">
      <c r="A14" s="14"/>
      <c r="B14" s="1">
        <v>111</v>
      </c>
      <c r="C14" s="4">
        <v>42.567567567567565</v>
      </c>
      <c r="D14" s="1">
        <f>38/56</f>
        <v>0.6785714285714286</v>
      </c>
      <c r="E14" s="1">
        <v>0</v>
      </c>
      <c r="F14" s="1">
        <f>6/37</f>
        <v>0.16216216216216217</v>
      </c>
      <c r="G14" s="1">
        <f>25/37</f>
        <v>0.67567567567567566</v>
      </c>
      <c r="H14" s="1">
        <f>14/37</f>
        <v>0.3783783783783784</v>
      </c>
      <c r="I14" s="1">
        <f>12/37</f>
        <v>0.32432432432432434</v>
      </c>
      <c r="J14" s="1">
        <f>29/37</f>
        <v>0.78378378378378377</v>
      </c>
      <c r="K14" s="1">
        <f>7/37</f>
        <v>0.1891891891891892</v>
      </c>
      <c r="L14" s="1">
        <v>99.8</v>
      </c>
      <c r="M14" s="1" t="s">
        <v>658</v>
      </c>
      <c r="N14" s="1" t="s">
        <v>657</v>
      </c>
      <c r="O14" s="1" t="s">
        <v>656</v>
      </c>
      <c r="P14" s="1" t="s">
        <v>101</v>
      </c>
      <c r="Q14" s="1" t="s">
        <v>655</v>
      </c>
    </row>
    <row r="15" spans="1:29" ht="35" thickBot="1" x14ac:dyDescent="0.25">
      <c r="A15" s="12" t="s">
        <v>654</v>
      </c>
      <c r="B15" s="1">
        <v>11</v>
      </c>
      <c r="C15" s="1">
        <v>40</v>
      </c>
      <c r="D15" s="1">
        <f>56/84</f>
        <v>0.66666666666666663</v>
      </c>
      <c r="E15" s="1">
        <v>0</v>
      </c>
      <c r="F15" s="1">
        <f>6/56</f>
        <v>0.10714285714285714</v>
      </c>
      <c r="G15" s="1">
        <f>52/56</f>
        <v>0.9285714285714286</v>
      </c>
      <c r="H15" s="1">
        <f>24/36</f>
        <v>0.66666666666666663</v>
      </c>
      <c r="I15" s="1">
        <f>19/56</f>
        <v>0.3392857142857143</v>
      </c>
      <c r="J15" s="1">
        <f>51/56</f>
        <v>0.9107142857142857</v>
      </c>
      <c r="K15" s="1">
        <f>38/56</f>
        <v>0.6785714285714286</v>
      </c>
      <c r="L15" s="1">
        <v>105.4</v>
      </c>
      <c r="M15" s="1" t="s">
        <v>653</v>
      </c>
      <c r="N15" s="1" t="s">
        <v>652</v>
      </c>
      <c r="O15" s="1" t="s">
        <v>651</v>
      </c>
      <c r="P15" s="1" t="s">
        <v>650</v>
      </c>
      <c r="Q15" s="1" t="s">
        <v>649</v>
      </c>
    </row>
    <row r="16" spans="1:29" ht="35" thickBot="1" x14ac:dyDescent="0.25">
      <c r="A16" s="13"/>
      <c r="B16" s="1">
        <v>12</v>
      </c>
      <c r="C16" s="1">
        <v>38.310344827586206</v>
      </c>
      <c r="D16" s="1">
        <f>58/87</f>
        <v>0.66666666666666663</v>
      </c>
      <c r="E16" s="1">
        <v>0</v>
      </c>
      <c r="F16" s="1">
        <f>2/58</f>
        <v>3.4482758620689655E-2</v>
      </c>
      <c r="G16" s="1">
        <f>53/58</f>
        <v>0.91379310344827591</v>
      </c>
      <c r="H16" s="1">
        <f>27/58</f>
        <v>0.46551724137931033</v>
      </c>
      <c r="I16" s="1">
        <f>12/58</f>
        <v>0.20689655172413793</v>
      </c>
      <c r="J16" s="1">
        <f>52/58</f>
        <v>0.89655172413793105</v>
      </c>
      <c r="K16" s="1">
        <f>24/58</f>
        <v>0.41379310344827586</v>
      </c>
      <c r="L16" s="1">
        <v>106.8</v>
      </c>
      <c r="M16" s="1" t="s">
        <v>648</v>
      </c>
      <c r="N16" s="1" t="s">
        <v>647</v>
      </c>
      <c r="O16" s="1" t="s">
        <v>646</v>
      </c>
      <c r="P16" s="1" t="s">
        <v>645</v>
      </c>
      <c r="Q16" s="1" t="s">
        <v>644</v>
      </c>
    </row>
    <row r="17" spans="1:17" ht="35" thickBot="1" x14ac:dyDescent="0.25">
      <c r="A17" s="13"/>
      <c r="B17" s="1">
        <v>13</v>
      </c>
      <c r="C17" s="1">
        <v>40.418181818181822</v>
      </c>
      <c r="D17" s="1">
        <f>54/82</f>
        <v>0.65853658536585369</v>
      </c>
      <c r="E17" s="1">
        <v>0</v>
      </c>
      <c r="F17" s="1">
        <f>21/55</f>
        <v>0.38181818181818183</v>
      </c>
      <c r="G17" s="1">
        <f>44/55</f>
        <v>0.8</v>
      </c>
      <c r="H17" s="1">
        <f>27/55</f>
        <v>0.49090909090909091</v>
      </c>
      <c r="I17" s="1">
        <f>15/55</f>
        <v>0.27272727272727271</v>
      </c>
      <c r="J17" s="1">
        <f>49/55</f>
        <v>0.89090909090909087</v>
      </c>
      <c r="K17" s="1">
        <f>48/55</f>
        <v>0.87272727272727268</v>
      </c>
      <c r="L17" s="1">
        <v>107.1</v>
      </c>
      <c r="M17" s="1" t="s">
        <v>643</v>
      </c>
      <c r="N17" s="1" t="s">
        <v>642</v>
      </c>
      <c r="O17" s="1" t="s">
        <v>641</v>
      </c>
      <c r="P17" s="1" t="s">
        <v>640</v>
      </c>
      <c r="Q17" s="1" t="s">
        <v>80</v>
      </c>
    </row>
    <row r="18" spans="1:17" ht="35" thickBot="1" x14ac:dyDescent="0.25">
      <c r="A18" s="13"/>
      <c r="B18" s="1">
        <v>14</v>
      </c>
      <c r="C18" s="1">
        <v>36.418181818181822</v>
      </c>
      <c r="D18" s="1">
        <f>56/83</f>
        <v>0.67469879518072284</v>
      </c>
      <c r="E18" s="1">
        <v>0</v>
      </c>
      <c r="F18" s="1">
        <f>9/55</f>
        <v>0.16363636363636364</v>
      </c>
      <c r="G18" s="1">
        <f>49/55</f>
        <v>0.89090909090909087</v>
      </c>
      <c r="H18" s="1">
        <f>27/55</f>
        <v>0.49090909090909091</v>
      </c>
      <c r="I18" s="1">
        <f>10/55</f>
        <v>0.18181818181818182</v>
      </c>
      <c r="J18" s="1">
        <f>49/55</f>
        <v>0.89090909090909087</v>
      </c>
      <c r="K18" s="1">
        <f>36/55</f>
        <v>0.65454545454545454</v>
      </c>
      <c r="L18" s="1">
        <v>98</v>
      </c>
      <c r="M18" s="1" t="s">
        <v>639</v>
      </c>
      <c r="N18" s="1" t="s">
        <v>638</v>
      </c>
      <c r="O18" s="1" t="s">
        <v>637</v>
      </c>
      <c r="P18" s="1" t="s">
        <v>636</v>
      </c>
      <c r="Q18" s="1" t="s">
        <v>238</v>
      </c>
    </row>
    <row r="19" spans="1:17" ht="18" thickBot="1" x14ac:dyDescent="0.25">
      <c r="A19" s="13"/>
      <c r="B19" s="1">
        <v>15</v>
      </c>
      <c r="C19" s="1">
        <v>51.18181818181818</v>
      </c>
      <c r="D19" s="1">
        <f>30/48</f>
        <v>0.625</v>
      </c>
      <c r="E19" s="1">
        <v>0</v>
      </c>
      <c r="F19" s="1">
        <v>0</v>
      </c>
      <c r="G19" s="1">
        <v>100</v>
      </c>
      <c r="H19" s="1">
        <f>15/33</f>
        <v>0.45454545454545453</v>
      </c>
      <c r="I19" s="1">
        <f>2/33</f>
        <v>6.0606060606060608E-2</v>
      </c>
      <c r="J19" s="1">
        <f>27/33</f>
        <v>0.81818181818181823</v>
      </c>
      <c r="K19" s="1">
        <f>7/33</f>
        <v>0.21212121212121213</v>
      </c>
      <c r="L19" s="1">
        <v>122.9</v>
      </c>
      <c r="M19" s="1" t="s">
        <v>635</v>
      </c>
      <c r="N19" s="1" t="s">
        <v>634</v>
      </c>
      <c r="O19" s="1" t="s">
        <v>633</v>
      </c>
      <c r="P19" s="1" t="s">
        <v>632</v>
      </c>
      <c r="Q19" s="1" t="s">
        <v>631</v>
      </c>
    </row>
    <row r="20" spans="1:17" ht="35" thickBot="1" x14ac:dyDescent="0.25">
      <c r="A20" s="13"/>
      <c r="B20" s="1">
        <v>112</v>
      </c>
      <c r="C20" s="4">
        <v>44.083333333333336</v>
      </c>
      <c r="D20" s="1">
        <f>32/52</f>
        <v>0.61538461538461542</v>
      </c>
      <c r="E20" s="1">
        <v>0</v>
      </c>
      <c r="F20" s="1">
        <f>2/36</f>
        <v>5.5555555555555552E-2</v>
      </c>
      <c r="G20" s="1">
        <v>100</v>
      </c>
      <c r="H20" s="1">
        <f>19/36</f>
        <v>0.52777777777777779</v>
      </c>
      <c r="I20" s="1">
        <f>10/36</f>
        <v>0.27777777777777779</v>
      </c>
      <c r="J20" s="1">
        <f>32/36</f>
        <v>0.88888888888888884</v>
      </c>
      <c r="K20" s="1">
        <f>24/36</f>
        <v>0.66666666666666663</v>
      </c>
      <c r="L20" s="1">
        <v>132.6</v>
      </c>
      <c r="M20" s="1" t="s">
        <v>630</v>
      </c>
      <c r="N20" s="1" t="s">
        <v>629</v>
      </c>
      <c r="O20" s="1" t="s">
        <v>628</v>
      </c>
      <c r="P20" s="1" t="s">
        <v>593</v>
      </c>
      <c r="Q20" s="1" t="s">
        <v>582</v>
      </c>
    </row>
    <row r="21" spans="1:17" ht="35" thickBot="1" x14ac:dyDescent="0.25">
      <c r="A21" s="14"/>
      <c r="B21" s="1">
        <v>130</v>
      </c>
      <c r="C21" s="1">
        <v>41.842105263157897</v>
      </c>
      <c r="D21" s="1">
        <f>36/56</f>
        <v>0.6428571428571429</v>
      </c>
      <c r="E21" s="1">
        <v>0</v>
      </c>
      <c r="F21" s="1">
        <f>1/38</f>
        <v>2.6315789473684209E-2</v>
      </c>
      <c r="G21" s="1">
        <f>35/38</f>
        <v>0.92105263157894735</v>
      </c>
      <c r="H21" s="1">
        <f>23/38</f>
        <v>0.60526315789473684</v>
      </c>
      <c r="I21" s="1">
        <f>2/38</f>
        <v>5.2631578947368418E-2</v>
      </c>
      <c r="J21" s="1">
        <f>37/38</f>
        <v>0.97368421052631582</v>
      </c>
      <c r="K21" s="1">
        <f>15/38</f>
        <v>0.39473684210526316</v>
      </c>
      <c r="L21" s="1">
        <v>111.1</v>
      </c>
      <c r="M21" s="1" t="s">
        <v>627</v>
      </c>
      <c r="N21" s="1" t="s">
        <v>626</v>
      </c>
      <c r="O21" s="1" t="s">
        <v>625</v>
      </c>
      <c r="P21" s="1" t="s">
        <v>574</v>
      </c>
      <c r="Q21" s="1" t="s">
        <v>624</v>
      </c>
    </row>
    <row r="22" spans="1:17" ht="35" thickBot="1" x14ac:dyDescent="0.25">
      <c r="A22" s="12" t="s">
        <v>623</v>
      </c>
      <c r="B22" s="1">
        <v>16</v>
      </c>
      <c r="C22" s="1">
        <v>38.05263157894737</v>
      </c>
      <c r="D22" s="1">
        <f>40/58</f>
        <v>0.68965517241379315</v>
      </c>
      <c r="E22" s="1">
        <f>1/38</f>
        <v>2.6315789473684209E-2</v>
      </c>
      <c r="F22" s="1">
        <f>33/38</f>
        <v>0.86842105263157898</v>
      </c>
      <c r="G22" s="1">
        <f>5/38</f>
        <v>0.13157894736842105</v>
      </c>
      <c r="H22" s="1">
        <f>28/38</f>
        <v>0.73684210526315785</v>
      </c>
      <c r="I22" s="1">
        <f>18/38</f>
        <v>0.47368421052631576</v>
      </c>
      <c r="J22" s="1">
        <f>35/38</f>
        <v>0.92105263157894735</v>
      </c>
      <c r="K22" s="1">
        <f>31/38</f>
        <v>0.81578947368421051</v>
      </c>
      <c r="L22" s="1">
        <v>115.7</v>
      </c>
      <c r="M22" s="1" t="s">
        <v>622</v>
      </c>
      <c r="N22" s="1" t="s">
        <v>621</v>
      </c>
      <c r="O22" s="1" t="s">
        <v>620</v>
      </c>
      <c r="P22" s="1" t="s">
        <v>619</v>
      </c>
      <c r="Q22" s="1" t="s">
        <v>618</v>
      </c>
    </row>
    <row r="23" spans="1:17" ht="35" thickBot="1" x14ac:dyDescent="0.25">
      <c r="A23" s="13"/>
      <c r="B23" s="1">
        <v>17</v>
      </c>
      <c r="C23" s="1">
        <v>44.567567567567565</v>
      </c>
      <c r="D23" s="1">
        <f>38/56</f>
        <v>0.6785714285714286</v>
      </c>
      <c r="E23" s="1">
        <v>0</v>
      </c>
      <c r="F23" s="1">
        <f>10/37</f>
        <v>0.27027027027027029</v>
      </c>
      <c r="G23" s="2">
        <f>29/37</f>
        <v>0.78378378378378377</v>
      </c>
      <c r="H23" s="1">
        <f>17/37</f>
        <v>0.45945945945945948</v>
      </c>
      <c r="I23" s="1">
        <f>7/37</f>
        <v>0.1891891891891892</v>
      </c>
      <c r="J23" s="1">
        <f>32/37</f>
        <v>0.86486486486486491</v>
      </c>
      <c r="K23" s="1">
        <f>22/37</f>
        <v>0.59459459459459463</v>
      </c>
      <c r="L23" s="1">
        <v>110.2</v>
      </c>
      <c r="M23" s="1" t="s">
        <v>617</v>
      </c>
      <c r="N23" s="1" t="s">
        <v>616</v>
      </c>
      <c r="O23" s="1" t="s">
        <v>615</v>
      </c>
      <c r="P23" s="1" t="s">
        <v>614</v>
      </c>
      <c r="Q23" s="1" t="s">
        <v>614</v>
      </c>
    </row>
    <row r="24" spans="1:17" ht="35" thickBot="1" x14ac:dyDescent="0.25">
      <c r="A24" s="13"/>
      <c r="B24" s="1">
        <v>18</v>
      </c>
      <c r="C24" s="1">
        <v>37.743589743589745</v>
      </c>
      <c r="D24" s="1">
        <f>38/58</f>
        <v>0.65517241379310343</v>
      </c>
      <c r="E24" s="1">
        <f>4/39</f>
        <v>0.10256410256410256</v>
      </c>
      <c r="F24" s="1">
        <f>1/39</f>
        <v>2.564102564102564E-2</v>
      </c>
      <c r="G24" s="1">
        <f>37/39</f>
        <v>0.94871794871794868</v>
      </c>
      <c r="H24" s="1">
        <f>23/39</f>
        <v>0.58974358974358976</v>
      </c>
      <c r="I24" s="1">
        <f>11/39</f>
        <v>0.28205128205128205</v>
      </c>
      <c r="J24" s="1">
        <f>37/39</f>
        <v>0.94871794871794868</v>
      </c>
      <c r="K24" s="1">
        <f>27/39</f>
        <v>0.69230769230769229</v>
      </c>
      <c r="L24" s="1" t="s">
        <v>613</v>
      </c>
      <c r="M24" s="1" t="s">
        <v>612</v>
      </c>
      <c r="N24" s="1" t="s">
        <v>611</v>
      </c>
      <c r="O24" s="1" t="s">
        <v>610</v>
      </c>
      <c r="P24" s="1" t="s">
        <v>25</v>
      </c>
      <c r="Q24" s="1" t="s">
        <v>114</v>
      </c>
    </row>
    <row r="25" spans="1:17" ht="35" thickBot="1" x14ac:dyDescent="0.25">
      <c r="A25" s="13"/>
      <c r="B25" s="1">
        <v>19</v>
      </c>
      <c r="C25" s="1">
        <v>45.210526315789473</v>
      </c>
      <c r="D25" s="1">
        <f>38/57</f>
        <v>0.66666666666666663</v>
      </c>
      <c r="E25" s="1">
        <v>0</v>
      </c>
      <c r="F25" s="1">
        <f>8/38</f>
        <v>0.21052631578947367</v>
      </c>
      <c r="G25" s="1">
        <f>36/38</f>
        <v>0.94736842105263153</v>
      </c>
      <c r="H25" s="1">
        <f>16/38</f>
        <v>0.42105263157894735</v>
      </c>
      <c r="I25" s="1">
        <f>20/38</f>
        <v>0.52631578947368418</v>
      </c>
      <c r="J25" s="1">
        <f>32/38</f>
        <v>0.84210526315789469</v>
      </c>
      <c r="K25" s="1">
        <f>24/38</f>
        <v>0.63157894736842102</v>
      </c>
      <c r="L25" s="1">
        <v>134.69999999999999</v>
      </c>
      <c r="M25" s="1" t="s">
        <v>609</v>
      </c>
      <c r="N25" s="1" t="s">
        <v>608</v>
      </c>
      <c r="O25" s="1" t="s">
        <v>607</v>
      </c>
      <c r="P25" s="1" t="s">
        <v>606</v>
      </c>
      <c r="Q25" s="1" t="s">
        <v>568</v>
      </c>
    </row>
    <row r="26" spans="1:17" ht="35" thickBot="1" x14ac:dyDescent="0.25">
      <c r="A26" s="13"/>
      <c r="B26" s="1">
        <v>20</v>
      </c>
      <c r="C26" s="1">
        <v>41.210526315789473</v>
      </c>
      <c r="D26" s="1">
        <f>40/58</f>
        <v>0.68965517241379315</v>
      </c>
      <c r="E26" s="1">
        <v>0</v>
      </c>
      <c r="F26" s="1">
        <f>1/38</f>
        <v>2.6315789473684209E-2</v>
      </c>
      <c r="G26" s="1">
        <f>34/38</f>
        <v>0.89473684210526316</v>
      </c>
      <c r="H26" s="1">
        <f>17/38</f>
        <v>0.44736842105263158</v>
      </c>
      <c r="I26" s="1">
        <f>8/38</f>
        <v>0.21052631578947367</v>
      </c>
      <c r="J26" s="1">
        <f>34/38</f>
        <v>0.89473684210526316</v>
      </c>
      <c r="K26" s="1">
        <f>11/38</f>
        <v>0.28947368421052633</v>
      </c>
      <c r="L26" s="1">
        <v>127.8</v>
      </c>
      <c r="M26" s="1" t="s">
        <v>605</v>
      </c>
      <c r="N26" s="1" t="s">
        <v>604</v>
      </c>
      <c r="O26" s="1" t="s">
        <v>603</v>
      </c>
      <c r="P26" s="1" t="s">
        <v>602</v>
      </c>
      <c r="Q26" s="1" t="s">
        <v>601</v>
      </c>
    </row>
    <row r="27" spans="1:17" ht="35" thickBot="1" x14ac:dyDescent="0.25">
      <c r="A27" s="14"/>
      <c r="B27" s="1">
        <v>113</v>
      </c>
      <c r="C27" s="1">
        <v>36.282051282051285</v>
      </c>
      <c r="D27" s="1">
        <f>40/59</f>
        <v>0.67796610169491522</v>
      </c>
      <c r="E27" s="1">
        <v>0</v>
      </c>
      <c r="F27" s="1">
        <f>5/39</f>
        <v>0.12820512820512819</v>
      </c>
      <c r="G27" s="1">
        <v>100</v>
      </c>
      <c r="H27" s="1">
        <f>18/39</f>
        <v>0.46153846153846156</v>
      </c>
      <c r="I27" s="1">
        <f>18/39</f>
        <v>0.46153846153846156</v>
      </c>
      <c r="J27" s="1">
        <f>32/39</f>
        <v>0.82051282051282048</v>
      </c>
      <c r="K27" s="1">
        <f>20/39</f>
        <v>0.51282051282051277</v>
      </c>
      <c r="L27" s="1">
        <v>113.5</v>
      </c>
      <c r="M27" s="1" t="s">
        <v>600</v>
      </c>
      <c r="N27" s="1" t="s">
        <v>599</v>
      </c>
      <c r="O27" s="1" t="s">
        <v>598</v>
      </c>
      <c r="P27" s="1" t="s">
        <v>31</v>
      </c>
      <c r="Q27" s="1" t="s">
        <v>447</v>
      </c>
    </row>
    <row r="28" spans="1:17" ht="35" thickBot="1" x14ac:dyDescent="0.25">
      <c r="A28" s="12" t="s">
        <v>597</v>
      </c>
      <c r="B28" s="1">
        <v>21</v>
      </c>
      <c r="C28" s="1">
        <v>38.729729729729726</v>
      </c>
      <c r="D28" s="1">
        <f>34/56</f>
        <v>0.6071428571428571</v>
      </c>
      <c r="E28" s="1">
        <f>2/37</f>
        <v>5.4054054054054057E-2</v>
      </c>
      <c r="F28" s="1">
        <f>29/37</f>
        <v>0.78378378378378377</v>
      </c>
      <c r="G28" s="1">
        <f>21/37</f>
        <v>0.56756756756756754</v>
      </c>
      <c r="H28" s="1">
        <f>20/37</f>
        <v>0.54054054054054057</v>
      </c>
      <c r="I28" s="1">
        <f>27/37</f>
        <v>0.72972972972972971</v>
      </c>
      <c r="J28" s="1">
        <f>36/37</f>
        <v>0.97297297297297303</v>
      </c>
      <c r="K28" s="1">
        <f>6/37</f>
        <v>0.16216216216216217</v>
      </c>
      <c r="L28" s="1">
        <v>95.3</v>
      </c>
      <c r="M28" s="1" t="s">
        <v>596</v>
      </c>
      <c r="N28" s="1" t="s">
        <v>595</v>
      </c>
      <c r="O28" s="1" t="s">
        <v>594</v>
      </c>
      <c r="P28" s="1" t="s">
        <v>593</v>
      </c>
      <c r="Q28" s="1" t="s">
        <v>307</v>
      </c>
    </row>
    <row r="29" spans="1:17" ht="18" thickBot="1" x14ac:dyDescent="0.25">
      <c r="A29" s="13"/>
      <c r="B29" s="1">
        <v>22</v>
      </c>
      <c r="C29" s="1">
        <v>42.024999999999999</v>
      </c>
      <c r="D29" s="1">
        <f>40/60</f>
        <v>0.66666666666666663</v>
      </c>
      <c r="E29" s="1">
        <v>0</v>
      </c>
      <c r="F29" s="1">
        <f>6/40</f>
        <v>0.15</v>
      </c>
      <c r="G29" s="1">
        <f>36/40</f>
        <v>0.9</v>
      </c>
      <c r="H29" s="1">
        <f>22/40</f>
        <v>0.55000000000000004</v>
      </c>
      <c r="I29" s="1">
        <f>6/40</f>
        <v>0.15</v>
      </c>
      <c r="J29" s="1">
        <f>37/40</f>
        <v>0.92500000000000004</v>
      </c>
      <c r="K29" s="1">
        <f>17/40</f>
        <v>0.42499999999999999</v>
      </c>
      <c r="L29" s="1">
        <v>135.69999999999999</v>
      </c>
      <c r="M29" s="1" t="s">
        <v>592</v>
      </c>
      <c r="N29" s="1" t="s">
        <v>591</v>
      </c>
      <c r="O29" s="1" t="s">
        <v>590</v>
      </c>
      <c r="P29" s="1" t="s">
        <v>431</v>
      </c>
      <c r="Q29" s="1" t="s">
        <v>589</v>
      </c>
    </row>
    <row r="30" spans="1:17" ht="35" thickBot="1" x14ac:dyDescent="0.25">
      <c r="A30" s="13"/>
      <c r="B30" s="1">
        <v>23</v>
      </c>
      <c r="C30" s="1">
        <v>40.512820512820511</v>
      </c>
      <c r="D30" s="1">
        <f>40/59</f>
        <v>0.67796610169491522</v>
      </c>
      <c r="E30" s="1">
        <v>0</v>
      </c>
      <c r="F30" s="1">
        <f>27/39</f>
        <v>0.69230769230769229</v>
      </c>
      <c r="G30" s="1">
        <f>26/39</f>
        <v>0.66666666666666663</v>
      </c>
      <c r="H30" s="1">
        <f>19/39</f>
        <v>0.48717948717948717</v>
      </c>
      <c r="I30" s="1">
        <f>16/39</f>
        <v>0.41025641025641024</v>
      </c>
      <c r="J30" s="1">
        <f>32/39</f>
        <v>0.82051282051282048</v>
      </c>
      <c r="K30" s="1">
        <f>1/39</f>
        <v>2.564102564102564E-2</v>
      </c>
      <c r="L30" s="1">
        <v>100.7</v>
      </c>
      <c r="M30" s="1" t="s">
        <v>588</v>
      </c>
      <c r="N30" s="1" t="s">
        <v>587</v>
      </c>
      <c r="O30" s="1" t="s">
        <v>586</v>
      </c>
      <c r="P30" s="1" t="s">
        <v>363</v>
      </c>
      <c r="Q30" s="1" t="s">
        <v>249</v>
      </c>
    </row>
    <row r="31" spans="1:17" ht="35" thickBot="1" x14ac:dyDescent="0.25">
      <c r="A31" s="13"/>
      <c r="B31" s="1">
        <v>24</v>
      </c>
      <c r="C31" s="1">
        <v>45.384615384615387</v>
      </c>
      <c r="D31" s="1">
        <f>40/59</f>
        <v>0.67796610169491522</v>
      </c>
      <c r="E31" s="1">
        <v>0</v>
      </c>
      <c r="F31" s="1">
        <f>33/39</f>
        <v>0.84615384615384615</v>
      </c>
      <c r="G31" s="1">
        <f>27/39</f>
        <v>0.69230769230769229</v>
      </c>
      <c r="H31" s="1">
        <f>18/39</f>
        <v>0.46153846153846156</v>
      </c>
      <c r="I31" s="1">
        <f>12/39</f>
        <v>0.30769230769230771</v>
      </c>
      <c r="J31" s="1">
        <f>36/39</f>
        <v>0.92307692307692313</v>
      </c>
      <c r="K31" s="1">
        <f>9/39</f>
        <v>0.23076923076923078</v>
      </c>
      <c r="L31" s="1">
        <v>117.7</v>
      </c>
      <c r="M31" s="1" t="s">
        <v>585</v>
      </c>
      <c r="N31" s="1" t="s">
        <v>584</v>
      </c>
      <c r="O31" s="1" t="s">
        <v>583</v>
      </c>
      <c r="P31" s="1" t="s">
        <v>552</v>
      </c>
      <c r="Q31" s="1" t="s">
        <v>582</v>
      </c>
    </row>
    <row r="32" spans="1:17" ht="18" thickBot="1" x14ac:dyDescent="0.25">
      <c r="A32" s="13"/>
      <c r="B32" s="1">
        <v>25</v>
      </c>
      <c r="C32" s="1">
        <v>41.926829268292686</v>
      </c>
      <c r="D32" s="1">
        <f>42/62</f>
        <v>0.67741935483870963</v>
      </c>
      <c r="E32" s="1">
        <v>0</v>
      </c>
      <c r="F32" s="1">
        <f>22/41</f>
        <v>0.53658536585365857</v>
      </c>
      <c r="G32" s="1">
        <f>27/41</f>
        <v>0.65853658536585369</v>
      </c>
      <c r="H32" s="1">
        <f>16/41</f>
        <v>0.3902439024390244</v>
      </c>
      <c r="I32" s="1">
        <f>13/41</f>
        <v>0.31707317073170732</v>
      </c>
      <c r="J32" s="1">
        <f>39/41</f>
        <v>0.95121951219512191</v>
      </c>
      <c r="K32" s="1">
        <f>15/41</f>
        <v>0.36585365853658536</v>
      </c>
      <c r="L32" s="1">
        <v>113.1</v>
      </c>
      <c r="M32" s="1" t="s">
        <v>581</v>
      </c>
      <c r="N32" s="1" t="s">
        <v>580</v>
      </c>
      <c r="O32" s="1" t="s">
        <v>579</v>
      </c>
      <c r="P32" s="1" t="s">
        <v>578</v>
      </c>
      <c r="Q32" s="1" t="s">
        <v>115</v>
      </c>
    </row>
    <row r="33" spans="1:17" ht="18" thickBot="1" x14ac:dyDescent="0.25">
      <c r="A33" s="14"/>
      <c r="B33" s="1">
        <v>114</v>
      </c>
      <c r="C33" s="1">
        <v>39.815789473684212</v>
      </c>
      <c r="D33" s="1">
        <f>36/56</f>
        <v>0.6428571428571429</v>
      </c>
      <c r="E33" s="1">
        <v>0</v>
      </c>
      <c r="F33" s="1">
        <f>23/38</f>
        <v>0.60526315789473684</v>
      </c>
      <c r="G33" s="1">
        <f>27/38</f>
        <v>0.71052631578947367</v>
      </c>
      <c r="H33" s="1">
        <f>18/38</f>
        <v>0.47368421052631576</v>
      </c>
      <c r="I33" s="1">
        <f>21/38</f>
        <v>0.55263157894736847</v>
      </c>
      <c r="J33" s="1">
        <f>33/38</f>
        <v>0.86842105263157898</v>
      </c>
      <c r="K33" s="1">
        <f>16/38</f>
        <v>0.42105263157894735</v>
      </c>
      <c r="L33" s="1">
        <v>103.4</v>
      </c>
      <c r="M33" s="1" t="s">
        <v>577</v>
      </c>
      <c r="N33" s="1" t="s">
        <v>576</v>
      </c>
      <c r="O33" s="1" t="s">
        <v>575</v>
      </c>
      <c r="P33" s="1" t="s">
        <v>574</v>
      </c>
      <c r="Q33" s="1" t="s">
        <v>573</v>
      </c>
    </row>
    <row r="34" spans="1:17" ht="18" thickBot="1" x14ac:dyDescent="0.25">
      <c r="A34" s="12" t="s">
        <v>572</v>
      </c>
      <c r="B34" s="1">
        <v>26</v>
      </c>
      <c r="C34" s="1">
        <v>41</v>
      </c>
      <c r="D34" s="1">
        <f>40/59</f>
        <v>0.67796610169491522</v>
      </c>
      <c r="E34" s="1">
        <f>3/39</f>
        <v>7.6923076923076927E-2</v>
      </c>
      <c r="F34" s="1">
        <f>13/39</f>
        <v>0.33333333333333331</v>
      </c>
      <c r="G34" s="1">
        <f>28/39</f>
        <v>0.71794871794871795</v>
      </c>
      <c r="H34" s="1">
        <f>21/39</f>
        <v>0.53846153846153844</v>
      </c>
      <c r="I34" s="1">
        <f>14/39</f>
        <v>0.35897435897435898</v>
      </c>
      <c r="J34" s="1">
        <f>37/39</f>
        <v>0.94871794871794868</v>
      </c>
      <c r="K34" s="1">
        <f>29/39</f>
        <v>0.74358974358974361</v>
      </c>
      <c r="L34" s="1">
        <v>111.4</v>
      </c>
      <c r="M34" s="1" t="s">
        <v>571</v>
      </c>
      <c r="N34" s="1" t="s">
        <v>570</v>
      </c>
      <c r="O34" s="1" t="s">
        <v>569</v>
      </c>
      <c r="P34" s="1" t="s">
        <v>156</v>
      </c>
      <c r="Q34" s="1" t="s">
        <v>568</v>
      </c>
    </row>
    <row r="35" spans="1:17" ht="35" thickBot="1" x14ac:dyDescent="0.25">
      <c r="A35" s="13"/>
      <c r="B35" s="1">
        <v>27</v>
      </c>
      <c r="C35" s="1">
        <v>44.564102564102562</v>
      </c>
      <c r="D35" s="1">
        <f>38/58</f>
        <v>0.65517241379310343</v>
      </c>
      <c r="E35" s="1">
        <v>0</v>
      </c>
      <c r="F35" s="1">
        <f>16/39</f>
        <v>0.41025641025641024</v>
      </c>
      <c r="G35" s="1">
        <f>28/39</f>
        <v>0.71794871794871795</v>
      </c>
      <c r="H35" s="3">
        <f>16/39</f>
        <v>0.41025641025641024</v>
      </c>
      <c r="I35" s="1">
        <f>5/39</f>
        <v>0.12820512820512819</v>
      </c>
      <c r="J35" s="1">
        <f>38/39</f>
        <v>0.97435897435897434</v>
      </c>
      <c r="K35" s="1">
        <f>8/39</f>
        <v>0.20512820512820512</v>
      </c>
      <c r="L35" s="1">
        <v>104.9</v>
      </c>
      <c r="M35" s="1" t="s">
        <v>567</v>
      </c>
      <c r="N35" s="1" t="s">
        <v>566</v>
      </c>
      <c r="O35" s="1" t="s">
        <v>565</v>
      </c>
      <c r="P35" s="1" t="s">
        <v>552</v>
      </c>
      <c r="Q35" s="1" t="s">
        <v>492</v>
      </c>
    </row>
    <row r="36" spans="1:17" ht="35" thickBot="1" x14ac:dyDescent="0.25">
      <c r="A36" s="13"/>
      <c r="B36" s="1">
        <v>28</v>
      </c>
      <c r="C36" s="1">
        <v>45.179487179487182</v>
      </c>
      <c r="D36" s="1">
        <f>40/59</f>
        <v>0.67796610169491522</v>
      </c>
      <c r="E36" s="1">
        <v>0</v>
      </c>
      <c r="F36" s="1">
        <f>6/39</f>
        <v>0.15384615384615385</v>
      </c>
      <c r="G36" s="1">
        <f>31/39</f>
        <v>0.79487179487179482</v>
      </c>
      <c r="H36" s="2">
        <f>18/39</f>
        <v>0.46153846153846156</v>
      </c>
      <c r="I36" s="1">
        <f>6/39</f>
        <v>0.15384615384615385</v>
      </c>
      <c r="J36" s="1">
        <f>37/39</f>
        <v>0.94871794871794868</v>
      </c>
      <c r="K36" s="1">
        <f>2/39</f>
        <v>5.128205128205128E-2</v>
      </c>
      <c r="L36" s="1">
        <v>114.9</v>
      </c>
      <c r="M36" s="1" t="s">
        <v>564</v>
      </c>
      <c r="N36" s="1" t="s">
        <v>563</v>
      </c>
      <c r="O36" s="1" t="s">
        <v>562</v>
      </c>
      <c r="P36" s="1" t="s">
        <v>552</v>
      </c>
      <c r="Q36" s="1" t="s">
        <v>561</v>
      </c>
    </row>
    <row r="37" spans="1:17" ht="18" thickBot="1" x14ac:dyDescent="0.25">
      <c r="A37" s="13"/>
      <c r="B37" s="1">
        <v>29</v>
      </c>
      <c r="C37" s="1">
        <v>40.799999999999997</v>
      </c>
      <c r="D37" s="1">
        <f>40/60</f>
        <v>0.66666666666666663</v>
      </c>
      <c r="E37" s="1">
        <v>0</v>
      </c>
      <c r="F37" s="1">
        <f>37/40</f>
        <v>0.92500000000000004</v>
      </c>
      <c r="G37" s="1">
        <f>33/40</f>
        <v>0.82499999999999996</v>
      </c>
      <c r="H37" s="1">
        <f>18/40</f>
        <v>0.45</v>
      </c>
      <c r="I37" s="1">
        <f>25/40</f>
        <v>0.625</v>
      </c>
      <c r="J37" s="1">
        <f>38/40</f>
        <v>0.95</v>
      </c>
      <c r="K37" s="1">
        <f>7/40</f>
        <v>0.17499999999999999</v>
      </c>
      <c r="L37" s="1">
        <v>103.6</v>
      </c>
      <c r="M37" s="1" t="s">
        <v>560</v>
      </c>
      <c r="N37" s="1" t="s">
        <v>559</v>
      </c>
      <c r="O37" s="1" t="s">
        <v>558</v>
      </c>
      <c r="P37" s="1" t="s">
        <v>557</v>
      </c>
      <c r="Q37" s="1" t="s">
        <v>556</v>
      </c>
    </row>
    <row r="38" spans="1:17" ht="18" thickBot="1" x14ac:dyDescent="0.25">
      <c r="A38" s="13"/>
      <c r="B38" s="1">
        <v>30</v>
      </c>
      <c r="C38" s="1">
        <v>42.282051282051285</v>
      </c>
      <c r="D38" s="1">
        <f>38/58</f>
        <v>0.65517241379310343</v>
      </c>
      <c r="E38" s="1">
        <v>0</v>
      </c>
      <c r="F38" s="1">
        <f>9/39</f>
        <v>0.23076923076923078</v>
      </c>
      <c r="G38" s="1">
        <f>35/39</f>
        <v>0.89743589743589747</v>
      </c>
      <c r="H38" s="1">
        <f>20/39</f>
        <v>0.51282051282051277</v>
      </c>
      <c r="I38" s="1">
        <f>9/39</f>
        <v>0.23076923076923078</v>
      </c>
      <c r="J38" s="1">
        <f>32/39</f>
        <v>0.82051282051282048</v>
      </c>
      <c r="K38" s="1">
        <f>6/39</f>
        <v>0.15384615384615385</v>
      </c>
      <c r="L38" s="1">
        <v>113.8</v>
      </c>
      <c r="M38" s="1" t="s">
        <v>555</v>
      </c>
      <c r="N38" s="1" t="s">
        <v>554</v>
      </c>
      <c r="O38" s="1" t="s">
        <v>553</v>
      </c>
      <c r="P38" s="1" t="s">
        <v>552</v>
      </c>
      <c r="Q38" s="1" t="s">
        <v>186</v>
      </c>
    </row>
    <row r="39" spans="1:17" ht="35" thickBot="1" x14ac:dyDescent="0.25">
      <c r="A39" s="14"/>
      <c r="B39" s="1">
        <v>115</v>
      </c>
      <c r="C39" s="1">
        <v>44.698412698412696</v>
      </c>
      <c r="D39" s="1">
        <f>64/95</f>
        <v>0.67368421052631577</v>
      </c>
      <c r="E39" s="1">
        <v>0</v>
      </c>
      <c r="F39" s="1">
        <f>3/63</f>
        <v>4.7619047619047616E-2</v>
      </c>
      <c r="G39" s="1">
        <f>60/63</f>
        <v>0.95238095238095233</v>
      </c>
      <c r="H39" s="1">
        <f>27/63</f>
        <v>0.42857142857142855</v>
      </c>
      <c r="I39" s="1">
        <f>8/63</f>
        <v>0.12698412698412698</v>
      </c>
      <c r="J39" s="1">
        <f>55/63</f>
        <v>0.87301587301587302</v>
      </c>
      <c r="K39" s="1">
        <f>6/63</f>
        <v>9.5238095238095233E-2</v>
      </c>
      <c r="L39" s="1">
        <v>132.30000000000001</v>
      </c>
      <c r="M39" s="1" t="s">
        <v>551</v>
      </c>
      <c r="N39" s="1" t="s">
        <v>550</v>
      </c>
      <c r="O39" s="1" t="s">
        <v>549</v>
      </c>
      <c r="P39" s="1" t="s">
        <v>548</v>
      </c>
      <c r="Q39" s="1" t="s">
        <v>547</v>
      </c>
    </row>
    <row r="40" spans="1:17" ht="35" thickBot="1" x14ac:dyDescent="0.25">
      <c r="A40" s="12" t="s">
        <v>546</v>
      </c>
      <c r="B40" s="1">
        <v>31</v>
      </c>
      <c r="C40" s="1">
        <v>37.274999999999999</v>
      </c>
      <c r="D40" s="1">
        <f>40/60</f>
        <v>0.66666666666666663</v>
      </c>
      <c r="E40" s="1">
        <v>0</v>
      </c>
      <c r="F40" s="1">
        <f>7/40</f>
        <v>0.17499999999999999</v>
      </c>
      <c r="G40" s="1">
        <f>31/40</f>
        <v>0.77500000000000002</v>
      </c>
      <c r="H40" s="1">
        <f>20/40</f>
        <v>0.5</v>
      </c>
      <c r="I40" s="1">
        <f>7/40</f>
        <v>0.17499999999999999</v>
      </c>
      <c r="J40" s="1">
        <f>36/40</f>
        <v>0.9</v>
      </c>
      <c r="K40" s="1">
        <f>10/40</f>
        <v>0.25</v>
      </c>
      <c r="L40" s="1">
        <v>112.6</v>
      </c>
      <c r="M40" s="1" t="s">
        <v>545</v>
      </c>
      <c r="N40" s="1" t="s">
        <v>544</v>
      </c>
      <c r="O40" s="1" t="s">
        <v>543</v>
      </c>
      <c r="P40" s="1" t="s">
        <v>542</v>
      </c>
      <c r="Q40" s="1" t="s">
        <v>447</v>
      </c>
    </row>
    <row r="41" spans="1:17" ht="35" thickBot="1" x14ac:dyDescent="0.25">
      <c r="A41" s="13"/>
      <c r="B41" s="1">
        <v>32</v>
      </c>
      <c r="C41" s="1">
        <v>44.948717948717949</v>
      </c>
      <c r="D41" s="1">
        <f>38/58</f>
        <v>0.65517241379310343</v>
      </c>
      <c r="E41" s="1">
        <v>0</v>
      </c>
      <c r="F41" s="1">
        <f>4/39</f>
        <v>0.10256410256410256</v>
      </c>
      <c r="G41" s="1">
        <f>31/39</f>
        <v>0.79487179487179482</v>
      </c>
      <c r="H41" s="1">
        <f>14/39</f>
        <v>0.35897435897435898</v>
      </c>
      <c r="I41" s="1">
        <f>7/39</f>
        <v>0.17948717948717949</v>
      </c>
      <c r="J41" s="1">
        <f>37/39</f>
        <v>0.94871794871794868</v>
      </c>
      <c r="K41" s="1">
        <f>10/39</f>
        <v>0.25641025641025639</v>
      </c>
      <c r="L41" s="1">
        <v>116.4</v>
      </c>
      <c r="M41" s="1" t="s">
        <v>541</v>
      </c>
      <c r="N41" s="1" t="s">
        <v>540</v>
      </c>
      <c r="O41" s="1" t="s">
        <v>539</v>
      </c>
      <c r="P41" s="1" t="s">
        <v>398</v>
      </c>
      <c r="Q41" s="1" t="s">
        <v>538</v>
      </c>
    </row>
    <row r="42" spans="1:17" ht="18" thickBot="1" x14ac:dyDescent="0.25">
      <c r="A42" s="13"/>
      <c r="B42" s="1">
        <v>33</v>
      </c>
      <c r="C42" s="1">
        <v>42.324324324324323</v>
      </c>
      <c r="D42" s="1">
        <f>40/57</f>
        <v>0.70175438596491224</v>
      </c>
      <c r="E42" s="2">
        <v>0</v>
      </c>
      <c r="F42" s="1">
        <f>1/37</f>
        <v>2.7027027027027029E-2</v>
      </c>
      <c r="G42" s="1">
        <v>100</v>
      </c>
      <c r="H42" s="1">
        <f>22/37</f>
        <v>0.59459459459459463</v>
      </c>
      <c r="I42" s="1">
        <f>1/37</f>
        <v>2.7027027027027029E-2</v>
      </c>
      <c r="J42" s="1">
        <f>29/37</f>
        <v>0.78378378378378377</v>
      </c>
      <c r="K42" s="1">
        <f>1/37</f>
        <v>2.7027027027027029E-2</v>
      </c>
      <c r="L42" s="1">
        <v>111</v>
      </c>
      <c r="M42" s="1" t="s">
        <v>537</v>
      </c>
      <c r="N42" s="1" t="s">
        <v>536</v>
      </c>
      <c r="O42" s="1" t="s">
        <v>535</v>
      </c>
      <c r="P42" s="1" t="s">
        <v>534</v>
      </c>
      <c r="Q42" s="1" t="s">
        <v>533</v>
      </c>
    </row>
    <row r="43" spans="1:17" ht="35" thickBot="1" x14ac:dyDescent="0.25">
      <c r="A43" s="13"/>
      <c r="B43" s="1">
        <v>34</v>
      </c>
      <c r="C43" s="1">
        <v>45.289473684210527</v>
      </c>
      <c r="D43" s="1">
        <f>40/58</f>
        <v>0.68965517241379315</v>
      </c>
      <c r="E43" s="1">
        <f>1/38</f>
        <v>2.6315789473684209E-2</v>
      </c>
      <c r="F43" s="1">
        <f>18/38</f>
        <v>0.47368421052631576</v>
      </c>
      <c r="G43" s="1">
        <f>35/38</f>
        <v>0.92105263157894735</v>
      </c>
      <c r="H43" s="1">
        <f>17/38</f>
        <v>0.44736842105263158</v>
      </c>
      <c r="I43" s="1">
        <f>10/38</f>
        <v>0.26315789473684209</v>
      </c>
      <c r="J43" s="1">
        <f>31/38</f>
        <v>0.81578947368421051</v>
      </c>
      <c r="K43" s="1">
        <f>31/38</f>
        <v>0.81578947368421051</v>
      </c>
      <c r="L43" s="1">
        <v>103.5</v>
      </c>
      <c r="M43" s="1" t="s">
        <v>532</v>
      </c>
      <c r="N43" s="1" t="s">
        <v>531</v>
      </c>
      <c r="O43" s="1" t="s">
        <v>530</v>
      </c>
      <c r="P43" s="1" t="s">
        <v>529</v>
      </c>
      <c r="Q43" s="1" t="s">
        <v>339</v>
      </c>
    </row>
    <row r="44" spans="1:17" ht="35" thickBot="1" x14ac:dyDescent="0.25">
      <c r="A44" s="13"/>
      <c r="B44" s="1">
        <v>35</v>
      </c>
      <c r="C44" s="1">
        <v>43.205128205128204</v>
      </c>
      <c r="D44" s="1">
        <f>38/58</f>
        <v>0.65517241379310343</v>
      </c>
      <c r="E44" s="2">
        <f>1/39</f>
        <v>2.564102564102564E-2</v>
      </c>
      <c r="F44" s="1">
        <f>9/39</f>
        <v>0.23076923076923078</v>
      </c>
      <c r="G44" s="1">
        <f>38/39</f>
        <v>0.97435897435897434</v>
      </c>
      <c r="H44" s="1">
        <f>21/39</f>
        <v>0.53846153846153844</v>
      </c>
      <c r="I44" s="1">
        <f>6/39</f>
        <v>0.15384615384615385</v>
      </c>
      <c r="J44" s="1">
        <f>36/39</f>
        <v>0.92307692307692313</v>
      </c>
      <c r="K44" s="1">
        <f>16/39</f>
        <v>0.41025641025641024</v>
      </c>
      <c r="L44" s="1">
        <v>104.7</v>
      </c>
      <c r="M44" s="1" t="s">
        <v>528</v>
      </c>
      <c r="N44" s="1" t="s">
        <v>527</v>
      </c>
      <c r="O44" s="1" t="s">
        <v>526</v>
      </c>
      <c r="P44" s="1" t="s">
        <v>363</v>
      </c>
      <c r="Q44" s="1" t="s">
        <v>114</v>
      </c>
    </row>
    <row r="45" spans="1:17" ht="35" thickBot="1" x14ac:dyDescent="0.25">
      <c r="A45" s="14"/>
      <c r="B45" s="1">
        <v>116</v>
      </c>
      <c r="C45" s="1">
        <v>50.027777777777779</v>
      </c>
      <c r="D45" s="1">
        <f>38/55</f>
        <v>0.69090909090909092</v>
      </c>
      <c r="E45" s="1">
        <v>0</v>
      </c>
      <c r="F45" s="1">
        <v>0</v>
      </c>
      <c r="G45" s="1">
        <f>34/36</f>
        <v>0.94444444444444442</v>
      </c>
      <c r="H45" s="1">
        <f>14/36</f>
        <v>0.3888888888888889</v>
      </c>
      <c r="I45" s="1">
        <f>5/36</f>
        <v>0.1388888888888889</v>
      </c>
      <c r="J45" s="1">
        <f>32/36</f>
        <v>0.88888888888888884</v>
      </c>
      <c r="K45" s="1">
        <v>0</v>
      </c>
      <c r="L45" s="1" t="s">
        <v>525</v>
      </c>
      <c r="M45" s="1" t="s">
        <v>524</v>
      </c>
      <c r="N45" s="1" t="s">
        <v>523</v>
      </c>
      <c r="O45" s="1" t="s">
        <v>522</v>
      </c>
      <c r="P45" s="1" t="s">
        <v>521</v>
      </c>
      <c r="Q45" s="1" t="s">
        <v>520</v>
      </c>
    </row>
    <row r="46" spans="1:17" ht="35" thickBot="1" x14ac:dyDescent="0.25">
      <c r="A46" s="12" t="s">
        <v>519</v>
      </c>
      <c r="B46" s="1">
        <v>36</v>
      </c>
      <c r="C46" s="1">
        <v>47.320754716981135</v>
      </c>
      <c r="D46" s="1">
        <f>54/80</f>
        <v>0.67500000000000004</v>
      </c>
      <c r="E46" s="1">
        <v>0</v>
      </c>
      <c r="F46" s="1">
        <f>1/53</f>
        <v>1.8867924528301886E-2</v>
      </c>
      <c r="G46" s="1">
        <v>100</v>
      </c>
      <c r="H46" s="1">
        <f>20/53</f>
        <v>0.37735849056603776</v>
      </c>
      <c r="I46" s="1">
        <f>4/53</f>
        <v>7.5471698113207544E-2</v>
      </c>
      <c r="J46" s="1">
        <f>52/53</f>
        <v>0.98113207547169812</v>
      </c>
      <c r="K46" s="1">
        <f>7/53</f>
        <v>0.13207547169811321</v>
      </c>
      <c r="L46" s="1" t="s">
        <v>518</v>
      </c>
      <c r="M46" s="1" t="s">
        <v>517</v>
      </c>
      <c r="N46" s="1" t="s">
        <v>516</v>
      </c>
      <c r="O46" s="1" t="s">
        <v>515</v>
      </c>
      <c r="P46" s="1" t="s">
        <v>514</v>
      </c>
      <c r="Q46" s="1" t="s">
        <v>513</v>
      </c>
    </row>
    <row r="47" spans="1:17" ht="35" thickBot="1" x14ac:dyDescent="0.25">
      <c r="A47" s="13"/>
      <c r="B47" s="1">
        <v>37</v>
      </c>
      <c r="C47" s="1">
        <v>51.842105263157897</v>
      </c>
      <c r="D47" s="1">
        <f>38/57</f>
        <v>0.66666666666666663</v>
      </c>
      <c r="E47" s="1">
        <v>0</v>
      </c>
      <c r="F47" s="1">
        <f>2/38</f>
        <v>5.2631578947368418E-2</v>
      </c>
      <c r="G47" s="1">
        <f>36/38</f>
        <v>0.94736842105263153</v>
      </c>
      <c r="H47" s="1">
        <f>12/38</f>
        <v>0.31578947368421051</v>
      </c>
      <c r="I47" s="1">
        <f>3/38</f>
        <v>7.8947368421052627E-2</v>
      </c>
      <c r="J47" s="1">
        <f>33/38</f>
        <v>0.86842105263157898</v>
      </c>
      <c r="K47" s="1">
        <v>0</v>
      </c>
      <c r="L47" s="1" t="s">
        <v>512</v>
      </c>
      <c r="M47" s="1" t="s">
        <v>511</v>
      </c>
      <c r="N47" s="1" t="s">
        <v>510</v>
      </c>
      <c r="O47" s="1" t="s">
        <v>509</v>
      </c>
      <c r="P47" s="1" t="s">
        <v>80</v>
      </c>
      <c r="Q47" s="1" t="s">
        <v>508</v>
      </c>
    </row>
    <row r="48" spans="1:17" ht="35" thickBot="1" x14ac:dyDescent="0.25">
      <c r="A48" s="13"/>
      <c r="B48" s="1">
        <v>38</v>
      </c>
      <c r="C48" s="1">
        <v>48.85</v>
      </c>
      <c r="D48" s="1">
        <f>40/6</f>
        <v>6.666666666666667</v>
      </c>
      <c r="E48" s="1">
        <v>0</v>
      </c>
      <c r="F48" s="1">
        <v>0</v>
      </c>
      <c r="G48" s="1">
        <f>39/40</f>
        <v>0.97499999999999998</v>
      </c>
      <c r="H48" s="1">
        <f>20/40</f>
        <v>0.5</v>
      </c>
      <c r="I48" s="1">
        <f>1/40</f>
        <v>2.5000000000000001E-2</v>
      </c>
      <c r="J48" s="1">
        <f>35/40</f>
        <v>0.875</v>
      </c>
      <c r="K48" s="1">
        <v>0</v>
      </c>
      <c r="L48" s="1" t="s">
        <v>507</v>
      </c>
      <c r="M48" s="1" t="s">
        <v>506</v>
      </c>
      <c r="N48" s="1" t="s">
        <v>505</v>
      </c>
      <c r="O48" s="1" t="s">
        <v>504</v>
      </c>
      <c r="P48" s="1" t="s">
        <v>156</v>
      </c>
      <c r="Q48" s="1" t="s">
        <v>503</v>
      </c>
    </row>
    <row r="49" spans="1:17" ht="35" thickBot="1" x14ac:dyDescent="0.25">
      <c r="A49" s="13"/>
      <c r="B49" s="1">
        <v>39</v>
      </c>
      <c r="C49" s="1">
        <v>46.307692307692307</v>
      </c>
      <c r="D49" s="1">
        <f>52/78</f>
        <v>0.66666666666666663</v>
      </c>
      <c r="E49" s="1">
        <v>0</v>
      </c>
      <c r="F49" s="1">
        <f>4/52</f>
        <v>7.6923076923076927E-2</v>
      </c>
      <c r="G49" s="1">
        <f>46/52</f>
        <v>0.88461538461538458</v>
      </c>
      <c r="H49" s="1">
        <f>22/52</f>
        <v>0.42307692307692307</v>
      </c>
      <c r="I49" s="1">
        <f>5/52</f>
        <v>9.6153846153846159E-2</v>
      </c>
      <c r="J49" s="1">
        <f>49/52</f>
        <v>0.94230769230769229</v>
      </c>
      <c r="K49" s="1">
        <f>1/52</f>
        <v>1.9230769230769232E-2</v>
      </c>
      <c r="L49" s="1" t="s">
        <v>502</v>
      </c>
      <c r="M49" s="1" t="s">
        <v>501</v>
      </c>
      <c r="N49" s="1" t="s">
        <v>500</v>
      </c>
      <c r="O49" s="1" t="s">
        <v>499</v>
      </c>
      <c r="P49" s="1" t="s">
        <v>498</v>
      </c>
      <c r="Q49" s="1" t="s">
        <v>497</v>
      </c>
    </row>
    <row r="50" spans="1:17" ht="35" thickBot="1" x14ac:dyDescent="0.25">
      <c r="A50" s="13"/>
      <c r="B50" s="1">
        <v>40</v>
      </c>
      <c r="C50" s="1">
        <v>39.571428571428569</v>
      </c>
      <c r="D50" s="1">
        <f>32/51</f>
        <v>0.62745098039215685</v>
      </c>
      <c r="E50" s="1">
        <v>0</v>
      </c>
      <c r="F50" s="1">
        <f>29/35</f>
        <v>0.82857142857142863</v>
      </c>
      <c r="G50" s="1">
        <f>1/35</f>
        <v>2.8571428571428571E-2</v>
      </c>
      <c r="H50" s="1">
        <f>21/35</f>
        <v>0.6</v>
      </c>
      <c r="I50" s="1">
        <f>16/35</f>
        <v>0.45714285714285713</v>
      </c>
      <c r="J50" s="1">
        <f>33/35</f>
        <v>0.94285714285714284</v>
      </c>
      <c r="K50" s="1">
        <f>14/35</f>
        <v>0.4</v>
      </c>
      <c r="L50" s="1" t="s">
        <v>496</v>
      </c>
      <c r="M50" s="1" t="s">
        <v>495</v>
      </c>
      <c r="N50" s="1" t="s">
        <v>494</v>
      </c>
      <c r="O50" s="1" t="s">
        <v>493</v>
      </c>
      <c r="P50" s="1" t="s">
        <v>492</v>
      </c>
      <c r="Q50" s="1" t="s">
        <v>73</v>
      </c>
    </row>
    <row r="51" spans="1:17" ht="35" thickBot="1" x14ac:dyDescent="0.25">
      <c r="A51" s="13"/>
      <c r="B51" s="1">
        <v>117</v>
      </c>
      <c r="C51" s="1">
        <v>49.526315789473685</v>
      </c>
      <c r="D51" s="1">
        <f>38/57</f>
        <v>0.66666666666666663</v>
      </c>
      <c r="E51" s="1">
        <v>0</v>
      </c>
      <c r="F51" s="1">
        <v>0</v>
      </c>
      <c r="G51" s="1">
        <f>36/38</f>
        <v>0.94736842105263153</v>
      </c>
      <c r="H51" s="1">
        <f>17/38</f>
        <v>0.44736842105263158</v>
      </c>
      <c r="I51" s="1">
        <f>2/38</f>
        <v>5.2631578947368418E-2</v>
      </c>
      <c r="J51" s="1">
        <f>37/38</f>
        <v>0.97368421052631582</v>
      </c>
      <c r="K51" s="1">
        <f>6/38</f>
        <v>0.15789473684210525</v>
      </c>
      <c r="L51" s="1" t="s">
        <v>491</v>
      </c>
      <c r="M51" s="1" t="s">
        <v>490</v>
      </c>
      <c r="N51" s="1" t="s">
        <v>489</v>
      </c>
      <c r="O51" s="1" t="s">
        <v>488</v>
      </c>
      <c r="P51" s="1" t="s">
        <v>487</v>
      </c>
      <c r="Q51" s="1" t="s">
        <v>486</v>
      </c>
    </row>
    <row r="52" spans="1:17" ht="35" thickBot="1" x14ac:dyDescent="0.25">
      <c r="A52" s="14"/>
      <c r="B52" s="1">
        <v>138</v>
      </c>
      <c r="C52" s="1">
        <v>38.631578947368418</v>
      </c>
      <c r="D52" s="1">
        <f>36/56</f>
        <v>0.6428571428571429</v>
      </c>
      <c r="E52" s="1">
        <f>21/38</f>
        <v>0.55263157894736847</v>
      </c>
      <c r="F52" s="1">
        <v>100</v>
      </c>
      <c r="G52" s="1">
        <v>0</v>
      </c>
      <c r="H52" s="1">
        <f>22/38</f>
        <v>0.57894736842105265</v>
      </c>
      <c r="I52" s="1">
        <f>26/38</f>
        <v>0.68421052631578949</v>
      </c>
      <c r="J52" s="1">
        <f>35/38</f>
        <v>0.92105263157894735</v>
      </c>
      <c r="K52" s="1">
        <f>25/38</f>
        <v>0.65789473684210531</v>
      </c>
      <c r="L52" s="1" t="s">
        <v>485</v>
      </c>
      <c r="M52" s="1" t="s">
        <v>484</v>
      </c>
      <c r="N52" s="1" t="s">
        <v>483</v>
      </c>
      <c r="O52" s="1" t="s">
        <v>482</v>
      </c>
      <c r="P52" s="1" t="s">
        <v>481</v>
      </c>
      <c r="Q52" s="1" t="s">
        <v>480</v>
      </c>
    </row>
    <row r="53" spans="1:17" ht="35" thickBot="1" x14ac:dyDescent="0.25">
      <c r="A53" s="12" t="s">
        <v>479</v>
      </c>
      <c r="B53" s="1">
        <v>41</v>
      </c>
      <c r="C53" s="1">
        <v>58.81818181818182</v>
      </c>
      <c r="D53" s="1">
        <f>34/50</f>
        <v>0.68</v>
      </c>
      <c r="E53" s="1">
        <v>0</v>
      </c>
      <c r="F53" s="1">
        <v>0</v>
      </c>
      <c r="G53" s="1">
        <v>100</v>
      </c>
      <c r="H53" s="1">
        <f>10/33</f>
        <v>0.30303030303030304</v>
      </c>
      <c r="I53" s="1">
        <v>0</v>
      </c>
      <c r="J53" s="1">
        <f>26/33</f>
        <v>0.78787878787878785</v>
      </c>
      <c r="K53" s="1">
        <f>1/33</f>
        <v>3.0303030303030304E-2</v>
      </c>
      <c r="L53" s="1" t="s">
        <v>478</v>
      </c>
      <c r="M53" s="1" t="s">
        <v>477</v>
      </c>
      <c r="N53" s="1" t="s">
        <v>476</v>
      </c>
      <c r="O53" s="1" t="s">
        <v>475</v>
      </c>
      <c r="P53" s="1" t="s">
        <v>155</v>
      </c>
      <c r="Q53" s="1" t="s">
        <v>474</v>
      </c>
    </row>
    <row r="54" spans="1:17" ht="35" thickBot="1" x14ac:dyDescent="0.25">
      <c r="A54" s="13"/>
      <c r="B54" s="1">
        <v>42</v>
      </c>
      <c r="C54" s="1">
        <v>51.466666666666669</v>
      </c>
      <c r="D54" s="1">
        <f>32/46</f>
        <v>0.69565217391304346</v>
      </c>
      <c r="E54" s="1">
        <v>0</v>
      </c>
      <c r="F54" s="1">
        <v>0</v>
      </c>
      <c r="G54" s="1">
        <v>100</v>
      </c>
      <c r="H54" s="1">
        <f>12/30</f>
        <v>0.4</v>
      </c>
      <c r="I54" s="1">
        <f>1/30</f>
        <v>3.3333333333333333E-2</v>
      </c>
      <c r="J54" s="1">
        <f>27/30</f>
        <v>0.9</v>
      </c>
      <c r="K54" s="1">
        <v>0</v>
      </c>
      <c r="L54" s="1" t="s">
        <v>473</v>
      </c>
      <c r="M54" s="1" t="s">
        <v>472</v>
      </c>
      <c r="N54" s="1" t="s">
        <v>471</v>
      </c>
      <c r="O54" s="1" t="s">
        <v>470</v>
      </c>
      <c r="P54" s="1" t="s">
        <v>437</v>
      </c>
      <c r="Q54" s="1" t="s">
        <v>469</v>
      </c>
    </row>
    <row r="55" spans="1:17" ht="35" thickBot="1" x14ac:dyDescent="0.25">
      <c r="A55" s="13"/>
      <c r="B55" s="1">
        <v>43</v>
      </c>
      <c r="C55" s="1">
        <v>48.25925925925926</v>
      </c>
      <c r="D55" s="1">
        <f>28/41</f>
        <v>0.68292682926829273</v>
      </c>
      <c r="E55" s="1">
        <v>0</v>
      </c>
      <c r="F55" s="1">
        <v>0</v>
      </c>
      <c r="G55" s="1">
        <v>100</v>
      </c>
      <c r="H55" s="1">
        <f>12/27</f>
        <v>0.44444444444444442</v>
      </c>
      <c r="I55" s="1">
        <v>0</v>
      </c>
      <c r="J55" s="1">
        <f>26/27</f>
        <v>0.96296296296296291</v>
      </c>
      <c r="K55" s="1">
        <v>0</v>
      </c>
      <c r="L55" s="1" t="s">
        <v>468</v>
      </c>
      <c r="M55" s="1" t="s">
        <v>467</v>
      </c>
      <c r="N55" s="1" t="s">
        <v>466</v>
      </c>
      <c r="O55" s="1" t="s">
        <v>465</v>
      </c>
      <c r="P55" s="1" t="s">
        <v>464</v>
      </c>
      <c r="Q55" s="1" t="s">
        <v>463</v>
      </c>
    </row>
    <row r="56" spans="1:17" ht="35" thickBot="1" x14ac:dyDescent="0.25">
      <c r="A56" s="13"/>
      <c r="B56" s="1">
        <v>44</v>
      </c>
      <c r="C56" s="1">
        <v>47.078947368421055</v>
      </c>
      <c r="D56" s="1">
        <f>36/56</f>
        <v>0.6428571428571429</v>
      </c>
      <c r="E56" s="1">
        <v>0</v>
      </c>
      <c r="F56" s="1">
        <f>1/38</f>
        <v>2.6315789473684209E-2</v>
      </c>
      <c r="G56" s="1">
        <v>100</v>
      </c>
      <c r="H56" s="1">
        <f>21/38</f>
        <v>0.55263157894736847</v>
      </c>
      <c r="I56" s="1">
        <f>2/38</f>
        <v>5.2631578947368418E-2</v>
      </c>
      <c r="J56" s="1">
        <f>35/38</f>
        <v>0.92105263157894735</v>
      </c>
      <c r="K56" s="1">
        <f>3/38</f>
        <v>7.8947368421052627E-2</v>
      </c>
      <c r="L56" s="1" t="s">
        <v>462</v>
      </c>
      <c r="M56" s="1" t="s">
        <v>461</v>
      </c>
      <c r="N56" s="1" t="s">
        <v>460</v>
      </c>
      <c r="O56" s="1" t="s">
        <v>459</v>
      </c>
      <c r="P56" s="1" t="s">
        <v>453</v>
      </c>
      <c r="Q56" s="1" t="s">
        <v>458</v>
      </c>
    </row>
    <row r="57" spans="1:17" ht="35" thickBot="1" x14ac:dyDescent="0.25">
      <c r="A57" s="13"/>
      <c r="B57" s="1">
        <v>45</v>
      </c>
      <c r="C57" s="1">
        <v>52.60526315789474</v>
      </c>
      <c r="D57" s="1">
        <f>40/58</f>
        <v>0.68965517241379315</v>
      </c>
      <c r="E57" s="1">
        <v>0</v>
      </c>
      <c r="F57" s="1">
        <v>0</v>
      </c>
      <c r="G57" s="1">
        <v>100</v>
      </c>
      <c r="H57" s="1">
        <f>15/38</f>
        <v>0.39473684210526316</v>
      </c>
      <c r="I57" s="1">
        <f>4/38</f>
        <v>0.10526315789473684</v>
      </c>
      <c r="J57" s="1">
        <f>34/38</f>
        <v>0.89473684210526316</v>
      </c>
      <c r="K57" s="2">
        <f>2/38</f>
        <v>5.2631578947368418E-2</v>
      </c>
      <c r="L57" s="1" t="s">
        <v>457</v>
      </c>
      <c r="M57" s="1" t="s">
        <v>456</v>
      </c>
      <c r="N57" s="1" t="s">
        <v>455</v>
      </c>
      <c r="O57" s="1" t="s">
        <v>454</v>
      </c>
      <c r="P57" s="1" t="s">
        <v>453</v>
      </c>
      <c r="Q57" s="1" t="s">
        <v>452</v>
      </c>
    </row>
    <row r="58" spans="1:17" ht="35" thickBot="1" x14ac:dyDescent="0.25">
      <c r="A58" s="13"/>
      <c r="B58" s="1">
        <v>101</v>
      </c>
      <c r="C58" s="1">
        <v>35.291666666666664</v>
      </c>
      <c r="D58" s="1">
        <f>48/72</f>
        <v>0.66666666666666663</v>
      </c>
      <c r="E58" s="1">
        <f>2/48</f>
        <v>4.1666666666666664E-2</v>
      </c>
      <c r="F58" s="1">
        <f>13/48</f>
        <v>0.27083333333333331</v>
      </c>
      <c r="G58" s="1">
        <f>15/48</f>
        <v>0.3125</v>
      </c>
      <c r="H58" s="1">
        <f>27/48</f>
        <v>0.5625</v>
      </c>
      <c r="I58" s="1">
        <f>32/48</f>
        <v>0.66666666666666663</v>
      </c>
      <c r="J58" s="1">
        <f>42/48</f>
        <v>0.875</v>
      </c>
      <c r="K58" s="1">
        <f>17/48</f>
        <v>0.35416666666666669</v>
      </c>
      <c r="L58" s="1" t="s">
        <v>451</v>
      </c>
      <c r="M58" s="1" t="s">
        <v>450</v>
      </c>
      <c r="N58" s="1" t="s">
        <v>449</v>
      </c>
      <c r="O58" s="1" t="s">
        <v>448</v>
      </c>
      <c r="P58" s="1" t="s">
        <v>84</v>
      </c>
      <c r="Q58" s="1" t="s">
        <v>447</v>
      </c>
    </row>
    <row r="59" spans="1:17" ht="35" thickBot="1" x14ac:dyDescent="0.25">
      <c r="A59" s="14"/>
      <c r="B59" s="1">
        <v>118</v>
      </c>
      <c r="C59" s="1">
        <v>57.631578947368418</v>
      </c>
      <c r="D59" s="1">
        <f>38/57</f>
        <v>0.66666666666666663</v>
      </c>
      <c r="E59" s="1">
        <v>0</v>
      </c>
      <c r="F59" s="1">
        <f>1/38</f>
        <v>2.6315789473684209E-2</v>
      </c>
      <c r="G59" s="1">
        <f>37/38</f>
        <v>0.97368421052631582</v>
      </c>
      <c r="H59" s="1">
        <f>14/38</f>
        <v>0.36842105263157893</v>
      </c>
      <c r="I59" s="1">
        <v>0</v>
      </c>
      <c r="J59" s="1">
        <f>36/38</f>
        <v>0.94736842105263153</v>
      </c>
      <c r="K59" s="1">
        <v>0</v>
      </c>
      <c r="L59" s="1" t="s">
        <v>446</v>
      </c>
      <c r="M59" s="1" t="s">
        <v>445</v>
      </c>
      <c r="N59" s="1" t="s">
        <v>444</v>
      </c>
      <c r="O59" s="1" t="s">
        <v>443</v>
      </c>
      <c r="P59" s="1" t="s">
        <v>391</v>
      </c>
      <c r="Q59" s="1" t="s">
        <v>232</v>
      </c>
    </row>
    <row r="60" spans="1:17" ht="35" thickBot="1" x14ac:dyDescent="0.25">
      <c r="A60" s="12" t="s">
        <v>442</v>
      </c>
      <c r="B60" s="1">
        <v>46</v>
      </c>
      <c r="C60" s="1">
        <v>45.833333333333336</v>
      </c>
      <c r="D60" s="1">
        <f>30/45</f>
        <v>0.66666666666666663</v>
      </c>
      <c r="E60" s="1">
        <v>0</v>
      </c>
      <c r="F60" s="1">
        <v>0</v>
      </c>
      <c r="G60" s="1">
        <f>29/30</f>
        <v>0.96666666666666667</v>
      </c>
      <c r="H60" s="1">
        <f>17/30</f>
        <v>0.56666666666666665</v>
      </c>
      <c r="I60" s="1">
        <f>1/30</f>
        <v>3.3333333333333333E-2</v>
      </c>
      <c r="J60" s="1">
        <f>25/30</f>
        <v>0.83333333333333337</v>
      </c>
      <c r="K60" s="1">
        <f>3/30</f>
        <v>0.1</v>
      </c>
      <c r="L60" s="1" t="s">
        <v>441</v>
      </c>
      <c r="M60" s="1" t="s">
        <v>440</v>
      </c>
      <c r="N60" s="1" t="s">
        <v>439</v>
      </c>
      <c r="O60" s="1" t="s">
        <v>438</v>
      </c>
      <c r="P60" s="1" t="s">
        <v>437</v>
      </c>
      <c r="Q60" s="1" t="s">
        <v>167</v>
      </c>
    </row>
    <row r="61" spans="1:17" ht="35" thickBot="1" x14ac:dyDescent="0.25">
      <c r="A61" s="13"/>
      <c r="B61" s="1">
        <v>47</v>
      </c>
      <c r="C61" s="1">
        <v>52.08</v>
      </c>
      <c r="D61" s="1">
        <f>50/75</f>
        <v>0.66666666666666663</v>
      </c>
      <c r="E61" s="1">
        <f>2/50</f>
        <v>0.04</v>
      </c>
      <c r="F61" s="1">
        <v>0</v>
      </c>
      <c r="G61" s="1">
        <v>100</v>
      </c>
      <c r="H61" s="1">
        <f>25/50</f>
        <v>0.5</v>
      </c>
      <c r="I61" s="1">
        <f>5/50</f>
        <v>0.1</v>
      </c>
      <c r="J61" s="1">
        <f>45/50</f>
        <v>0.9</v>
      </c>
      <c r="K61" s="1">
        <v>0</v>
      </c>
      <c r="L61" s="1" t="s">
        <v>436</v>
      </c>
      <c r="M61" s="1" t="s">
        <v>435</v>
      </c>
      <c r="N61" s="1" t="s">
        <v>434</v>
      </c>
      <c r="O61" s="1" t="s">
        <v>433</v>
      </c>
      <c r="P61" s="1" t="s">
        <v>432</v>
      </c>
      <c r="Q61" s="1" t="s">
        <v>431</v>
      </c>
    </row>
    <row r="62" spans="1:17" ht="35" thickBot="1" x14ac:dyDescent="0.25">
      <c r="A62" s="13"/>
      <c r="B62" s="1">
        <v>48</v>
      </c>
      <c r="C62" s="1">
        <v>49.857142857142854</v>
      </c>
      <c r="D62" s="1">
        <f>44/64</f>
        <v>0.6875</v>
      </c>
      <c r="E62" s="1">
        <v>0</v>
      </c>
      <c r="F62" s="1">
        <v>0</v>
      </c>
      <c r="G62" s="1">
        <v>100</v>
      </c>
      <c r="H62" s="1">
        <f>20/42</f>
        <v>0.47619047619047616</v>
      </c>
      <c r="I62" s="1">
        <v>0</v>
      </c>
      <c r="J62" s="1">
        <f>38/42</f>
        <v>0.90476190476190477</v>
      </c>
      <c r="K62" s="1">
        <v>0</v>
      </c>
      <c r="L62" s="1" t="s">
        <v>430</v>
      </c>
      <c r="M62" s="1" t="s">
        <v>429</v>
      </c>
      <c r="N62" s="1" t="s">
        <v>428</v>
      </c>
      <c r="O62" s="1" t="s">
        <v>427</v>
      </c>
      <c r="P62" s="1" t="s">
        <v>426</v>
      </c>
      <c r="Q62" s="1" t="s">
        <v>425</v>
      </c>
    </row>
    <row r="63" spans="1:17" ht="35" thickBot="1" x14ac:dyDescent="0.25">
      <c r="A63" s="13"/>
      <c r="B63" s="1">
        <v>49</v>
      </c>
      <c r="C63" s="1">
        <v>51.89473684210526</v>
      </c>
      <c r="D63" s="1">
        <f>36/56</f>
        <v>0.6428571428571429</v>
      </c>
      <c r="E63" s="1">
        <v>0</v>
      </c>
      <c r="F63" s="1">
        <v>0</v>
      </c>
      <c r="G63" s="1">
        <v>100</v>
      </c>
      <c r="H63" s="1">
        <f>17/38</f>
        <v>0.44736842105263158</v>
      </c>
      <c r="I63" s="1">
        <v>0</v>
      </c>
      <c r="J63" s="1">
        <f>34/38</f>
        <v>0.89473684210526316</v>
      </c>
      <c r="K63" s="1">
        <f>1/38</f>
        <v>2.6315789473684209E-2</v>
      </c>
      <c r="L63" s="1" t="s">
        <v>424</v>
      </c>
      <c r="M63" s="1" t="s">
        <v>423</v>
      </c>
      <c r="N63" s="1" t="s">
        <v>422</v>
      </c>
      <c r="O63" s="1" t="s">
        <v>421</v>
      </c>
      <c r="P63" s="1" t="s">
        <v>420</v>
      </c>
      <c r="Q63" s="1" t="s">
        <v>419</v>
      </c>
    </row>
    <row r="64" spans="1:17" ht="35" thickBot="1" x14ac:dyDescent="0.25">
      <c r="A64" s="13"/>
      <c r="B64" s="1">
        <v>50</v>
      </c>
      <c r="C64" s="1">
        <v>51.10144927536232</v>
      </c>
      <c r="D64" s="1">
        <f>70/104</f>
        <v>0.67307692307692313</v>
      </c>
      <c r="E64" s="1">
        <v>0</v>
      </c>
      <c r="F64" s="1">
        <v>0</v>
      </c>
      <c r="G64" s="1">
        <f>68/69</f>
        <v>0.98550724637681164</v>
      </c>
      <c r="H64" s="1">
        <f>30/69</f>
        <v>0.43478260869565216</v>
      </c>
      <c r="I64" s="1">
        <f>1/69</f>
        <v>1.4492753623188406E-2</v>
      </c>
      <c r="J64" s="1">
        <f>58/69</f>
        <v>0.84057971014492749</v>
      </c>
      <c r="K64" s="1">
        <f>3/69</f>
        <v>4.3478260869565216E-2</v>
      </c>
      <c r="L64" s="1" t="s">
        <v>418</v>
      </c>
      <c r="M64" s="1" t="s">
        <v>417</v>
      </c>
      <c r="N64" s="1" t="s">
        <v>416</v>
      </c>
      <c r="O64" s="1" t="s">
        <v>415</v>
      </c>
      <c r="P64" s="1" t="s">
        <v>414</v>
      </c>
      <c r="Q64" s="1" t="s">
        <v>413</v>
      </c>
    </row>
    <row r="65" spans="1:17" ht="35" thickBot="1" x14ac:dyDescent="0.25">
      <c r="A65" s="13"/>
      <c r="B65" s="1">
        <v>102</v>
      </c>
      <c r="C65" s="1">
        <v>51.280701754385966</v>
      </c>
      <c r="D65" s="1">
        <f>58/86</f>
        <v>0.67441860465116277</v>
      </c>
      <c r="E65" s="1">
        <v>0</v>
      </c>
      <c r="F65" s="1">
        <v>0</v>
      </c>
      <c r="G65" s="1">
        <v>100</v>
      </c>
      <c r="H65" s="1">
        <f>22/57</f>
        <v>0.38596491228070173</v>
      </c>
      <c r="I65" s="1">
        <f>2/57</f>
        <v>3.5087719298245612E-2</v>
      </c>
      <c r="J65" s="1">
        <f>51/57</f>
        <v>0.89473684210526316</v>
      </c>
      <c r="K65" s="1">
        <f>1/57</f>
        <v>1.7543859649122806E-2</v>
      </c>
      <c r="L65" s="1" t="s">
        <v>412</v>
      </c>
      <c r="M65" s="1" t="s">
        <v>411</v>
      </c>
      <c r="N65" s="1" t="s">
        <v>410</v>
      </c>
      <c r="O65" s="1" t="s">
        <v>409</v>
      </c>
      <c r="P65" s="1" t="s">
        <v>408</v>
      </c>
      <c r="Q65" s="1" t="s">
        <v>66</v>
      </c>
    </row>
    <row r="66" spans="1:17" ht="35" thickBot="1" x14ac:dyDescent="0.25">
      <c r="A66" s="13"/>
      <c r="B66" s="1">
        <v>106</v>
      </c>
      <c r="C66" s="1">
        <v>48.216216216216218</v>
      </c>
      <c r="D66" s="1">
        <f>38/56</f>
        <v>0.6785714285714286</v>
      </c>
      <c r="E66" s="1">
        <v>0</v>
      </c>
      <c r="F66" s="1">
        <v>0</v>
      </c>
      <c r="G66" s="1">
        <v>100</v>
      </c>
      <c r="H66" s="1">
        <f>16/37</f>
        <v>0.43243243243243246</v>
      </c>
      <c r="I66" s="1">
        <v>0</v>
      </c>
      <c r="J66" s="1">
        <f>29/37</f>
        <v>0.78378378378378377</v>
      </c>
      <c r="K66" s="1">
        <f>2/37</f>
        <v>5.4054054054054057E-2</v>
      </c>
      <c r="L66" s="1" t="s">
        <v>407</v>
      </c>
      <c r="M66" s="1" t="s">
        <v>406</v>
      </c>
      <c r="N66" s="1" t="s">
        <v>405</v>
      </c>
      <c r="O66" s="1" t="s">
        <v>404</v>
      </c>
      <c r="P66" s="1" t="s">
        <v>403</v>
      </c>
      <c r="Q66" s="1" t="s">
        <v>155</v>
      </c>
    </row>
    <row r="67" spans="1:17" ht="35" thickBot="1" x14ac:dyDescent="0.25">
      <c r="A67" s="14"/>
      <c r="B67" s="1">
        <v>119</v>
      </c>
      <c r="C67" s="1">
        <v>53.153846153846153</v>
      </c>
      <c r="D67" s="1">
        <f>40/59</f>
        <v>0.67796610169491522</v>
      </c>
      <c r="E67" s="1">
        <v>0</v>
      </c>
      <c r="F67" s="1">
        <v>0</v>
      </c>
      <c r="G67" s="1">
        <v>100</v>
      </c>
      <c r="H67" s="1">
        <f>17/39</f>
        <v>0.4358974358974359</v>
      </c>
      <c r="I67" s="1">
        <f>3/39</f>
        <v>7.6923076923076927E-2</v>
      </c>
      <c r="J67" s="1">
        <f>33/39</f>
        <v>0.84615384615384615</v>
      </c>
      <c r="K67" s="1">
        <v>0</v>
      </c>
      <c r="L67" s="1" t="s">
        <v>402</v>
      </c>
      <c r="M67" s="1" t="s">
        <v>401</v>
      </c>
      <c r="N67" s="1" t="s">
        <v>400</v>
      </c>
      <c r="O67" s="1" t="s">
        <v>399</v>
      </c>
      <c r="P67" s="1" t="s">
        <v>398</v>
      </c>
      <c r="Q67" s="1" t="s">
        <v>397</v>
      </c>
    </row>
    <row r="68" spans="1:17" ht="35" thickBot="1" x14ac:dyDescent="0.25">
      <c r="A68" s="12" t="s">
        <v>396</v>
      </c>
      <c r="B68" s="1">
        <v>51</v>
      </c>
      <c r="C68" s="1">
        <v>58.717948717948715</v>
      </c>
      <c r="D68" s="1">
        <f>40/59</f>
        <v>0.67796610169491522</v>
      </c>
      <c r="E68" s="1">
        <v>0</v>
      </c>
      <c r="F68" s="1">
        <v>0</v>
      </c>
      <c r="G68" s="1">
        <v>100</v>
      </c>
      <c r="H68" s="1">
        <f>18/39</f>
        <v>0.46153846153846156</v>
      </c>
      <c r="I68" s="1">
        <f>2/39</f>
        <v>5.128205128205128E-2</v>
      </c>
      <c r="J68" s="1">
        <f>35/39</f>
        <v>0.89743589743589747</v>
      </c>
      <c r="K68" s="1">
        <v>0</v>
      </c>
      <c r="L68" s="1" t="s">
        <v>395</v>
      </c>
      <c r="M68" s="1" t="s">
        <v>394</v>
      </c>
      <c r="N68" s="1" t="s">
        <v>393</v>
      </c>
      <c r="O68" s="1" t="s">
        <v>392</v>
      </c>
      <c r="P68" s="1" t="s">
        <v>391</v>
      </c>
      <c r="Q68" s="1" t="s">
        <v>390</v>
      </c>
    </row>
    <row r="69" spans="1:17" ht="35" thickBot="1" x14ac:dyDescent="0.25">
      <c r="A69" s="13"/>
      <c r="B69" s="1">
        <v>52</v>
      </c>
      <c r="C69" s="1">
        <v>51.548387096774192</v>
      </c>
      <c r="D69" s="1">
        <f>30/46</f>
        <v>0.65217391304347827</v>
      </c>
      <c r="E69" s="1">
        <v>0</v>
      </c>
      <c r="F69" s="1">
        <v>0</v>
      </c>
      <c r="G69" s="1">
        <v>100</v>
      </c>
      <c r="H69" s="1">
        <f>17/31</f>
        <v>0.54838709677419351</v>
      </c>
      <c r="I69" s="1">
        <v>0</v>
      </c>
      <c r="J69" s="1">
        <v>100</v>
      </c>
      <c r="K69" s="1">
        <v>0</v>
      </c>
      <c r="L69" s="1" t="s">
        <v>389</v>
      </c>
      <c r="M69" s="1" t="s">
        <v>388</v>
      </c>
      <c r="N69" s="1" t="s">
        <v>387</v>
      </c>
      <c r="O69" s="1" t="s">
        <v>103</v>
      </c>
      <c r="P69" s="1" t="s">
        <v>386</v>
      </c>
      <c r="Q69" s="1" t="s">
        <v>385</v>
      </c>
    </row>
    <row r="70" spans="1:17" ht="35" thickBot="1" x14ac:dyDescent="0.25">
      <c r="A70" s="13"/>
      <c r="B70" s="1">
        <v>53</v>
      </c>
      <c r="C70" s="1">
        <v>57.941176470588232</v>
      </c>
      <c r="D70" s="1">
        <f>16/25</f>
        <v>0.64</v>
      </c>
      <c r="E70" s="1">
        <v>0</v>
      </c>
      <c r="F70" s="1">
        <v>0</v>
      </c>
      <c r="G70" s="1">
        <v>100</v>
      </c>
      <c r="H70" s="1">
        <f>7/17</f>
        <v>0.41176470588235292</v>
      </c>
      <c r="I70" s="1">
        <v>0</v>
      </c>
      <c r="J70" s="1">
        <f>16/17</f>
        <v>0.94117647058823528</v>
      </c>
      <c r="K70" s="1">
        <v>0</v>
      </c>
      <c r="L70" s="1" t="s">
        <v>384</v>
      </c>
      <c r="M70" s="1" t="s">
        <v>383</v>
      </c>
      <c r="N70" s="1" t="s">
        <v>382</v>
      </c>
      <c r="O70" s="1" t="s">
        <v>381</v>
      </c>
      <c r="P70" s="1" t="s">
        <v>380</v>
      </c>
      <c r="Q70" s="1" t="s">
        <v>379</v>
      </c>
    </row>
    <row r="71" spans="1:17" ht="35" thickBot="1" x14ac:dyDescent="0.25">
      <c r="A71" s="13"/>
      <c r="B71" s="1">
        <v>54</v>
      </c>
      <c r="C71" s="1">
        <v>49.565217391304351</v>
      </c>
      <c r="D71" s="1">
        <f>46/69</f>
        <v>0.66666666666666663</v>
      </c>
      <c r="E71" s="1">
        <v>0</v>
      </c>
      <c r="F71" s="1">
        <f>6/46</f>
        <v>0.13043478260869565</v>
      </c>
      <c r="G71" s="1">
        <f>40/46</f>
        <v>0.86956521739130432</v>
      </c>
      <c r="H71" s="1">
        <f>20/46</f>
        <v>0.43478260869565216</v>
      </c>
      <c r="I71" s="1">
        <f>6/46</f>
        <v>0.13043478260869565</v>
      </c>
      <c r="J71" s="1">
        <f>44/46</f>
        <v>0.95652173913043481</v>
      </c>
      <c r="K71" s="1">
        <f>5/46</f>
        <v>0.10869565217391304</v>
      </c>
      <c r="L71" s="1" t="s">
        <v>378</v>
      </c>
      <c r="M71" s="1" t="s">
        <v>377</v>
      </c>
      <c r="N71" s="1" t="s">
        <v>376</v>
      </c>
      <c r="O71" s="1" t="s">
        <v>375</v>
      </c>
      <c r="P71" s="1" t="s">
        <v>374</v>
      </c>
      <c r="Q71" s="1" t="s">
        <v>373</v>
      </c>
    </row>
    <row r="72" spans="1:17" ht="35" thickBot="1" x14ac:dyDescent="0.25">
      <c r="A72" s="13"/>
      <c r="B72" s="1">
        <v>55</v>
      </c>
      <c r="C72" s="1">
        <v>47.641025641025642</v>
      </c>
      <c r="D72" s="1">
        <f>38/58</f>
        <v>0.65517241379310343</v>
      </c>
      <c r="E72" s="1">
        <v>0</v>
      </c>
      <c r="F72" s="1">
        <v>0</v>
      </c>
      <c r="G72" s="1">
        <v>100</v>
      </c>
      <c r="H72" s="1">
        <f>22/39</f>
        <v>0.5641025641025641</v>
      </c>
      <c r="I72" s="1">
        <f>4/39</f>
        <v>0.10256410256410256</v>
      </c>
      <c r="J72" s="1">
        <f>33/39</f>
        <v>0.84615384615384615</v>
      </c>
      <c r="K72" s="1">
        <f>5/39</f>
        <v>0.12820512820512819</v>
      </c>
      <c r="L72" s="1" t="s">
        <v>372</v>
      </c>
      <c r="M72" s="1" t="s">
        <v>371</v>
      </c>
      <c r="N72" s="1" t="s">
        <v>370</v>
      </c>
      <c r="O72" s="1" t="s">
        <v>369</v>
      </c>
      <c r="P72" s="1" t="s">
        <v>368</v>
      </c>
      <c r="Q72" s="1" t="s">
        <v>19</v>
      </c>
    </row>
    <row r="73" spans="1:17" ht="35" thickBot="1" x14ac:dyDescent="0.25">
      <c r="A73" s="13"/>
      <c r="B73" s="1">
        <v>103</v>
      </c>
      <c r="C73" s="1">
        <v>50.974358974358971</v>
      </c>
      <c r="D73" s="1">
        <f>40/59</f>
        <v>0.67796610169491522</v>
      </c>
      <c r="E73" s="1">
        <v>0</v>
      </c>
      <c r="F73" s="1">
        <v>0</v>
      </c>
      <c r="G73" s="1">
        <v>100</v>
      </c>
      <c r="H73" s="1">
        <f>19/39</f>
        <v>0.48717948717948717</v>
      </c>
      <c r="I73" s="1">
        <f>4/39</f>
        <v>0.10256410256410256</v>
      </c>
      <c r="J73" s="1">
        <f>33/39</f>
        <v>0.84615384615384615</v>
      </c>
      <c r="K73" s="1">
        <f>4/39</f>
        <v>0.10256410256410256</v>
      </c>
      <c r="L73" s="1" t="s">
        <v>367</v>
      </c>
      <c r="M73" s="1" t="s">
        <v>366</v>
      </c>
      <c r="N73" s="1" t="s">
        <v>365</v>
      </c>
      <c r="O73" s="1" t="s">
        <v>364</v>
      </c>
      <c r="P73" s="1" t="s">
        <v>363</v>
      </c>
      <c r="Q73" s="1" t="s">
        <v>362</v>
      </c>
    </row>
    <row r="74" spans="1:17" ht="35" thickBot="1" x14ac:dyDescent="0.25">
      <c r="A74" s="13"/>
      <c r="B74" s="1">
        <v>104</v>
      </c>
      <c r="C74" s="1">
        <v>50.179487179487182</v>
      </c>
      <c r="D74" s="1">
        <f>38/58</f>
        <v>0.65517241379310343</v>
      </c>
      <c r="E74" s="1">
        <v>0</v>
      </c>
      <c r="F74" s="1">
        <v>0</v>
      </c>
      <c r="G74" s="1">
        <v>100</v>
      </c>
      <c r="H74" s="1">
        <f>16/39</f>
        <v>0.41025641025641024</v>
      </c>
      <c r="I74" s="1">
        <f>10/39</f>
        <v>0.25641025641025639</v>
      </c>
      <c r="J74" s="1">
        <f>32/39</f>
        <v>0.82051282051282048</v>
      </c>
      <c r="K74" s="1">
        <f>14/39</f>
        <v>0.35897435897435898</v>
      </c>
      <c r="L74" s="1" t="s">
        <v>361</v>
      </c>
      <c r="M74" s="1" t="s">
        <v>360</v>
      </c>
      <c r="N74" s="1" t="s">
        <v>359</v>
      </c>
      <c r="O74" s="1" t="s">
        <v>358</v>
      </c>
      <c r="P74" s="1" t="s">
        <v>74</v>
      </c>
      <c r="Q74" s="1" t="s">
        <v>357</v>
      </c>
    </row>
    <row r="75" spans="1:17" ht="35" thickBot="1" x14ac:dyDescent="0.25">
      <c r="A75" s="13"/>
      <c r="B75" s="1">
        <v>105</v>
      </c>
      <c r="C75" s="1">
        <v>53.733333333333334</v>
      </c>
      <c r="D75" s="1">
        <f>30/45</f>
        <v>0.66666666666666663</v>
      </c>
      <c r="E75" s="1">
        <v>0</v>
      </c>
      <c r="F75" s="1">
        <v>0</v>
      </c>
      <c r="G75" s="1">
        <v>100</v>
      </c>
      <c r="H75" s="1">
        <f>16/30</f>
        <v>0.53333333333333333</v>
      </c>
      <c r="I75" s="1">
        <f>1/30</f>
        <v>3.3333333333333333E-2</v>
      </c>
      <c r="J75" s="1">
        <f>28/30</f>
        <v>0.93333333333333335</v>
      </c>
      <c r="K75" s="1">
        <f>4/30</f>
        <v>0.13333333333333333</v>
      </c>
      <c r="L75" s="1" t="s">
        <v>356</v>
      </c>
      <c r="M75" s="1" t="s">
        <v>355</v>
      </c>
      <c r="N75" s="1" t="s">
        <v>354</v>
      </c>
      <c r="O75" s="1" t="s">
        <v>353</v>
      </c>
      <c r="P75" s="1" t="s">
        <v>352</v>
      </c>
      <c r="Q75" s="1" t="s">
        <v>351</v>
      </c>
    </row>
    <row r="76" spans="1:17" ht="35" thickBot="1" x14ac:dyDescent="0.25">
      <c r="A76" s="14"/>
      <c r="B76" s="1">
        <v>120</v>
      </c>
      <c r="C76" s="1">
        <v>56.133333333333333</v>
      </c>
      <c r="D76" s="1">
        <f>32/46</f>
        <v>0.69565217391304346</v>
      </c>
      <c r="E76" s="1">
        <v>0</v>
      </c>
      <c r="F76" s="1">
        <v>0</v>
      </c>
      <c r="G76" s="1">
        <f>27/30</f>
        <v>0.9</v>
      </c>
      <c r="H76" s="1">
        <f>12/30</f>
        <v>0.4</v>
      </c>
      <c r="I76" s="1">
        <f>2/30</f>
        <v>6.6666666666666666E-2</v>
      </c>
      <c r="J76" s="1">
        <f>20/30</f>
        <v>0.66666666666666663</v>
      </c>
      <c r="K76" s="1">
        <f>2/30</f>
        <v>6.6666666666666666E-2</v>
      </c>
      <c r="L76" s="1" t="s">
        <v>350</v>
      </c>
      <c r="M76" s="1" t="s">
        <v>349</v>
      </c>
      <c r="N76" s="1" t="s">
        <v>348</v>
      </c>
      <c r="O76" s="1" t="s">
        <v>347</v>
      </c>
      <c r="P76" s="1" t="s">
        <v>346</v>
      </c>
      <c r="Q76" s="1" t="s">
        <v>345</v>
      </c>
    </row>
    <row r="77" spans="1:17" ht="35" thickBot="1" x14ac:dyDescent="0.25">
      <c r="A77" s="12" t="s">
        <v>344</v>
      </c>
      <c r="B77" s="1">
        <v>56</v>
      </c>
      <c r="C77" s="1">
        <v>36.39473684210526</v>
      </c>
      <c r="D77" s="1">
        <f>38/57</f>
        <v>0.66666666666666663</v>
      </c>
      <c r="E77" s="1">
        <v>0</v>
      </c>
      <c r="F77" s="1">
        <f>5/38</f>
        <v>0.13157894736842105</v>
      </c>
      <c r="G77" s="1">
        <f>37/38</f>
        <v>0.97368421052631582</v>
      </c>
      <c r="H77" s="1">
        <f>18/38</f>
        <v>0.47368421052631576</v>
      </c>
      <c r="I77" s="1">
        <f>8/38</f>
        <v>0.21052631578947367</v>
      </c>
      <c r="J77" s="1">
        <f>31/38</f>
        <v>0.81578947368421051</v>
      </c>
      <c r="K77" s="1">
        <f>16/38</f>
        <v>0.42105263157894735</v>
      </c>
      <c r="L77" s="1" t="s">
        <v>343</v>
      </c>
      <c r="M77" s="1" t="s">
        <v>342</v>
      </c>
      <c r="N77" s="1" t="s">
        <v>341</v>
      </c>
      <c r="O77" s="1" t="s">
        <v>340</v>
      </c>
      <c r="P77" s="1" t="s">
        <v>80</v>
      </c>
      <c r="Q77" s="1" t="s">
        <v>339</v>
      </c>
    </row>
    <row r="78" spans="1:17" ht="35" thickBot="1" x14ac:dyDescent="0.25">
      <c r="A78" s="13"/>
      <c r="B78" s="1">
        <v>57</v>
      </c>
      <c r="C78" s="1">
        <v>36.25</v>
      </c>
      <c r="D78" s="1">
        <f>44/62</f>
        <v>0.70967741935483875</v>
      </c>
      <c r="E78" s="1">
        <v>0</v>
      </c>
      <c r="F78" s="1">
        <f>2/40</f>
        <v>0.05</v>
      </c>
      <c r="G78" s="1">
        <f>38/40</f>
        <v>0.95</v>
      </c>
      <c r="H78" s="1">
        <f>21/40</f>
        <v>0.52500000000000002</v>
      </c>
      <c r="I78" s="1">
        <f>3/40</f>
        <v>7.4999999999999997E-2</v>
      </c>
      <c r="J78" s="1">
        <f>33/40</f>
        <v>0.82499999999999996</v>
      </c>
      <c r="K78" s="1">
        <f>23/40</f>
        <v>0.57499999999999996</v>
      </c>
      <c r="L78" s="1" t="s">
        <v>338</v>
      </c>
      <c r="M78" s="1" t="s">
        <v>337</v>
      </c>
      <c r="N78" s="1" t="s">
        <v>336</v>
      </c>
      <c r="O78" s="1" t="s">
        <v>335</v>
      </c>
      <c r="P78" s="1" t="s">
        <v>197</v>
      </c>
      <c r="Q78" s="1" t="s">
        <v>126</v>
      </c>
    </row>
    <row r="79" spans="1:17" ht="35" thickBot="1" x14ac:dyDescent="0.25">
      <c r="A79" s="13"/>
      <c r="B79" s="1">
        <v>58</v>
      </c>
      <c r="C79" s="1">
        <v>39.31707317073171</v>
      </c>
      <c r="D79" s="1">
        <f>44/63</f>
        <v>0.69841269841269837</v>
      </c>
      <c r="E79" s="1">
        <v>0</v>
      </c>
      <c r="F79" s="1">
        <f>1/41</f>
        <v>2.4390243902439025E-2</v>
      </c>
      <c r="G79" s="1">
        <f>35/41</f>
        <v>0.85365853658536583</v>
      </c>
      <c r="H79" s="1">
        <f>21/41</f>
        <v>0.51219512195121952</v>
      </c>
      <c r="I79" s="1">
        <f>8/41</f>
        <v>0.1951219512195122</v>
      </c>
      <c r="J79" s="1">
        <f>33/41</f>
        <v>0.80487804878048785</v>
      </c>
      <c r="K79" s="1">
        <f>11/41</f>
        <v>0.26829268292682928</v>
      </c>
      <c r="L79" s="1" t="s">
        <v>334</v>
      </c>
      <c r="M79" s="1" t="s">
        <v>333</v>
      </c>
      <c r="N79" s="1" t="s">
        <v>332</v>
      </c>
      <c r="O79" s="1" t="s">
        <v>331</v>
      </c>
      <c r="P79" s="1" t="s">
        <v>330</v>
      </c>
      <c r="Q79" s="1" t="s">
        <v>329</v>
      </c>
    </row>
    <row r="80" spans="1:17" ht="35" thickBot="1" x14ac:dyDescent="0.25">
      <c r="A80" s="13"/>
      <c r="B80" s="1">
        <v>59</v>
      </c>
      <c r="C80" s="1">
        <v>32.351351351351354</v>
      </c>
      <c r="D80" s="1">
        <f>38/56</f>
        <v>0.6785714285714286</v>
      </c>
      <c r="E80" s="1">
        <v>0</v>
      </c>
      <c r="F80" s="1">
        <f>17/37</f>
        <v>0.45945945945945948</v>
      </c>
      <c r="G80" s="1">
        <f>16/37</f>
        <v>0.43243243243243246</v>
      </c>
      <c r="H80" s="1">
        <f>15/37</f>
        <v>0.40540540540540543</v>
      </c>
      <c r="I80" s="1">
        <f>17/37</f>
        <v>0.45945945945945948</v>
      </c>
      <c r="J80" s="1">
        <f>36/37</f>
        <v>0.97297297297297303</v>
      </c>
      <c r="K80" s="1">
        <f>16/37</f>
        <v>0.43243243243243246</v>
      </c>
      <c r="L80" s="1" t="s">
        <v>328</v>
      </c>
      <c r="M80" s="1" t="s">
        <v>327</v>
      </c>
      <c r="N80" s="1" t="s">
        <v>326</v>
      </c>
      <c r="O80" s="1" t="s">
        <v>325</v>
      </c>
      <c r="P80" s="1" t="s">
        <v>13</v>
      </c>
      <c r="Q80" s="1" t="s">
        <v>324</v>
      </c>
    </row>
    <row r="81" spans="1:17" ht="18" thickBot="1" x14ac:dyDescent="0.25">
      <c r="A81" s="13"/>
      <c r="B81" s="1">
        <v>60</v>
      </c>
      <c r="C81" s="1">
        <v>37.589743589743591</v>
      </c>
      <c r="D81" s="1">
        <f>40/59</f>
        <v>0.67796610169491522</v>
      </c>
      <c r="E81" s="1">
        <v>0</v>
      </c>
      <c r="F81" s="1">
        <f>2/39</f>
        <v>5.128205128205128E-2</v>
      </c>
      <c r="G81" s="1">
        <f>34/39</f>
        <v>0.87179487179487181</v>
      </c>
      <c r="H81" s="1">
        <f>20/39</f>
        <v>0.51282051282051277</v>
      </c>
      <c r="I81" s="1">
        <f>9/39</f>
        <v>0.23076923076923078</v>
      </c>
      <c r="J81" s="1">
        <f>32/39</f>
        <v>0.82051282051282048</v>
      </c>
      <c r="K81" s="1">
        <f>21/39</f>
        <v>0.53846153846153844</v>
      </c>
      <c r="L81" s="1" t="s">
        <v>323</v>
      </c>
      <c r="M81" s="1" t="s">
        <v>322</v>
      </c>
      <c r="N81" s="1" t="s">
        <v>321</v>
      </c>
      <c r="O81" s="1" t="s">
        <v>320</v>
      </c>
      <c r="P81" s="1" t="s">
        <v>319</v>
      </c>
      <c r="Q81" s="1" t="s">
        <v>318</v>
      </c>
    </row>
    <row r="82" spans="1:17" ht="35" thickBot="1" x14ac:dyDescent="0.25">
      <c r="A82" s="13"/>
      <c r="B82" s="1">
        <v>121</v>
      </c>
      <c r="C82" s="1">
        <v>40.027027027027025</v>
      </c>
      <c r="D82" s="1">
        <f>38/56</f>
        <v>0.6785714285714286</v>
      </c>
      <c r="E82" s="1">
        <v>0</v>
      </c>
      <c r="F82" s="1">
        <f>3/37</f>
        <v>8.1081081081081086E-2</v>
      </c>
      <c r="G82" s="1">
        <f>33/37</f>
        <v>0.89189189189189189</v>
      </c>
      <c r="H82" s="1">
        <f>19/37</f>
        <v>0.51351351351351349</v>
      </c>
      <c r="I82" s="1">
        <f>5/37</f>
        <v>0.13513513513513514</v>
      </c>
      <c r="J82" s="1">
        <f>36/37</f>
        <v>0.97297297297297303</v>
      </c>
      <c r="K82" s="1">
        <f>16/37</f>
        <v>0.43243243243243246</v>
      </c>
      <c r="L82" s="1" t="s">
        <v>317</v>
      </c>
      <c r="M82" s="1" t="s">
        <v>316</v>
      </c>
      <c r="N82" s="1" t="s">
        <v>315</v>
      </c>
      <c r="O82" s="1" t="s">
        <v>314</v>
      </c>
      <c r="P82" s="1" t="s">
        <v>80</v>
      </c>
      <c r="Q82" s="1" t="s">
        <v>313</v>
      </c>
    </row>
    <row r="83" spans="1:17" ht="35" thickBot="1" x14ac:dyDescent="0.25">
      <c r="A83" s="14"/>
      <c r="B83" s="1">
        <v>124</v>
      </c>
      <c r="C83" s="1">
        <v>36.108108108108105</v>
      </c>
      <c r="D83" s="1">
        <f>36/55</f>
        <v>0.65454545454545454</v>
      </c>
      <c r="E83" s="1">
        <v>0</v>
      </c>
      <c r="F83" s="1">
        <f>8/37</f>
        <v>0.21621621621621623</v>
      </c>
      <c r="G83" s="1">
        <f>27/37</f>
        <v>0.72972972972972971</v>
      </c>
      <c r="H83" s="1">
        <f>20/37</f>
        <v>0.54054054054054057</v>
      </c>
      <c r="I83" s="1">
        <f>11/37</f>
        <v>0.29729729729729731</v>
      </c>
      <c r="J83" s="1">
        <f>35/37</f>
        <v>0.94594594594594594</v>
      </c>
      <c r="K83" s="1">
        <f>16/37</f>
        <v>0.43243243243243246</v>
      </c>
      <c r="L83" s="1" t="s">
        <v>312</v>
      </c>
      <c r="M83" s="1" t="s">
        <v>311</v>
      </c>
      <c r="N83" s="1" t="s">
        <v>310</v>
      </c>
      <c r="O83" s="1" t="s">
        <v>309</v>
      </c>
      <c r="P83" s="1" t="s">
        <v>308</v>
      </c>
      <c r="Q83" s="1" t="s">
        <v>307</v>
      </c>
    </row>
    <row r="84" spans="1:17" ht="35" thickBot="1" x14ac:dyDescent="0.25">
      <c r="A84" s="12" t="s">
        <v>306</v>
      </c>
      <c r="B84" s="1">
        <v>61</v>
      </c>
      <c r="C84" s="1">
        <v>39.05263157894737</v>
      </c>
      <c r="D84" s="1">
        <f>36/56</f>
        <v>0.6428571428571429</v>
      </c>
      <c r="E84" s="1">
        <f>13/51</f>
        <v>0.25490196078431371</v>
      </c>
      <c r="F84" s="1">
        <f>13/38</f>
        <v>0.34210526315789475</v>
      </c>
      <c r="G84" s="1">
        <f>30/38</f>
        <v>0.78947368421052633</v>
      </c>
      <c r="H84" s="1">
        <f>23/38</f>
        <v>0.60526315789473684</v>
      </c>
      <c r="I84" s="1">
        <f>28/38</f>
        <v>0.73684210526315785</v>
      </c>
      <c r="J84" s="1">
        <f>36/38</f>
        <v>0.94736842105263153</v>
      </c>
      <c r="K84" s="1">
        <f>4/38</f>
        <v>0.10526315789473684</v>
      </c>
      <c r="L84" s="1" t="s">
        <v>305</v>
      </c>
      <c r="M84" s="1" t="s">
        <v>304</v>
      </c>
      <c r="N84" s="1" t="s">
        <v>303</v>
      </c>
      <c r="O84" s="1" t="s">
        <v>302</v>
      </c>
      <c r="P84" s="1" t="s">
        <v>250</v>
      </c>
      <c r="Q84" s="1" t="s">
        <v>301</v>
      </c>
    </row>
    <row r="85" spans="1:17" ht="35" thickBot="1" x14ac:dyDescent="0.25">
      <c r="A85" s="13"/>
      <c r="B85" s="1">
        <v>62</v>
      </c>
      <c r="C85" s="1">
        <v>42.384615384615387</v>
      </c>
      <c r="D85" s="1">
        <f>38/58</f>
        <v>0.65517241379310343</v>
      </c>
      <c r="E85" s="1">
        <v>0</v>
      </c>
      <c r="F85" s="1">
        <f>6/39</f>
        <v>0.15384615384615385</v>
      </c>
      <c r="G85" s="1">
        <f>35/39</f>
        <v>0.89743589743589747</v>
      </c>
      <c r="H85" s="1">
        <f>20/39</f>
        <v>0.51282051282051277</v>
      </c>
      <c r="I85" s="1">
        <f>8/39</f>
        <v>0.20512820512820512</v>
      </c>
      <c r="J85" s="1">
        <f>37/39</f>
        <v>0.94871794871794868</v>
      </c>
      <c r="K85" s="1">
        <f>3/39</f>
        <v>7.6923076923076927E-2</v>
      </c>
      <c r="L85" s="1" t="s">
        <v>300</v>
      </c>
      <c r="M85" s="1" t="s">
        <v>299</v>
      </c>
      <c r="N85" s="1" t="s">
        <v>298</v>
      </c>
      <c r="O85" s="1" t="s">
        <v>297</v>
      </c>
      <c r="P85" s="1" t="s">
        <v>296</v>
      </c>
      <c r="Q85" s="1" t="s">
        <v>295</v>
      </c>
    </row>
    <row r="86" spans="1:17" ht="18" thickBot="1" x14ac:dyDescent="0.25">
      <c r="A86" s="13"/>
      <c r="B86" s="1">
        <v>63</v>
      </c>
      <c r="C86" s="1">
        <v>56.083333333333336</v>
      </c>
      <c r="D86" s="1">
        <f>12/18</f>
        <v>0.66666666666666663</v>
      </c>
      <c r="E86" s="1">
        <v>0</v>
      </c>
      <c r="F86" s="1">
        <v>0</v>
      </c>
      <c r="G86" s="1">
        <f>10/12</f>
        <v>0.83333333333333337</v>
      </c>
      <c r="H86" s="1">
        <f>5/12</f>
        <v>0.41666666666666669</v>
      </c>
      <c r="I86" s="1">
        <v>0</v>
      </c>
      <c r="J86" s="1">
        <v>100</v>
      </c>
      <c r="K86" s="1">
        <v>0</v>
      </c>
      <c r="L86" s="1" t="s">
        <v>294</v>
      </c>
      <c r="M86" s="1" t="s">
        <v>293</v>
      </c>
      <c r="N86" s="1" t="s">
        <v>292</v>
      </c>
      <c r="O86" s="1" t="s">
        <v>291</v>
      </c>
      <c r="P86" s="1" t="s">
        <v>290</v>
      </c>
      <c r="Q86" s="1" t="s">
        <v>289</v>
      </c>
    </row>
    <row r="87" spans="1:17" ht="35" thickBot="1" x14ac:dyDescent="0.25">
      <c r="A87" s="13"/>
      <c r="B87" s="1">
        <v>64</v>
      </c>
      <c r="C87" s="1">
        <v>45.864864864864863</v>
      </c>
      <c r="D87" s="1">
        <f>36/55</f>
        <v>0.65454545454545454</v>
      </c>
      <c r="E87" s="1">
        <v>0</v>
      </c>
      <c r="F87" s="1">
        <v>0</v>
      </c>
      <c r="G87" s="1">
        <f>36/37</f>
        <v>0.97297297297297303</v>
      </c>
      <c r="H87" s="1">
        <f>15/37</f>
        <v>0.40540540540540543</v>
      </c>
      <c r="I87" s="1">
        <f>6/37</f>
        <v>0.16216216216216217</v>
      </c>
      <c r="J87" s="1">
        <f>29/37</f>
        <v>0.78378378378378377</v>
      </c>
      <c r="K87" s="1">
        <v>0</v>
      </c>
      <c r="L87" s="1" t="s">
        <v>288</v>
      </c>
      <c r="M87" s="1" t="s">
        <v>287</v>
      </c>
      <c r="N87" s="1" t="s">
        <v>286</v>
      </c>
      <c r="O87" s="1" t="s">
        <v>285</v>
      </c>
      <c r="P87" s="1" t="s">
        <v>284</v>
      </c>
      <c r="Q87" s="1" t="s">
        <v>155</v>
      </c>
    </row>
    <row r="88" spans="1:17" ht="35" thickBot="1" x14ac:dyDescent="0.25">
      <c r="A88" s="13"/>
      <c r="B88" s="1">
        <v>65</v>
      </c>
      <c r="C88" s="1">
        <v>38.666666666666664</v>
      </c>
      <c r="D88" s="1">
        <f>16/23</f>
        <v>0.69565217391304346</v>
      </c>
      <c r="E88" s="1">
        <v>0</v>
      </c>
      <c r="F88" s="1">
        <f>4/15</f>
        <v>0.26666666666666666</v>
      </c>
      <c r="G88" s="1">
        <f>12/15</f>
        <v>0.8</v>
      </c>
      <c r="H88" s="1">
        <f>7/15</f>
        <v>0.46666666666666667</v>
      </c>
      <c r="I88" s="1">
        <f>4/15</f>
        <v>0.26666666666666666</v>
      </c>
      <c r="J88" s="1">
        <f>14/15</f>
        <v>0.93333333333333335</v>
      </c>
      <c r="K88" s="1">
        <f>2/15</f>
        <v>0.13333333333333333</v>
      </c>
      <c r="L88" s="1" t="s">
        <v>283</v>
      </c>
      <c r="M88" s="1" t="s">
        <v>282</v>
      </c>
      <c r="N88" s="1" t="s">
        <v>281</v>
      </c>
      <c r="O88" s="1" t="s">
        <v>280</v>
      </c>
      <c r="P88" s="1" t="s">
        <v>279</v>
      </c>
      <c r="Q88" s="1" t="s">
        <v>278</v>
      </c>
    </row>
    <row r="89" spans="1:17" ht="35" thickBot="1" x14ac:dyDescent="0.25">
      <c r="A89" s="13"/>
      <c r="B89" s="1">
        <v>107</v>
      </c>
      <c r="C89" s="1">
        <v>38.860465116279073</v>
      </c>
      <c r="D89" s="1">
        <f>44/65</f>
        <v>0.67692307692307696</v>
      </c>
      <c r="E89" s="1">
        <v>0</v>
      </c>
      <c r="F89" s="1">
        <f>3/43</f>
        <v>6.9767441860465115E-2</v>
      </c>
      <c r="G89" s="1">
        <f>40/43</f>
        <v>0.93023255813953487</v>
      </c>
      <c r="H89" s="1">
        <f>18/43</f>
        <v>0.41860465116279072</v>
      </c>
      <c r="I89" s="1">
        <f>8/43</f>
        <v>0.18604651162790697</v>
      </c>
      <c r="J89" s="1">
        <f>41/43</f>
        <v>0.95348837209302328</v>
      </c>
      <c r="K89" s="1">
        <v>0</v>
      </c>
      <c r="L89" s="1" t="s">
        <v>277</v>
      </c>
      <c r="M89" s="1" t="s">
        <v>276</v>
      </c>
      <c r="N89" s="1" t="s">
        <v>275</v>
      </c>
      <c r="O89" s="1" t="s">
        <v>274</v>
      </c>
      <c r="P89" s="1" t="s">
        <v>13</v>
      </c>
      <c r="Q89" s="1" t="s">
        <v>273</v>
      </c>
    </row>
    <row r="90" spans="1:17" ht="35" thickBot="1" x14ac:dyDescent="0.25">
      <c r="A90" s="13"/>
      <c r="B90" s="1">
        <v>109</v>
      </c>
      <c r="C90" s="1">
        <v>42.548387096774192</v>
      </c>
      <c r="D90" s="1">
        <f>64/94</f>
        <v>0.68085106382978722</v>
      </c>
      <c r="E90" s="1">
        <f>1/62</f>
        <v>1.6129032258064516E-2</v>
      </c>
      <c r="F90" s="1">
        <f>11/62</f>
        <v>0.17741935483870969</v>
      </c>
      <c r="G90" s="1">
        <f>49/62</f>
        <v>0.79032258064516125</v>
      </c>
      <c r="H90" s="1">
        <f>27/62</f>
        <v>0.43548387096774194</v>
      </c>
      <c r="I90" s="1">
        <f>12/62</f>
        <v>0.19354838709677419</v>
      </c>
      <c r="J90" s="1">
        <f>52/62</f>
        <v>0.83870967741935487</v>
      </c>
      <c r="K90" s="1">
        <f>7/62</f>
        <v>0.11290322580645161</v>
      </c>
      <c r="L90" s="1" t="s">
        <v>272</v>
      </c>
      <c r="M90" s="1" t="s">
        <v>271</v>
      </c>
      <c r="N90" s="1" t="s">
        <v>270</v>
      </c>
      <c r="O90" s="1" t="s">
        <v>269</v>
      </c>
      <c r="P90" s="1" t="s">
        <v>268</v>
      </c>
      <c r="Q90" s="1" t="s">
        <v>267</v>
      </c>
    </row>
    <row r="91" spans="1:17" ht="35" thickBot="1" x14ac:dyDescent="0.25">
      <c r="A91" s="13"/>
      <c r="B91" s="1">
        <v>122</v>
      </c>
      <c r="C91" s="1">
        <v>41.674999999999997</v>
      </c>
      <c r="D91" s="1">
        <f>40/60</f>
        <v>0.66666666666666663</v>
      </c>
      <c r="E91" s="1">
        <f>2/40</f>
        <v>0.05</v>
      </c>
      <c r="F91" s="1">
        <f>1/40</f>
        <v>2.5000000000000001E-2</v>
      </c>
      <c r="G91" s="1">
        <v>100</v>
      </c>
      <c r="H91" s="1">
        <f>19/40</f>
        <v>0.47499999999999998</v>
      </c>
      <c r="I91" s="1">
        <f>4/40</f>
        <v>0.1</v>
      </c>
      <c r="J91" s="1">
        <f>33/40</f>
        <v>0.82499999999999996</v>
      </c>
      <c r="K91" s="1">
        <f>8/40</f>
        <v>0.2</v>
      </c>
      <c r="L91" s="1" t="s">
        <v>266</v>
      </c>
      <c r="M91" s="1" t="s">
        <v>265</v>
      </c>
      <c r="N91" s="1" t="s">
        <v>264</v>
      </c>
      <c r="O91" s="1" t="s">
        <v>263</v>
      </c>
      <c r="P91" s="1" t="s">
        <v>262</v>
      </c>
      <c r="Q91" s="1" t="s">
        <v>114</v>
      </c>
    </row>
    <row r="92" spans="1:17" ht="35" thickBot="1" x14ac:dyDescent="0.25">
      <c r="A92" s="14"/>
      <c r="B92" s="1">
        <v>136</v>
      </c>
      <c r="C92" s="1">
        <v>43</v>
      </c>
      <c r="D92" s="1">
        <f>32/49</f>
        <v>0.65306122448979587</v>
      </c>
      <c r="E92" s="1">
        <v>0</v>
      </c>
      <c r="F92" s="1">
        <v>0</v>
      </c>
      <c r="G92" s="1">
        <f>30/33</f>
        <v>0.90909090909090906</v>
      </c>
      <c r="H92" s="1">
        <f>16/33</f>
        <v>0.48484848484848486</v>
      </c>
      <c r="I92" s="1">
        <f>5/33</f>
        <v>0.15151515151515152</v>
      </c>
      <c r="J92" s="1">
        <f>28/33</f>
        <v>0.84848484848484851</v>
      </c>
      <c r="K92" s="1">
        <f>9/33</f>
        <v>0.27272727272727271</v>
      </c>
      <c r="L92" s="1" t="s">
        <v>261</v>
      </c>
      <c r="M92" s="1" t="s">
        <v>260</v>
      </c>
      <c r="N92" s="1" t="s">
        <v>259</v>
      </c>
      <c r="O92" s="1" t="s">
        <v>258</v>
      </c>
      <c r="P92" s="1" t="s">
        <v>257</v>
      </c>
      <c r="Q92" s="1" t="s">
        <v>256</v>
      </c>
    </row>
    <row r="93" spans="1:17" ht="35" thickBot="1" x14ac:dyDescent="0.25">
      <c r="A93" s="12" t="s">
        <v>255</v>
      </c>
      <c r="B93" s="1">
        <v>66</v>
      </c>
      <c r="C93" s="1">
        <v>41.230769230769234</v>
      </c>
      <c r="D93" s="1">
        <f>38/58</f>
        <v>0.65517241379310343</v>
      </c>
      <c r="E93" s="1">
        <f>1/39</f>
        <v>2.564102564102564E-2</v>
      </c>
      <c r="F93" s="1">
        <f>2/39</f>
        <v>5.128205128205128E-2</v>
      </c>
      <c r="G93" s="1">
        <f>35/39</f>
        <v>0.89743589743589747</v>
      </c>
      <c r="H93" s="1">
        <f>19/39</f>
        <v>0.48717948717948717</v>
      </c>
      <c r="I93" s="1">
        <f>16/39</f>
        <v>0.41025641025641024</v>
      </c>
      <c r="J93" s="1">
        <f>36/39</f>
        <v>0.92307692307692313</v>
      </c>
      <c r="K93" s="1">
        <f>30/39</f>
        <v>0.76923076923076927</v>
      </c>
      <c r="L93" s="1" t="s">
        <v>254</v>
      </c>
      <c r="M93" s="1" t="s">
        <v>253</v>
      </c>
      <c r="N93" s="1" t="s">
        <v>252</v>
      </c>
      <c r="O93" s="1" t="s">
        <v>251</v>
      </c>
      <c r="P93" s="1" t="s">
        <v>250</v>
      </c>
      <c r="Q93" s="1" t="s">
        <v>249</v>
      </c>
    </row>
    <row r="94" spans="1:17" ht="35" thickBot="1" x14ac:dyDescent="0.25">
      <c r="A94" s="13"/>
      <c r="B94" s="1">
        <v>67</v>
      </c>
      <c r="C94" s="1">
        <v>39.450000000000003</v>
      </c>
      <c r="D94" s="1">
        <f>40/60</f>
        <v>0.66666666666666663</v>
      </c>
      <c r="E94" s="1">
        <f>2/40</f>
        <v>0.05</v>
      </c>
      <c r="F94" s="1">
        <f>10/40</f>
        <v>0.25</v>
      </c>
      <c r="G94" s="1">
        <f>28/40</f>
        <v>0.7</v>
      </c>
      <c r="H94" s="1">
        <f>20/40</f>
        <v>0.5</v>
      </c>
      <c r="I94" s="1">
        <f>17/40</f>
        <v>0.42499999999999999</v>
      </c>
      <c r="J94" s="1">
        <f>39/40</f>
        <v>0.97499999999999998</v>
      </c>
      <c r="K94" s="1">
        <f>17/40</f>
        <v>0.42499999999999999</v>
      </c>
      <c r="L94" s="1" t="s">
        <v>248</v>
      </c>
      <c r="M94" s="1" t="s">
        <v>247</v>
      </c>
      <c r="N94" s="1" t="s">
        <v>246</v>
      </c>
      <c r="O94" s="1" t="s">
        <v>245</v>
      </c>
      <c r="P94" s="1" t="s">
        <v>25</v>
      </c>
      <c r="Q94" s="1" t="s">
        <v>244</v>
      </c>
    </row>
    <row r="95" spans="1:17" ht="35" thickBot="1" x14ac:dyDescent="0.25">
      <c r="A95" s="13"/>
      <c r="B95" s="1">
        <v>68</v>
      </c>
      <c r="C95" s="1">
        <v>39.225000000000001</v>
      </c>
      <c r="D95" s="1">
        <f>40/60</f>
        <v>0.66666666666666663</v>
      </c>
      <c r="E95" s="1">
        <v>0</v>
      </c>
      <c r="F95" s="1">
        <f>10/40</f>
        <v>0.25</v>
      </c>
      <c r="G95" s="1">
        <f>26/40</f>
        <v>0.65</v>
      </c>
      <c r="H95" s="1">
        <f>20/40</f>
        <v>0.5</v>
      </c>
      <c r="I95" s="1">
        <f>13/40</f>
        <v>0.32500000000000001</v>
      </c>
      <c r="J95" s="1">
        <f>34/40</f>
        <v>0.85</v>
      </c>
      <c r="K95" s="1">
        <f>18/40</f>
        <v>0.45</v>
      </c>
      <c r="L95" s="1" t="s">
        <v>243</v>
      </c>
      <c r="M95" s="1" t="s">
        <v>242</v>
      </c>
      <c r="N95" s="1" t="s">
        <v>241</v>
      </c>
      <c r="O95" s="1" t="s">
        <v>240</v>
      </c>
      <c r="P95" s="1" t="s">
        <v>239</v>
      </c>
      <c r="Q95" s="1" t="s">
        <v>238</v>
      </c>
    </row>
    <row r="96" spans="1:17" ht="35" thickBot="1" x14ac:dyDescent="0.25">
      <c r="A96" s="13"/>
      <c r="B96" s="1">
        <v>69</v>
      </c>
      <c r="C96" s="1">
        <v>39.567567567567565</v>
      </c>
      <c r="D96" s="1">
        <f>36/55</f>
        <v>0.65454545454545454</v>
      </c>
      <c r="E96" s="1">
        <v>0</v>
      </c>
      <c r="F96" s="1">
        <f>5/37</f>
        <v>0.13513513513513514</v>
      </c>
      <c r="G96" s="1">
        <f>33/37</f>
        <v>0.89189189189189189</v>
      </c>
      <c r="H96" s="1">
        <f>21/37</f>
        <v>0.56756756756756754</v>
      </c>
      <c r="I96" s="1">
        <f>11/37</f>
        <v>0.29729729729729731</v>
      </c>
      <c r="J96" s="1">
        <f>35/37</f>
        <v>0.94594594594594594</v>
      </c>
      <c r="K96" s="1">
        <f>16/37</f>
        <v>0.43243243243243246</v>
      </c>
      <c r="L96" s="1" t="s">
        <v>237</v>
      </c>
      <c r="M96" s="1" t="s">
        <v>236</v>
      </c>
      <c r="N96" s="1" t="s">
        <v>235</v>
      </c>
      <c r="O96" s="1" t="s">
        <v>234</v>
      </c>
      <c r="P96" s="1" t="s">
        <v>233</v>
      </c>
      <c r="Q96" s="1" t="s">
        <v>232</v>
      </c>
    </row>
    <row r="97" spans="1:17" ht="35" thickBot="1" x14ac:dyDescent="0.25">
      <c r="A97" s="13"/>
      <c r="B97" s="1">
        <v>70</v>
      </c>
      <c r="C97" s="1">
        <v>38.333333333333336</v>
      </c>
      <c r="D97" s="1">
        <f>36/54</f>
        <v>0.66666666666666663</v>
      </c>
      <c r="E97" s="1">
        <v>0</v>
      </c>
      <c r="F97" s="1">
        <f>9/36</f>
        <v>0.25</v>
      </c>
      <c r="G97" s="1">
        <f>32/36</f>
        <v>0.88888888888888884</v>
      </c>
      <c r="H97" s="1">
        <f>24/36</f>
        <v>0.66666666666666663</v>
      </c>
      <c r="I97" s="1">
        <f>15/36</f>
        <v>0.41666666666666669</v>
      </c>
      <c r="J97" s="1">
        <f>34/36</f>
        <v>0.94444444444444442</v>
      </c>
      <c r="K97" s="1">
        <f>22/36</f>
        <v>0.61111111111111116</v>
      </c>
      <c r="L97" s="1" t="s">
        <v>231</v>
      </c>
      <c r="M97" s="1" t="s">
        <v>230</v>
      </c>
      <c r="N97" s="1" t="s">
        <v>229</v>
      </c>
      <c r="O97" s="1" t="s">
        <v>228</v>
      </c>
      <c r="P97" s="1" t="s">
        <v>101</v>
      </c>
      <c r="Q97" s="1" t="s">
        <v>227</v>
      </c>
    </row>
    <row r="98" spans="1:17" ht="35" thickBot="1" x14ac:dyDescent="0.25">
      <c r="A98" s="14"/>
      <c r="B98" s="1">
        <v>123</v>
      </c>
      <c r="C98" s="1">
        <v>36.827586206896555</v>
      </c>
      <c r="D98" s="1">
        <f>28/43</f>
        <v>0.65116279069767447</v>
      </c>
      <c r="E98" s="1">
        <f>5/29</f>
        <v>0.17241379310344829</v>
      </c>
      <c r="F98" s="1">
        <f>24/29</f>
        <v>0.82758620689655171</v>
      </c>
      <c r="G98" s="1">
        <v>0</v>
      </c>
      <c r="H98" s="1">
        <f>17/29</f>
        <v>0.58620689655172409</v>
      </c>
      <c r="I98" s="1">
        <f>8/29</f>
        <v>0.27586206896551724</v>
      </c>
      <c r="J98" s="1">
        <f>28/29</f>
        <v>0.96551724137931039</v>
      </c>
      <c r="K98" s="1">
        <f>17/29</f>
        <v>0.58620689655172409</v>
      </c>
      <c r="L98" s="1" t="s">
        <v>226</v>
      </c>
      <c r="M98" s="1" t="s">
        <v>225</v>
      </c>
      <c r="N98" s="1" t="s">
        <v>224</v>
      </c>
      <c r="O98" s="1" t="s">
        <v>223</v>
      </c>
      <c r="P98" s="1" t="s">
        <v>222</v>
      </c>
      <c r="Q98" s="1" t="s">
        <v>221</v>
      </c>
    </row>
    <row r="99" spans="1:17" ht="35" thickBot="1" x14ac:dyDescent="0.25">
      <c r="A99" s="12" t="s">
        <v>220</v>
      </c>
      <c r="B99" s="1">
        <v>71</v>
      </c>
      <c r="C99" s="1">
        <v>48.704545454545453</v>
      </c>
      <c r="D99" s="1">
        <f>42/65</f>
        <v>0.64615384615384619</v>
      </c>
      <c r="E99" s="1">
        <v>0</v>
      </c>
      <c r="F99" s="1">
        <v>0</v>
      </c>
      <c r="G99" s="1">
        <v>100</v>
      </c>
      <c r="H99" s="1">
        <f>24/44</f>
        <v>0.54545454545454541</v>
      </c>
      <c r="I99" s="1">
        <v>0</v>
      </c>
      <c r="J99" s="1">
        <f>40/44</f>
        <v>0.90909090909090906</v>
      </c>
      <c r="K99" s="1">
        <v>0</v>
      </c>
      <c r="L99" s="1" t="s">
        <v>219</v>
      </c>
      <c r="M99" s="1" t="s">
        <v>218</v>
      </c>
      <c r="N99" s="1" t="s">
        <v>217</v>
      </c>
      <c r="O99" s="1" t="s">
        <v>216</v>
      </c>
      <c r="P99" s="1" t="s">
        <v>215</v>
      </c>
      <c r="Q99" s="1" t="s">
        <v>214</v>
      </c>
    </row>
    <row r="100" spans="1:17" ht="35" thickBot="1" x14ac:dyDescent="0.25">
      <c r="A100" s="13"/>
      <c r="B100" s="1">
        <v>72</v>
      </c>
      <c r="C100" s="1">
        <v>49.078431372549019</v>
      </c>
      <c r="D100" s="1">
        <f>50/76</f>
        <v>0.65789473684210531</v>
      </c>
      <c r="E100" s="1">
        <v>0</v>
      </c>
      <c r="F100" s="1">
        <v>0</v>
      </c>
      <c r="G100" s="1">
        <f>49/51</f>
        <v>0.96078431372549022</v>
      </c>
      <c r="H100" s="1">
        <f>27/51</f>
        <v>0.52941176470588236</v>
      </c>
      <c r="I100" s="1">
        <v>0</v>
      </c>
      <c r="J100" s="1">
        <f>46/51</f>
        <v>0.90196078431372551</v>
      </c>
      <c r="K100" s="1">
        <f>1/51</f>
        <v>1.9607843137254902E-2</v>
      </c>
      <c r="L100" s="1" t="s">
        <v>213</v>
      </c>
      <c r="M100" s="1" t="s">
        <v>212</v>
      </c>
      <c r="N100" s="1" t="s">
        <v>211</v>
      </c>
      <c r="O100" s="1" t="s">
        <v>210</v>
      </c>
      <c r="P100" s="1" t="s">
        <v>209</v>
      </c>
      <c r="Q100" s="1" t="s">
        <v>208</v>
      </c>
    </row>
    <row r="101" spans="1:17" ht="35" thickBot="1" x14ac:dyDescent="0.25">
      <c r="A101" s="13"/>
      <c r="B101" s="1">
        <v>73</v>
      </c>
      <c r="C101" s="1">
        <v>48.75</v>
      </c>
      <c r="D101" s="1">
        <f>28/42</f>
        <v>0.66666666666666663</v>
      </c>
      <c r="E101" s="1">
        <v>0</v>
      </c>
      <c r="F101" s="1">
        <v>0</v>
      </c>
      <c r="G101" s="1">
        <f>26/28</f>
        <v>0.9285714285714286</v>
      </c>
      <c r="H101" s="1">
        <f>11/28</f>
        <v>0.39285714285714285</v>
      </c>
      <c r="I101" s="1">
        <v>0</v>
      </c>
      <c r="J101" s="1">
        <f>23/28</f>
        <v>0.8214285714285714</v>
      </c>
      <c r="K101" s="1">
        <v>0</v>
      </c>
      <c r="L101" s="1" t="s">
        <v>207</v>
      </c>
      <c r="M101" s="1" t="s">
        <v>206</v>
      </c>
      <c r="N101" s="1" t="s">
        <v>205</v>
      </c>
      <c r="O101" s="1" t="s">
        <v>204</v>
      </c>
      <c r="P101" s="1" t="s">
        <v>203</v>
      </c>
      <c r="Q101" s="1" t="s">
        <v>202</v>
      </c>
    </row>
    <row r="102" spans="1:17" ht="35" thickBot="1" x14ac:dyDescent="0.25">
      <c r="A102" s="13"/>
      <c r="B102" s="1">
        <v>74</v>
      </c>
      <c r="C102" s="1">
        <v>36.585365853658537</v>
      </c>
      <c r="D102" s="1">
        <f>42/62</f>
        <v>0.67741935483870963</v>
      </c>
      <c r="E102" s="1">
        <f>4/41</f>
        <v>9.7560975609756101E-2</v>
      </c>
      <c r="F102" s="1">
        <f>14/41</f>
        <v>0.34146341463414637</v>
      </c>
      <c r="G102" s="1">
        <f>10/41</f>
        <v>0.24390243902439024</v>
      </c>
      <c r="H102" s="1">
        <f>23/41</f>
        <v>0.56097560975609762</v>
      </c>
      <c r="I102" s="1">
        <f>30/41</f>
        <v>0.73170731707317072</v>
      </c>
      <c r="J102" s="1">
        <f>32/41</f>
        <v>0.78048780487804881</v>
      </c>
      <c r="K102" s="1">
        <f>9/41</f>
        <v>0.21951219512195122</v>
      </c>
      <c r="L102" s="1" t="s">
        <v>201</v>
      </c>
      <c r="M102" s="1" t="s">
        <v>200</v>
      </c>
      <c r="N102" s="1" t="s">
        <v>199</v>
      </c>
      <c r="O102" s="1" t="s">
        <v>198</v>
      </c>
      <c r="P102" s="1" t="s">
        <v>197</v>
      </c>
      <c r="Q102" s="1" t="s">
        <v>114</v>
      </c>
    </row>
    <row r="103" spans="1:17" ht="35" thickBot="1" x14ac:dyDescent="0.25">
      <c r="A103" s="13"/>
      <c r="B103" s="1">
        <v>75</v>
      </c>
      <c r="C103" s="1">
        <v>43.216666666666669</v>
      </c>
      <c r="D103" s="1">
        <f>62/91</f>
        <v>0.68131868131868134</v>
      </c>
      <c r="E103" s="1">
        <v>0</v>
      </c>
      <c r="F103" s="1">
        <v>0</v>
      </c>
      <c r="G103" s="1">
        <f>56/60</f>
        <v>0.93333333333333335</v>
      </c>
      <c r="H103" s="1">
        <f>35/60</f>
        <v>0.58333333333333337</v>
      </c>
      <c r="I103" s="1">
        <f>1/60</f>
        <v>1.6666666666666666E-2</v>
      </c>
      <c r="J103" s="1">
        <f>56/60</f>
        <v>0.93333333333333335</v>
      </c>
      <c r="K103" s="1">
        <f>2/60</f>
        <v>3.3333333333333333E-2</v>
      </c>
      <c r="L103" s="1" t="s">
        <v>196</v>
      </c>
      <c r="M103" s="1" t="s">
        <v>195</v>
      </c>
      <c r="N103" s="1" t="s">
        <v>194</v>
      </c>
      <c r="O103" s="1" t="s">
        <v>193</v>
      </c>
      <c r="P103" s="1" t="s">
        <v>192</v>
      </c>
      <c r="Q103" s="1" t="s">
        <v>191</v>
      </c>
    </row>
    <row r="104" spans="1:17" ht="35" thickBot="1" x14ac:dyDescent="0.25">
      <c r="A104" s="14"/>
      <c r="B104" s="1">
        <v>137</v>
      </c>
      <c r="C104" s="1">
        <v>41</v>
      </c>
      <c r="D104" s="1">
        <f>36/52</f>
        <v>0.69230769230769229</v>
      </c>
      <c r="E104" s="1">
        <v>0</v>
      </c>
      <c r="F104" s="1">
        <v>0</v>
      </c>
      <c r="G104" s="1">
        <v>100</v>
      </c>
      <c r="H104" s="1">
        <f>16/34</f>
        <v>0.47058823529411764</v>
      </c>
      <c r="I104" s="1">
        <f>5/34</f>
        <v>0.14705882352941177</v>
      </c>
      <c r="J104" s="1">
        <f>30/34</f>
        <v>0.88235294117647056</v>
      </c>
      <c r="K104" s="1">
        <f>4/34</f>
        <v>0.11764705882352941</v>
      </c>
      <c r="L104" s="1" t="s">
        <v>190</v>
      </c>
      <c r="M104" s="1" t="s">
        <v>189</v>
      </c>
      <c r="N104" s="1" t="s">
        <v>188</v>
      </c>
      <c r="O104" s="1" t="s">
        <v>187</v>
      </c>
      <c r="P104" s="1" t="s">
        <v>186</v>
      </c>
      <c r="Q104" s="1" t="s">
        <v>185</v>
      </c>
    </row>
    <row r="105" spans="1:17" ht="35" thickBot="1" x14ac:dyDescent="0.25">
      <c r="A105" s="12" t="s">
        <v>184</v>
      </c>
      <c r="B105" s="1">
        <v>76</v>
      </c>
      <c r="C105" s="1">
        <v>48.424999999999997</v>
      </c>
      <c r="D105" s="1">
        <f>40/60</f>
        <v>0.66666666666666663</v>
      </c>
      <c r="E105" s="1">
        <v>0</v>
      </c>
      <c r="F105" s="1">
        <f>3/40</f>
        <v>7.4999999999999997E-2</v>
      </c>
      <c r="G105" s="1">
        <f>36/40</f>
        <v>0.9</v>
      </c>
      <c r="H105" s="1">
        <f>17/40</f>
        <v>0.42499999999999999</v>
      </c>
      <c r="I105" s="1">
        <f>9/40</f>
        <v>0.22500000000000001</v>
      </c>
      <c r="J105" s="1">
        <f>38/40</f>
        <v>0.95</v>
      </c>
      <c r="K105" s="1">
        <f>4/40</f>
        <v>0.1</v>
      </c>
      <c r="L105" s="1" t="s">
        <v>183</v>
      </c>
      <c r="M105" s="1" t="s">
        <v>182</v>
      </c>
      <c r="N105" s="1" t="s">
        <v>181</v>
      </c>
      <c r="O105" s="1" t="s">
        <v>180</v>
      </c>
      <c r="P105" s="1" t="s">
        <v>179</v>
      </c>
      <c r="Q105" s="1" t="s">
        <v>178</v>
      </c>
    </row>
    <row r="106" spans="1:17" ht="35" thickBot="1" x14ac:dyDescent="0.25">
      <c r="A106" s="13"/>
      <c r="B106" s="1">
        <v>77</v>
      </c>
      <c r="C106" s="1">
        <v>40.657894736842103</v>
      </c>
      <c r="D106" s="1">
        <f>36/56</f>
        <v>0.6428571428571429</v>
      </c>
      <c r="E106" s="1">
        <v>0</v>
      </c>
      <c r="F106" s="1">
        <f>20/38</f>
        <v>0.52631578947368418</v>
      </c>
      <c r="G106" s="1">
        <f>22/38</f>
        <v>0.57894736842105265</v>
      </c>
      <c r="H106" s="1">
        <f>21/38</f>
        <v>0.55263157894736847</v>
      </c>
      <c r="I106" s="1">
        <f>18/38</f>
        <v>0.47368421052631576</v>
      </c>
      <c r="J106" s="1">
        <f>37/38</f>
        <v>0.97368421052631582</v>
      </c>
      <c r="K106" s="1">
        <f>14/38</f>
        <v>0.36842105263157893</v>
      </c>
      <c r="L106" s="1" t="s">
        <v>177</v>
      </c>
      <c r="M106" s="1" t="s">
        <v>176</v>
      </c>
      <c r="N106" s="1" t="s">
        <v>175</v>
      </c>
      <c r="O106" s="1" t="s">
        <v>174</v>
      </c>
      <c r="P106" s="1" t="s">
        <v>173</v>
      </c>
      <c r="Q106" s="1" t="s">
        <v>172</v>
      </c>
    </row>
    <row r="107" spans="1:17" ht="35" thickBot="1" x14ac:dyDescent="0.25">
      <c r="A107" s="13"/>
      <c r="B107" s="1">
        <v>78</v>
      </c>
      <c r="C107" s="1">
        <v>41.9</v>
      </c>
      <c r="D107" s="1">
        <f>40/60</f>
        <v>0.66666666666666663</v>
      </c>
      <c r="E107" s="1">
        <v>0</v>
      </c>
      <c r="F107" s="1">
        <f>24/40</f>
        <v>0.6</v>
      </c>
      <c r="G107" s="1">
        <f>14/40</f>
        <v>0.35</v>
      </c>
      <c r="H107" s="1">
        <f>22/40</f>
        <v>0.55000000000000004</v>
      </c>
      <c r="I107" s="1">
        <f>19/40</f>
        <v>0.47499999999999998</v>
      </c>
      <c r="J107" s="1">
        <f>36/40</f>
        <v>0.9</v>
      </c>
      <c r="K107" s="1">
        <f>4/40</f>
        <v>0.1</v>
      </c>
      <c r="L107" s="1" t="s">
        <v>171</v>
      </c>
      <c r="M107" s="1" t="s">
        <v>170</v>
      </c>
      <c r="N107" s="1" t="s">
        <v>169</v>
      </c>
      <c r="O107" s="1" t="s">
        <v>168</v>
      </c>
      <c r="P107" s="1" t="s">
        <v>1</v>
      </c>
      <c r="Q107" s="1" t="s">
        <v>167</v>
      </c>
    </row>
    <row r="108" spans="1:17" ht="35" thickBot="1" x14ac:dyDescent="0.25">
      <c r="A108" s="13"/>
      <c r="B108" s="1">
        <v>79</v>
      </c>
      <c r="C108" s="1">
        <v>55.315789473684212</v>
      </c>
      <c r="D108" s="1">
        <f>38/57</f>
        <v>0.66666666666666663</v>
      </c>
      <c r="E108" s="1">
        <v>0</v>
      </c>
      <c r="F108" s="1">
        <f>1/38</f>
        <v>2.6315789473684209E-2</v>
      </c>
      <c r="G108" s="1">
        <f>37/38</f>
        <v>0.97368421052631582</v>
      </c>
      <c r="H108" s="1">
        <f>19/38</f>
        <v>0.5</v>
      </c>
      <c r="I108" s="1">
        <f>2/38</f>
        <v>5.2631578947368418E-2</v>
      </c>
      <c r="J108" s="1">
        <f>32/38</f>
        <v>0.84210526315789469</v>
      </c>
      <c r="K108" s="1">
        <v>0</v>
      </c>
      <c r="L108" s="1" t="s">
        <v>166</v>
      </c>
      <c r="M108" s="1" t="s">
        <v>165</v>
      </c>
      <c r="N108" s="1" t="s">
        <v>164</v>
      </c>
      <c r="O108" s="1" t="s">
        <v>163</v>
      </c>
      <c r="P108" s="1" t="s">
        <v>162</v>
      </c>
      <c r="Q108" s="1" t="s">
        <v>161</v>
      </c>
    </row>
    <row r="109" spans="1:17" ht="35" thickBot="1" x14ac:dyDescent="0.25">
      <c r="A109" s="13"/>
      <c r="B109" s="1">
        <v>80</v>
      </c>
      <c r="C109" s="1">
        <v>53.666666666666664</v>
      </c>
      <c r="D109" s="1">
        <f>40/59</f>
        <v>0.67796610169491522</v>
      </c>
      <c r="E109" s="1">
        <f>1/39</f>
        <v>2.564102564102564E-2</v>
      </c>
      <c r="F109" s="1">
        <v>0</v>
      </c>
      <c r="G109" s="1">
        <v>100</v>
      </c>
      <c r="H109" s="1">
        <f>22/39</f>
        <v>0.5641025641025641</v>
      </c>
      <c r="I109" s="1">
        <f>2/39</f>
        <v>5.128205128205128E-2</v>
      </c>
      <c r="J109" s="1">
        <f>32/39</f>
        <v>0.82051282051282048</v>
      </c>
      <c r="K109" s="1">
        <v>0</v>
      </c>
      <c r="L109" s="1" t="s">
        <v>160</v>
      </c>
      <c r="M109" s="1" t="s">
        <v>159</v>
      </c>
      <c r="N109" s="1" t="s">
        <v>158</v>
      </c>
      <c r="O109" s="1" t="s">
        <v>157</v>
      </c>
      <c r="P109" s="1" t="s">
        <v>156</v>
      </c>
      <c r="Q109" s="1" t="s">
        <v>155</v>
      </c>
    </row>
    <row r="110" spans="1:17" ht="35" thickBot="1" x14ac:dyDescent="0.25">
      <c r="A110" s="14"/>
      <c r="B110" s="1">
        <v>125</v>
      </c>
      <c r="C110" s="1">
        <v>49.243243243243242</v>
      </c>
      <c r="D110" s="1">
        <f>38/56</f>
        <v>0.6785714285714286</v>
      </c>
      <c r="E110" s="1">
        <f>1/37</f>
        <v>2.7027027027027029E-2</v>
      </c>
      <c r="F110" s="1">
        <v>0</v>
      </c>
      <c r="G110" s="1">
        <v>100</v>
      </c>
      <c r="H110" s="1">
        <f>17/37</f>
        <v>0.45945945945945948</v>
      </c>
      <c r="I110" s="1">
        <f>1/37</f>
        <v>2.7027027027027029E-2</v>
      </c>
      <c r="J110" s="1">
        <f>36/37</f>
        <v>0.97297297297297303</v>
      </c>
      <c r="K110" s="1">
        <f>6/37</f>
        <v>0.16216216216216217</v>
      </c>
      <c r="L110" s="1" t="s">
        <v>154</v>
      </c>
      <c r="M110" s="1" t="s">
        <v>153</v>
      </c>
      <c r="N110" s="1" t="s">
        <v>152</v>
      </c>
      <c r="O110" s="1" t="s">
        <v>151</v>
      </c>
      <c r="P110" s="1" t="s">
        <v>150</v>
      </c>
      <c r="Q110" s="1" t="s">
        <v>0</v>
      </c>
    </row>
    <row r="111" spans="1:17" ht="35" thickBot="1" x14ac:dyDescent="0.25">
      <c r="A111" s="12" t="s">
        <v>149</v>
      </c>
      <c r="B111" s="1">
        <v>81</v>
      </c>
      <c r="C111" s="1">
        <v>55.030303030303031</v>
      </c>
      <c r="D111" s="1">
        <f>34/50</f>
        <v>0.68</v>
      </c>
      <c r="E111" s="1">
        <v>0</v>
      </c>
      <c r="F111" s="1">
        <f>1/33</f>
        <v>3.0303030303030304E-2</v>
      </c>
      <c r="G111" s="1">
        <v>100</v>
      </c>
      <c r="H111" s="1">
        <f>12/33</f>
        <v>0.36363636363636365</v>
      </c>
      <c r="I111" s="1">
        <v>0</v>
      </c>
      <c r="J111" s="1">
        <f>24/33</f>
        <v>0.72727272727272729</v>
      </c>
      <c r="K111" s="1">
        <f>1/33</f>
        <v>3.0303030303030304E-2</v>
      </c>
      <c r="L111" s="1" t="s">
        <v>148</v>
      </c>
      <c r="M111" s="1" t="s">
        <v>147</v>
      </c>
      <c r="N111" s="1" t="s">
        <v>146</v>
      </c>
      <c r="O111" s="1" t="s">
        <v>145</v>
      </c>
      <c r="P111" s="1" t="s">
        <v>144</v>
      </c>
      <c r="Q111" s="1" t="s">
        <v>143</v>
      </c>
    </row>
    <row r="112" spans="1:17" ht="35" thickBot="1" x14ac:dyDescent="0.25">
      <c r="A112" s="13"/>
      <c r="B112" s="1">
        <v>82</v>
      </c>
      <c r="C112" s="1">
        <v>48.416666666666664</v>
      </c>
      <c r="D112" s="1">
        <f>24/36</f>
        <v>0.66666666666666663</v>
      </c>
      <c r="E112" s="1">
        <v>0</v>
      </c>
      <c r="F112" s="1">
        <v>0</v>
      </c>
      <c r="G112" s="1">
        <v>100</v>
      </c>
      <c r="H112" s="1">
        <f>9/24</f>
        <v>0.375</v>
      </c>
      <c r="I112" s="1">
        <v>0</v>
      </c>
      <c r="J112" s="1">
        <f>21/24</f>
        <v>0.875</v>
      </c>
      <c r="K112" s="1">
        <v>0</v>
      </c>
      <c r="L112" s="1" t="s">
        <v>142</v>
      </c>
      <c r="M112" s="1" t="s">
        <v>141</v>
      </c>
      <c r="N112" s="1" t="s">
        <v>140</v>
      </c>
      <c r="O112" s="1" t="s">
        <v>139</v>
      </c>
      <c r="P112" s="1" t="s">
        <v>138</v>
      </c>
      <c r="Q112" s="1" t="s">
        <v>137</v>
      </c>
    </row>
    <row r="113" spans="1:17" ht="18" thickBot="1" x14ac:dyDescent="0.25">
      <c r="A113" s="13"/>
      <c r="B113" s="1">
        <v>83</v>
      </c>
      <c r="C113" s="1">
        <v>36.35</v>
      </c>
      <c r="D113" s="1">
        <f>36/58</f>
        <v>0.62068965517241381</v>
      </c>
      <c r="E113" s="1">
        <v>0</v>
      </c>
      <c r="F113" s="1">
        <f>39/40</f>
        <v>0.97499999999999998</v>
      </c>
      <c r="G113" s="1">
        <v>0</v>
      </c>
      <c r="H113" s="1">
        <f>22/40</f>
        <v>0.55000000000000004</v>
      </c>
      <c r="I113" s="1">
        <f>21/40</f>
        <v>0.52500000000000002</v>
      </c>
      <c r="J113" s="1">
        <f>39/40</f>
        <v>0.97499999999999998</v>
      </c>
      <c r="K113" s="1">
        <f>15/40</f>
        <v>0.375</v>
      </c>
      <c r="L113" s="1" t="s">
        <v>136</v>
      </c>
      <c r="M113" s="1" t="s">
        <v>135</v>
      </c>
      <c r="N113" s="1" t="s">
        <v>134</v>
      </c>
      <c r="O113" s="1" t="s">
        <v>133</v>
      </c>
      <c r="P113" s="1" t="s">
        <v>132</v>
      </c>
      <c r="Q113" s="1">
        <v>0</v>
      </c>
    </row>
    <row r="114" spans="1:17" ht="35" thickBot="1" x14ac:dyDescent="0.25">
      <c r="A114" s="13"/>
      <c r="B114" s="1">
        <v>84</v>
      </c>
      <c r="C114" s="1">
        <v>37.756756756756758</v>
      </c>
      <c r="D114" s="1">
        <f>34/54</f>
        <v>0.62962962962962965</v>
      </c>
      <c r="E114" s="1">
        <v>0</v>
      </c>
      <c r="F114" s="1">
        <v>100</v>
      </c>
      <c r="G114" s="1">
        <v>0</v>
      </c>
      <c r="H114" s="1">
        <f>20/37</f>
        <v>0.54054054054054057</v>
      </c>
      <c r="I114" s="1">
        <f>23/37</f>
        <v>0.6216216216216216</v>
      </c>
      <c r="J114" s="1">
        <f>35/37</f>
        <v>0.94594594594594594</v>
      </c>
      <c r="K114" s="1">
        <f>25/37</f>
        <v>0.67567567567567566</v>
      </c>
      <c r="L114" s="1" t="s">
        <v>131</v>
      </c>
      <c r="M114" s="1" t="s">
        <v>130</v>
      </c>
      <c r="N114" s="1" t="s">
        <v>129</v>
      </c>
      <c r="O114" s="1" t="s">
        <v>128</v>
      </c>
      <c r="P114" s="1" t="s">
        <v>127</v>
      </c>
      <c r="Q114" s="1" t="s">
        <v>126</v>
      </c>
    </row>
    <row r="115" spans="1:17" ht="35" thickBot="1" x14ac:dyDescent="0.25">
      <c r="A115" s="13"/>
      <c r="B115" s="1">
        <v>85</v>
      </c>
      <c r="C115" s="1">
        <v>38.586206896551722</v>
      </c>
      <c r="D115" s="1">
        <f>56/86</f>
        <v>0.65116279069767447</v>
      </c>
      <c r="E115" s="1">
        <v>0</v>
      </c>
      <c r="F115" s="1">
        <f>17/58</f>
        <v>0.29310344827586204</v>
      </c>
      <c r="G115" s="1">
        <f>40/58</f>
        <v>0.68965517241379315</v>
      </c>
      <c r="H115" s="1">
        <f>31/58</f>
        <v>0.53448275862068961</v>
      </c>
      <c r="I115" s="1">
        <f>11/58</f>
        <v>0.18965517241379309</v>
      </c>
      <c r="J115" s="1">
        <f>56/58</f>
        <v>0.96551724137931039</v>
      </c>
      <c r="K115" s="1">
        <f>19/58</f>
        <v>0.32758620689655171</v>
      </c>
      <c r="L115" s="1" t="s">
        <v>125</v>
      </c>
      <c r="M115" s="1" t="s">
        <v>124</v>
      </c>
      <c r="N115" s="1" t="s">
        <v>123</v>
      </c>
      <c r="O115" s="1" t="s">
        <v>122</v>
      </c>
      <c r="P115" s="1" t="s">
        <v>121</v>
      </c>
      <c r="Q115" s="1" t="s">
        <v>120</v>
      </c>
    </row>
    <row r="116" spans="1:17" ht="35" thickBot="1" x14ac:dyDescent="0.25">
      <c r="A116" s="13"/>
      <c r="B116" s="1">
        <v>126</v>
      </c>
      <c r="C116" s="1">
        <v>47.472222222222221</v>
      </c>
      <c r="D116" s="1">
        <f>34/53</f>
        <v>0.64150943396226412</v>
      </c>
      <c r="E116" s="1">
        <v>0</v>
      </c>
      <c r="F116" s="1">
        <f>12/36</f>
        <v>0.33333333333333331</v>
      </c>
      <c r="G116" s="1">
        <f>25/36</f>
        <v>0.69444444444444442</v>
      </c>
      <c r="H116" s="1">
        <f>14/36</f>
        <v>0.3888888888888889</v>
      </c>
      <c r="I116" s="1">
        <f>11/36</f>
        <v>0.30555555555555558</v>
      </c>
      <c r="J116" s="1">
        <f>33/36</f>
        <v>0.91666666666666663</v>
      </c>
      <c r="K116" s="1">
        <f>15/36</f>
        <v>0.41666666666666669</v>
      </c>
      <c r="L116" s="1" t="s">
        <v>119</v>
      </c>
      <c r="M116" s="1" t="s">
        <v>118</v>
      </c>
      <c r="N116" s="1" t="s">
        <v>117</v>
      </c>
      <c r="O116" s="1" t="s">
        <v>116</v>
      </c>
      <c r="P116" s="1" t="s">
        <v>115</v>
      </c>
      <c r="Q116" s="1" t="s">
        <v>114</v>
      </c>
    </row>
    <row r="117" spans="1:17" ht="35" thickBot="1" x14ac:dyDescent="0.25">
      <c r="A117" s="14"/>
      <c r="B117" s="1">
        <v>134</v>
      </c>
      <c r="C117" s="1">
        <v>46.571428571428569</v>
      </c>
      <c r="D117" s="1">
        <f>34/52</f>
        <v>0.65384615384615385</v>
      </c>
      <c r="E117" s="1">
        <v>0</v>
      </c>
      <c r="F117" s="1">
        <v>0</v>
      </c>
      <c r="G117" s="1">
        <f>34/35</f>
        <v>0.97142857142857142</v>
      </c>
      <c r="H117" s="1">
        <f>19/35</f>
        <v>0.54285714285714282</v>
      </c>
      <c r="I117" s="1">
        <f>3/35</f>
        <v>8.5714285714285715E-2</v>
      </c>
      <c r="J117" s="1">
        <f>32/35</f>
        <v>0.91428571428571426</v>
      </c>
      <c r="K117" s="1">
        <f>5/35</f>
        <v>0.14285714285714285</v>
      </c>
      <c r="L117" s="1" t="s">
        <v>113</v>
      </c>
      <c r="M117" s="1" t="s">
        <v>112</v>
      </c>
      <c r="N117" s="1" t="s">
        <v>111</v>
      </c>
      <c r="O117" s="1" t="s">
        <v>110</v>
      </c>
      <c r="P117" s="1" t="s">
        <v>109</v>
      </c>
      <c r="Q117" s="1" t="s">
        <v>108</v>
      </c>
    </row>
    <row r="118" spans="1:17" ht="35" thickBot="1" x14ac:dyDescent="0.25">
      <c r="A118" s="12" t="s">
        <v>107</v>
      </c>
      <c r="B118" s="1">
        <v>86</v>
      </c>
      <c r="C118" s="1">
        <v>39.829787234042556</v>
      </c>
      <c r="D118" s="1">
        <f>46/70</f>
        <v>0.65714285714285714</v>
      </c>
      <c r="E118" s="1">
        <v>0</v>
      </c>
      <c r="F118" s="1">
        <v>0</v>
      </c>
      <c r="G118" s="1">
        <f>43/47</f>
        <v>0.91489361702127658</v>
      </c>
      <c r="H118" s="1">
        <f>27/47</f>
        <v>0.57446808510638303</v>
      </c>
      <c r="I118" s="1">
        <f>9/47</f>
        <v>0.19148936170212766</v>
      </c>
      <c r="J118" s="1">
        <f>40/47</f>
        <v>0.85106382978723405</v>
      </c>
      <c r="K118" s="1">
        <f>20/47</f>
        <v>0.42553191489361702</v>
      </c>
      <c r="L118" s="1" t="s">
        <v>106</v>
      </c>
      <c r="M118" s="1" t="s">
        <v>105</v>
      </c>
      <c r="N118" s="1" t="s">
        <v>104</v>
      </c>
      <c r="O118" s="1" t="s">
        <v>103</v>
      </c>
      <c r="P118" s="1" t="s">
        <v>102</v>
      </c>
      <c r="Q118" s="1" t="s">
        <v>101</v>
      </c>
    </row>
    <row r="119" spans="1:17" ht="35" thickBot="1" x14ac:dyDescent="0.25">
      <c r="A119" s="13"/>
      <c r="B119" s="1">
        <v>87</v>
      </c>
      <c r="C119" s="1">
        <v>39.833333333333336</v>
      </c>
      <c r="D119" s="1">
        <f>36/54</f>
        <v>0.66666666666666663</v>
      </c>
      <c r="E119" s="1">
        <v>0</v>
      </c>
      <c r="F119" s="1">
        <f>6/36</f>
        <v>0.16666666666666666</v>
      </c>
      <c r="G119" s="1">
        <f>30/36</f>
        <v>0.83333333333333337</v>
      </c>
      <c r="H119" s="1">
        <f>24/36</f>
        <v>0.66666666666666663</v>
      </c>
      <c r="I119" s="1">
        <f>13/36</f>
        <v>0.3611111111111111</v>
      </c>
      <c r="J119" s="1">
        <f>26/36</f>
        <v>0.72222222222222221</v>
      </c>
      <c r="K119" s="1">
        <f>27/36</f>
        <v>0.75</v>
      </c>
      <c r="L119" s="1" t="s">
        <v>100</v>
      </c>
      <c r="M119" s="1" t="s">
        <v>99</v>
      </c>
      <c r="N119" s="1" t="s">
        <v>98</v>
      </c>
      <c r="O119" s="1" t="s">
        <v>97</v>
      </c>
      <c r="P119" s="1" t="s">
        <v>96</v>
      </c>
      <c r="Q119" s="1" t="s">
        <v>95</v>
      </c>
    </row>
    <row r="120" spans="1:17" ht="35" thickBot="1" x14ac:dyDescent="0.25">
      <c r="A120" s="13"/>
      <c r="B120" s="1">
        <v>88</v>
      </c>
      <c r="C120" s="1">
        <v>42.689655172413794</v>
      </c>
      <c r="D120" s="1">
        <f>56/86</f>
        <v>0.65116279069767447</v>
      </c>
      <c r="E120" s="1">
        <v>0</v>
      </c>
      <c r="F120" s="1">
        <v>0</v>
      </c>
      <c r="G120" s="1">
        <f>41/58</f>
        <v>0.7068965517241379</v>
      </c>
      <c r="H120" s="1">
        <f>32/58</f>
        <v>0.55172413793103448</v>
      </c>
      <c r="I120" s="1">
        <f>15/58</f>
        <v>0.25862068965517243</v>
      </c>
      <c r="J120" s="1">
        <f>52/58</f>
        <v>0.89655172413793105</v>
      </c>
      <c r="K120" s="1">
        <f>30/58</f>
        <v>0.51724137931034486</v>
      </c>
      <c r="L120" s="1" t="s">
        <v>94</v>
      </c>
      <c r="M120" s="1" t="s">
        <v>93</v>
      </c>
      <c r="N120" s="1" t="s">
        <v>92</v>
      </c>
      <c r="O120" s="1" t="s">
        <v>91</v>
      </c>
      <c r="P120" s="1" t="s">
        <v>90</v>
      </c>
      <c r="Q120" s="1" t="s">
        <v>89</v>
      </c>
    </row>
    <row r="121" spans="1:17" ht="35" thickBot="1" x14ac:dyDescent="0.25">
      <c r="A121" s="13"/>
      <c r="B121" s="1">
        <v>89</v>
      </c>
      <c r="C121" s="1">
        <v>38.413043478260867</v>
      </c>
      <c r="D121" s="1">
        <f>46/69</f>
        <v>0.66666666666666663</v>
      </c>
      <c r="E121" s="1">
        <v>0</v>
      </c>
      <c r="F121" s="1">
        <f>4/46</f>
        <v>8.6956521739130432E-2</v>
      </c>
      <c r="G121" s="1">
        <f>34/46</f>
        <v>0.73913043478260865</v>
      </c>
      <c r="H121" s="1">
        <f>26/46</f>
        <v>0.56521739130434778</v>
      </c>
      <c r="I121" s="1">
        <f>13/46</f>
        <v>0.28260869565217389</v>
      </c>
      <c r="J121" s="1">
        <f>41/46</f>
        <v>0.89130434782608692</v>
      </c>
      <c r="K121" s="1">
        <f>12/46</f>
        <v>0.2608695652173913</v>
      </c>
      <c r="L121" s="1" t="s">
        <v>88</v>
      </c>
      <c r="M121" s="1" t="s">
        <v>87</v>
      </c>
      <c r="N121" s="1" t="s">
        <v>86</v>
      </c>
      <c r="O121" s="1" t="s">
        <v>85</v>
      </c>
      <c r="P121" s="1" t="s">
        <v>84</v>
      </c>
      <c r="Q121" s="1" t="s">
        <v>25</v>
      </c>
    </row>
    <row r="122" spans="1:17" ht="35" thickBot="1" x14ac:dyDescent="0.25">
      <c r="A122" s="13"/>
      <c r="B122" s="1">
        <v>90</v>
      </c>
      <c r="C122" s="1">
        <v>41.102564102564102</v>
      </c>
      <c r="D122" s="1">
        <f>38/58</f>
        <v>0.65517241379310343</v>
      </c>
      <c r="E122" s="1">
        <v>0</v>
      </c>
      <c r="F122" s="2">
        <v>0</v>
      </c>
      <c r="G122" s="1">
        <f>38/39</f>
        <v>0.97435897435897434</v>
      </c>
      <c r="H122" s="1">
        <f>21/39</f>
        <v>0.53846153846153844</v>
      </c>
      <c r="I122" s="1">
        <f>13/39</f>
        <v>0.33333333333333331</v>
      </c>
      <c r="J122" s="1">
        <f>38/39</f>
        <v>0.97435897435897434</v>
      </c>
      <c r="K122" s="1">
        <f>10/39</f>
        <v>0.25641025641025639</v>
      </c>
      <c r="L122" s="1" t="s">
        <v>83</v>
      </c>
      <c r="M122" s="1" t="s">
        <v>82</v>
      </c>
      <c r="N122" s="1" t="s">
        <v>81</v>
      </c>
      <c r="O122" s="1" t="s">
        <v>14</v>
      </c>
      <c r="P122" s="1" t="s">
        <v>80</v>
      </c>
      <c r="Q122" s="1" t="s">
        <v>79</v>
      </c>
    </row>
    <row r="123" spans="1:17" ht="35" thickBot="1" x14ac:dyDescent="0.25">
      <c r="A123" s="14"/>
      <c r="B123" s="1">
        <v>127</v>
      </c>
      <c r="C123" s="1">
        <v>41.102564102564102</v>
      </c>
      <c r="D123" s="1">
        <f>38/58</f>
        <v>0.65517241379310343</v>
      </c>
      <c r="E123" s="1">
        <f>1/39</f>
        <v>2.564102564102564E-2</v>
      </c>
      <c r="F123" s="1">
        <f>6/39</f>
        <v>0.15384615384615385</v>
      </c>
      <c r="G123" s="1">
        <f>16/39</f>
        <v>0.41025641025641024</v>
      </c>
      <c r="H123" s="1">
        <f>18/39</f>
        <v>0.46153846153846156</v>
      </c>
      <c r="I123" s="1">
        <f>18/39</f>
        <v>0.46153846153846156</v>
      </c>
      <c r="J123" s="1">
        <f>33/39</f>
        <v>0.84615384615384615</v>
      </c>
      <c r="K123" s="1">
        <f>20/39</f>
        <v>0.51282051282051277</v>
      </c>
      <c r="L123" s="1" t="s">
        <v>78</v>
      </c>
      <c r="M123" s="1" t="s">
        <v>77</v>
      </c>
      <c r="N123" s="1" t="s">
        <v>76</v>
      </c>
      <c r="O123" s="1" t="s">
        <v>75</v>
      </c>
      <c r="P123" s="1" t="s">
        <v>74</v>
      </c>
      <c r="Q123" s="1" t="s">
        <v>73</v>
      </c>
    </row>
    <row r="124" spans="1:17" ht="35" thickBot="1" x14ac:dyDescent="0.25">
      <c r="A124" s="12" t="s">
        <v>72</v>
      </c>
      <c r="B124" s="1">
        <v>91</v>
      </c>
      <c r="C124" s="1">
        <v>48.070175438596493</v>
      </c>
      <c r="D124" s="1">
        <f>56/85</f>
        <v>0.6588235294117647</v>
      </c>
      <c r="E124" s="1">
        <f>1/57</f>
        <v>1.7543859649122806E-2</v>
      </c>
      <c r="F124" s="1">
        <v>0</v>
      </c>
      <c r="G124" s="1">
        <f>56/57</f>
        <v>0.98245614035087714</v>
      </c>
      <c r="H124" s="1">
        <f>22/57</f>
        <v>0.38596491228070173</v>
      </c>
      <c r="I124" s="1">
        <f>2/57</f>
        <v>3.5087719298245612E-2</v>
      </c>
      <c r="J124" s="1">
        <f>51/57</f>
        <v>0.89473684210526316</v>
      </c>
      <c r="K124" s="1">
        <f>2/57</f>
        <v>3.5087719298245612E-2</v>
      </c>
      <c r="L124" s="1" t="s">
        <v>71</v>
      </c>
      <c r="M124" s="1" t="s">
        <v>70</v>
      </c>
      <c r="N124" s="1" t="s">
        <v>69</v>
      </c>
      <c r="O124" s="1" t="s">
        <v>68</v>
      </c>
      <c r="P124" s="1" t="s">
        <v>67</v>
      </c>
      <c r="Q124" s="1" t="s">
        <v>66</v>
      </c>
    </row>
    <row r="125" spans="1:17" ht="35" thickBot="1" x14ac:dyDescent="0.25">
      <c r="A125" s="13"/>
      <c r="B125" s="1">
        <v>92</v>
      </c>
      <c r="C125" s="1">
        <v>44.625</v>
      </c>
      <c r="D125" s="1">
        <f>64/96</f>
        <v>0.66666666666666663</v>
      </c>
      <c r="E125" s="1">
        <v>0</v>
      </c>
      <c r="F125" s="1">
        <v>0</v>
      </c>
      <c r="G125" s="1">
        <v>100</v>
      </c>
      <c r="H125" s="1">
        <f>29/64</f>
        <v>0.453125</v>
      </c>
      <c r="I125" s="1">
        <f>2/64</f>
        <v>3.125E-2</v>
      </c>
      <c r="J125" s="1">
        <f>58/64</f>
        <v>0.90625</v>
      </c>
      <c r="K125" s="1">
        <f>1/64</f>
        <v>1.5625E-2</v>
      </c>
      <c r="L125" s="1" t="s">
        <v>65</v>
      </c>
      <c r="M125" s="1" t="s">
        <v>64</v>
      </c>
      <c r="N125" s="1" t="s">
        <v>63</v>
      </c>
      <c r="O125" s="1" t="s">
        <v>62</v>
      </c>
      <c r="P125" s="1" t="s">
        <v>61</v>
      </c>
      <c r="Q125" s="1" t="s">
        <v>60</v>
      </c>
    </row>
    <row r="126" spans="1:17" ht="35" thickBot="1" x14ac:dyDescent="0.25">
      <c r="A126" s="13"/>
      <c r="B126" s="1">
        <v>93</v>
      </c>
      <c r="C126" s="1">
        <v>39.610169491525426</v>
      </c>
      <c r="D126" s="1">
        <f>58/88</f>
        <v>0.65909090909090906</v>
      </c>
      <c r="E126" s="1">
        <f>1/59</f>
        <v>1.6949152542372881E-2</v>
      </c>
      <c r="F126" s="1">
        <f>8/59</f>
        <v>0.13559322033898305</v>
      </c>
      <c r="G126" s="1">
        <f>46/59</f>
        <v>0.77966101694915257</v>
      </c>
      <c r="H126" s="1">
        <f>29/59</f>
        <v>0.49152542372881358</v>
      </c>
      <c r="I126" s="1">
        <f>16/59</f>
        <v>0.2711864406779661</v>
      </c>
      <c r="J126" s="1">
        <f>50/59</f>
        <v>0.84745762711864403</v>
      </c>
      <c r="K126" s="1">
        <f>14/59</f>
        <v>0.23728813559322035</v>
      </c>
      <c r="L126" s="1" t="s">
        <v>59</v>
      </c>
      <c r="M126" s="1" t="s">
        <v>58</v>
      </c>
      <c r="N126" s="1" t="s">
        <v>57</v>
      </c>
      <c r="O126" s="1" t="s">
        <v>56</v>
      </c>
      <c r="P126" s="1" t="s">
        <v>55</v>
      </c>
      <c r="Q126" s="1" t="s">
        <v>54</v>
      </c>
    </row>
    <row r="127" spans="1:17" ht="35" thickBot="1" x14ac:dyDescent="0.25">
      <c r="A127" s="13"/>
      <c r="B127" s="1">
        <v>94</v>
      </c>
      <c r="C127" s="1">
        <v>43.098360655737707</v>
      </c>
      <c r="D127" s="1">
        <f>62/92</f>
        <v>0.67391304347826086</v>
      </c>
      <c r="E127" s="1">
        <v>0</v>
      </c>
      <c r="F127" s="1">
        <f>13/61</f>
        <v>0.21311475409836064</v>
      </c>
      <c r="G127" s="1">
        <f>59/61</f>
        <v>0.96721311475409832</v>
      </c>
      <c r="H127" s="1">
        <f>31/61</f>
        <v>0.50819672131147542</v>
      </c>
      <c r="I127" s="1">
        <f>27/61</f>
        <v>0.44262295081967212</v>
      </c>
      <c r="J127" s="1">
        <f>54/61</f>
        <v>0.88524590163934425</v>
      </c>
      <c r="K127" s="1">
        <f>7/61</f>
        <v>0.11475409836065574</v>
      </c>
      <c r="L127" s="1" t="s">
        <v>53</v>
      </c>
      <c r="M127" s="1" t="s">
        <v>52</v>
      </c>
      <c r="N127" s="1" t="s">
        <v>51</v>
      </c>
      <c r="O127" s="1" t="s">
        <v>50</v>
      </c>
      <c r="P127" s="1" t="s">
        <v>49</v>
      </c>
      <c r="Q127" s="1" t="s">
        <v>48</v>
      </c>
    </row>
    <row r="128" spans="1:17" ht="35" thickBot="1" x14ac:dyDescent="0.25">
      <c r="A128" s="13"/>
      <c r="B128" s="1">
        <v>95</v>
      </c>
      <c r="C128" s="1">
        <v>46.94</v>
      </c>
      <c r="D128" s="1">
        <f>48/74</f>
        <v>0.64864864864864868</v>
      </c>
      <c r="E128" s="1">
        <v>0</v>
      </c>
      <c r="F128" s="1">
        <f>4/50</f>
        <v>0.08</v>
      </c>
      <c r="G128" s="1">
        <f>49/50</f>
        <v>0.98</v>
      </c>
      <c r="H128" s="1">
        <f>24/50</f>
        <v>0.48</v>
      </c>
      <c r="I128" s="1">
        <f>9/50</f>
        <v>0.18</v>
      </c>
      <c r="J128" s="1">
        <f>42/50</f>
        <v>0.84</v>
      </c>
      <c r="K128" s="2">
        <v>0</v>
      </c>
      <c r="L128" s="1" t="s">
        <v>47</v>
      </c>
      <c r="M128" s="1" t="s">
        <v>46</v>
      </c>
      <c r="N128" s="1" t="s">
        <v>45</v>
      </c>
      <c r="O128" s="1" t="s">
        <v>44</v>
      </c>
      <c r="P128" s="1" t="s">
        <v>43</v>
      </c>
      <c r="Q128" s="1" t="s">
        <v>42</v>
      </c>
    </row>
    <row r="129" spans="1:17" ht="35" thickBot="1" x14ac:dyDescent="0.25">
      <c r="A129" s="14"/>
      <c r="B129" s="1">
        <v>128</v>
      </c>
      <c r="C129" s="1">
        <v>44.871794871794869</v>
      </c>
      <c r="D129" s="1">
        <f>38/58</f>
        <v>0.65517241379310343</v>
      </c>
      <c r="E129" s="1">
        <v>0</v>
      </c>
      <c r="F129" s="1">
        <v>0</v>
      </c>
      <c r="G129" s="1">
        <f>37/39</f>
        <v>0.94871794871794868</v>
      </c>
      <c r="H129" s="1">
        <f>20/39</f>
        <v>0.51282051282051277</v>
      </c>
      <c r="I129" s="1">
        <f>10/39</f>
        <v>0.25641025641025639</v>
      </c>
      <c r="J129" s="1">
        <f>38/39</f>
        <v>0.97435897435897434</v>
      </c>
      <c r="K129" s="1">
        <f>12/39</f>
        <v>0.30769230769230771</v>
      </c>
      <c r="L129" s="1" t="s">
        <v>41</v>
      </c>
      <c r="M129" s="1" t="s">
        <v>40</v>
      </c>
      <c r="N129" s="1" t="s">
        <v>39</v>
      </c>
      <c r="O129" s="1" t="s">
        <v>38</v>
      </c>
      <c r="P129" s="1" t="s">
        <v>25</v>
      </c>
      <c r="Q129" s="1" t="s">
        <v>37</v>
      </c>
    </row>
    <row r="130" spans="1:17" ht="35" thickBot="1" x14ac:dyDescent="0.25">
      <c r="A130" s="12" t="s">
        <v>36</v>
      </c>
      <c r="B130" s="1">
        <v>96</v>
      </c>
      <c r="C130" s="1">
        <v>40.131578947368418</v>
      </c>
      <c r="D130" s="1">
        <f>36/56</f>
        <v>0.6428571428571429</v>
      </c>
      <c r="E130" s="1">
        <v>0</v>
      </c>
      <c r="F130" s="1">
        <f>2/38</f>
        <v>5.2631578947368418E-2</v>
      </c>
      <c r="G130" s="1">
        <f>33/38</f>
        <v>0.86842105263157898</v>
      </c>
      <c r="H130" s="1">
        <f>21/38</f>
        <v>0.55263157894736847</v>
      </c>
      <c r="I130" s="1">
        <f>2/38</f>
        <v>5.2631578947368418E-2</v>
      </c>
      <c r="J130" s="1">
        <f>36/38</f>
        <v>0.94736842105263153</v>
      </c>
      <c r="K130" s="1">
        <f>8/38</f>
        <v>0.21052631578947367</v>
      </c>
      <c r="L130" s="1" t="s">
        <v>35</v>
      </c>
      <c r="M130" s="1" t="s">
        <v>34</v>
      </c>
      <c r="N130" s="1" t="s">
        <v>33</v>
      </c>
      <c r="O130" s="1" t="s">
        <v>32</v>
      </c>
      <c r="P130" s="1" t="s">
        <v>31</v>
      </c>
      <c r="Q130" s="1" t="s">
        <v>30</v>
      </c>
    </row>
    <row r="131" spans="1:17" ht="35" thickBot="1" x14ac:dyDescent="0.25">
      <c r="A131" s="13"/>
      <c r="B131" s="1">
        <v>97</v>
      </c>
      <c r="C131" s="1">
        <v>47.65</v>
      </c>
      <c r="D131" s="1">
        <f>40/60</f>
        <v>0.66666666666666663</v>
      </c>
      <c r="E131" s="1">
        <v>0</v>
      </c>
      <c r="F131" s="1">
        <v>0</v>
      </c>
      <c r="G131" s="1">
        <v>100</v>
      </c>
      <c r="H131" s="1">
        <f>16/40</f>
        <v>0.4</v>
      </c>
      <c r="I131" s="1">
        <f>3/40</f>
        <v>7.4999999999999997E-2</v>
      </c>
      <c r="J131" s="1">
        <f>38/40</f>
        <v>0.95</v>
      </c>
      <c r="K131" s="1">
        <f>2/40</f>
        <v>0.05</v>
      </c>
      <c r="L131" s="1" t="s">
        <v>29</v>
      </c>
      <c r="M131" s="1" t="s">
        <v>28</v>
      </c>
      <c r="N131" s="1" t="s">
        <v>27</v>
      </c>
      <c r="O131" s="1" t="s">
        <v>26</v>
      </c>
      <c r="P131" s="1" t="s">
        <v>25</v>
      </c>
      <c r="Q131" s="1" t="s">
        <v>24</v>
      </c>
    </row>
    <row r="132" spans="1:17" ht="35" thickBot="1" x14ac:dyDescent="0.25">
      <c r="A132" s="13"/>
      <c r="B132" s="1">
        <v>98</v>
      </c>
      <c r="C132" s="1">
        <v>48.74285714285714</v>
      </c>
      <c r="D132" s="1">
        <f>36/53</f>
        <v>0.67924528301886788</v>
      </c>
      <c r="E132" s="1">
        <v>0</v>
      </c>
      <c r="F132" s="1">
        <f>1/35</f>
        <v>2.8571428571428571E-2</v>
      </c>
      <c r="G132" s="1">
        <f>32/35</f>
        <v>0.91428571428571426</v>
      </c>
      <c r="H132" s="1">
        <f>16/35</f>
        <v>0.45714285714285713</v>
      </c>
      <c r="I132" s="1">
        <f>3/35</f>
        <v>8.5714285714285715E-2</v>
      </c>
      <c r="J132" s="1">
        <f>33/35</f>
        <v>0.94285714285714284</v>
      </c>
      <c r="K132" s="1">
        <f>4/35</f>
        <v>0.11428571428571428</v>
      </c>
      <c r="L132" s="1" t="s">
        <v>23</v>
      </c>
      <c r="M132" s="1" t="s">
        <v>22</v>
      </c>
      <c r="N132" s="1" t="s">
        <v>21</v>
      </c>
      <c r="O132" s="1" t="s">
        <v>20</v>
      </c>
      <c r="P132" s="1" t="s">
        <v>19</v>
      </c>
      <c r="Q132" s="1" t="s">
        <v>18</v>
      </c>
    </row>
    <row r="133" spans="1:17" ht="35" thickBot="1" x14ac:dyDescent="0.25">
      <c r="A133" s="13"/>
      <c r="B133" s="1">
        <v>99</v>
      </c>
      <c r="C133" s="1">
        <v>41.594594594594597</v>
      </c>
      <c r="D133" s="1">
        <f>38/56</f>
        <v>0.6785714285714286</v>
      </c>
      <c r="E133" s="1">
        <f>2/37</f>
        <v>5.4054054054054057E-2</v>
      </c>
      <c r="F133" s="1">
        <f>4/37</f>
        <v>0.10810810810810811</v>
      </c>
      <c r="G133" s="1">
        <f>5/37</f>
        <v>0.13513513513513514</v>
      </c>
      <c r="H133" s="1">
        <f>21/37</f>
        <v>0.56756756756756754</v>
      </c>
      <c r="I133" s="1">
        <f>20/37</f>
        <v>0.54054054054054057</v>
      </c>
      <c r="J133" s="1">
        <f>31/37</f>
        <v>0.83783783783783783</v>
      </c>
      <c r="K133" s="1">
        <f>9/37</f>
        <v>0.24324324324324326</v>
      </c>
      <c r="L133" s="1" t="s">
        <v>17</v>
      </c>
      <c r="M133" s="1" t="s">
        <v>16</v>
      </c>
      <c r="N133" s="1" t="s">
        <v>15</v>
      </c>
      <c r="O133" s="1" t="s">
        <v>14</v>
      </c>
      <c r="P133" s="1" t="s">
        <v>13</v>
      </c>
      <c r="Q133" s="1" t="s">
        <v>12</v>
      </c>
    </row>
    <row r="134" spans="1:17" ht="35" thickBot="1" x14ac:dyDescent="0.25">
      <c r="A134" s="13"/>
      <c r="B134" s="1">
        <v>100</v>
      </c>
      <c r="C134" s="1">
        <v>53.350877192982459</v>
      </c>
      <c r="D134" s="1">
        <f>58/86</f>
        <v>0.67441860465116277</v>
      </c>
      <c r="E134" s="1">
        <v>0</v>
      </c>
      <c r="F134" s="1">
        <f>1/57</f>
        <v>1.7543859649122806E-2</v>
      </c>
      <c r="G134" s="1">
        <v>100</v>
      </c>
      <c r="H134" s="1">
        <f>26/57</f>
        <v>0.45614035087719296</v>
      </c>
      <c r="I134" s="1">
        <v>0</v>
      </c>
      <c r="J134" s="1">
        <f>54/57</f>
        <v>0.94736842105263153</v>
      </c>
      <c r="K134" s="1">
        <v>0</v>
      </c>
      <c r="L134" s="1" t="s">
        <v>11</v>
      </c>
      <c r="M134" s="1" t="s">
        <v>10</v>
      </c>
      <c r="N134" s="1" t="s">
        <v>9</v>
      </c>
      <c r="O134" s="1" t="s">
        <v>8</v>
      </c>
      <c r="P134" s="1" t="s">
        <v>7</v>
      </c>
      <c r="Q134" s="1" t="s">
        <v>6</v>
      </c>
    </row>
    <row r="135" spans="1:17" ht="35" thickBot="1" x14ac:dyDescent="0.25">
      <c r="A135" s="14"/>
      <c r="B135" s="1">
        <v>129</v>
      </c>
      <c r="C135" s="1">
        <v>50.235294117647058</v>
      </c>
      <c r="D135" s="1">
        <f>32/50</f>
        <v>0.64</v>
      </c>
      <c r="E135" s="1">
        <v>0</v>
      </c>
      <c r="F135" s="1">
        <v>0</v>
      </c>
      <c r="G135" s="1">
        <f>31/34</f>
        <v>0.91176470588235292</v>
      </c>
      <c r="H135" s="1">
        <f>16/34</f>
        <v>0.47058823529411764</v>
      </c>
      <c r="I135" s="1">
        <f>2/34</f>
        <v>5.8823529411764705E-2</v>
      </c>
      <c r="J135" s="1">
        <f>33/39</f>
        <v>0.84615384615384615</v>
      </c>
      <c r="K135" s="1">
        <f>1/34</f>
        <v>2.9411764705882353E-2</v>
      </c>
      <c r="L135" s="1" t="s">
        <v>5</v>
      </c>
      <c r="M135" s="1" t="s">
        <v>4</v>
      </c>
      <c r="N135" s="1" t="s">
        <v>3</v>
      </c>
      <c r="O135" s="1" t="s">
        <v>2</v>
      </c>
      <c r="P135" s="1" t="s">
        <v>1</v>
      </c>
      <c r="Q135" s="1" t="s">
        <v>0</v>
      </c>
    </row>
  </sheetData>
  <mergeCells count="20">
    <mergeCell ref="A34:A39"/>
    <mergeCell ref="A40:A45"/>
    <mergeCell ref="A46:A52"/>
    <mergeCell ref="A53:A59"/>
    <mergeCell ref="A2:A8"/>
    <mergeCell ref="A9:A14"/>
    <mergeCell ref="A15:A21"/>
    <mergeCell ref="A22:A27"/>
    <mergeCell ref="A28:A33"/>
    <mergeCell ref="A60:A67"/>
    <mergeCell ref="A68:A76"/>
    <mergeCell ref="A124:A129"/>
    <mergeCell ref="A130:A135"/>
    <mergeCell ref="A84:A92"/>
    <mergeCell ref="A93:A98"/>
    <mergeCell ref="A99:A104"/>
    <mergeCell ref="A105:A110"/>
    <mergeCell ref="A111:A117"/>
    <mergeCell ref="A118:A123"/>
    <mergeCell ref="A77:A8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EE900-46F7-D942-9616-8D5AA56EF713}">
  <dimension ref="A1:Q135"/>
  <sheetViews>
    <sheetView workbookViewId="0">
      <selection activeCell="M9" sqref="M9"/>
    </sheetView>
  </sheetViews>
  <sheetFormatPr baseColWidth="10" defaultRowHeight="16" x14ac:dyDescent="0.2"/>
  <cols>
    <col min="1" max="3" width="10.83203125" style="16"/>
    <col min="4" max="4" width="11.6640625" style="16" bestFit="1" customWidth="1"/>
    <col min="5" max="5" width="13.5" style="16" customWidth="1"/>
    <col min="6" max="6" width="11.6640625" style="16" customWidth="1"/>
    <col min="7" max="10" width="11.6640625" style="16" bestFit="1" customWidth="1"/>
    <col min="11" max="11" width="11.6640625" style="16" customWidth="1"/>
    <col min="12" max="15" width="10.83203125" style="16"/>
    <col min="16" max="16" width="16.1640625" style="16" customWidth="1"/>
    <col min="17" max="17" width="13.33203125" style="16" customWidth="1"/>
    <col min="18" max="16384" width="10.83203125" style="16"/>
  </cols>
  <sheetData>
    <row r="1" spans="1:17" ht="52" thickBot="1" x14ac:dyDescent="0.25">
      <c r="A1" s="3"/>
      <c r="B1" s="9" t="s">
        <v>726</v>
      </c>
      <c r="C1" s="8" t="s">
        <v>725</v>
      </c>
      <c r="D1" s="8" t="s">
        <v>724</v>
      </c>
      <c r="E1" s="8" t="s">
        <v>723</v>
      </c>
      <c r="F1" s="8" t="s">
        <v>722</v>
      </c>
      <c r="G1" s="8" t="s">
        <v>721</v>
      </c>
      <c r="H1" s="8" t="s">
        <v>720</v>
      </c>
      <c r="I1" s="8" t="s">
        <v>719</v>
      </c>
      <c r="J1" s="8" t="s">
        <v>718</v>
      </c>
      <c r="K1" s="8" t="s">
        <v>717</v>
      </c>
      <c r="L1" s="7"/>
      <c r="M1" s="7"/>
      <c r="N1" s="7"/>
      <c r="O1" s="7"/>
      <c r="P1" s="7"/>
      <c r="Q1" s="7"/>
    </row>
    <row r="2" spans="1:17" ht="17" thickBot="1" x14ac:dyDescent="0.25">
      <c r="A2" s="15" t="s">
        <v>710</v>
      </c>
      <c r="B2" s="1">
        <v>1</v>
      </c>
      <c r="C2" s="17">
        <v>43.081081081081081</v>
      </c>
      <c r="D2" s="1">
        <f>40/57</f>
        <v>0.70175438596491224</v>
      </c>
      <c r="E2" s="1">
        <v>0</v>
      </c>
      <c r="F2" s="1">
        <f>1/37</f>
        <v>2.7027027027027029E-2</v>
      </c>
      <c r="G2" s="1">
        <v>100</v>
      </c>
      <c r="H2" s="1">
        <f>20/37</f>
        <v>0.54054054054054057</v>
      </c>
      <c r="I2" s="1">
        <f>1/37</f>
        <v>2.7027027027027029E-2</v>
      </c>
      <c r="J2" s="1">
        <f>30/37</f>
        <v>0.81081081081081086</v>
      </c>
      <c r="K2" s="1">
        <f>21/37</f>
        <v>0.56756756756756754</v>
      </c>
      <c r="L2" s="1"/>
      <c r="M2" s="1"/>
      <c r="N2" s="1"/>
      <c r="O2" s="1"/>
      <c r="P2" s="1"/>
      <c r="Q2" s="1"/>
    </row>
    <row r="3" spans="1:17" ht="17" thickBot="1" x14ac:dyDescent="0.25">
      <c r="A3" s="13"/>
      <c r="B3" s="1">
        <v>2</v>
      </c>
      <c r="C3" s="18">
        <v>42.89473684210526</v>
      </c>
      <c r="D3" s="1">
        <f>38/57</f>
        <v>0.66666666666666663</v>
      </c>
      <c r="E3" s="1">
        <v>0</v>
      </c>
      <c r="F3" s="1">
        <f>3/38</f>
        <v>7.8947368421052627E-2</v>
      </c>
      <c r="G3" s="1">
        <f>28/38</f>
        <v>0.73684210526315785</v>
      </c>
      <c r="H3" s="1">
        <f>22/38</f>
        <v>0.57894736842105265</v>
      </c>
      <c r="I3" s="1">
        <f>1/38</f>
        <v>2.6315789473684209E-2</v>
      </c>
      <c r="J3" s="1">
        <f>29/38</f>
        <v>0.76315789473684215</v>
      </c>
      <c r="K3" s="1">
        <f>9/38</f>
        <v>0.23684210526315788</v>
      </c>
      <c r="L3" s="1"/>
      <c r="M3" s="1"/>
      <c r="N3" s="1"/>
      <c r="O3" s="1"/>
      <c r="P3" s="1"/>
      <c r="Q3" s="1"/>
    </row>
    <row r="4" spans="1:17" ht="17" thickBot="1" x14ac:dyDescent="0.25">
      <c r="A4" s="13"/>
      <c r="B4" s="1">
        <v>3</v>
      </c>
      <c r="C4" s="18">
        <v>45.333333333333336</v>
      </c>
      <c r="D4" s="1">
        <f>40/56</f>
        <v>0.7142857142857143</v>
      </c>
      <c r="E4" s="1">
        <f>1/36</f>
        <v>2.7777777777777776E-2</v>
      </c>
      <c r="F4" s="1">
        <f>2/36</f>
        <v>5.5555555555555552E-2</v>
      </c>
      <c r="G4" s="1">
        <f>17/36</f>
        <v>0.47222222222222221</v>
      </c>
      <c r="H4" s="1">
        <f>16/36</f>
        <v>0.44444444444444442</v>
      </c>
      <c r="I4" s="1">
        <f>11/36</f>
        <v>0.30555555555555558</v>
      </c>
      <c r="J4" s="1">
        <f>34/38</f>
        <v>0.89473684210526316</v>
      </c>
      <c r="K4" s="1">
        <f>27/36</f>
        <v>0.75</v>
      </c>
      <c r="L4" s="1"/>
      <c r="M4" s="1"/>
      <c r="N4" s="1"/>
      <c r="O4" s="1"/>
      <c r="P4" s="1"/>
      <c r="Q4" s="1"/>
    </row>
    <row r="5" spans="1:17" ht="17" thickBot="1" x14ac:dyDescent="0.25">
      <c r="A5" s="13"/>
      <c r="B5" s="1">
        <v>4</v>
      </c>
      <c r="C5" s="19">
        <v>47.07692307692308</v>
      </c>
      <c r="D5" s="1">
        <f>14/20</f>
        <v>0.7</v>
      </c>
      <c r="E5" s="1">
        <v>0</v>
      </c>
      <c r="F5" s="1">
        <f>2/13</f>
        <v>0.15384615384615385</v>
      </c>
      <c r="G5" s="1">
        <f>10/13</f>
        <v>0.76923076923076927</v>
      </c>
      <c r="H5" s="1">
        <f>8/13</f>
        <v>0.61538461538461542</v>
      </c>
      <c r="I5" s="20">
        <v>0</v>
      </c>
      <c r="J5" s="1">
        <v>100</v>
      </c>
      <c r="K5" s="1">
        <f>6/13</f>
        <v>0.46153846153846156</v>
      </c>
      <c r="L5" s="1"/>
      <c r="M5" s="1"/>
      <c r="N5" s="1"/>
      <c r="O5" s="1"/>
      <c r="P5" s="1"/>
      <c r="Q5" s="1"/>
    </row>
    <row r="6" spans="1:17" ht="17" thickBot="1" x14ac:dyDescent="0.25">
      <c r="A6" s="13"/>
      <c r="B6" s="1">
        <v>5</v>
      </c>
      <c r="C6" s="18">
        <v>52.5</v>
      </c>
      <c r="D6" s="1">
        <f>38/55</f>
        <v>0.69090909090909092</v>
      </c>
      <c r="E6" s="1">
        <f>1/36</f>
        <v>2.7777777777777776E-2</v>
      </c>
      <c r="F6" s="1">
        <f>7/36</f>
        <v>0.19444444444444445</v>
      </c>
      <c r="G6" s="1">
        <f>30/36</f>
        <v>0.83333333333333337</v>
      </c>
      <c r="H6" s="1">
        <f>14/36</f>
        <v>0.3888888888888889</v>
      </c>
      <c r="I6" s="1">
        <f>9/36</f>
        <v>0.25</v>
      </c>
      <c r="J6" s="1">
        <f>33/36</f>
        <v>0.91666666666666663</v>
      </c>
      <c r="K6" s="1">
        <f>14/36</f>
        <v>0.3888888888888889</v>
      </c>
      <c r="L6" s="1"/>
      <c r="M6" s="1"/>
      <c r="N6" s="1"/>
      <c r="O6" s="1"/>
      <c r="P6" s="1"/>
      <c r="Q6" s="1"/>
    </row>
    <row r="7" spans="1:17" ht="17" thickBot="1" x14ac:dyDescent="0.25">
      <c r="A7" s="13"/>
      <c r="B7" s="1">
        <v>108</v>
      </c>
      <c r="C7" s="1">
        <v>49.85</v>
      </c>
      <c r="D7" s="1">
        <f>42/61</f>
        <v>0.68852459016393441</v>
      </c>
      <c r="E7" s="1">
        <v>0</v>
      </c>
      <c r="F7" s="1">
        <f>3/40</f>
        <v>7.4999999999999997E-2</v>
      </c>
      <c r="G7" s="1">
        <v>100</v>
      </c>
      <c r="H7" s="1">
        <f>17/40</f>
        <v>0.42499999999999999</v>
      </c>
      <c r="I7" s="1">
        <f>4/40</f>
        <v>0.1</v>
      </c>
      <c r="J7" s="1">
        <f>38/40</f>
        <v>0.95</v>
      </c>
      <c r="K7" s="20">
        <f>1/40</f>
        <v>2.5000000000000001E-2</v>
      </c>
      <c r="L7" s="1"/>
      <c r="M7" s="1"/>
      <c r="N7" s="1"/>
      <c r="O7" s="1"/>
      <c r="P7" s="1"/>
      <c r="Q7" s="1"/>
    </row>
    <row r="8" spans="1:17" ht="17" thickBot="1" x14ac:dyDescent="0.25">
      <c r="A8" s="14"/>
      <c r="B8" s="1">
        <v>110</v>
      </c>
      <c r="C8" s="1">
        <v>52.9</v>
      </c>
      <c r="D8" s="1">
        <f>42/61</f>
        <v>0.68852459016393441</v>
      </c>
      <c r="E8" s="1">
        <v>0</v>
      </c>
      <c r="F8" s="1">
        <v>0</v>
      </c>
      <c r="G8" s="1">
        <f>36/40</f>
        <v>0.9</v>
      </c>
      <c r="H8" s="1">
        <f>19/40</f>
        <v>0.47499999999999998</v>
      </c>
      <c r="I8" s="1">
        <v>0</v>
      </c>
      <c r="J8" s="1">
        <f>33/40</f>
        <v>0.82499999999999996</v>
      </c>
      <c r="K8" s="1">
        <v>0</v>
      </c>
      <c r="L8" s="1"/>
      <c r="M8" s="1"/>
      <c r="N8" s="1"/>
      <c r="O8" s="1"/>
      <c r="P8" s="1"/>
      <c r="Q8" s="1"/>
    </row>
    <row r="9" spans="1:17" ht="17" thickBot="1" x14ac:dyDescent="0.25">
      <c r="A9" s="12" t="s">
        <v>680</v>
      </c>
      <c r="B9" s="1">
        <v>6</v>
      </c>
      <c r="C9" s="1">
        <v>38.358974358974358</v>
      </c>
      <c r="D9" s="1">
        <f>38/58</f>
        <v>0.65517241379310343</v>
      </c>
      <c r="E9" s="1">
        <v>0</v>
      </c>
      <c r="F9" s="1">
        <f>12/39</f>
        <v>0.30769230769230771</v>
      </c>
      <c r="G9" s="1">
        <f>29/39</f>
        <v>0.74358974358974361</v>
      </c>
      <c r="H9" s="1">
        <f>20/39</f>
        <v>0.51282051282051277</v>
      </c>
      <c r="I9" s="1">
        <f>11/39</f>
        <v>0.28205128205128205</v>
      </c>
      <c r="J9" s="1">
        <f>29/39</f>
        <v>0.74358974358974361</v>
      </c>
      <c r="K9" s="1">
        <f>19/39</f>
        <v>0.48717948717948717</v>
      </c>
      <c r="L9" s="1"/>
      <c r="M9" s="1"/>
      <c r="N9" s="1"/>
      <c r="O9" s="1"/>
      <c r="P9" s="1"/>
      <c r="Q9" s="1"/>
    </row>
    <row r="10" spans="1:17" ht="17" thickBot="1" x14ac:dyDescent="0.25">
      <c r="A10" s="13"/>
      <c r="B10" s="1">
        <v>7</v>
      </c>
      <c r="C10" s="1">
        <v>44</v>
      </c>
      <c r="D10" s="1">
        <f>40/57</f>
        <v>0.70175438596491224</v>
      </c>
      <c r="E10" s="1">
        <v>0</v>
      </c>
      <c r="F10" s="1">
        <f>5/37</f>
        <v>0.13513513513513514</v>
      </c>
      <c r="G10" s="1">
        <f>20/37</f>
        <v>0.54054054054054057</v>
      </c>
      <c r="H10" s="1">
        <f>24/37</f>
        <v>0.64864864864864868</v>
      </c>
      <c r="I10" s="1">
        <f>13/37</f>
        <v>0.35135135135135137</v>
      </c>
      <c r="J10" s="1">
        <f>29/37</f>
        <v>0.78378378378378377</v>
      </c>
      <c r="K10" s="1">
        <f>34/37</f>
        <v>0.91891891891891897</v>
      </c>
      <c r="L10" s="1"/>
      <c r="M10" s="1"/>
      <c r="N10" s="1"/>
      <c r="O10" s="1"/>
      <c r="P10" s="1"/>
      <c r="Q10" s="1"/>
    </row>
    <row r="11" spans="1:17" ht="17" thickBot="1" x14ac:dyDescent="0.25">
      <c r="A11" s="13"/>
      <c r="B11" s="1">
        <v>8</v>
      </c>
      <c r="C11" s="1">
        <v>39.578947368421055</v>
      </c>
      <c r="D11" s="1">
        <f>38/57</f>
        <v>0.66666666666666663</v>
      </c>
      <c r="E11" s="1">
        <f>2/38</f>
        <v>5.2631578947368418E-2</v>
      </c>
      <c r="F11" s="1">
        <f>15/38</f>
        <v>0.39473684210526316</v>
      </c>
      <c r="G11" s="1">
        <f>36/38</f>
        <v>0.94736842105263153</v>
      </c>
      <c r="H11" s="1">
        <f>22/38</f>
        <v>0.57894736842105265</v>
      </c>
      <c r="I11" s="1">
        <f>10/38</f>
        <v>0.26315789473684209</v>
      </c>
      <c r="J11" s="1">
        <f>31/38</f>
        <v>0.81578947368421051</v>
      </c>
      <c r="K11" s="1">
        <v>100</v>
      </c>
      <c r="L11" s="1"/>
      <c r="M11" s="1"/>
      <c r="N11" s="1"/>
      <c r="O11" s="1"/>
      <c r="P11" s="1"/>
      <c r="Q11" s="1"/>
    </row>
    <row r="12" spans="1:17" ht="17" thickBot="1" x14ac:dyDescent="0.25">
      <c r="A12" s="13"/>
      <c r="B12" s="1">
        <v>9</v>
      </c>
      <c r="C12" s="1">
        <v>47.722222222222221</v>
      </c>
      <c r="D12" s="1">
        <f>32/52</f>
        <v>0.61538461538461542</v>
      </c>
      <c r="E12" s="1">
        <v>0</v>
      </c>
      <c r="F12" s="1">
        <f>10/36</f>
        <v>0.27777777777777779</v>
      </c>
      <c r="G12" s="1">
        <f>13/36</f>
        <v>0.3611111111111111</v>
      </c>
      <c r="H12" s="1">
        <f>15/36</f>
        <v>0.41666666666666669</v>
      </c>
      <c r="I12" s="1">
        <f>17/36</f>
        <v>0.47222222222222221</v>
      </c>
      <c r="J12" s="1">
        <f>29/36</f>
        <v>0.80555555555555558</v>
      </c>
      <c r="K12" s="1">
        <v>0</v>
      </c>
      <c r="L12" s="1"/>
      <c r="M12" s="1"/>
      <c r="N12" s="1"/>
      <c r="O12" s="1"/>
      <c r="P12" s="1"/>
      <c r="Q12" s="1"/>
    </row>
    <row r="13" spans="1:17" ht="17" thickBot="1" x14ac:dyDescent="0.25">
      <c r="A13" s="13"/>
      <c r="B13" s="1">
        <v>10</v>
      </c>
      <c r="C13" s="1">
        <v>38.475000000000001</v>
      </c>
      <c r="D13" s="1">
        <f>40/60</f>
        <v>0.66666666666666663</v>
      </c>
      <c r="E13" s="1">
        <v>0</v>
      </c>
      <c r="F13" s="1">
        <f>6/40</f>
        <v>0.15</v>
      </c>
      <c r="G13" s="1">
        <f>34/40</f>
        <v>0.85</v>
      </c>
      <c r="H13" s="1">
        <f>17/40</f>
        <v>0.42499999999999999</v>
      </c>
      <c r="I13" s="1">
        <f>14/40</f>
        <v>0.35</v>
      </c>
      <c r="J13" s="1">
        <f>32/40</f>
        <v>0.8</v>
      </c>
      <c r="K13" s="1">
        <f>3/40</f>
        <v>7.4999999999999997E-2</v>
      </c>
      <c r="L13" s="1"/>
      <c r="M13" s="1"/>
      <c r="N13" s="1"/>
      <c r="O13" s="1"/>
      <c r="P13" s="1"/>
      <c r="Q13" s="1"/>
    </row>
    <row r="14" spans="1:17" ht="17" thickBot="1" x14ac:dyDescent="0.25">
      <c r="A14" s="14"/>
      <c r="B14" s="1">
        <v>111</v>
      </c>
      <c r="C14" s="18">
        <v>42.567567567567565</v>
      </c>
      <c r="D14" s="1">
        <f>38/56</f>
        <v>0.6785714285714286</v>
      </c>
      <c r="E14" s="1">
        <v>0</v>
      </c>
      <c r="F14" s="1">
        <f>6/37</f>
        <v>0.16216216216216217</v>
      </c>
      <c r="G14" s="1">
        <f>25/37</f>
        <v>0.67567567567567566</v>
      </c>
      <c r="H14" s="1">
        <f>14/37</f>
        <v>0.3783783783783784</v>
      </c>
      <c r="I14" s="1">
        <f>12/37</f>
        <v>0.32432432432432434</v>
      </c>
      <c r="J14" s="1">
        <f>29/37</f>
        <v>0.78378378378378377</v>
      </c>
      <c r="K14" s="1">
        <f>7/37</f>
        <v>0.1891891891891892</v>
      </c>
      <c r="L14" s="1"/>
      <c r="M14" s="1"/>
      <c r="N14" s="1"/>
      <c r="O14" s="1"/>
      <c r="P14" s="1"/>
      <c r="Q14" s="1"/>
    </row>
    <row r="15" spans="1:17" ht="17" thickBot="1" x14ac:dyDescent="0.25">
      <c r="A15" s="12" t="s">
        <v>654</v>
      </c>
      <c r="B15" s="1">
        <v>11</v>
      </c>
      <c r="C15" s="1">
        <v>40</v>
      </c>
      <c r="D15" s="1">
        <f>56/84</f>
        <v>0.66666666666666663</v>
      </c>
      <c r="E15" s="1">
        <v>0</v>
      </c>
      <c r="F15" s="1">
        <f>6/56</f>
        <v>0.10714285714285714</v>
      </c>
      <c r="G15" s="1">
        <f>52/56</f>
        <v>0.9285714285714286</v>
      </c>
      <c r="H15" s="1">
        <f>24/36</f>
        <v>0.66666666666666663</v>
      </c>
      <c r="I15" s="1">
        <f>19/56</f>
        <v>0.3392857142857143</v>
      </c>
      <c r="J15" s="1">
        <f>51/56</f>
        <v>0.9107142857142857</v>
      </c>
      <c r="K15" s="1">
        <f>38/56</f>
        <v>0.6785714285714286</v>
      </c>
      <c r="L15" s="1"/>
      <c r="M15" s="1"/>
      <c r="N15" s="1"/>
      <c r="O15" s="1"/>
      <c r="P15" s="1"/>
      <c r="Q15" s="1"/>
    </row>
    <row r="16" spans="1:17" ht="17" thickBot="1" x14ac:dyDescent="0.25">
      <c r="A16" s="13"/>
      <c r="B16" s="1">
        <v>12</v>
      </c>
      <c r="C16" s="1">
        <v>38.310344827586206</v>
      </c>
      <c r="D16" s="1">
        <f>58/87</f>
        <v>0.66666666666666663</v>
      </c>
      <c r="E16" s="1">
        <v>0</v>
      </c>
      <c r="F16" s="1">
        <f>2/58</f>
        <v>3.4482758620689655E-2</v>
      </c>
      <c r="G16" s="1">
        <f>53/58</f>
        <v>0.91379310344827591</v>
      </c>
      <c r="H16" s="1">
        <f>27/58</f>
        <v>0.46551724137931033</v>
      </c>
      <c r="I16" s="1">
        <f>12/58</f>
        <v>0.20689655172413793</v>
      </c>
      <c r="J16" s="1">
        <f>52/58</f>
        <v>0.89655172413793105</v>
      </c>
      <c r="K16" s="1">
        <f>24/58</f>
        <v>0.41379310344827586</v>
      </c>
      <c r="L16" s="1"/>
      <c r="M16" s="1"/>
      <c r="N16" s="1"/>
      <c r="O16" s="1"/>
      <c r="P16" s="1"/>
      <c r="Q16" s="1"/>
    </row>
    <row r="17" spans="1:17" ht="17" thickBot="1" x14ac:dyDescent="0.25">
      <c r="A17" s="13"/>
      <c r="B17" s="1">
        <v>13</v>
      </c>
      <c r="C17" s="1">
        <v>40.418181818181822</v>
      </c>
      <c r="D17" s="1">
        <f>54/82</f>
        <v>0.65853658536585369</v>
      </c>
      <c r="E17" s="1">
        <v>0</v>
      </c>
      <c r="F17" s="1">
        <f>21/55</f>
        <v>0.38181818181818183</v>
      </c>
      <c r="G17" s="1">
        <f>44/55</f>
        <v>0.8</v>
      </c>
      <c r="H17" s="1">
        <f>27/55</f>
        <v>0.49090909090909091</v>
      </c>
      <c r="I17" s="1">
        <f>15/55</f>
        <v>0.27272727272727271</v>
      </c>
      <c r="J17" s="1">
        <f>49/55</f>
        <v>0.89090909090909087</v>
      </c>
      <c r="K17" s="1">
        <f>48/55</f>
        <v>0.87272727272727268</v>
      </c>
      <c r="L17" s="1"/>
      <c r="M17" s="1"/>
      <c r="N17" s="1"/>
      <c r="O17" s="1"/>
      <c r="P17" s="1"/>
      <c r="Q17" s="1"/>
    </row>
    <row r="18" spans="1:17" ht="17" thickBot="1" x14ac:dyDescent="0.25">
      <c r="A18" s="13"/>
      <c r="B18" s="1">
        <v>14</v>
      </c>
      <c r="C18" s="1">
        <v>36.418181818181822</v>
      </c>
      <c r="D18" s="1">
        <f>56/83</f>
        <v>0.67469879518072284</v>
      </c>
      <c r="E18" s="1">
        <v>0</v>
      </c>
      <c r="F18" s="1">
        <f>9/55</f>
        <v>0.16363636363636364</v>
      </c>
      <c r="G18" s="1">
        <f>49/55</f>
        <v>0.89090909090909087</v>
      </c>
      <c r="H18" s="1">
        <f>27/55</f>
        <v>0.49090909090909091</v>
      </c>
      <c r="I18" s="1">
        <f>10/55</f>
        <v>0.18181818181818182</v>
      </c>
      <c r="J18" s="1">
        <f>49/55</f>
        <v>0.89090909090909087</v>
      </c>
      <c r="K18" s="1">
        <f>36/55</f>
        <v>0.65454545454545454</v>
      </c>
      <c r="L18" s="1"/>
      <c r="M18" s="1"/>
      <c r="N18" s="1"/>
      <c r="O18" s="1"/>
      <c r="P18" s="1"/>
      <c r="Q18" s="1"/>
    </row>
    <row r="19" spans="1:17" ht="17" thickBot="1" x14ac:dyDescent="0.25">
      <c r="A19" s="13"/>
      <c r="B19" s="1">
        <v>15</v>
      </c>
      <c r="C19" s="1">
        <v>51.18181818181818</v>
      </c>
      <c r="D19" s="1">
        <f>30/48</f>
        <v>0.625</v>
      </c>
      <c r="E19" s="1">
        <v>0</v>
      </c>
      <c r="F19" s="1">
        <v>0</v>
      </c>
      <c r="G19" s="1">
        <v>100</v>
      </c>
      <c r="H19" s="1">
        <f>15/33</f>
        <v>0.45454545454545453</v>
      </c>
      <c r="I19" s="1">
        <f>2/33</f>
        <v>6.0606060606060608E-2</v>
      </c>
      <c r="J19" s="1">
        <f>27/33</f>
        <v>0.81818181818181823</v>
      </c>
      <c r="K19" s="1">
        <f>7/33</f>
        <v>0.21212121212121213</v>
      </c>
      <c r="L19" s="1"/>
      <c r="M19" s="1"/>
      <c r="N19" s="1"/>
      <c r="O19" s="1"/>
      <c r="P19" s="1"/>
      <c r="Q19" s="1"/>
    </row>
    <row r="20" spans="1:17" ht="17" thickBot="1" x14ac:dyDescent="0.25">
      <c r="A20" s="13"/>
      <c r="B20" s="1">
        <v>112</v>
      </c>
      <c r="C20" s="18">
        <v>44.083333333333336</v>
      </c>
      <c r="D20" s="1">
        <f>32/52</f>
        <v>0.61538461538461542</v>
      </c>
      <c r="E20" s="1">
        <v>0</v>
      </c>
      <c r="F20" s="1">
        <f>2/36</f>
        <v>5.5555555555555552E-2</v>
      </c>
      <c r="G20" s="1">
        <v>100</v>
      </c>
      <c r="H20" s="1">
        <f>19/36</f>
        <v>0.52777777777777779</v>
      </c>
      <c r="I20" s="1">
        <f>10/36</f>
        <v>0.27777777777777779</v>
      </c>
      <c r="J20" s="1">
        <f>32/36</f>
        <v>0.88888888888888884</v>
      </c>
      <c r="K20" s="1">
        <f>24/36</f>
        <v>0.66666666666666663</v>
      </c>
      <c r="L20" s="1"/>
      <c r="M20" s="1"/>
      <c r="N20" s="1"/>
      <c r="O20" s="1"/>
      <c r="P20" s="1"/>
      <c r="Q20" s="1"/>
    </row>
    <row r="21" spans="1:17" ht="17" thickBot="1" x14ac:dyDescent="0.25">
      <c r="A21" s="14"/>
      <c r="B21" s="1">
        <v>130</v>
      </c>
      <c r="C21" s="1">
        <v>41.842105263157897</v>
      </c>
      <c r="D21" s="1">
        <f>36/56</f>
        <v>0.6428571428571429</v>
      </c>
      <c r="E21" s="1">
        <v>0</v>
      </c>
      <c r="F21" s="1">
        <f>1/38</f>
        <v>2.6315789473684209E-2</v>
      </c>
      <c r="G21" s="1">
        <f>35/38</f>
        <v>0.92105263157894735</v>
      </c>
      <c r="H21" s="1">
        <f>23/38</f>
        <v>0.60526315789473684</v>
      </c>
      <c r="I21" s="1">
        <f>2/38</f>
        <v>5.2631578947368418E-2</v>
      </c>
      <c r="J21" s="1">
        <f>37/38</f>
        <v>0.97368421052631582</v>
      </c>
      <c r="K21" s="1">
        <f>15/38</f>
        <v>0.39473684210526316</v>
      </c>
      <c r="L21" s="1"/>
      <c r="M21" s="1"/>
      <c r="N21" s="1"/>
      <c r="O21" s="1"/>
      <c r="P21" s="1"/>
      <c r="Q21" s="1"/>
    </row>
    <row r="22" spans="1:17" ht="17" thickBot="1" x14ac:dyDescent="0.25">
      <c r="A22" s="12" t="s">
        <v>623</v>
      </c>
      <c r="B22" s="1">
        <v>16</v>
      </c>
      <c r="C22" s="1">
        <v>38.05263157894737</v>
      </c>
      <c r="D22" s="1">
        <f>40/58</f>
        <v>0.68965517241379315</v>
      </c>
      <c r="E22" s="1">
        <f>1/38</f>
        <v>2.6315789473684209E-2</v>
      </c>
      <c r="F22" s="1">
        <f>33/38</f>
        <v>0.86842105263157898</v>
      </c>
      <c r="G22" s="1">
        <f>5/38</f>
        <v>0.13157894736842105</v>
      </c>
      <c r="H22" s="1">
        <f>28/38</f>
        <v>0.73684210526315785</v>
      </c>
      <c r="I22" s="1">
        <f>18/38</f>
        <v>0.47368421052631576</v>
      </c>
      <c r="J22" s="1">
        <f>35/38</f>
        <v>0.92105263157894735</v>
      </c>
      <c r="K22" s="1">
        <f>31/38</f>
        <v>0.81578947368421051</v>
      </c>
      <c r="L22" s="1"/>
      <c r="M22" s="1"/>
      <c r="N22" s="1"/>
      <c r="O22" s="1"/>
      <c r="P22" s="1"/>
      <c r="Q22" s="1"/>
    </row>
    <row r="23" spans="1:17" ht="17" thickBot="1" x14ac:dyDescent="0.25">
      <c r="A23" s="13"/>
      <c r="B23" s="1">
        <v>17</v>
      </c>
      <c r="C23" s="1">
        <v>44.567567567567565</v>
      </c>
      <c r="D23" s="1">
        <f>38/56</f>
        <v>0.6785714285714286</v>
      </c>
      <c r="E23" s="1">
        <v>0</v>
      </c>
      <c r="F23" s="1">
        <f>10/37</f>
        <v>0.27027027027027029</v>
      </c>
      <c r="G23" s="20">
        <f>29/37</f>
        <v>0.78378378378378377</v>
      </c>
      <c r="H23" s="1">
        <f>17/37</f>
        <v>0.45945945945945948</v>
      </c>
      <c r="I23" s="1">
        <f>7/37</f>
        <v>0.1891891891891892</v>
      </c>
      <c r="J23" s="1">
        <f>32/37</f>
        <v>0.86486486486486491</v>
      </c>
      <c r="K23" s="1">
        <f>22/37</f>
        <v>0.59459459459459463</v>
      </c>
      <c r="L23" s="1"/>
      <c r="M23" s="1"/>
      <c r="N23" s="1"/>
      <c r="O23" s="1"/>
      <c r="P23" s="1"/>
      <c r="Q23" s="1"/>
    </row>
    <row r="24" spans="1:17" ht="17" thickBot="1" x14ac:dyDescent="0.25">
      <c r="A24" s="13"/>
      <c r="B24" s="1">
        <v>18</v>
      </c>
      <c r="C24" s="1">
        <v>37.743589743589745</v>
      </c>
      <c r="D24" s="1">
        <f>38/58</f>
        <v>0.65517241379310343</v>
      </c>
      <c r="E24" s="1">
        <f>4/39</f>
        <v>0.10256410256410256</v>
      </c>
      <c r="F24" s="1">
        <f>1/39</f>
        <v>2.564102564102564E-2</v>
      </c>
      <c r="G24" s="1">
        <f>37/39</f>
        <v>0.94871794871794868</v>
      </c>
      <c r="H24" s="1">
        <f>23/39</f>
        <v>0.58974358974358976</v>
      </c>
      <c r="I24" s="1">
        <f>11/39</f>
        <v>0.28205128205128205</v>
      </c>
      <c r="J24" s="1">
        <f>37/39</f>
        <v>0.94871794871794868</v>
      </c>
      <c r="K24" s="1">
        <f>27/39</f>
        <v>0.69230769230769229</v>
      </c>
      <c r="L24" s="1"/>
      <c r="M24" s="1"/>
      <c r="N24" s="1"/>
      <c r="O24" s="1"/>
      <c r="P24" s="1"/>
      <c r="Q24" s="1"/>
    </row>
    <row r="25" spans="1:17" ht="17" thickBot="1" x14ac:dyDescent="0.25">
      <c r="A25" s="13"/>
      <c r="B25" s="1">
        <v>19</v>
      </c>
      <c r="C25" s="1">
        <v>45.210526315789473</v>
      </c>
      <c r="D25" s="1">
        <f>38/57</f>
        <v>0.66666666666666663</v>
      </c>
      <c r="E25" s="1">
        <v>0</v>
      </c>
      <c r="F25" s="1">
        <f>8/38</f>
        <v>0.21052631578947367</v>
      </c>
      <c r="G25" s="1">
        <f>36/38</f>
        <v>0.94736842105263153</v>
      </c>
      <c r="H25" s="1">
        <f>16/38</f>
        <v>0.42105263157894735</v>
      </c>
      <c r="I25" s="1">
        <f>20/38</f>
        <v>0.52631578947368418</v>
      </c>
      <c r="J25" s="1">
        <f>32/38</f>
        <v>0.84210526315789469</v>
      </c>
      <c r="K25" s="1">
        <f>24/38</f>
        <v>0.63157894736842102</v>
      </c>
      <c r="L25" s="1"/>
      <c r="M25" s="1"/>
      <c r="N25" s="1"/>
      <c r="O25" s="1"/>
      <c r="P25" s="1"/>
      <c r="Q25" s="1"/>
    </row>
    <row r="26" spans="1:17" ht="17" thickBot="1" x14ac:dyDescent="0.25">
      <c r="A26" s="13"/>
      <c r="B26" s="1">
        <v>20</v>
      </c>
      <c r="C26" s="1">
        <v>41.210526315789473</v>
      </c>
      <c r="D26" s="1">
        <f>40/58</f>
        <v>0.68965517241379315</v>
      </c>
      <c r="E26" s="1">
        <v>0</v>
      </c>
      <c r="F26" s="1">
        <f>1/38</f>
        <v>2.6315789473684209E-2</v>
      </c>
      <c r="G26" s="1">
        <f>34/38</f>
        <v>0.89473684210526316</v>
      </c>
      <c r="H26" s="1">
        <f>17/38</f>
        <v>0.44736842105263158</v>
      </c>
      <c r="I26" s="1">
        <f>8/38</f>
        <v>0.21052631578947367</v>
      </c>
      <c r="J26" s="1">
        <f>34/38</f>
        <v>0.89473684210526316</v>
      </c>
      <c r="K26" s="1">
        <f>11/38</f>
        <v>0.28947368421052633</v>
      </c>
      <c r="L26" s="1"/>
      <c r="M26" s="1"/>
      <c r="N26" s="1"/>
      <c r="O26" s="1"/>
      <c r="P26" s="1"/>
      <c r="Q26" s="1"/>
    </row>
    <row r="27" spans="1:17" ht="17" thickBot="1" x14ac:dyDescent="0.25">
      <c r="A27" s="14"/>
      <c r="B27" s="1">
        <v>113</v>
      </c>
      <c r="C27" s="1">
        <v>36.282051282051285</v>
      </c>
      <c r="D27" s="1">
        <f>40/59</f>
        <v>0.67796610169491522</v>
      </c>
      <c r="E27" s="1">
        <v>0</v>
      </c>
      <c r="F27" s="1">
        <f>5/39</f>
        <v>0.12820512820512819</v>
      </c>
      <c r="G27" s="1">
        <v>100</v>
      </c>
      <c r="H27" s="1">
        <f>18/39</f>
        <v>0.46153846153846156</v>
      </c>
      <c r="I27" s="1">
        <f>18/39</f>
        <v>0.46153846153846156</v>
      </c>
      <c r="J27" s="1">
        <f>32/39</f>
        <v>0.82051282051282048</v>
      </c>
      <c r="K27" s="1">
        <f>20/39</f>
        <v>0.51282051282051277</v>
      </c>
      <c r="L27" s="1"/>
      <c r="M27" s="1"/>
      <c r="N27" s="1"/>
      <c r="O27" s="1"/>
      <c r="P27" s="1"/>
      <c r="Q27" s="1"/>
    </row>
    <row r="28" spans="1:17" ht="17" thickBot="1" x14ac:dyDescent="0.25">
      <c r="A28" s="12" t="s">
        <v>597</v>
      </c>
      <c r="B28" s="1">
        <v>21</v>
      </c>
      <c r="C28" s="1">
        <v>38.729729729729726</v>
      </c>
      <c r="D28" s="1">
        <f>34/56</f>
        <v>0.6071428571428571</v>
      </c>
      <c r="E28" s="1">
        <f>2/37</f>
        <v>5.4054054054054057E-2</v>
      </c>
      <c r="F28" s="1">
        <f>29/37</f>
        <v>0.78378378378378377</v>
      </c>
      <c r="G28" s="1">
        <f>21/37</f>
        <v>0.56756756756756754</v>
      </c>
      <c r="H28" s="1">
        <f>20/37</f>
        <v>0.54054054054054057</v>
      </c>
      <c r="I28" s="1">
        <f>27/37</f>
        <v>0.72972972972972971</v>
      </c>
      <c r="J28" s="1">
        <f>36/37</f>
        <v>0.97297297297297303</v>
      </c>
      <c r="K28" s="1">
        <f>6/37</f>
        <v>0.16216216216216217</v>
      </c>
      <c r="L28" s="1"/>
      <c r="M28" s="1"/>
      <c r="N28" s="1"/>
      <c r="O28" s="1"/>
      <c r="P28" s="1"/>
      <c r="Q28" s="1"/>
    </row>
    <row r="29" spans="1:17" ht="17" thickBot="1" x14ac:dyDescent="0.25">
      <c r="A29" s="13"/>
      <c r="B29" s="1">
        <v>22</v>
      </c>
      <c r="C29" s="1">
        <v>42.024999999999999</v>
      </c>
      <c r="D29" s="1">
        <f>40/60</f>
        <v>0.66666666666666663</v>
      </c>
      <c r="E29" s="1">
        <v>0</v>
      </c>
      <c r="F29" s="1">
        <f>6/40</f>
        <v>0.15</v>
      </c>
      <c r="G29" s="1">
        <f>36/40</f>
        <v>0.9</v>
      </c>
      <c r="H29" s="1">
        <f>22/40</f>
        <v>0.55000000000000004</v>
      </c>
      <c r="I29" s="1">
        <f>6/40</f>
        <v>0.15</v>
      </c>
      <c r="J29" s="1">
        <f>37/40</f>
        <v>0.92500000000000004</v>
      </c>
      <c r="K29" s="1">
        <f>17/40</f>
        <v>0.42499999999999999</v>
      </c>
      <c r="L29" s="1"/>
      <c r="M29" s="1"/>
      <c r="N29" s="1"/>
      <c r="O29" s="1"/>
      <c r="P29" s="1"/>
      <c r="Q29" s="1"/>
    </row>
    <row r="30" spans="1:17" ht="17" thickBot="1" x14ac:dyDescent="0.25">
      <c r="A30" s="13"/>
      <c r="B30" s="1">
        <v>23</v>
      </c>
      <c r="C30" s="1">
        <v>40.512820512820511</v>
      </c>
      <c r="D30" s="1">
        <f>40/59</f>
        <v>0.67796610169491522</v>
      </c>
      <c r="E30" s="1">
        <v>0</v>
      </c>
      <c r="F30" s="1">
        <f>27/39</f>
        <v>0.69230769230769229</v>
      </c>
      <c r="G30" s="1">
        <f>26/39</f>
        <v>0.66666666666666663</v>
      </c>
      <c r="H30" s="1">
        <f>19/39</f>
        <v>0.48717948717948717</v>
      </c>
      <c r="I30" s="1">
        <f>16/39</f>
        <v>0.41025641025641024</v>
      </c>
      <c r="J30" s="1">
        <f>32/39</f>
        <v>0.82051282051282048</v>
      </c>
      <c r="K30" s="1">
        <f>1/39</f>
        <v>2.564102564102564E-2</v>
      </c>
      <c r="L30" s="1"/>
      <c r="M30" s="1"/>
      <c r="N30" s="1"/>
      <c r="O30" s="1"/>
      <c r="P30" s="1"/>
      <c r="Q30" s="1"/>
    </row>
    <row r="31" spans="1:17" ht="17" thickBot="1" x14ac:dyDescent="0.25">
      <c r="A31" s="13"/>
      <c r="B31" s="1">
        <v>24</v>
      </c>
      <c r="C31" s="1">
        <v>45.384615384615387</v>
      </c>
      <c r="D31" s="1">
        <f>40/59</f>
        <v>0.67796610169491522</v>
      </c>
      <c r="E31" s="1">
        <v>0</v>
      </c>
      <c r="F31" s="1">
        <f>33/39</f>
        <v>0.84615384615384615</v>
      </c>
      <c r="G31" s="1">
        <f>27/39</f>
        <v>0.69230769230769229</v>
      </c>
      <c r="H31" s="1">
        <f>18/39</f>
        <v>0.46153846153846156</v>
      </c>
      <c r="I31" s="1">
        <f>12/39</f>
        <v>0.30769230769230771</v>
      </c>
      <c r="J31" s="1">
        <f>36/39</f>
        <v>0.92307692307692313</v>
      </c>
      <c r="K31" s="1">
        <f>9/39</f>
        <v>0.23076923076923078</v>
      </c>
      <c r="L31" s="1"/>
      <c r="M31" s="1"/>
      <c r="N31" s="1"/>
      <c r="O31" s="1"/>
      <c r="P31" s="1"/>
      <c r="Q31" s="1"/>
    </row>
    <row r="32" spans="1:17" ht="17" thickBot="1" x14ac:dyDescent="0.25">
      <c r="A32" s="13"/>
      <c r="B32" s="1">
        <v>25</v>
      </c>
      <c r="C32" s="1">
        <v>41.926829268292686</v>
      </c>
      <c r="D32" s="1">
        <f>42/62</f>
        <v>0.67741935483870963</v>
      </c>
      <c r="E32" s="1">
        <v>0</v>
      </c>
      <c r="F32" s="1">
        <f>22/41</f>
        <v>0.53658536585365857</v>
      </c>
      <c r="G32" s="1">
        <f>27/41</f>
        <v>0.65853658536585369</v>
      </c>
      <c r="H32" s="1">
        <f>16/41</f>
        <v>0.3902439024390244</v>
      </c>
      <c r="I32" s="1">
        <f>13/41</f>
        <v>0.31707317073170732</v>
      </c>
      <c r="J32" s="1">
        <f>39/41</f>
        <v>0.95121951219512191</v>
      </c>
      <c r="K32" s="1">
        <f>15/41</f>
        <v>0.36585365853658536</v>
      </c>
      <c r="L32" s="1"/>
      <c r="M32" s="1"/>
      <c r="N32" s="1"/>
      <c r="O32" s="1"/>
      <c r="P32" s="1"/>
      <c r="Q32" s="1"/>
    </row>
    <row r="33" spans="1:17" ht="17" thickBot="1" x14ac:dyDescent="0.25">
      <c r="A33" s="14"/>
      <c r="B33" s="1">
        <v>114</v>
      </c>
      <c r="C33" s="1">
        <v>39.815789473684212</v>
      </c>
      <c r="D33" s="1">
        <f>36/56</f>
        <v>0.6428571428571429</v>
      </c>
      <c r="E33" s="1">
        <v>0</v>
      </c>
      <c r="F33" s="1">
        <f>23/38</f>
        <v>0.60526315789473684</v>
      </c>
      <c r="G33" s="1">
        <f>27/38</f>
        <v>0.71052631578947367</v>
      </c>
      <c r="H33" s="1">
        <f>18/38</f>
        <v>0.47368421052631576</v>
      </c>
      <c r="I33" s="1">
        <f>21/38</f>
        <v>0.55263157894736847</v>
      </c>
      <c r="J33" s="1">
        <f>33/38</f>
        <v>0.86842105263157898</v>
      </c>
      <c r="K33" s="1">
        <f>16/38</f>
        <v>0.42105263157894735</v>
      </c>
      <c r="L33" s="1"/>
      <c r="M33" s="1"/>
      <c r="N33" s="1"/>
      <c r="O33" s="1"/>
      <c r="P33" s="1"/>
      <c r="Q33" s="1"/>
    </row>
    <row r="34" spans="1:17" ht="17" thickBot="1" x14ac:dyDescent="0.25">
      <c r="A34" s="12" t="s">
        <v>572</v>
      </c>
      <c r="B34" s="1">
        <v>26</v>
      </c>
      <c r="C34" s="1">
        <v>41</v>
      </c>
      <c r="D34" s="1">
        <f>40/59</f>
        <v>0.67796610169491522</v>
      </c>
      <c r="E34" s="1">
        <f>3/39</f>
        <v>7.6923076923076927E-2</v>
      </c>
      <c r="F34" s="1">
        <f>13/39</f>
        <v>0.33333333333333331</v>
      </c>
      <c r="G34" s="1">
        <f>28/39</f>
        <v>0.71794871794871795</v>
      </c>
      <c r="H34" s="1">
        <f>21/39</f>
        <v>0.53846153846153844</v>
      </c>
      <c r="I34" s="1">
        <f>14/39</f>
        <v>0.35897435897435898</v>
      </c>
      <c r="J34" s="1">
        <f>37/39</f>
        <v>0.94871794871794868</v>
      </c>
      <c r="K34" s="1">
        <f>29/39</f>
        <v>0.74358974358974361</v>
      </c>
      <c r="L34" s="1"/>
      <c r="M34" s="1"/>
      <c r="N34" s="1"/>
      <c r="O34" s="1"/>
      <c r="P34" s="1"/>
      <c r="Q34" s="1"/>
    </row>
    <row r="35" spans="1:17" ht="17" thickBot="1" x14ac:dyDescent="0.25">
      <c r="A35" s="13"/>
      <c r="B35" s="1">
        <v>27</v>
      </c>
      <c r="C35" s="1">
        <v>44.564102564102562</v>
      </c>
      <c r="D35" s="1">
        <f>38/58</f>
        <v>0.65517241379310343</v>
      </c>
      <c r="E35" s="1">
        <v>0</v>
      </c>
      <c r="F35" s="1">
        <f>16/39</f>
        <v>0.41025641025641024</v>
      </c>
      <c r="G35" s="1">
        <f>28/39</f>
        <v>0.71794871794871795</v>
      </c>
      <c r="H35" s="3">
        <f>16/39</f>
        <v>0.41025641025641024</v>
      </c>
      <c r="I35" s="1">
        <f>5/39</f>
        <v>0.12820512820512819</v>
      </c>
      <c r="J35" s="1">
        <f>38/39</f>
        <v>0.97435897435897434</v>
      </c>
      <c r="K35" s="1">
        <f>8/39</f>
        <v>0.20512820512820512</v>
      </c>
      <c r="L35" s="1"/>
      <c r="M35" s="1"/>
      <c r="N35" s="1"/>
      <c r="O35" s="1"/>
      <c r="P35" s="1"/>
      <c r="Q35" s="1"/>
    </row>
    <row r="36" spans="1:17" ht="17" thickBot="1" x14ac:dyDescent="0.25">
      <c r="A36" s="13"/>
      <c r="B36" s="1">
        <v>28</v>
      </c>
      <c r="C36" s="1">
        <v>45.179487179487182</v>
      </c>
      <c r="D36" s="1">
        <f>40/59</f>
        <v>0.67796610169491522</v>
      </c>
      <c r="E36" s="1">
        <v>0</v>
      </c>
      <c r="F36" s="1">
        <f>6/39</f>
        <v>0.15384615384615385</v>
      </c>
      <c r="G36" s="1">
        <f>31/39</f>
        <v>0.79487179487179482</v>
      </c>
      <c r="H36" s="20">
        <f>18/39</f>
        <v>0.46153846153846156</v>
      </c>
      <c r="I36" s="1">
        <f>6/39</f>
        <v>0.15384615384615385</v>
      </c>
      <c r="J36" s="1">
        <f>37/39</f>
        <v>0.94871794871794868</v>
      </c>
      <c r="K36" s="1">
        <f>2/39</f>
        <v>5.128205128205128E-2</v>
      </c>
      <c r="L36" s="1"/>
      <c r="M36" s="1"/>
      <c r="N36" s="1"/>
      <c r="O36" s="1"/>
      <c r="P36" s="1"/>
      <c r="Q36" s="1"/>
    </row>
    <row r="37" spans="1:17" ht="17" thickBot="1" x14ac:dyDescent="0.25">
      <c r="A37" s="13"/>
      <c r="B37" s="1">
        <v>29</v>
      </c>
      <c r="C37" s="1">
        <v>40.799999999999997</v>
      </c>
      <c r="D37" s="1">
        <f>40/60</f>
        <v>0.66666666666666663</v>
      </c>
      <c r="E37" s="1">
        <v>0</v>
      </c>
      <c r="F37" s="1">
        <f>37/40</f>
        <v>0.92500000000000004</v>
      </c>
      <c r="G37" s="1">
        <f>33/40</f>
        <v>0.82499999999999996</v>
      </c>
      <c r="H37" s="1">
        <f>18/40</f>
        <v>0.45</v>
      </c>
      <c r="I37" s="1">
        <f>25/40</f>
        <v>0.625</v>
      </c>
      <c r="J37" s="1">
        <f>38/40</f>
        <v>0.95</v>
      </c>
      <c r="K37" s="1">
        <f>7/40</f>
        <v>0.17499999999999999</v>
      </c>
      <c r="L37" s="1"/>
      <c r="M37" s="1"/>
      <c r="N37" s="1"/>
      <c r="O37" s="1"/>
      <c r="P37" s="1"/>
      <c r="Q37" s="1"/>
    </row>
    <row r="38" spans="1:17" ht="17" thickBot="1" x14ac:dyDescent="0.25">
      <c r="A38" s="13"/>
      <c r="B38" s="1">
        <v>30</v>
      </c>
      <c r="C38" s="1">
        <v>42.282051282051285</v>
      </c>
      <c r="D38" s="1">
        <f>38/58</f>
        <v>0.65517241379310343</v>
      </c>
      <c r="E38" s="1">
        <v>0</v>
      </c>
      <c r="F38" s="1">
        <f>9/39</f>
        <v>0.23076923076923078</v>
      </c>
      <c r="G38" s="1">
        <f>35/39</f>
        <v>0.89743589743589747</v>
      </c>
      <c r="H38" s="1">
        <f>20/39</f>
        <v>0.51282051282051277</v>
      </c>
      <c r="I38" s="1">
        <f>9/39</f>
        <v>0.23076923076923078</v>
      </c>
      <c r="J38" s="1">
        <f>32/39</f>
        <v>0.82051282051282048</v>
      </c>
      <c r="K38" s="1">
        <f>6/39</f>
        <v>0.15384615384615385</v>
      </c>
      <c r="L38" s="1"/>
      <c r="M38" s="1"/>
      <c r="N38" s="1"/>
      <c r="O38" s="1"/>
      <c r="P38" s="1"/>
      <c r="Q38" s="1"/>
    </row>
    <row r="39" spans="1:17" ht="17" thickBot="1" x14ac:dyDescent="0.25">
      <c r="A39" s="14"/>
      <c r="B39" s="1">
        <v>115</v>
      </c>
      <c r="C39" s="1">
        <v>44.698412698412696</v>
      </c>
      <c r="D39" s="1">
        <f>64/95</f>
        <v>0.67368421052631577</v>
      </c>
      <c r="E39" s="1">
        <v>0</v>
      </c>
      <c r="F39" s="1">
        <f>3/63</f>
        <v>4.7619047619047616E-2</v>
      </c>
      <c r="G39" s="1">
        <f>60/63</f>
        <v>0.95238095238095233</v>
      </c>
      <c r="H39" s="1">
        <f>27/63</f>
        <v>0.42857142857142855</v>
      </c>
      <c r="I39" s="1">
        <f>8/63</f>
        <v>0.12698412698412698</v>
      </c>
      <c r="J39" s="1">
        <f>55/63</f>
        <v>0.87301587301587302</v>
      </c>
      <c r="K39" s="1">
        <f>6/63</f>
        <v>9.5238095238095233E-2</v>
      </c>
      <c r="L39" s="1"/>
      <c r="M39" s="1"/>
      <c r="N39" s="1"/>
      <c r="O39" s="1"/>
      <c r="P39" s="1"/>
      <c r="Q39" s="1"/>
    </row>
    <row r="40" spans="1:17" ht="17" thickBot="1" x14ac:dyDescent="0.25">
      <c r="A40" s="12" t="s">
        <v>546</v>
      </c>
      <c r="B40" s="1">
        <v>31</v>
      </c>
      <c r="C40" s="1">
        <v>37.274999999999999</v>
      </c>
      <c r="D40" s="1">
        <f>40/60</f>
        <v>0.66666666666666663</v>
      </c>
      <c r="E40" s="1">
        <v>0</v>
      </c>
      <c r="F40" s="1">
        <f>7/40</f>
        <v>0.17499999999999999</v>
      </c>
      <c r="G40" s="1">
        <f>31/40</f>
        <v>0.77500000000000002</v>
      </c>
      <c r="H40" s="1">
        <f>20/40</f>
        <v>0.5</v>
      </c>
      <c r="I40" s="1">
        <f>7/40</f>
        <v>0.17499999999999999</v>
      </c>
      <c r="J40" s="1">
        <f>36/40</f>
        <v>0.9</v>
      </c>
      <c r="K40" s="1">
        <f>10/40</f>
        <v>0.25</v>
      </c>
      <c r="L40" s="1"/>
      <c r="M40" s="1"/>
      <c r="N40" s="1"/>
      <c r="O40" s="1"/>
      <c r="P40" s="1"/>
      <c r="Q40" s="1"/>
    </row>
    <row r="41" spans="1:17" ht="17" thickBot="1" x14ac:dyDescent="0.25">
      <c r="A41" s="13"/>
      <c r="B41" s="1">
        <v>32</v>
      </c>
      <c r="C41" s="1">
        <v>44.948717948717949</v>
      </c>
      <c r="D41" s="1">
        <f>38/58</f>
        <v>0.65517241379310343</v>
      </c>
      <c r="E41" s="1">
        <v>0</v>
      </c>
      <c r="F41" s="1">
        <f>4/39</f>
        <v>0.10256410256410256</v>
      </c>
      <c r="G41" s="1">
        <f>31/39</f>
        <v>0.79487179487179482</v>
      </c>
      <c r="H41" s="1">
        <f>14/39</f>
        <v>0.35897435897435898</v>
      </c>
      <c r="I41" s="1">
        <f>7/39</f>
        <v>0.17948717948717949</v>
      </c>
      <c r="J41" s="1">
        <f>37/39</f>
        <v>0.94871794871794868</v>
      </c>
      <c r="K41" s="1">
        <f>10/39</f>
        <v>0.25641025641025639</v>
      </c>
      <c r="L41" s="1"/>
      <c r="M41" s="1"/>
      <c r="N41" s="1"/>
      <c r="O41" s="1"/>
      <c r="P41" s="1"/>
      <c r="Q41" s="1"/>
    </row>
    <row r="42" spans="1:17" ht="17" thickBot="1" x14ac:dyDescent="0.25">
      <c r="A42" s="13"/>
      <c r="B42" s="1">
        <v>33</v>
      </c>
      <c r="C42" s="1">
        <v>42.324324324324323</v>
      </c>
      <c r="D42" s="1">
        <f>40/57</f>
        <v>0.70175438596491224</v>
      </c>
      <c r="E42" s="20">
        <v>0</v>
      </c>
      <c r="F42" s="1">
        <f>1/37</f>
        <v>2.7027027027027029E-2</v>
      </c>
      <c r="G42" s="1">
        <v>100</v>
      </c>
      <c r="H42" s="1">
        <f>22/37</f>
        <v>0.59459459459459463</v>
      </c>
      <c r="I42" s="1">
        <f>1/37</f>
        <v>2.7027027027027029E-2</v>
      </c>
      <c r="J42" s="1">
        <f>29/37</f>
        <v>0.78378378378378377</v>
      </c>
      <c r="K42" s="1">
        <f>1/37</f>
        <v>2.7027027027027029E-2</v>
      </c>
      <c r="L42" s="1"/>
      <c r="M42" s="1"/>
      <c r="N42" s="1"/>
      <c r="O42" s="1"/>
      <c r="P42" s="1"/>
      <c r="Q42" s="1"/>
    </row>
    <row r="43" spans="1:17" ht="17" thickBot="1" x14ac:dyDescent="0.25">
      <c r="A43" s="13"/>
      <c r="B43" s="1">
        <v>34</v>
      </c>
      <c r="C43" s="1">
        <v>45.289473684210527</v>
      </c>
      <c r="D43" s="1">
        <f>40/58</f>
        <v>0.68965517241379315</v>
      </c>
      <c r="E43" s="1">
        <f>1/38</f>
        <v>2.6315789473684209E-2</v>
      </c>
      <c r="F43" s="1">
        <f>18/38</f>
        <v>0.47368421052631576</v>
      </c>
      <c r="G43" s="1">
        <f>35/38</f>
        <v>0.92105263157894735</v>
      </c>
      <c r="H43" s="1">
        <f>17/38</f>
        <v>0.44736842105263158</v>
      </c>
      <c r="I43" s="1">
        <f>10/38</f>
        <v>0.26315789473684209</v>
      </c>
      <c r="J43" s="1">
        <f>31/38</f>
        <v>0.81578947368421051</v>
      </c>
      <c r="K43" s="1">
        <f>31/38</f>
        <v>0.81578947368421051</v>
      </c>
      <c r="L43" s="1"/>
      <c r="M43" s="1"/>
      <c r="N43" s="1"/>
      <c r="O43" s="1"/>
      <c r="P43" s="1"/>
      <c r="Q43" s="1"/>
    </row>
    <row r="44" spans="1:17" ht="17" thickBot="1" x14ac:dyDescent="0.25">
      <c r="A44" s="13"/>
      <c r="B44" s="1">
        <v>35</v>
      </c>
      <c r="C44" s="1">
        <v>43.205128205128204</v>
      </c>
      <c r="D44" s="1">
        <f>38/58</f>
        <v>0.65517241379310343</v>
      </c>
      <c r="E44" s="20">
        <f>1/39</f>
        <v>2.564102564102564E-2</v>
      </c>
      <c r="F44" s="1">
        <f>9/39</f>
        <v>0.23076923076923078</v>
      </c>
      <c r="G44" s="1">
        <f>38/39</f>
        <v>0.97435897435897434</v>
      </c>
      <c r="H44" s="1">
        <f>21/39</f>
        <v>0.53846153846153844</v>
      </c>
      <c r="I44" s="1">
        <f>6/39</f>
        <v>0.15384615384615385</v>
      </c>
      <c r="J44" s="1">
        <f>36/39</f>
        <v>0.92307692307692313</v>
      </c>
      <c r="K44" s="1">
        <f>16/39</f>
        <v>0.41025641025641024</v>
      </c>
      <c r="L44" s="1"/>
      <c r="M44" s="1"/>
      <c r="N44" s="1"/>
      <c r="O44" s="1"/>
      <c r="P44" s="1"/>
      <c r="Q44" s="1"/>
    </row>
    <row r="45" spans="1:17" ht="17" thickBot="1" x14ac:dyDescent="0.25">
      <c r="A45" s="14"/>
      <c r="B45" s="1">
        <v>116</v>
      </c>
      <c r="C45" s="1">
        <v>50.027777777777779</v>
      </c>
      <c r="D45" s="1">
        <f>38/55</f>
        <v>0.69090909090909092</v>
      </c>
      <c r="E45" s="1">
        <v>0</v>
      </c>
      <c r="F45" s="1">
        <v>0</v>
      </c>
      <c r="G45" s="1">
        <f>34/36</f>
        <v>0.94444444444444442</v>
      </c>
      <c r="H45" s="1">
        <f>14/36</f>
        <v>0.3888888888888889</v>
      </c>
      <c r="I45" s="1">
        <f>5/36</f>
        <v>0.1388888888888889</v>
      </c>
      <c r="J45" s="1">
        <f>32/36</f>
        <v>0.88888888888888884</v>
      </c>
      <c r="K45" s="1">
        <v>0</v>
      </c>
      <c r="L45" s="1"/>
      <c r="M45" s="1"/>
      <c r="N45" s="1"/>
      <c r="O45" s="1"/>
      <c r="P45" s="1"/>
      <c r="Q45" s="1"/>
    </row>
    <row r="46" spans="1:17" ht="17" thickBot="1" x14ac:dyDescent="0.25">
      <c r="A46" s="12" t="s">
        <v>519</v>
      </c>
      <c r="B46" s="1">
        <v>36</v>
      </c>
      <c r="C46" s="1">
        <v>47.320754716981135</v>
      </c>
      <c r="D46" s="1">
        <f>54/80</f>
        <v>0.67500000000000004</v>
      </c>
      <c r="E46" s="1">
        <v>0</v>
      </c>
      <c r="F46" s="1">
        <f>1/53</f>
        <v>1.8867924528301886E-2</v>
      </c>
      <c r="G46" s="1">
        <v>100</v>
      </c>
      <c r="H46" s="1">
        <f>20/53</f>
        <v>0.37735849056603776</v>
      </c>
      <c r="I46" s="1">
        <f>4/53</f>
        <v>7.5471698113207544E-2</v>
      </c>
      <c r="J46" s="1">
        <f>52/53</f>
        <v>0.98113207547169812</v>
      </c>
      <c r="K46" s="1">
        <f>7/53</f>
        <v>0.13207547169811321</v>
      </c>
      <c r="L46" s="1"/>
      <c r="M46" s="1"/>
      <c r="N46" s="1"/>
      <c r="O46" s="1"/>
      <c r="P46" s="1"/>
      <c r="Q46" s="1"/>
    </row>
    <row r="47" spans="1:17" ht="17" thickBot="1" x14ac:dyDescent="0.25">
      <c r="A47" s="13"/>
      <c r="B47" s="1">
        <v>37</v>
      </c>
      <c r="C47" s="1">
        <v>51.842105263157897</v>
      </c>
      <c r="D47" s="1">
        <f>38/57</f>
        <v>0.66666666666666663</v>
      </c>
      <c r="E47" s="1">
        <v>0</v>
      </c>
      <c r="F47" s="1">
        <f>2/38</f>
        <v>5.2631578947368418E-2</v>
      </c>
      <c r="G47" s="1">
        <f>36/38</f>
        <v>0.94736842105263153</v>
      </c>
      <c r="H47" s="1">
        <f>12/38</f>
        <v>0.31578947368421051</v>
      </c>
      <c r="I47" s="1">
        <f>3/38</f>
        <v>7.8947368421052627E-2</v>
      </c>
      <c r="J47" s="1">
        <f>33/38</f>
        <v>0.86842105263157898</v>
      </c>
      <c r="K47" s="1">
        <v>0</v>
      </c>
      <c r="L47" s="1"/>
      <c r="M47" s="1"/>
      <c r="N47" s="1"/>
      <c r="O47" s="1"/>
      <c r="P47" s="1"/>
      <c r="Q47" s="1"/>
    </row>
    <row r="48" spans="1:17" ht="17" thickBot="1" x14ac:dyDescent="0.25">
      <c r="A48" s="13"/>
      <c r="B48" s="1">
        <v>38</v>
      </c>
      <c r="C48" s="1">
        <v>48.85</v>
      </c>
      <c r="D48" s="1">
        <f>40/6</f>
        <v>6.666666666666667</v>
      </c>
      <c r="E48" s="1">
        <v>0</v>
      </c>
      <c r="F48" s="1">
        <v>0</v>
      </c>
      <c r="G48" s="1">
        <f>39/40</f>
        <v>0.97499999999999998</v>
      </c>
      <c r="H48" s="1">
        <f>20/40</f>
        <v>0.5</v>
      </c>
      <c r="I48" s="1">
        <f>1/40</f>
        <v>2.5000000000000001E-2</v>
      </c>
      <c r="J48" s="1">
        <f>35/40</f>
        <v>0.875</v>
      </c>
      <c r="K48" s="1">
        <v>0</v>
      </c>
      <c r="L48" s="1"/>
      <c r="M48" s="1"/>
      <c r="N48" s="1"/>
      <c r="O48" s="1"/>
      <c r="P48" s="1"/>
      <c r="Q48" s="1"/>
    </row>
    <row r="49" spans="1:17" ht="17" thickBot="1" x14ac:dyDescent="0.25">
      <c r="A49" s="13"/>
      <c r="B49" s="1">
        <v>39</v>
      </c>
      <c r="C49" s="1">
        <v>46.307692307692307</v>
      </c>
      <c r="D49" s="1">
        <f>52/78</f>
        <v>0.66666666666666663</v>
      </c>
      <c r="E49" s="1">
        <v>0</v>
      </c>
      <c r="F49" s="1">
        <f>4/52</f>
        <v>7.6923076923076927E-2</v>
      </c>
      <c r="G49" s="1">
        <f>46/52</f>
        <v>0.88461538461538458</v>
      </c>
      <c r="H49" s="1">
        <f>22/52</f>
        <v>0.42307692307692307</v>
      </c>
      <c r="I49" s="1">
        <f>5/52</f>
        <v>9.6153846153846159E-2</v>
      </c>
      <c r="J49" s="1">
        <f>49/52</f>
        <v>0.94230769230769229</v>
      </c>
      <c r="K49" s="1">
        <f>1/52</f>
        <v>1.9230769230769232E-2</v>
      </c>
      <c r="L49" s="1"/>
      <c r="M49" s="1"/>
      <c r="N49" s="1"/>
      <c r="O49" s="1"/>
      <c r="P49" s="1"/>
      <c r="Q49" s="1"/>
    </row>
    <row r="50" spans="1:17" ht="17" thickBot="1" x14ac:dyDescent="0.25">
      <c r="A50" s="13"/>
      <c r="B50" s="1">
        <v>40</v>
      </c>
      <c r="C50" s="1">
        <v>39.571428571428569</v>
      </c>
      <c r="D50" s="1">
        <f>32/51</f>
        <v>0.62745098039215685</v>
      </c>
      <c r="E50" s="1">
        <v>0</v>
      </c>
      <c r="F50" s="1">
        <f>29/35</f>
        <v>0.82857142857142863</v>
      </c>
      <c r="G50" s="1">
        <f>1/35</f>
        <v>2.8571428571428571E-2</v>
      </c>
      <c r="H50" s="1">
        <f>21/35</f>
        <v>0.6</v>
      </c>
      <c r="I50" s="1">
        <f>16/35</f>
        <v>0.45714285714285713</v>
      </c>
      <c r="J50" s="1">
        <f>33/35</f>
        <v>0.94285714285714284</v>
      </c>
      <c r="K50" s="1">
        <f>14/35</f>
        <v>0.4</v>
      </c>
      <c r="L50" s="1"/>
      <c r="M50" s="1"/>
      <c r="N50" s="1"/>
      <c r="O50" s="1"/>
      <c r="P50" s="1"/>
      <c r="Q50" s="1"/>
    </row>
    <row r="51" spans="1:17" ht="17" thickBot="1" x14ac:dyDescent="0.25">
      <c r="A51" s="13"/>
      <c r="B51" s="1">
        <v>117</v>
      </c>
      <c r="C51" s="1">
        <v>49.526315789473685</v>
      </c>
      <c r="D51" s="1">
        <f>38/57</f>
        <v>0.66666666666666663</v>
      </c>
      <c r="E51" s="1">
        <v>0</v>
      </c>
      <c r="F51" s="1">
        <v>0</v>
      </c>
      <c r="G51" s="1">
        <f>36/38</f>
        <v>0.94736842105263153</v>
      </c>
      <c r="H51" s="1">
        <f>17/38</f>
        <v>0.44736842105263158</v>
      </c>
      <c r="I51" s="1">
        <f>2/38</f>
        <v>5.2631578947368418E-2</v>
      </c>
      <c r="J51" s="1">
        <f>37/38</f>
        <v>0.97368421052631582</v>
      </c>
      <c r="K51" s="1">
        <f>6/38</f>
        <v>0.15789473684210525</v>
      </c>
      <c r="L51" s="1"/>
      <c r="M51" s="1"/>
      <c r="N51" s="1"/>
      <c r="O51" s="1"/>
      <c r="P51" s="1"/>
      <c r="Q51" s="1"/>
    </row>
    <row r="52" spans="1:17" ht="17" thickBot="1" x14ac:dyDescent="0.25">
      <c r="A52" s="14"/>
      <c r="B52" s="1">
        <v>138</v>
      </c>
      <c r="C52" s="1">
        <v>38.631578947368418</v>
      </c>
      <c r="D52" s="1">
        <f>36/56</f>
        <v>0.6428571428571429</v>
      </c>
      <c r="E52" s="1">
        <f>21/38</f>
        <v>0.55263157894736847</v>
      </c>
      <c r="F52" s="1">
        <v>100</v>
      </c>
      <c r="G52" s="1">
        <v>0</v>
      </c>
      <c r="H52" s="1">
        <f>22/38</f>
        <v>0.57894736842105265</v>
      </c>
      <c r="I52" s="1">
        <f>26/38</f>
        <v>0.68421052631578949</v>
      </c>
      <c r="J52" s="1">
        <f>35/38</f>
        <v>0.92105263157894735</v>
      </c>
      <c r="K52" s="1">
        <f>25/38</f>
        <v>0.65789473684210531</v>
      </c>
      <c r="L52" s="1"/>
      <c r="M52" s="1"/>
      <c r="N52" s="1"/>
      <c r="O52" s="1"/>
      <c r="P52" s="1"/>
      <c r="Q52" s="1"/>
    </row>
    <row r="53" spans="1:17" ht="17" thickBot="1" x14ac:dyDescent="0.25">
      <c r="A53" s="12" t="s">
        <v>479</v>
      </c>
      <c r="B53" s="1">
        <v>41</v>
      </c>
      <c r="C53" s="1">
        <v>58.81818181818182</v>
      </c>
      <c r="D53" s="1">
        <f>34/50</f>
        <v>0.68</v>
      </c>
      <c r="E53" s="1">
        <v>0</v>
      </c>
      <c r="F53" s="1">
        <v>0</v>
      </c>
      <c r="G53" s="1">
        <v>100</v>
      </c>
      <c r="H53" s="1">
        <f>10/33</f>
        <v>0.30303030303030304</v>
      </c>
      <c r="I53" s="1">
        <v>0</v>
      </c>
      <c r="J53" s="1">
        <f>26/33</f>
        <v>0.78787878787878785</v>
      </c>
      <c r="K53" s="1">
        <f>1/33</f>
        <v>3.0303030303030304E-2</v>
      </c>
      <c r="L53" s="1"/>
      <c r="M53" s="1"/>
      <c r="N53" s="1"/>
      <c r="O53" s="1"/>
      <c r="P53" s="1"/>
      <c r="Q53" s="1"/>
    </row>
    <row r="54" spans="1:17" ht="17" thickBot="1" x14ac:dyDescent="0.25">
      <c r="A54" s="13"/>
      <c r="B54" s="1">
        <v>42</v>
      </c>
      <c r="C54" s="1">
        <v>51.466666666666669</v>
      </c>
      <c r="D54" s="1">
        <f>32/46</f>
        <v>0.69565217391304346</v>
      </c>
      <c r="E54" s="1">
        <v>0</v>
      </c>
      <c r="F54" s="1">
        <v>0</v>
      </c>
      <c r="G54" s="1">
        <v>100</v>
      </c>
      <c r="H54" s="1">
        <f>12/30</f>
        <v>0.4</v>
      </c>
      <c r="I54" s="1">
        <f>1/30</f>
        <v>3.3333333333333333E-2</v>
      </c>
      <c r="J54" s="1">
        <f>27/30</f>
        <v>0.9</v>
      </c>
      <c r="K54" s="1">
        <v>0</v>
      </c>
      <c r="L54" s="1"/>
      <c r="M54" s="1"/>
      <c r="N54" s="1"/>
      <c r="O54" s="1"/>
      <c r="P54" s="1"/>
      <c r="Q54" s="1"/>
    </row>
    <row r="55" spans="1:17" ht="17" thickBot="1" x14ac:dyDescent="0.25">
      <c r="A55" s="13"/>
      <c r="B55" s="1">
        <v>43</v>
      </c>
      <c r="C55" s="1">
        <v>48.25925925925926</v>
      </c>
      <c r="D55" s="1">
        <f>28/41</f>
        <v>0.68292682926829273</v>
      </c>
      <c r="E55" s="1">
        <v>0</v>
      </c>
      <c r="F55" s="1">
        <v>0</v>
      </c>
      <c r="G55" s="1">
        <v>100</v>
      </c>
      <c r="H55" s="1">
        <f>12/27</f>
        <v>0.44444444444444442</v>
      </c>
      <c r="I55" s="1">
        <v>0</v>
      </c>
      <c r="J55" s="1">
        <f>26/27</f>
        <v>0.96296296296296291</v>
      </c>
      <c r="K55" s="1">
        <v>0</v>
      </c>
      <c r="L55" s="1"/>
      <c r="M55" s="1"/>
      <c r="N55" s="1"/>
      <c r="O55" s="1"/>
      <c r="P55" s="1"/>
      <c r="Q55" s="1"/>
    </row>
    <row r="56" spans="1:17" ht="17" thickBot="1" x14ac:dyDescent="0.25">
      <c r="A56" s="13"/>
      <c r="B56" s="1">
        <v>44</v>
      </c>
      <c r="C56" s="1">
        <v>47.078947368421055</v>
      </c>
      <c r="D56" s="1">
        <f>36/56</f>
        <v>0.6428571428571429</v>
      </c>
      <c r="E56" s="1">
        <v>0</v>
      </c>
      <c r="F56" s="1">
        <f>1/38</f>
        <v>2.6315789473684209E-2</v>
      </c>
      <c r="G56" s="1">
        <v>100</v>
      </c>
      <c r="H56" s="1">
        <f>21/38</f>
        <v>0.55263157894736847</v>
      </c>
      <c r="I56" s="1">
        <f>2/38</f>
        <v>5.2631578947368418E-2</v>
      </c>
      <c r="J56" s="1">
        <f>35/38</f>
        <v>0.92105263157894735</v>
      </c>
      <c r="K56" s="1">
        <f>3/38</f>
        <v>7.8947368421052627E-2</v>
      </c>
      <c r="L56" s="1"/>
      <c r="M56" s="1"/>
      <c r="N56" s="1"/>
      <c r="O56" s="1"/>
      <c r="P56" s="1"/>
      <c r="Q56" s="1"/>
    </row>
    <row r="57" spans="1:17" ht="17" thickBot="1" x14ac:dyDescent="0.25">
      <c r="A57" s="13"/>
      <c r="B57" s="1">
        <v>45</v>
      </c>
      <c r="C57" s="1">
        <v>52.60526315789474</v>
      </c>
      <c r="D57" s="1">
        <f>40/58</f>
        <v>0.68965517241379315</v>
      </c>
      <c r="E57" s="1">
        <v>0</v>
      </c>
      <c r="F57" s="1">
        <v>0</v>
      </c>
      <c r="G57" s="1">
        <v>100</v>
      </c>
      <c r="H57" s="1">
        <f>15/38</f>
        <v>0.39473684210526316</v>
      </c>
      <c r="I57" s="1">
        <f>4/38</f>
        <v>0.10526315789473684</v>
      </c>
      <c r="J57" s="1">
        <f>34/38</f>
        <v>0.89473684210526316</v>
      </c>
      <c r="K57" s="20">
        <f>2/38</f>
        <v>5.2631578947368418E-2</v>
      </c>
      <c r="L57" s="1"/>
      <c r="M57" s="1"/>
      <c r="N57" s="1"/>
      <c r="O57" s="1"/>
      <c r="P57" s="1"/>
      <c r="Q57" s="1"/>
    </row>
    <row r="58" spans="1:17" ht="17" thickBot="1" x14ac:dyDescent="0.25">
      <c r="A58" s="13"/>
      <c r="B58" s="1">
        <v>101</v>
      </c>
      <c r="C58" s="1">
        <v>35.291666666666664</v>
      </c>
      <c r="D58" s="1">
        <f>48/72</f>
        <v>0.66666666666666663</v>
      </c>
      <c r="E58" s="1">
        <f>2/48</f>
        <v>4.1666666666666664E-2</v>
      </c>
      <c r="F58" s="1">
        <f>13/48</f>
        <v>0.27083333333333331</v>
      </c>
      <c r="G58" s="1">
        <f>15/48</f>
        <v>0.3125</v>
      </c>
      <c r="H58" s="1">
        <f>27/48</f>
        <v>0.5625</v>
      </c>
      <c r="I58" s="1">
        <f>32/48</f>
        <v>0.66666666666666663</v>
      </c>
      <c r="J58" s="1">
        <f>42/48</f>
        <v>0.875</v>
      </c>
      <c r="K58" s="1">
        <f>17/48</f>
        <v>0.35416666666666669</v>
      </c>
      <c r="L58" s="1"/>
      <c r="M58" s="1"/>
      <c r="N58" s="1"/>
      <c r="O58" s="1"/>
      <c r="P58" s="1"/>
      <c r="Q58" s="1"/>
    </row>
    <row r="59" spans="1:17" ht="17" thickBot="1" x14ac:dyDescent="0.25">
      <c r="A59" s="14"/>
      <c r="B59" s="1">
        <v>118</v>
      </c>
      <c r="C59" s="1">
        <v>57.631578947368418</v>
      </c>
      <c r="D59" s="1">
        <f>38/57</f>
        <v>0.66666666666666663</v>
      </c>
      <c r="E59" s="1">
        <v>0</v>
      </c>
      <c r="F59" s="1">
        <f>1/38</f>
        <v>2.6315789473684209E-2</v>
      </c>
      <c r="G59" s="1">
        <f>37/38</f>
        <v>0.97368421052631582</v>
      </c>
      <c r="H59" s="1">
        <f>14/38</f>
        <v>0.36842105263157893</v>
      </c>
      <c r="I59" s="1">
        <v>0</v>
      </c>
      <c r="J59" s="1">
        <f>36/38</f>
        <v>0.94736842105263153</v>
      </c>
      <c r="K59" s="1">
        <v>0</v>
      </c>
      <c r="L59" s="1"/>
      <c r="M59" s="1"/>
      <c r="N59" s="1"/>
      <c r="O59" s="1"/>
      <c r="P59" s="1"/>
      <c r="Q59" s="1"/>
    </row>
    <row r="60" spans="1:17" ht="17" thickBot="1" x14ac:dyDescent="0.25">
      <c r="A60" s="12" t="s">
        <v>442</v>
      </c>
      <c r="B60" s="1">
        <v>46</v>
      </c>
      <c r="C60" s="1">
        <v>45.833333333333336</v>
      </c>
      <c r="D60" s="1">
        <f>30/45</f>
        <v>0.66666666666666663</v>
      </c>
      <c r="E60" s="1">
        <v>0</v>
      </c>
      <c r="F60" s="1">
        <v>0</v>
      </c>
      <c r="G60" s="1">
        <f>29/30</f>
        <v>0.96666666666666667</v>
      </c>
      <c r="H60" s="1">
        <f>17/30</f>
        <v>0.56666666666666665</v>
      </c>
      <c r="I60" s="1">
        <f>1/30</f>
        <v>3.3333333333333333E-2</v>
      </c>
      <c r="J60" s="1">
        <f>25/30</f>
        <v>0.83333333333333337</v>
      </c>
      <c r="K60" s="1">
        <f>3/30</f>
        <v>0.1</v>
      </c>
      <c r="L60" s="1"/>
      <c r="M60" s="1"/>
      <c r="N60" s="1"/>
      <c r="O60" s="1"/>
      <c r="P60" s="1"/>
      <c r="Q60" s="1"/>
    </row>
    <row r="61" spans="1:17" ht="17" thickBot="1" x14ac:dyDescent="0.25">
      <c r="A61" s="13"/>
      <c r="B61" s="1">
        <v>47</v>
      </c>
      <c r="C61" s="1">
        <v>52.08</v>
      </c>
      <c r="D61" s="1">
        <f>50/75</f>
        <v>0.66666666666666663</v>
      </c>
      <c r="E61" s="1">
        <f>2/50</f>
        <v>0.04</v>
      </c>
      <c r="F61" s="1">
        <v>0</v>
      </c>
      <c r="G61" s="1">
        <v>100</v>
      </c>
      <c r="H61" s="1">
        <f>25/50</f>
        <v>0.5</v>
      </c>
      <c r="I61" s="1">
        <f>5/50</f>
        <v>0.1</v>
      </c>
      <c r="J61" s="1">
        <f>45/50</f>
        <v>0.9</v>
      </c>
      <c r="K61" s="1">
        <v>0</v>
      </c>
      <c r="L61" s="1"/>
      <c r="M61" s="1"/>
      <c r="N61" s="1"/>
      <c r="O61" s="1"/>
      <c r="P61" s="1"/>
      <c r="Q61" s="1"/>
    </row>
    <row r="62" spans="1:17" ht="17" thickBot="1" x14ac:dyDescent="0.25">
      <c r="A62" s="13"/>
      <c r="B62" s="1">
        <v>48</v>
      </c>
      <c r="C62" s="1">
        <v>49.857142857142854</v>
      </c>
      <c r="D62" s="1">
        <f>44/64</f>
        <v>0.6875</v>
      </c>
      <c r="E62" s="1">
        <v>0</v>
      </c>
      <c r="F62" s="1">
        <v>0</v>
      </c>
      <c r="G62" s="1">
        <v>100</v>
      </c>
      <c r="H62" s="1">
        <f>20/42</f>
        <v>0.47619047619047616</v>
      </c>
      <c r="I62" s="1">
        <v>0</v>
      </c>
      <c r="J62" s="1">
        <f>38/42</f>
        <v>0.90476190476190477</v>
      </c>
      <c r="K62" s="1">
        <v>0</v>
      </c>
      <c r="L62" s="1"/>
      <c r="M62" s="1"/>
      <c r="N62" s="1"/>
      <c r="O62" s="1"/>
      <c r="P62" s="1"/>
      <c r="Q62" s="1"/>
    </row>
    <row r="63" spans="1:17" ht="17" thickBot="1" x14ac:dyDescent="0.25">
      <c r="A63" s="13"/>
      <c r="B63" s="1">
        <v>49</v>
      </c>
      <c r="C63" s="1">
        <v>51.89473684210526</v>
      </c>
      <c r="D63" s="1">
        <f>36/56</f>
        <v>0.6428571428571429</v>
      </c>
      <c r="E63" s="1">
        <v>0</v>
      </c>
      <c r="F63" s="1">
        <v>0</v>
      </c>
      <c r="G63" s="1">
        <v>100</v>
      </c>
      <c r="H63" s="1">
        <f>17/38</f>
        <v>0.44736842105263158</v>
      </c>
      <c r="I63" s="1">
        <v>0</v>
      </c>
      <c r="J63" s="1">
        <f>34/38</f>
        <v>0.89473684210526316</v>
      </c>
      <c r="K63" s="1">
        <f>1/38</f>
        <v>2.6315789473684209E-2</v>
      </c>
      <c r="L63" s="1"/>
      <c r="M63" s="1"/>
      <c r="N63" s="1"/>
      <c r="O63" s="1"/>
      <c r="P63" s="1"/>
      <c r="Q63" s="1"/>
    </row>
    <row r="64" spans="1:17" ht="17" thickBot="1" x14ac:dyDescent="0.25">
      <c r="A64" s="13"/>
      <c r="B64" s="1">
        <v>50</v>
      </c>
      <c r="C64" s="1">
        <v>51.10144927536232</v>
      </c>
      <c r="D64" s="1">
        <f>70/104</f>
        <v>0.67307692307692313</v>
      </c>
      <c r="E64" s="1">
        <v>0</v>
      </c>
      <c r="F64" s="1">
        <v>0</v>
      </c>
      <c r="G64" s="1">
        <f>68/69</f>
        <v>0.98550724637681164</v>
      </c>
      <c r="H64" s="1">
        <f>30/69</f>
        <v>0.43478260869565216</v>
      </c>
      <c r="I64" s="1">
        <f>1/69</f>
        <v>1.4492753623188406E-2</v>
      </c>
      <c r="J64" s="1">
        <f>58/69</f>
        <v>0.84057971014492749</v>
      </c>
      <c r="K64" s="1">
        <f>3/69</f>
        <v>4.3478260869565216E-2</v>
      </c>
      <c r="L64" s="1"/>
      <c r="M64" s="1"/>
      <c r="N64" s="1"/>
      <c r="O64" s="1"/>
      <c r="P64" s="1"/>
      <c r="Q64" s="1"/>
    </row>
    <row r="65" spans="1:17" ht="17" thickBot="1" x14ac:dyDescent="0.25">
      <c r="A65" s="13"/>
      <c r="B65" s="1">
        <v>102</v>
      </c>
      <c r="C65" s="1">
        <v>51.280701754385966</v>
      </c>
      <c r="D65" s="1">
        <f>58/86</f>
        <v>0.67441860465116277</v>
      </c>
      <c r="E65" s="1">
        <v>0</v>
      </c>
      <c r="F65" s="1">
        <v>0</v>
      </c>
      <c r="G65" s="1">
        <v>100</v>
      </c>
      <c r="H65" s="1">
        <f>22/57</f>
        <v>0.38596491228070173</v>
      </c>
      <c r="I65" s="1">
        <f>2/57</f>
        <v>3.5087719298245612E-2</v>
      </c>
      <c r="J65" s="1">
        <f>51/57</f>
        <v>0.89473684210526316</v>
      </c>
      <c r="K65" s="1">
        <f>1/57</f>
        <v>1.7543859649122806E-2</v>
      </c>
      <c r="L65" s="1"/>
      <c r="M65" s="1"/>
      <c r="N65" s="1"/>
      <c r="O65" s="1"/>
      <c r="P65" s="1"/>
      <c r="Q65" s="1"/>
    </row>
    <row r="66" spans="1:17" ht="17" thickBot="1" x14ac:dyDescent="0.25">
      <c r="A66" s="13"/>
      <c r="B66" s="1">
        <v>106</v>
      </c>
      <c r="C66" s="1">
        <v>48.216216216216218</v>
      </c>
      <c r="D66" s="1">
        <f>38/56</f>
        <v>0.6785714285714286</v>
      </c>
      <c r="E66" s="1">
        <v>0</v>
      </c>
      <c r="F66" s="1">
        <v>0</v>
      </c>
      <c r="G66" s="1">
        <v>100</v>
      </c>
      <c r="H66" s="1">
        <f>16/37</f>
        <v>0.43243243243243246</v>
      </c>
      <c r="I66" s="1">
        <v>0</v>
      </c>
      <c r="J66" s="1">
        <f>29/37</f>
        <v>0.78378378378378377</v>
      </c>
      <c r="K66" s="1">
        <f>2/37</f>
        <v>5.4054054054054057E-2</v>
      </c>
      <c r="L66" s="1"/>
      <c r="M66" s="1"/>
      <c r="N66" s="1"/>
      <c r="O66" s="1"/>
      <c r="P66" s="1"/>
      <c r="Q66" s="1"/>
    </row>
    <row r="67" spans="1:17" ht="17" thickBot="1" x14ac:dyDescent="0.25">
      <c r="A67" s="14"/>
      <c r="B67" s="1">
        <v>119</v>
      </c>
      <c r="C67" s="1">
        <v>53.153846153846153</v>
      </c>
      <c r="D67" s="1">
        <f>40/59</f>
        <v>0.67796610169491522</v>
      </c>
      <c r="E67" s="1">
        <v>0</v>
      </c>
      <c r="F67" s="1">
        <v>0</v>
      </c>
      <c r="G67" s="1">
        <v>100</v>
      </c>
      <c r="H67" s="1">
        <f>17/39</f>
        <v>0.4358974358974359</v>
      </c>
      <c r="I67" s="1">
        <f>3/39</f>
        <v>7.6923076923076927E-2</v>
      </c>
      <c r="J67" s="1">
        <f>33/39</f>
        <v>0.84615384615384615</v>
      </c>
      <c r="K67" s="1">
        <v>0</v>
      </c>
      <c r="L67" s="1"/>
      <c r="M67" s="1"/>
      <c r="N67" s="1"/>
      <c r="O67" s="1"/>
      <c r="P67" s="1"/>
      <c r="Q67" s="1"/>
    </row>
    <row r="68" spans="1:17" ht="17" thickBot="1" x14ac:dyDescent="0.25">
      <c r="A68" s="12" t="s">
        <v>396</v>
      </c>
      <c r="B68" s="1">
        <v>51</v>
      </c>
      <c r="C68" s="1">
        <v>58.717948717948715</v>
      </c>
      <c r="D68" s="1">
        <f>40/59</f>
        <v>0.67796610169491522</v>
      </c>
      <c r="E68" s="1">
        <v>0</v>
      </c>
      <c r="F68" s="1">
        <v>0</v>
      </c>
      <c r="G68" s="1">
        <v>100</v>
      </c>
      <c r="H68" s="1">
        <f>18/39</f>
        <v>0.46153846153846156</v>
      </c>
      <c r="I68" s="1">
        <f>2/39</f>
        <v>5.128205128205128E-2</v>
      </c>
      <c r="J68" s="1">
        <f>35/39</f>
        <v>0.89743589743589747</v>
      </c>
      <c r="K68" s="1">
        <v>0</v>
      </c>
      <c r="L68" s="1"/>
      <c r="M68" s="1"/>
      <c r="N68" s="1"/>
      <c r="O68" s="1"/>
      <c r="P68" s="1"/>
      <c r="Q68" s="1"/>
    </row>
    <row r="69" spans="1:17" ht="17" thickBot="1" x14ac:dyDescent="0.25">
      <c r="A69" s="13"/>
      <c r="B69" s="1">
        <v>52</v>
      </c>
      <c r="C69" s="1">
        <v>51.548387096774192</v>
      </c>
      <c r="D69" s="1">
        <f>30/46</f>
        <v>0.65217391304347827</v>
      </c>
      <c r="E69" s="1">
        <v>0</v>
      </c>
      <c r="F69" s="1">
        <v>0</v>
      </c>
      <c r="G69" s="1">
        <v>100</v>
      </c>
      <c r="H69" s="1">
        <f>17/31</f>
        <v>0.54838709677419351</v>
      </c>
      <c r="I69" s="1">
        <v>0</v>
      </c>
      <c r="J69" s="1">
        <v>100</v>
      </c>
      <c r="K69" s="1">
        <v>0</v>
      </c>
      <c r="L69" s="1"/>
      <c r="M69" s="1"/>
      <c r="N69" s="1"/>
      <c r="O69" s="1"/>
      <c r="P69" s="1"/>
      <c r="Q69" s="1"/>
    </row>
    <row r="70" spans="1:17" ht="17" thickBot="1" x14ac:dyDescent="0.25">
      <c r="A70" s="13"/>
      <c r="B70" s="1">
        <v>53</v>
      </c>
      <c r="C70" s="1">
        <v>57.941176470588232</v>
      </c>
      <c r="D70" s="1">
        <f>16/25</f>
        <v>0.64</v>
      </c>
      <c r="E70" s="1">
        <v>0</v>
      </c>
      <c r="F70" s="1">
        <v>0</v>
      </c>
      <c r="G70" s="1">
        <v>100</v>
      </c>
      <c r="H70" s="1">
        <f>7/17</f>
        <v>0.41176470588235292</v>
      </c>
      <c r="I70" s="1">
        <v>0</v>
      </c>
      <c r="J70" s="1">
        <f>16/17</f>
        <v>0.94117647058823528</v>
      </c>
      <c r="K70" s="1">
        <v>0</v>
      </c>
      <c r="L70" s="1"/>
      <c r="M70" s="1"/>
      <c r="N70" s="1"/>
      <c r="O70" s="1"/>
      <c r="P70" s="1"/>
      <c r="Q70" s="1"/>
    </row>
    <row r="71" spans="1:17" ht="17" thickBot="1" x14ac:dyDescent="0.25">
      <c r="A71" s="13"/>
      <c r="B71" s="1">
        <v>54</v>
      </c>
      <c r="C71" s="1">
        <v>49.565217391304351</v>
      </c>
      <c r="D71" s="1">
        <f>46/69</f>
        <v>0.66666666666666663</v>
      </c>
      <c r="E71" s="1">
        <v>0</v>
      </c>
      <c r="F71" s="1">
        <f>6/46</f>
        <v>0.13043478260869565</v>
      </c>
      <c r="G71" s="1">
        <f>40/46</f>
        <v>0.86956521739130432</v>
      </c>
      <c r="H71" s="1">
        <f>20/46</f>
        <v>0.43478260869565216</v>
      </c>
      <c r="I71" s="1">
        <f>6/46</f>
        <v>0.13043478260869565</v>
      </c>
      <c r="J71" s="1">
        <f>44/46</f>
        <v>0.95652173913043481</v>
      </c>
      <c r="K71" s="1">
        <f>5/46</f>
        <v>0.10869565217391304</v>
      </c>
      <c r="L71" s="1"/>
      <c r="M71" s="1"/>
      <c r="N71" s="1"/>
      <c r="O71" s="1"/>
      <c r="P71" s="1"/>
      <c r="Q71" s="1"/>
    </row>
    <row r="72" spans="1:17" ht="17" thickBot="1" x14ac:dyDescent="0.25">
      <c r="A72" s="13"/>
      <c r="B72" s="1">
        <v>55</v>
      </c>
      <c r="C72" s="1">
        <v>47.641025641025642</v>
      </c>
      <c r="D72" s="1">
        <f>38/58</f>
        <v>0.65517241379310343</v>
      </c>
      <c r="E72" s="1">
        <v>0</v>
      </c>
      <c r="F72" s="1">
        <v>0</v>
      </c>
      <c r="G72" s="1">
        <v>100</v>
      </c>
      <c r="H72" s="1">
        <f>22/39</f>
        <v>0.5641025641025641</v>
      </c>
      <c r="I72" s="1">
        <f>4/39</f>
        <v>0.10256410256410256</v>
      </c>
      <c r="J72" s="1">
        <f>33/39</f>
        <v>0.84615384615384615</v>
      </c>
      <c r="K72" s="1">
        <f>5/39</f>
        <v>0.12820512820512819</v>
      </c>
      <c r="L72" s="1"/>
      <c r="M72" s="1"/>
      <c r="N72" s="1"/>
      <c r="O72" s="1"/>
      <c r="P72" s="1"/>
      <c r="Q72" s="1"/>
    </row>
    <row r="73" spans="1:17" ht="17" thickBot="1" x14ac:dyDescent="0.25">
      <c r="A73" s="13"/>
      <c r="B73" s="1">
        <v>103</v>
      </c>
      <c r="C73" s="1">
        <v>50.974358974358971</v>
      </c>
      <c r="D73" s="1">
        <f>40/59</f>
        <v>0.67796610169491522</v>
      </c>
      <c r="E73" s="1">
        <v>0</v>
      </c>
      <c r="F73" s="1">
        <v>0</v>
      </c>
      <c r="G73" s="1">
        <v>100</v>
      </c>
      <c r="H73" s="1">
        <f>19/39</f>
        <v>0.48717948717948717</v>
      </c>
      <c r="I73" s="1">
        <f>4/39</f>
        <v>0.10256410256410256</v>
      </c>
      <c r="J73" s="1">
        <f>33/39</f>
        <v>0.84615384615384615</v>
      </c>
      <c r="K73" s="1">
        <f>4/39</f>
        <v>0.10256410256410256</v>
      </c>
      <c r="L73" s="1"/>
      <c r="M73" s="1"/>
      <c r="N73" s="1"/>
      <c r="O73" s="1"/>
      <c r="P73" s="1"/>
      <c r="Q73" s="1"/>
    </row>
    <row r="74" spans="1:17" ht="17" thickBot="1" x14ac:dyDescent="0.25">
      <c r="A74" s="13"/>
      <c r="B74" s="1">
        <v>104</v>
      </c>
      <c r="C74" s="1">
        <v>50.179487179487182</v>
      </c>
      <c r="D74" s="1">
        <f>38/58</f>
        <v>0.65517241379310343</v>
      </c>
      <c r="E74" s="1">
        <v>0</v>
      </c>
      <c r="F74" s="1">
        <v>0</v>
      </c>
      <c r="G74" s="1">
        <v>100</v>
      </c>
      <c r="H74" s="1">
        <f>16/39</f>
        <v>0.41025641025641024</v>
      </c>
      <c r="I74" s="1">
        <f>10/39</f>
        <v>0.25641025641025639</v>
      </c>
      <c r="J74" s="1">
        <f>32/39</f>
        <v>0.82051282051282048</v>
      </c>
      <c r="K74" s="1">
        <f>14/39</f>
        <v>0.35897435897435898</v>
      </c>
      <c r="L74" s="1"/>
      <c r="M74" s="1"/>
      <c r="N74" s="1"/>
      <c r="O74" s="1"/>
      <c r="P74" s="1"/>
      <c r="Q74" s="1"/>
    </row>
    <row r="75" spans="1:17" ht="17" thickBot="1" x14ac:dyDescent="0.25">
      <c r="A75" s="13"/>
      <c r="B75" s="1">
        <v>105</v>
      </c>
      <c r="C75" s="1">
        <v>53.733333333333334</v>
      </c>
      <c r="D75" s="1">
        <f>30/45</f>
        <v>0.66666666666666663</v>
      </c>
      <c r="E75" s="1">
        <v>0</v>
      </c>
      <c r="F75" s="1">
        <v>0</v>
      </c>
      <c r="G75" s="1">
        <v>100</v>
      </c>
      <c r="H75" s="1">
        <f>16/30</f>
        <v>0.53333333333333333</v>
      </c>
      <c r="I75" s="1">
        <f>1/30</f>
        <v>3.3333333333333333E-2</v>
      </c>
      <c r="J75" s="1">
        <f>28/30</f>
        <v>0.93333333333333335</v>
      </c>
      <c r="K75" s="1">
        <f>4/30</f>
        <v>0.13333333333333333</v>
      </c>
      <c r="L75" s="1"/>
      <c r="M75" s="1"/>
      <c r="N75" s="1"/>
      <c r="O75" s="1"/>
      <c r="P75" s="1"/>
      <c r="Q75" s="1"/>
    </row>
    <row r="76" spans="1:17" ht="17" thickBot="1" x14ac:dyDescent="0.25">
      <c r="A76" s="14"/>
      <c r="B76" s="1">
        <v>120</v>
      </c>
      <c r="C76" s="1">
        <v>56.133333333333333</v>
      </c>
      <c r="D76" s="1">
        <f>32/46</f>
        <v>0.69565217391304346</v>
      </c>
      <c r="E76" s="1">
        <v>0</v>
      </c>
      <c r="F76" s="1">
        <v>0</v>
      </c>
      <c r="G76" s="1">
        <f>27/30</f>
        <v>0.9</v>
      </c>
      <c r="H76" s="1">
        <f>12/30</f>
        <v>0.4</v>
      </c>
      <c r="I76" s="1">
        <f>2/30</f>
        <v>6.6666666666666666E-2</v>
      </c>
      <c r="J76" s="1">
        <f>20/30</f>
        <v>0.66666666666666663</v>
      </c>
      <c r="K76" s="1">
        <f>2/30</f>
        <v>6.6666666666666666E-2</v>
      </c>
      <c r="L76" s="1"/>
      <c r="M76" s="1"/>
      <c r="N76" s="1"/>
      <c r="O76" s="1"/>
      <c r="P76" s="1"/>
      <c r="Q76" s="1"/>
    </row>
    <row r="77" spans="1:17" ht="17" thickBot="1" x14ac:dyDescent="0.25">
      <c r="A77" s="12" t="s">
        <v>344</v>
      </c>
      <c r="B77" s="1">
        <v>56</v>
      </c>
      <c r="C77" s="1">
        <v>36.39473684210526</v>
      </c>
      <c r="D77" s="1">
        <f>38/57</f>
        <v>0.66666666666666663</v>
      </c>
      <c r="E77" s="1">
        <v>0</v>
      </c>
      <c r="F77" s="1">
        <f>5/38</f>
        <v>0.13157894736842105</v>
      </c>
      <c r="G77" s="1">
        <f>37/38</f>
        <v>0.97368421052631582</v>
      </c>
      <c r="H77" s="1">
        <f>18/38</f>
        <v>0.47368421052631576</v>
      </c>
      <c r="I77" s="1">
        <f>8/38</f>
        <v>0.21052631578947367</v>
      </c>
      <c r="J77" s="1">
        <f>31/38</f>
        <v>0.81578947368421051</v>
      </c>
      <c r="K77" s="1">
        <f>16/38</f>
        <v>0.42105263157894735</v>
      </c>
      <c r="L77" s="1"/>
      <c r="M77" s="1"/>
      <c r="N77" s="1"/>
      <c r="O77" s="1"/>
      <c r="P77" s="1"/>
      <c r="Q77" s="1"/>
    </row>
    <row r="78" spans="1:17" ht="17" thickBot="1" x14ac:dyDescent="0.25">
      <c r="A78" s="13"/>
      <c r="B78" s="1">
        <v>57</v>
      </c>
      <c r="C78" s="1">
        <v>36.25</v>
      </c>
      <c r="D78" s="1">
        <f>44/62</f>
        <v>0.70967741935483875</v>
      </c>
      <c r="E78" s="1">
        <v>0</v>
      </c>
      <c r="F78" s="1">
        <f>2/40</f>
        <v>0.05</v>
      </c>
      <c r="G78" s="1">
        <f>38/40</f>
        <v>0.95</v>
      </c>
      <c r="H78" s="1">
        <f>21/40</f>
        <v>0.52500000000000002</v>
      </c>
      <c r="I78" s="1">
        <f>3/40</f>
        <v>7.4999999999999997E-2</v>
      </c>
      <c r="J78" s="1">
        <f>33/40</f>
        <v>0.82499999999999996</v>
      </c>
      <c r="K78" s="1">
        <f>23/40</f>
        <v>0.57499999999999996</v>
      </c>
      <c r="L78" s="1"/>
      <c r="M78" s="1"/>
      <c r="N78" s="1"/>
      <c r="O78" s="1"/>
      <c r="P78" s="1"/>
      <c r="Q78" s="1"/>
    </row>
    <row r="79" spans="1:17" ht="17" thickBot="1" x14ac:dyDescent="0.25">
      <c r="A79" s="13"/>
      <c r="B79" s="1">
        <v>58</v>
      </c>
      <c r="C79" s="1">
        <v>39.31707317073171</v>
      </c>
      <c r="D79" s="1">
        <f>44/63</f>
        <v>0.69841269841269837</v>
      </c>
      <c r="E79" s="1">
        <v>0</v>
      </c>
      <c r="F79" s="1">
        <f>1/41</f>
        <v>2.4390243902439025E-2</v>
      </c>
      <c r="G79" s="1">
        <f>35/41</f>
        <v>0.85365853658536583</v>
      </c>
      <c r="H79" s="1">
        <f>21/41</f>
        <v>0.51219512195121952</v>
      </c>
      <c r="I79" s="1">
        <f>8/41</f>
        <v>0.1951219512195122</v>
      </c>
      <c r="J79" s="1">
        <f>33/41</f>
        <v>0.80487804878048785</v>
      </c>
      <c r="K79" s="1">
        <f>11/41</f>
        <v>0.26829268292682928</v>
      </c>
      <c r="L79" s="1"/>
      <c r="M79" s="1"/>
      <c r="N79" s="1"/>
      <c r="O79" s="1"/>
      <c r="P79" s="1"/>
      <c r="Q79" s="1"/>
    </row>
    <row r="80" spans="1:17" ht="17" thickBot="1" x14ac:dyDescent="0.25">
      <c r="A80" s="13"/>
      <c r="B80" s="1">
        <v>59</v>
      </c>
      <c r="C80" s="1">
        <v>32.351351351351354</v>
      </c>
      <c r="D80" s="1">
        <f>38/56</f>
        <v>0.6785714285714286</v>
      </c>
      <c r="E80" s="1">
        <v>0</v>
      </c>
      <c r="F80" s="1">
        <f>17/37</f>
        <v>0.45945945945945948</v>
      </c>
      <c r="G80" s="1">
        <f>16/37</f>
        <v>0.43243243243243246</v>
      </c>
      <c r="H80" s="1">
        <f>15/37</f>
        <v>0.40540540540540543</v>
      </c>
      <c r="I80" s="1">
        <f>17/37</f>
        <v>0.45945945945945948</v>
      </c>
      <c r="J80" s="1">
        <f>36/37</f>
        <v>0.97297297297297303</v>
      </c>
      <c r="K80" s="1">
        <f>16/37</f>
        <v>0.43243243243243246</v>
      </c>
      <c r="L80" s="1"/>
      <c r="M80" s="1"/>
      <c r="N80" s="1"/>
      <c r="O80" s="1"/>
      <c r="P80" s="1"/>
      <c r="Q80" s="1"/>
    </row>
    <row r="81" spans="1:17" ht="17" thickBot="1" x14ac:dyDescent="0.25">
      <c r="A81" s="13"/>
      <c r="B81" s="1">
        <v>60</v>
      </c>
      <c r="C81" s="1">
        <v>37.589743589743591</v>
      </c>
      <c r="D81" s="1">
        <f>40/59</f>
        <v>0.67796610169491522</v>
      </c>
      <c r="E81" s="1">
        <v>0</v>
      </c>
      <c r="F81" s="1">
        <f>2/39</f>
        <v>5.128205128205128E-2</v>
      </c>
      <c r="G81" s="1">
        <f>34/39</f>
        <v>0.87179487179487181</v>
      </c>
      <c r="H81" s="1">
        <f>20/39</f>
        <v>0.51282051282051277</v>
      </c>
      <c r="I81" s="1">
        <f>9/39</f>
        <v>0.23076923076923078</v>
      </c>
      <c r="J81" s="1">
        <f>32/39</f>
        <v>0.82051282051282048</v>
      </c>
      <c r="K81" s="1">
        <f>21/39</f>
        <v>0.53846153846153844</v>
      </c>
      <c r="L81" s="1"/>
      <c r="M81" s="1"/>
      <c r="N81" s="1"/>
      <c r="O81" s="1"/>
      <c r="P81" s="1"/>
      <c r="Q81" s="1"/>
    </row>
    <row r="82" spans="1:17" ht="17" thickBot="1" x14ac:dyDescent="0.25">
      <c r="A82" s="13"/>
      <c r="B82" s="1">
        <v>121</v>
      </c>
      <c r="C82" s="1">
        <v>40.027027027027025</v>
      </c>
      <c r="D82" s="1">
        <f>38/56</f>
        <v>0.6785714285714286</v>
      </c>
      <c r="E82" s="1">
        <v>0</v>
      </c>
      <c r="F82" s="1">
        <f>3/37</f>
        <v>8.1081081081081086E-2</v>
      </c>
      <c r="G82" s="1">
        <f>33/37</f>
        <v>0.89189189189189189</v>
      </c>
      <c r="H82" s="1">
        <f>19/37</f>
        <v>0.51351351351351349</v>
      </c>
      <c r="I82" s="1">
        <f>5/37</f>
        <v>0.13513513513513514</v>
      </c>
      <c r="J82" s="1">
        <f>36/37</f>
        <v>0.97297297297297303</v>
      </c>
      <c r="K82" s="1">
        <f>16/37</f>
        <v>0.43243243243243246</v>
      </c>
      <c r="L82" s="1"/>
      <c r="M82" s="1"/>
      <c r="N82" s="1"/>
      <c r="O82" s="1"/>
      <c r="P82" s="1"/>
      <c r="Q82" s="1"/>
    </row>
    <row r="83" spans="1:17" ht="17" thickBot="1" x14ac:dyDescent="0.25">
      <c r="A83" s="14"/>
      <c r="B83" s="1">
        <v>124</v>
      </c>
      <c r="C83" s="1">
        <v>36.108108108108105</v>
      </c>
      <c r="D83" s="1">
        <f>36/55</f>
        <v>0.65454545454545454</v>
      </c>
      <c r="E83" s="1">
        <v>0</v>
      </c>
      <c r="F83" s="1">
        <f>8/37</f>
        <v>0.21621621621621623</v>
      </c>
      <c r="G83" s="1">
        <f>27/37</f>
        <v>0.72972972972972971</v>
      </c>
      <c r="H83" s="1">
        <f>20/37</f>
        <v>0.54054054054054057</v>
      </c>
      <c r="I83" s="1">
        <f>11/37</f>
        <v>0.29729729729729731</v>
      </c>
      <c r="J83" s="1">
        <f>35/37</f>
        <v>0.94594594594594594</v>
      </c>
      <c r="K83" s="1">
        <f>16/37</f>
        <v>0.43243243243243246</v>
      </c>
      <c r="L83" s="1"/>
      <c r="M83" s="1"/>
      <c r="N83" s="1"/>
      <c r="O83" s="1"/>
      <c r="P83" s="1"/>
      <c r="Q83" s="1"/>
    </row>
    <row r="84" spans="1:17" ht="17" thickBot="1" x14ac:dyDescent="0.25">
      <c r="A84" s="12" t="s">
        <v>306</v>
      </c>
      <c r="B84" s="1">
        <v>61</v>
      </c>
      <c r="C84" s="1">
        <v>39.05263157894737</v>
      </c>
      <c r="D84" s="1">
        <f>36/56</f>
        <v>0.6428571428571429</v>
      </c>
      <c r="E84" s="1">
        <f>13/51</f>
        <v>0.25490196078431371</v>
      </c>
      <c r="F84" s="1">
        <f>13/38</f>
        <v>0.34210526315789475</v>
      </c>
      <c r="G84" s="1">
        <f>30/38</f>
        <v>0.78947368421052633</v>
      </c>
      <c r="H84" s="1">
        <f>23/38</f>
        <v>0.60526315789473684</v>
      </c>
      <c r="I84" s="1">
        <f>28/38</f>
        <v>0.73684210526315785</v>
      </c>
      <c r="J84" s="1">
        <f>36/38</f>
        <v>0.94736842105263153</v>
      </c>
      <c r="K84" s="1">
        <f>4/38</f>
        <v>0.10526315789473684</v>
      </c>
      <c r="L84" s="1"/>
      <c r="M84" s="1"/>
      <c r="N84" s="1"/>
      <c r="O84" s="1"/>
      <c r="P84" s="1"/>
      <c r="Q84" s="1"/>
    </row>
    <row r="85" spans="1:17" ht="17" thickBot="1" x14ac:dyDescent="0.25">
      <c r="A85" s="13"/>
      <c r="B85" s="1">
        <v>62</v>
      </c>
      <c r="C85" s="1">
        <v>42.384615384615387</v>
      </c>
      <c r="D85" s="1">
        <f>38/58</f>
        <v>0.65517241379310343</v>
      </c>
      <c r="E85" s="1">
        <v>0</v>
      </c>
      <c r="F85" s="1">
        <f>6/39</f>
        <v>0.15384615384615385</v>
      </c>
      <c r="G85" s="1">
        <f>35/39</f>
        <v>0.89743589743589747</v>
      </c>
      <c r="H85" s="1">
        <f>20/39</f>
        <v>0.51282051282051277</v>
      </c>
      <c r="I85" s="1">
        <f>8/39</f>
        <v>0.20512820512820512</v>
      </c>
      <c r="J85" s="1">
        <f>37/39</f>
        <v>0.94871794871794868</v>
      </c>
      <c r="K85" s="1">
        <f>3/39</f>
        <v>7.6923076923076927E-2</v>
      </c>
      <c r="L85" s="1"/>
      <c r="M85" s="1"/>
      <c r="N85" s="1"/>
      <c r="O85" s="1"/>
      <c r="P85" s="1"/>
      <c r="Q85" s="1"/>
    </row>
    <row r="86" spans="1:17" ht="17" thickBot="1" x14ac:dyDescent="0.25">
      <c r="A86" s="13"/>
      <c r="B86" s="1">
        <v>63</v>
      </c>
      <c r="C86" s="1">
        <v>56.083333333333336</v>
      </c>
      <c r="D86" s="1">
        <f>12/18</f>
        <v>0.66666666666666663</v>
      </c>
      <c r="E86" s="1">
        <v>0</v>
      </c>
      <c r="F86" s="1">
        <v>0</v>
      </c>
      <c r="G86" s="1">
        <f>10/12</f>
        <v>0.83333333333333337</v>
      </c>
      <c r="H86" s="1">
        <f>5/12</f>
        <v>0.41666666666666669</v>
      </c>
      <c r="I86" s="1">
        <v>0</v>
      </c>
      <c r="J86" s="1">
        <v>100</v>
      </c>
      <c r="K86" s="1">
        <v>0</v>
      </c>
      <c r="L86" s="1"/>
      <c r="M86" s="1"/>
      <c r="N86" s="1"/>
      <c r="O86" s="1"/>
      <c r="P86" s="1"/>
      <c r="Q86" s="1"/>
    </row>
    <row r="87" spans="1:17" ht="17" thickBot="1" x14ac:dyDescent="0.25">
      <c r="A87" s="13"/>
      <c r="B87" s="1">
        <v>64</v>
      </c>
      <c r="C87" s="1">
        <v>45.864864864864863</v>
      </c>
      <c r="D87" s="1">
        <f>36/55</f>
        <v>0.65454545454545454</v>
      </c>
      <c r="E87" s="1">
        <v>0</v>
      </c>
      <c r="F87" s="1">
        <v>0</v>
      </c>
      <c r="G87" s="1">
        <f>36/37</f>
        <v>0.97297297297297303</v>
      </c>
      <c r="H87" s="1">
        <f>15/37</f>
        <v>0.40540540540540543</v>
      </c>
      <c r="I87" s="1">
        <f>6/37</f>
        <v>0.16216216216216217</v>
      </c>
      <c r="J87" s="1">
        <f>29/37</f>
        <v>0.78378378378378377</v>
      </c>
      <c r="K87" s="1">
        <v>0</v>
      </c>
      <c r="L87" s="1"/>
      <c r="M87" s="1"/>
      <c r="N87" s="1"/>
      <c r="O87" s="1"/>
      <c r="P87" s="1"/>
      <c r="Q87" s="1"/>
    </row>
    <row r="88" spans="1:17" ht="17" thickBot="1" x14ac:dyDescent="0.25">
      <c r="A88" s="13"/>
      <c r="B88" s="1">
        <v>65</v>
      </c>
      <c r="C88" s="1">
        <v>38.666666666666664</v>
      </c>
      <c r="D88" s="1">
        <f>16/23</f>
        <v>0.69565217391304346</v>
      </c>
      <c r="E88" s="1">
        <v>0</v>
      </c>
      <c r="F88" s="1">
        <f>4/15</f>
        <v>0.26666666666666666</v>
      </c>
      <c r="G88" s="1">
        <f>12/15</f>
        <v>0.8</v>
      </c>
      <c r="H88" s="1">
        <f>7/15</f>
        <v>0.46666666666666667</v>
      </c>
      <c r="I88" s="1">
        <f>4/15</f>
        <v>0.26666666666666666</v>
      </c>
      <c r="J88" s="1">
        <f>14/15</f>
        <v>0.93333333333333335</v>
      </c>
      <c r="K88" s="1">
        <f>2/15</f>
        <v>0.13333333333333333</v>
      </c>
      <c r="L88" s="1"/>
      <c r="M88" s="1"/>
      <c r="N88" s="1"/>
      <c r="O88" s="1"/>
      <c r="P88" s="1"/>
      <c r="Q88" s="1"/>
    </row>
    <row r="89" spans="1:17" ht="17" thickBot="1" x14ac:dyDescent="0.25">
      <c r="A89" s="13"/>
      <c r="B89" s="1">
        <v>107</v>
      </c>
      <c r="C89" s="1">
        <v>38.860465116279073</v>
      </c>
      <c r="D89" s="1">
        <f>44/65</f>
        <v>0.67692307692307696</v>
      </c>
      <c r="E89" s="1">
        <v>0</v>
      </c>
      <c r="F89" s="1">
        <f>3/43</f>
        <v>6.9767441860465115E-2</v>
      </c>
      <c r="G89" s="1">
        <f>40/43</f>
        <v>0.93023255813953487</v>
      </c>
      <c r="H89" s="1">
        <f>18/43</f>
        <v>0.41860465116279072</v>
      </c>
      <c r="I89" s="1">
        <f>8/43</f>
        <v>0.18604651162790697</v>
      </c>
      <c r="J89" s="1">
        <f>41/43</f>
        <v>0.95348837209302328</v>
      </c>
      <c r="K89" s="1">
        <v>0</v>
      </c>
      <c r="L89" s="1"/>
      <c r="M89" s="1"/>
      <c r="N89" s="1"/>
      <c r="O89" s="1"/>
      <c r="P89" s="1"/>
      <c r="Q89" s="1"/>
    </row>
    <row r="90" spans="1:17" ht="17" thickBot="1" x14ac:dyDescent="0.25">
      <c r="A90" s="13"/>
      <c r="B90" s="1">
        <v>109</v>
      </c>
      <c r="C90" s="1">
        <v>42.548387096774192</v>
      </c>
      <c r="D90" s="1">
        <f>64/94</f>
        <v>0.68085106382978722</v>
      </c>
      <c r="E90" s="1">
        <f>1/62</f>
        <v>1.6129032258064516E-2</v>
      </c>
      <c r="F90" s="1">
        <f>11/62</f>
        <v>0.17741935483870969</v>
      </c>
      <c r="G90" s="1">
        <f>49/62</f>
        <v>0.79032258064516125</v>
      </c>
      <c r="H90" s="1">
        <f>27/62</f>
        <v>0.43548387096774194</v>
      </c>
      <c r="I90" s="1">
        <f>12/62</f>
        <v>0.19354838709677419</v>
      </c>
      <c r="J90" s="1">
        <f>52/62</f>
        <v>0.83870967741935487</v>
      </c>
      <c r="K90" s="1">
        <f>7/62</f>
        <v>0.11290322580645161</v>
      </c>
      <c r="L90" s="1"/>
      <c r="M90" s="1"/>
      <c r="N90" s="1"/>
      <c r="O90" s="1"/>
      <c r="P90" s="1"/>
      <c r="Q90" s="1"/>
    </row>
    <row r="91" spans="1:17" ht="17" thickBot="1" x14ac:dyDescent="0.25">
      <c r="A91" s="13"/>
      <c r="B91" s="1">
        <v>122</v>
      </c>
      <c r="C91" s="1">
        <v>41.674999999999997</v>
      </c>
      <c r="D91" s="1">
        <f>40/60</f>
        <v>0.66666666666666663</v>
      </c>
      <c r="E91" s="1">
        <f>2/40</f>
        <v>0.05</v>
      </c>
      <c r="F91" s="1">
        <f>1/40</f>
        <v>2.5000000000000001E-2</v>
      </c>
      <c r="G91" s="1">
        <v>100</v>
      </c>
      <c r="H91" s="1">
        <f>19/40</f>
        <v>0.47499999999999998</v>
      </c>
      <c r="I91" s="1">
        <f>4/40</f>
        <v>0.1</v>
      </c>
      <c r="J91" s="1">
        <f>33/40</f>
        <v>0.82499999999999996</v>
      </c>
      <c r="K91" s="1">
        <f>8/40</f>
        <v>0.2</v>
      </c>
      <c r="L91" s="1"/>
      <c r="M91" s="1"/>
      <c r="N91" s="1"/>
      <c r="O91" s="1"/>
      <c r="P91" s="1"/>
      <c r="Q91" s="1"/>
    </row>
    <row r="92" spans="1:17" ht="17" thickBot="1" x14ac:dyDescent="0.25">
      <c r="A92" s="14"/>
      <c r="B92" s="1">
        <v>136</v>
      </c>
      <c r="C92" s="1">
        <v>43</v>
      </c>
      <c r="D92" s="1">
        <f>32/49</f>
        <v>0.65306122448979587</v>
      </c>
      <c r="E92" s="1">
        <v>0</v>
      </c>
      <c r="F92" s="1">
        <v>0</v>
      </c>
      <c r="G92" s="1">
        <f>30/33</f>
        <v>0.90909090909090906</v>
      </c>
      <c r="H92" s="1">
        <f>16/33</f>
        <v>0.48484848484848486</v>
      </c>
      <c r="I92" s="1">
        <f>5/33</f>
        <v>0.15151515151515152</v>
      </c>
      <c r="J92" s="1">
        <f>28/33</f>
        <v>0.84848484848484851</v>
      </c>
      <c r="K92" s="1">
        <f>9/33</f>
        <v>0.27272727272727271</v>
      </c>
      <c r="L92" s="1"/>
      <c r="M92" s="1"/>
      <c r="N92" s="1"/>
      <c r="O92" s="1"/>
      <c r="P92" s="1"/>
      <c r="Q92" s="1"/>
    </row>
    <row r="93" spans="1:17" ht="17" thickBot="1" x14ac:dyDescent="0.25">
      <c r="A93" s="12" t="s">
        <v>255</v>
      </c>
      <c r="B93" s="1">
        <v>66</v>
      </c>
      <c r="C93" s="1">
        <v>41.230769230769234</v>
      </c>
      <c r="D93" s="1">
        <f>38/58</f>
        <v>0.65517241379310343</v>
      </c>
      <c r="E93" s="1">
        <f>1/39</f>
        <v>2.564102564102564E-2</v>
      </c>
      <c r="F93" s="1">
        <f>2/39</f>
        <v>5.128205128205128E-2</v>
      </c>
      <c r="G93" s="1">
        <f>35/39</f>
        <v>0.89743589743589747</v>
      </c>
      <c r="H93" s="1">
        <f>19/39</f>
        <v>0.48717948717948717</v>
      </c>
      <c r="I93" s="1">
        <f>16/39</f>
        <v>0.41025641025641024</v>
      </c>
      <c r="J93" s="1">
        <f>36/39</f>
        <v>0.92307692307692313</v>
      </c>
      <c r="K93" s="1">
        <f>30/39</f>
        <v>0.76923076923076927</v>
      </c>
      <c r="L93" s="1"/>
      <c r="M93" s="1"/>
      <c r="N93" s="1"/>
      <c r="O93" s="1"/>
      <c r="P93" s="1"/>
      <c r="Q93" s="1"/>
    </row>
    <row r="94" spans="1:17" ht="17" thickBot="1" x14ac:dyDescent="0.25">
      <c r="A94" s="13"/>
      <c r="B94" s="1">
        <v>67</v>
      </c>
      <c r="C94" s="1">
        <v>39.450000000000003</v>
      </c>
      <c r="D94" s="1">
        <f>40/60</f>
        <v>0.66666666666666663</v>
      </c>
      <c r="E94" s="1">
        <f>2/40</f>
        <v>0.05</v>
      </c>
      <c r="F94" s="1">
        <f>10/40</f>
        <v>0.25</v>
      </c>
      <c r="G94" s="1">
        <f>28/40</f>
        <v>0.7</v>
      </c>
      <c r="H94" s="1">
        <f>20/40</f>
        <v>0.5</v>
      </c>
      <c r="I94" s="1">
        <f>17/40</f>
        <v>0.42499999999999999</v>
      </c>
      <c r="J94" s="1">
        <f>39/40</f>
        <v>0.97499999999999998</v>
      </c>
      <c r="K94" s="1">
        <f>17/40</f>
        <v>0.42499999999999999</v>
      </c>
      <c r="L94" s="1"/>
      <c r="M94" s="1"/>
      <c r="N94" s="1"/>
      <c r="O94" s="1"/>
      <c r="P94" s="1"/>
      <c r="Q94" s="1"/>
    </row>
    <row r="95" spans="1:17" ht="17" thickBot="1" x14ac:dyDescent="0.25">
      <c r="A95" s="13"/>
      <c r="B95" s="1">
        <v>68</v>
      </c>
      <c r="C95" s="1">
        <v>39.225000000000001</v>
      </c>
      <c r="D95" s="1">
        <f>40/60</f>
        <v>0.66666666666666663</v>
      </c>
      <c r="E95" s="1">
        <v>0</v>
      </c>
      <c r="F95" s="1">
        <f>10/40</f>
        <v>0.25</v>
      </c>
      <c r="G95" s="1">
        <f>26/40</f>
        <v>0.65</v>
      </c>
      <c r="H95" s="1">
        <f>20/40</f>
        <v>0.5</v>
      </c>
      <c r="I95" s="1">
        <f>13/40</f>
        <v>0.32500000000000001</v>
      </c>
      <c r="J95" s="1">
        <f>34/40</f>
        <v>0.85</v>
      </c>
      <c r="K95" s="1">
        <f>18/40</f>
        <v>0.45</v>
      </c>
      <c r="L95" s="1"/>
      <c r="M95" s="1"/>
      <c r="N95" s="1"/>
      <c r="O95" s="1"/>
      <c r="P95" s="1"/>
      <c r="Q95" s="1"/>
    </row>
    <row r="96" spans="1:17" ht="17" thickBot="1" x14ac:dyDescent="0.25">
      <c r="A96" s="13"/>
      <c r="B96" s="1">
        <v>69</v>
      </c>
      <c r="C96" s="1">
        <v>39.567567567567565</v>
      </c>
      <c r="D96" s="1">
        <f>36/55</f>
        <v>0.65454545454545454</v>
      </c>
      <c r="E96" s="1">
        <v>0</v>
      </c>
      <c r="F96" s="1">
        <f>5/37</f>
        <v>0.13513513513513514</v>
      </c>
      <c r="G96" s="1">
        <f>33/37</f>
        <v>0.89189189189189189</v>
      </c>
      <c r="H96" s="1">
        <f>21/37</f>
        <v>0.56756756756756754</v>
      </c>
      <c r="I96" s="1">
        <f>11/37</f>
        <v>0.29729729729729731</v>
      </c>
      <c r="J96" s="1">
        <f>35/37</f>
        <v>0.94594594594594594</v>
      </c>
      <c r="K96" s="1">
        <f>16/37</f>
        <v>0.43243243243243246</v>
      </c>
      <c r="L96" s="1"/>
      <c r="M96" s="1"/>
      <c r="N96" s="1"/>
      <c r="O96" s="1"/>
      <c r="P96" s="1"/>
      <c r="Q96" s="1"/>
    </row>
    <row r="97" spans="1:17" ht="17" thickBot="1" x14ac:dyDescent="0.25">
      <c r="A97" s="13"/>
      <c r="B97" s="1">
        <v>70</v>
      </c>
      <c r="C97" s="1">
        <v>38.333333333333336</v>
      </c>
      <c r="D97" s="1">
        <f>36/54</f>
        <v>0.66666666666666663</v>
      </c>
      <c r="E97" s="1">
        <v>0</v>
      </c>
      <c r="F97" s="1">
        <f>9/36</f>
        <v>0.25</v>
      </c>
      <c r="G97" s="1">
        <f>32/36</f>
        <v>0.88888888888888884</v>
      </c>
      <c r="H97" s="1">
        <f>24/36</f>
        <v>0.66666666666666663</v>
      </c>
      <c r="I97" s="1">
        <f>15/36</f>
        <v>0.41666666666666669</v>
      </c>
      <c r="J97" s="1">
        <f>34/36</f>
        <v>0.94444444444444442</v>
      </c>
      <c r="K97" s="1">
        <f>22/36</f>
        <v>0.61111111111111116</v>
      </c>
      <c r="L97" s="1"/>
      <c r="M97" s="1"/>
      <c r="N97" s="1"/>
      <c r="O97" s="1"/>
      <c r="P97" s="1"/>
      <c r="Q97" s="1"/>
    </row>
    <row r="98" spans="1:17" ht="17" thickBot="1" x14ac:dyDescent="0.25">
      <c r="A98" s="14"/>
      <c r="B98" s="1">
        <v>123</v>
      </c>
      <c r="C98" s="1">
        <v>36.827586206896555</v>
      </c>
      <c r="D98" s="1">
        <f>28/43</f>
        <v>0.65116279069767447</v>
      </c>
      <c r="E98" s="1">
        <f>5/29</f>
        <v>0.17241379310344829</v>
      </c>
      <c r="F98" s="1">
        <f>24/29</f>
        <v>0.82758620689655171</v>
      </c>
      <c r="G98" s="1">
        <v>0</v>
      </c>
      <c r="H98" s="1">
        <f>17/29</f>
        <v>0.58620689655172409</v>
      </c>
      <c r="I98" s="1">
        <f>8/29</f>
        <v>0.27586206896551724</v>
      </c>
      <c r="J98" s="1">
        <f>28/29</f>
        <v>0.96551724137931039</v>
      </c>
      <c r="K98" s="1">
        <f>17/29</f>
        <v>0.58620689655172409</v>
      </c>
      <c r="L98" s="1"/>
      <c r="M98" s="1"/>
      <c r="N98" s="1"/>
      <c r="O98" s="1"/>
      <c r="P98" s="1"/>
      <c r="Q98" s="1"/>
    </row>
    <row r="99" spans="1:17" ht="17" thickBot="1" x14ac:dyDescent="0.25">
      <c r="A99" s="12" t="s">
        <v>220</v>
      </c>
      <c r="B99" s="1">
        <v>71</v>
      </c>
      <c r="C99" s="1">
        <v>48.704545454545453</v>
      </c>
      <c r="D99" s="1">
        <f>42/65</f>
        <v>0.64615384615384619</v>
      </c>
      <c r="E99" s="1">
        <v>0</v>
      </c>
      <c r="F99" s="1">
        <v>0</v>
      </c>
      <c r="G99" s="1">
        <v>100</v>
      </c>
      <c r="H99" s="1">
        <f>24/44</f>
        <v>0.54545454545454541</v>
      </c>
      <c r="I99" s="1">
        <v>0</v>
      </c>
      <c r="J99" s="1">
        <f>40/44</f>
        <v>0.90909090909090906</v>
      </c>
      <c r="K99" s="1">
        <v>0</v>
      </c>
      <c r="L99" s="1"/>
      <c r="M99" s="1"/>
      <c r="N99" s="1"/>
      <c r="O99" s="1"/>
      <c r="P99" s="1"/>
      <c r="Q99" s="1"/>
    </row>
    <row r="100" spans="1:17" ht="17" thickBot="1" x14ac:dyDescent="0.25">
      <c r="A100" s="13"/>
      <c r="B100" s="1">
        <v>72</v>
      </c>
      <c r="C100" s="1">
        <v>49.078431372549019</v>
      </c>
      <c r="D100" s="1">
        <f>50/76</f>
        <v>0.65789473684210531</v>
      </c>
      <c r="E100" s="1">
        <v>0</v>
      </c>
      <c r="F100" s="1">
        <v>0</v>
      </c>
      <c r="G100" s="1">
        <f>49/51</f>
        <v>0.96078431372549022</v>
      </c>
      <c r="H100" s="1">
        <f>27/51</f>
        <v>0.52941176470588236</v>
      </c>
      <c r="I100" s="1">
        <v>0</v>
      </c>
      <c r="J100" s="1">
        <f>46/51</f>
        <v>0.90196078431372551</v>
      </c>
      <c r="K100" s="1">
        <f>1/51</f>
        <v>1.9607843137254902E-2</v>
      </c>
      <c r="L100" s="1"/>
      <c r="M100" s="1"/>
      <c r="N100" s="1"/>
      <c r="O100" s="1"/>
      <c r="P100" s="1"/>
      <c r="Q100" s="1"/>
    </row>
    <row r="101" spans="1:17" ht="17" thickBot="1" x14ac:dyDescent="0.25">
      <c r="A101" s="13"/>
      <c r="B101" s="1">
        <v>73</v>
      </c>
      <c r="C101" s="1">
        <v>48.75</v>
      </c>
      <c r="D101" s="1">
        <f>28/42</f>
        <v>0.66666666666666663</v>
      </c>
      <c r="E101" s="1">
        <v>0</v>
      </c>
      <c r="F101" s="1">
        <v>0</v>
      </c>
      <c r="G101" s="1">
        <f>26/28</f>
        <v>0.9285714285714286</v>
      </c>
      <c r="H101" s="1">
        <f>11/28</f>
        <v>0.39285714285714285</v>
      </c>
      <c r="I101" s="1">
        <v>0</v>
      </c>
      <c r="J101" s="1">
        <f>23/28</f>
        <v>0.8214285714285714</v>
      </c>
      <c r="K101" s="1">
        <v>0</v>
      </c>
      <c r="L101" s="1"/>
      <c r="M101" s="1"/>
      <c r="N101" s="1"/>
      <c r="O101" s="1"/>
      <c r="P101" s="1"/>
      <c r="Q101" s="1"/>
    </row>
    <row r="102" spans="1:17" ht="17" thickBot="1" x14ac:dyDescent="0.25">
      <c r="A102" s="13"/>
      <c r="B102" s="1">
        <v>74</v>
      </c>
      <c r="C102" s="1">
        <v>36.585365853658537</v>
      </c>
      <c r="D102" s="1">
        <f>42/62</f>
        <v>0.67741935483870963</v>
      </c>
      <c r="E102" s="1">
        <f>4/41</f>
        <v>9.7560975609756101E-2</v>
      </c>
      <c r="F102" s="1">
        <f>14/41</f>
        <v>0.34146341463414637</v>
      </c>
      <c r="G102" s="1">
        <f>10/41</f>
        <v>0.24390243902439024</v>
      </c>
      <c r="H102" s="1">
        <f>23/41</f>
        <v>0.56097560975609762</v>
      </c>
      <c r="I102" s="1">
        <f>30/41</f>
        <v>0.73170731707317072</v>
      </c>
      <c r="J102" s="1">
        <f>32/41</f>
        <v>0.78048780487804881</v>
      </c>
      <c r="K102" s="1">
        <f>9/41</f>
        <v>0.21951219512195122</v>
      </c>
      <c r="L102" s="1"/>
      <c r="M102" s="1"/>
      <c r="N102" s="1"/>
      <c r="O102" s="1"/>
      <c r="P102" s="1"/>
      <c r="Q102" s="1"/>
    </row>
    <row r="103" spans="1:17" ht="17" thickBot="1" x14ac:dyDescent="0.25">
      <c r="A103" s="13"/>
      <c r="B103" s="1">
        <v>75</v>
      </c>
      <c r="C103" s="1">
        <v>43.216666666666669</v>
      </c>
      <c r="D103" s="1">
        <f>62/91</f>
        <v>0.68131868131868134</v>
      </c>
      <c r="E103" s="1">
        <v>0</v>
      </c>
      <c r="F103" s="1">
        <v>0</v>
      </c>
      <c r="G103" s="1">
        <f>56/60</f>
        <v>0.93333333333333335</v>
      </c>
      <c r="H103" s="1">
        <f>35/60</f>
        <v>0.58333333333333337</v>
      </c>
      <c r="I103" s="1">
        <f>1/60</f>
        <v>1.6666666666666666E-2</v>
      </c>
      <c r="J103" s="1">
        <f>56/60</f>
        <v>0.93333333333333335</v>
      </c>
      <c r="K103" s="1">
        <f>2/60</f>
        <v>3.3333333333333333E-2</v>
      </c>
      <c r="L103" s="1"/>
      <c r="M103" s="1"/>
      <c r="N103" s="1"/>
      <c r="O103" s="1"/>
      <c r="P103" s="1"/>
      <c r="Q103" s="1"/>
    </row>
    <row r="104" spans="1:17" ht="17" thickBot="1" x14ac:dyDescent="0.25">
      <c r="A104" s="14"/>
      <c r="B104" s="1">
        <v>137</v>
      </c>
      <c r="C104" s="1">
        <v>41</v>
      </c>
      <c r="D104" s="1">
        <f>36/52</f>
        <v>0.69230769230769229</v>
      </c>
      <c r="E104" s="1">
        <v>0</v>
      </c>
      <c r="F104" s="1">
        <v>0</v>
      </c>
      <c r="G104" s="1">
        <v>100</v>
      </c>
      <c r="H104" s="1">
        <f>16/34</f>
        <v>0.47058823529411764</v>
      </c>
      <c r="I104" s="1">
        <f>5/34</f>
        <v>0.14705882352941177</v>
      </c>
      <c r="J104" s="1">
        <f>30/34</f>
        <v>0.88235294117647056</v>
      </c>
      <c r="K104" s="1">
        <f>4/34</f>
        <v>0.11764705882352941</v>
      </c>
      <c r="L104" s="1"/>
      <c r="M104" s="1"/>
      <c r="N104" s="1"/>
      <c r="O104" s="1"/>
      <c r="P104" s="1"/>
      <c r="Q104" s="1"/>
    </row>
    <row r="105" spans="1:17" ht="17" thickBot="1" x14ac:dyDescent="0.25">
      <c r="A105" s="12" t="s">
        <v>184</v>
      </c>
      <c r="B105" s="1">
        <v>76</v>
      </c>
      <c r="C105" s="1">
        <v>48.424999999999997</v>
      </c>
      <c r="D105" s="1">
        <f>40/60</f>
        <v>0.66666666666666663</v>
      </c>
      <c r="E105" s="1">
        <v>0</v>
      </c>
      <c r="F105" s="1">
        <f>3/40</f>
        <v>7.4999999999999997E-2</v>
      </c>
      <c r="G105" s="1">
        <f>36/40</f>
        <v>0.9</v>
      </c>
      <c r="H105" s="1">
        <f>17/40</f>
        <v>0.42499999999999999</v>
      </c>
      <c r="I105" s="1">
        <f>9/40</f>
        <v>0.22500000000000001</v>
      </c>
      <c r="J105" s="1">
        <f>38/40</f>
        <v>0.95</v>
      </c>
      <c r="K105" s="1">
        <f>4/40</f>
        <v>0.1</v>
      </c>
      <c r="L105" s="1"/>
      <c r="M105" s="1"/>
      <c r="N105" s="1"/>
      <c r="O105" s="1"/>
      <c r="P105" s="1"/>
      <c r="Q105" s="1"/>
    </row>
    <row r="106" spans="1:17" ht="17" thickBot="1" x14ac:dyDescent="0.25">
      <c r="A106" s="13"/>
      <c r="B106" s="1">
        <v>77</v>
      </c>
      <c r="C106" s="1">
        <v>40.657894736842103</v>
      </c>
      <c r="D106" s="1">
        <f>36/56</f>
        <v>0.6428571428571429</v>
      </c>
      <c r="E106" s="1">
        <v>0</v>
      </c>
      <c r="F106" s="1">
        <f>20/38</f>
        <v>0.52631578947368418</v>
      </c>
      <c r="G106" s="1">
        <f>22/38</f>
        <v>0.57894736842105265</v>
      </c>
      <c r="H106" s="1">
        <f>21/38</f>
        <v>0.55263157894736847</v>
      </c>
      <c r="I106" s="1">
        <f>18/38</f>
        <v>0.47368421052631576</v>
      </c>
      <c r="J106" s="1">
        <f>37/38</f>
        <v>0.97368421052631582</v>
      </c>
      <c r="K106" s="1">
        <f>14/38</f>
        <v>0.36842105263157893</v>
      </c>
      <c r="L106" s="1"/>
      <c r="M106" s="1"/>
      <c r="N106" s="1"/>
      <c r="O106" s="1"/>
      <c r="P106" s="1"/>
      <c r="Q106" s="1"/>
    </row>
    <row r="107" spans="1:17" ht="17" thickBot="1" x14ac:dyDescent="0.25">
      <c r="A107" s="13"/>
      <c r="B107" s="1">
        <v>78</v>
      </c>
      <c r="C107" s="1">
        <v>41.9</v>
      </c>
      <c r="D107" s="1">
        <f>40/60</f>
        <v>0.66666666666666663</v>
      </c>
      <c r="E107" s="1">
        <v>0</v>
      </c>
      <c r="F107" s="1">
        <f>24/40</f>
        <v>0.6</v>
      </c>
      <c r="G107" s="1">
        <f>14/40</f>
        <v>0.35</v>
      </c>
      <c r="H107" s="1">
        <f>22/40</f>
        <v>0.55000000000000004</v>
      </c>
      <c r="I107" s="1">
        <f>19/40</f>
        <v>0.47499999999999998</v>
      </c>
      <c r="J107" s="1">
        <f>36/40</f>
        <v>0.9</v>
      </c>
      <c r="K107" s="1">
        <f>4/40</f>
        <v>0.1</v>
      </c>
      <c r="L107" s="1"/>
      <c r="M107" s="1"/>
      <c r="N107" s="1"/>
      <c r="O107" s="1"/>
      <c r="P107" s="1"/>
      <c r="Q107" s="1"/>
    </row>
    <row r="108" spans="1:17" ht="17" thickBot="1" x14ac:dyDescent="0.25">
      <c r="A108" s="13"/>
      <c r="B108" s="1">
        <v>79</v>
      </c>
      <c r="C108" s="1">
        <v>55.315789473684212</v>
      </c>
      <c r="D108" s="1">
        <f>38/57</f>
        <v>0.66666666666666663</v>
      </c>
      <c r="E108" s="1">
        <v>0</v>
      </c>
      <c r="F108" s="1">
        <f>1/38</f>
        <v>2.6315789473684209E-2</v>
      </c>
      <c r="G108" s="1">
        <f>37/38</f>
        <v>0.97368421052631582</v>
      </c>
      <c r="H108" s="1">
        <f>19/38</f>
        <v>0.5</v>
      </c>
      <c r="I108" s="1">
        <f>2/38</f>
        <v>5.2631578947368418E-2</v>
      </c>
      <c r="J108" s="1">
        <f>32/38</f>
        <v>0.84210526315789469</v>
      </c>
      <c r="K108" s="1">
        <v>0</v>
      </c>
      <c r="L108" s="1"/>
      <c r="M108" s="1"/>
      <c r="N108" s="1"/>
      <c r="O108" s="1"/>
      <c r="P108" s="1"/>
      <c r="Q108" s="1"/>
    </row>
    <row r="109" spans="1:17" ht="17" thickBot="1" x14ac:dyDescent="0.25">
      <c r="A109" s="13"/>
      <c r="B109" s="1">
        <v>80</v>
      </c>
      <c r="C109" s="1">
        <v>53.666666666666664</v>
      </c>
      <c r="D109" s="1">
        <f>40/59</f>
        <v>0.67796610169491522</v>
      </c>
      <c r="E109" s="1">
        <f>1/39</f>
        <v>2.564102564102564E-2</v>
      </c>
      <c r="F109" s="1">
        <v>0</v>
      </c>
      <c r="G109" s="1">
        <v>100</v>
      </c>
      <c r="H109" s="1">
        <f>22/39</f>
        <v>0.5641025641025641</v>
      </c>
      <c r="I109" s="1">
        <f>2/39</f>
        <v>5.128205128205128E-2</v>
      </c>
      <c r="J109" s="1">
        <f>32/39</f>
        <v>0.82051282051282048</v>
      </c>
      <c r="K109" s="1">
        <v>0</v>
      </c>
      <c r="L109" s="1"/>
      <c r="M109" s="1"/>
      <c r="N109" s="1"/>
      <c r="O109" s="1"/>
      <c r="P109" s="1"/>
      <c r="Q109" s="1"/>
    </row>
    <row r="110" spans="1:17" ht="17" thickBot="1" x14ac:dyDescent="0.25">
      <c r="A110" s="14"/>
      <c r="B110" s="1">
        <v>125</v>
      </c>
      <c r="C110" s="1">
        <v>49.243243243243242</v>
      </c>
      <c r="D110" s="1">
        <f>38/56</f>
        <v>0.6785714285714286</v>
      </c>
      <c r="E110" s="1">
        <f>1/37</f>
        <v>2.7027027027027029E-2</v>
      </c>
      <c r="F110" s="1">
        <v>0</v>
      </c>
      <c r="G110" s="1">
        <v>100</v>
      </c>
      <c r="H110" s="1">
        <f>17/37</f>
        <v>0.45945945945945948</v>
      </c>
      <c r="I110" s="1">
        <f>1/37</f>
        <v>2.7027027027027029E-2</v>
      </c>
      <c r="J110" s="1">
        <f>36/37</f>
        <v>0.97297297297297303</v>
      </c>
      <c r="K110" s="1">
        <f>6/37</f>
        <v>0.16216216216216217</v>
      </c>
      <c r="L110" s="1"/>
      <c r="M110" s="1"/>
      <c r="N110" s="1"/>
      <c r="O110" s="1"/>
      <c r="P110" s="1"/>
      <c r="Q110" s="1"/>
    </row>
    <row r="111" spans="1:17" ht="17" thickBot="1" x14ac:dyDescent="0.25">
      <c r="A111" s="12" t="s">
        <v>149</v>
      </c>
      <c r="B111" s="1">
        <v>81</v>
      </c>
      <c r="C111" s="1">
        <v>55.030303030303031</v>
      </c>
      <c r="D111" s="1">
        <f>34/50</f>
        <v>0.68</v>
      </c>
      <c r="E111" s="1">
        <v>0</v>
      </c>
      <c r="F111" s="1">
        <f>1/33</f>
        <v>3.0303030303030304E-2</v>
      </c>
      <c r="G111" s="1">
        <v>100</v>
      </c>
      <c r="H111" s="1">
        <f>12/33</f>
        <v>0.36363636363636365</v>
      </c>
      <c r="I111" s="1">
        <v>0</v>
      </c>
      <c r="J111" s="1">
        <f>24/33</f>
        <v>0.72727272727272729</v>
      </c>
      <c r="K111" s="1">
        <f>1/33</f>
        <v>3.0303030303030304E-2</v>
      </c>
      <c r="L111" s="1"/>
      <c r="M111" s="1"/>
      <c r="N111" s="1"/>
      <c r="O111" s="1"/>
      <c r="P111" s="1"/>
      <c r="Q111" s="1"/>
    </row>
    <row r="112" spans="1:17" ht="17" thickBot="1" x14ac:dyDescent="0.25">
      <c r="A112" s="13"/>
      <c r="B112" s="1">
        <v>82</v>
      </c>
      <c r="C112" s="1">
        <v>48.416666666666664</v>
      </c>
      <c r="D112" s="1">
        <f>24/36</f>
        <v>0.66666666666666663</v>
      </c>
      <c r="E112" s="1">
        <v>0</v>
      </c>
      <c r="F112" s="1">
        <v>0</v>
      </c>
      <c r="G112" s="1">
        <v>100</v>
      </c>
      <c r="H112" s="1">
        <f>9/24</f>
        <v>0.375</v>
      </c>
      <c r="I112" s="1">
        <v>0</v>
      </c>
      <c r="J112" s="1">
        <f>21/24</f>
        <v>0.875</v>
      </c>
      <c r="K112" s="1">
        <v>0</v>
      </c>
      <c r="L112" s="1"/>
      <c r="M112" s="1"/>
      <c r="N112" s="1"/>
      <c r="O112" s="1"/>
      <c r="P112" s="1"/>
      <c r="Q112" s="1"/>
    </row>
    <row r="113" spans="1:17" ht="17" thickBot="1" x14ac:dyDescent="0.25">
      <c r="A113" s="13"/>
      <c r="B113" s="1">
        <v>83</v>
      </c>
      <c r="C113" s="1">
        <v>36.35</v>
      </c>
      <c r="D113" s="1">
        <f>36/58</f>
        <v>0.62068965517241381</v>
      </c>
      <c r="E113" s="1">
        <v>0</v>
      </c>
      <c r="F113" s="1">
        <f>39/40</f>
        <v>0.97499999999999998</v>
      </c>
      <c r="G113" s="1">
        <v>0</v>
      </c>
      <c r="H113" s="1">
        <f>22/40</f>
        <v>0.55000000000000004</v>
      </c>
      <c r="I113" s="1">
        <f>21/40</f>
        <v>0.52500000000000002</v>
      </c>
      <c r="J113" s="1">
        <f>39/40</f>
        <v>0.97499999999999998</v>
      </c>
      <c r="K113" s="1">
        <f>15/40</f>
        <v>0.375</v>
      </c>
      <c r="L113" s="1"/>
      <c r="M113" s="1"/>
      <c r="N113" s="1"/>
      <c r="O113" s="1"/>
      <c r="P113" s="1"/>
      <c r="Q113" s="1"/>
    </row>
    <row r="114" spans="1:17" ht="17" thickBot="1" x14ac:dyDescent="0.25">
      <c r="A114" s="13"/>
      <c r="B114" s="1">
        <v>84</v>
      </c>
      <c r="C114" s="1">
        <v>37.756756756756758</v>
      </c>
      <c r="D114" s="1">
        <f>34/54</f>
        <v>0.62962962962962965</v>
      </c>
      <c r="E114" s="1">
        <v>0</v>
      </c>
      <c r="F114" s="1">
        <v>100</v>
      </c>
      <c r="G114" s="1">
        <v>0</v>
      </c>
      <c r="H114" s="1">
        <f>20/37</f>
        <v>0.54054054054054057</v>
      </c>
      <c r="I114" s="1">
        <f>23/37</f>
        <v>0.6216216216216216</v>
      </c>
      <c r="J114" s="1">
        <f>35/37</f>
        <v>0.94594594594594594</v>
      </c>
      <c r="K114" s="1">
        <f>25/37</f>
        <v>0.67567567567567566</v>
      </c>
      <c r="L114" s="1"/>
      <c r="M114" s="1"/>
      <c r="N114" s="1"/>
      <c r="O114" s="1"/>
      <c r="P114" s="1"/>
      <c r="Q114" s="1"/>
    </row>
    <row r="115" spans="1:17" ht="17" thickBot="1" x14ac:dyDescent="0.25">
      <c r="A115" s="13"/>
      <c r="B115" s="1">
        <v>85</v>
      </c>
      <c r="C115" s="1">
        <v>38.586206896551722</v>
      </c>
      <c r="D115" s="1">
        <f>56/86</f>
        <v>0.65116279069767447</v>
      </c>
      <c r="E115" s="1">
        <v>0</v>
      </c>
      <c r="F115" s="1">
        <f>17/58</f>
        <v>0.29310344827586204</v>
      </c>
      <c r="G115" s="1">
        <f>40/58</f>
        <v>0.68965517241379315</v>
      </c>
      <c r="H115" s="1">
        <f>31/58</f>
        <v>0.53448275862068961</v>
      </c>
      <c r="I115" s="1">
        <f>11/58</f>
        <v>0.18965517241379309</v>
      </c>
      <c r="J115" s="1">
        <f>56/58</f>
        <v>0.96551724137931039</v>
      </c>
      <c r="K115" s="1">
        <f>19/58</f>
        <v>0.32758620689655171</v>
      </c>
      <c r="L115" s="1"/>
      <c r="M115" s="1"/>
      <c r="N115" s="1"/>
      <c r="O115" s="1"/>
      <c r="P115" s="1"/>
      <c r="Q115" s="1"/>
    </row>
    <row r="116" spans="1:17" ht="17" thickBot="1" x14ac:dyDescent="0.25">
      <c r="A116" s="13"/>
      <c r="B116" s="1">
        <v>126</v>
      </c>
      <c r="C116" s="1">
        <v>47.472222222222221</v>
      </c>
      <c r="D116" s="1">
        <f>34/53</f>
        <v>0.64150943396226412</v>
      </c>
      <c r="E116" s="1">
        <v>0</v>
      </c>
      <c r="F116" s="1">
        <f>12/36</f>
        <v>0.33333333333333331</v>
      </c>
      <c r="G116" s="1">
        <f>25/36</f>
        <v>0.69444444444444442</v>
      </c>
      <c r="H116" s="1">
        <f>14/36</f>
        <v>0.3888888888888889</v>
      </c>
      <c r="I116" s="1">
        <f>11/36</f>
        <v>0.30555555555555558</v>
      </c>
      <c r="J116" s="1">
        <f>33/36</f>
        <v>0.91666666666666663</v>
      </c>
      <c r="K116" s="1">
        <f>15/36</f>
        <v>0.41666666666666669</v>
      </c>
      <c r="L116" s="1"/>
      <c r="M116" s="1"/>
      <c r="N116" s="1"/>
      <c r="O116" s="1"/>
      <c r="P116" s="1"/>
      <c r="Q116" s="1"/>
    </row>
    <row r="117" spans="1:17" ht="17" thickBot="1" x14ac:dyDescent="0.25">
      <c r="A117" s="14"/>
      <c r="B117" s="1">
        <v>134</v>
      </c>
      <c r="C117" s="1">
        <v>46.571428571428569</v>
      </c>
      <c r="D117" s="1">
        <f>34/52</f>
        <v>0.65384615384615385</v>
      </c>
      <c r="E117" s="1">
        <v>0</v>
      </c>
      <c r="F117" s="1">
        <v>0</v>
      </c>
      <c r="G117" s="1">
        <f>34/35</f>
        <v>0.97142857142857142</v>
      </c>
      <c r="H117" s="1">
        <f>19/35</f>
        <v>0.54285714285714282</v>
      </c>
      <c r="I117" s="1">
        <f>3/35</f>
        <v>8.5714285714285715E-2</v>
      </c>
      <c r="J117" s="1">
        <f>32/35</f>
        <v>0.91428571428571426</v>
      </c>
      <c r="K117" s="1">
        <f>5/35</f>
        <v>0.14285714285714285</v>
      </c>
      <c r="L117" s="1"/>
      <c r="M117" s="1"/>
      <c r="N117" s="1"/>
      <c r="O117" s="1"/>
      <c r="P117" s="1"/>
      <c r="Q117" s="1"/>
    </row>
    <row r="118" spans="1:17" ht="17" thickBot="1" x14ac:dyDescent="0.25">
      <c r="A118" s="12" t="s">
        <v>107</v>
      </c>
      <c r="B118" s="1">
        <v>86</v>
      </c>
      <c r="C118" s="1">
        <v>39.829787234042556</v>
      </c>
      <c r="D118" s="1">
        <f>46/70</f>
        <v>0.65714285714285714</v>
      </c>
      <c r="E118" s="1">
        <v>0</v>
      </c>
      <c r="F118" s="1">
        <v>0</v>
      </c>
      <c r="G118" s="1">
        <f>43/47</f>
        <v>0.91489361702127658</v>
      </c>
      <c r="H118" s="1">
        <f>27/47</f>
        <v>0.57446808510638303</v>
      </c>
      <c r="I118" s="1">
        <f>9/47</f>
        <v>0.19148936170212766</v>
      </c>
      <c r="J118" s="1">
        <f>40/47</f>
        <v>0.85106382978723405</v>
      </c>
      <c r="K118" s="1">
        <f>20/47</f>
        <v>0.42553191489361702</v>
      </c>
      <c r="L118" s="1"/>
      <c r="M118" s="1"/>
      <c r="N118" s="1"/>
      <c r="O118" s="1"/>
      <c r="P118" s="1"/>
      <c r="Q118" s="1"/>
    </row>
    <row r="119" spans="1:17" ht="17" thickBot="1" x14ac:dyDescent="0.25">
      <c r="A119" s="13"/>
      <c r="B119" s="1">
        <v>87</v>
      </c>
      <c r="C119" s="1">
        <v>39.833333333333336</v>
      </c>
      <c r="D119" s="1">
        <f>36/54</f>
        <v>0.66666666666666663</v>
      </c>
      <c r="E119" s="1">
        <v>0</v>
      </c>
      <c r="F119" s="1">
        <f>6/36</f>
        <v>0.16666666666666666</v>
      </c>
      <c r="G119" s="1">
        <f>30/36</f>
        <v>0.83333333333333337</v>
      </c>
      <c r="H119" s="1">
        <f>24/36</f>
        <v>0.66666666666666663</v>
      </c>
      <c r="I119" s="1">
        <f>13/36</f>
        <v>0.3611111111111111</v>
      </c>
      <c r="J119" s="1">
        <f>26/36</f>
        <v>0.72222222222222221</v>
      </c>
      <c r="K119" s="1">
        <f>27/36</f>
        <v>0.75</v>
      </c>
      <c r="L119" s="1"/>
      <c r="M119" s="1"/>
      <c r="N119" s="1"/>
      <c r="O119" s="1"/>
      <c r="P119" s="1"/>
      <c r="Q119" s="1"/>
    </row>
    <row r="120" spans="1:17" ht="17" thickBot="1" x14ac:dyDescent="0.25">
      <c r="A120" s="13"/>
      <c r="B120" s="1">
        <v>88</v>
      </c>
      <c r="C120" s="1">
        <v>42.689655172413794</v>
      </c>
      <c r="D120" s="1">
        <f>56/86</f>
        <v>0.65116279069767447</v>
      </c>
      <c r="E120" s="1">
        <v>0</v>
      </c>
      <c r="F120" s="1">
        <v>0</v>
      </c>
      <c r="G120" s="1">
        <f>41/58</f>
        <v>0.7068965517241379</v>
      </c>
      <c r="H120" s="1">
        <f>32/58</f>
        <v>0.55172413793103448</v>
      </c>
      <c r="I120" s="1">
        <f>15/58</f>
        <v>0.25862068965517243</v>
      </c>
      <c r="J120" s="1">
        <f>52/58</f>
        <v>0.89655172413793105</v>
      </c>
      <c r="K120" s="1">
        <f>30/58</f>
        <v>0.51724137931034486</v>
      </c>
      <c r="L120" s="1"/>
      <c r="M120" s="1"/>
      <c r="N120" s="1"/>
      <c r="O120" s="1"/>
      <c r="P120" s="1"/>
      <c r="Q120" s="1"/>
    </row>
    <row r="121" spans="1:17" ht="17" thickBot="1" x14ac:dyDescent="0.25">
      <c r="A121" s="13"/>
      <c r="B121" s="1">
        <v>89</v>
      </c>
      <c r="C121" s="1">
        <v>38.413043478260867</v>
      </c>
      <c r="D121" s="1">
        <f>46/69</f>
        <v>0.66666666666666663</v>
      </c>
      <c r="E121" s="1">
        <v>0</v>
      </c>
      <c r="F121" s="1">
        <f>4/46</f>
        <v>8.6956521739130432E-2</v>
      </c>
      <c r="G121" s="1">
        <f>34/46</f>
        <v>0.73913043478260865</v>
      </c>
      <c r="H121" s="1">
        <f>26/46</f>
        <v>0.56521739130434778</v>
      </c>
      <c r="I121" s="1">
        <f>13/46</f>
        <v>0.28260869565217389</v>
      </c>
      <c r="J121" s="1">
        <f>41/46</f>
        <v>0.89130434782608692</v>
      </c>
      <c r="K121" s="1">
        <f>12/46</f>
        <v>0.2608695652173913</v>
      </c>
      <c r="L121" s="1"/>
      <c r="M121" s="1"/>
      <c r="N121" s="1"/>
      <c r="O121" s="1"/>
      <c r="P121" s="1"/>
      <c r="Q121" s="1"/>
    </row>
    <row r="122" spans="1:17" ht="17" thickBot="1" x14ac:dyDescent="0.25">
      <c r="A122" s="13"/>
      <c r="B122" s="1">
        <v>90</v>
      </c>
      <c r="C122" s="1">
        <v>41.102564102564102</v>
      </c>
      <c r="D122" s="1">
        <f>38/58</f>
        <v>0.65517241379310343</v>
      </c>
      <c r="E122" s="1">
        <v>0</v>
      </c>
      <c r="F122" s="20">
        <v>0</v>
      </c>
      <c r="G122" s="1">
        <f>38/39</f>
        <v>0.97435897435897434</v>
      </c>
      <c r="H122" s="1">
        <f>21/39</f>
        <v>0.53846153846153844</v>
      </c>
      <c r="I122" s="1">
        <f>13/39</f>
        <v>0.33333333333333331</v>
      </c>
      <c r="J122" s="1">
        <f>38/39</f>
        <v>0.97435897435897434</v>
      </c>
      <c r="K122" s="1">
        <f>10/39</f>
        <v>0.25641025641025639</v>
      </c>
      <c r="L122" s="1"/>
      <c r="M122" s="1"/>
      <c r="N122" s="1"/>
      <c r="O122" s="1"/>
      <c r="P122" s="1"/>
      <c r="Q122" s="1"/>
    </row>
    <row r="123" spans="1:17" ht="17" thickBot="1" x14ac:dyDescent="0.25">
      <c r="A123" s="14"/>
      <c r="B123" s="1">
        <v>127</v>
      </c>
      <c r="C123" s="1">
        <v>41.102564102564102</v>
      </c>
      <c r="D123" s="1">
        <f>38/58</f>
        <v>0.65517241379310343</v>
      </c>
      <c r="E123" s="1">
        <f>1/39</f>
        <v>2.564102564102564E-2</v>
      </c>
      <c r="F123" s="1">
        <f>6/39</f>
        <v>0.15384615384615385</v>
      </c>
      <c r="G123" s="1">
        <f>16/39</f>
        <v>0.41025641025641024</v>
      </c>
      <c r="H123" s="1">
        <f>18/39</f>
        <v>0.46153846153846156</v>
      </c>
      <c r="I123" s="1">
        <f>18/39</f>
        <v>0.46153846153846156</v>
      </c>
      <c r="J123" s="1">
        <f>33/39</f>
        <v>0.84615384615384615</v>
      </c>
      <c r="K123" s="1">
        <f>20/39</f>
        <v>0.51282051282051277</v>
      </c>
      <c r="L123" s="1"/>
      <c r="M123" s="1"/>
      <c r="N123" s="1"/>
      <c r="O123" s="1"/>
      <c r="P123" s="1"/>
      <c r="Q123" s="1"/>
    </row>
    <row r="124" spans="1:17" ht="17" thickBot="1" x14ac:dyDescent="0.25">
      <c r="A124" s="12" t="s">
        <v>72</v>
      </c>
      <c r="B124" s="1">
        <v>91</v>
      </c>
      <c r="C124" s="1">
        <v>48.070175438596493</v>
      </c>
      <c r="D124" s="1">
        <f>56/85</f>
        <v>0.6588235294117647</v>
      </c>
      <c r="E124" s="1">
        <f>1/57</f>
        <v>1.7543859649122806E-2</v>
      </c>
      <c r="F124" s="1">
        <v>0</v>
      </c>
      <c r="G124" s="1">
        <f>56/57</f>
        <v>0.98245614035087714</v>
      </c>
      <c r="H124" s="1">
        <f>22/57</f>
        <v>0.38596491228070173</v>
      </c>
      <c r="I124" s="1">
        <f>2/57</f>
        <v>3.5087719298245612E-2</v>
      </c>
      <c r="J124" s="1">
        <f>51/57</f>
        <v>0.89473684210526316</v>
      </c>
      <c r="K124" s="1">
        <f>2/57</f>
        <v>3.5087719298245612E-2</v>
      </c>
      <c r="L124" s="1"/>
      <c r="M124" s="1"/>
      <c r="N124" s="1"/>
      <c r="O124" s="1"/>
      <c r="P124" s="1"/>
      <c r="Q124" s="1"/>
    </row>
    <row r="125" spans="1:17" ht="17" thickBot="1" x14ac:dyDescent="0.25">
      <c r="A125" s="13"/>
      <c r="B125" s="1">
        <v>92</v>
      </c>
      <c r="C125" s="1">
        <v>44.625</v>
      </c>
      <c r="D125" s="1">
        <f>64/96</f>
        <v>0.66666666666666663</v>
      </c>
      <c r="E125" s="1">
        <v>0</v>
      </c>
      <c r="F125" s="1">
        <v>0</v>
      </c>
      <c r="G125" s="1">
        <v>100</v>
      </c>
      <c r="H125" s="1">
        <f>29/64</f>
        <v>0.453125</v>
      </c>
      <c r="I125" s="1">
        <f>2/64</f>
        <v>3.125E-2</v>
      </c>
      <c r="J125" s="1">
        <f>58/64</f>
        <v>0.90625</v>
      </c>
      <c r="K125" s="1">
        <f>1/64</f>
        <v>1.5625E-2</v>
      </c>
      <c r="L125" s="1"/>
      <c r="M125" s="1"/>
      <c r="N125" s="1"/>
      <c r="O125" s="1"/>
      <c r="P125" s="1"/>
      <c r="Q125" s="1"/>
    </row>
    <row r="126" spans="1:17" ht="17" thickBot="1" x14ac:dyDescent="0.25">
      <c r="A126" s="13"/>
      <c r="B126" s="1">
        <v>93</v>
      </c>
      <c r="C126" s="1">
        <v>39.610169491525426</v>
      </c>
      <c r="D126" s="1">
        <f>58/88</f>
        <v>0.65909090909090906</v>
      </c>
      <c r="E126" s="1">
        <f>1/59</f>
        <v>1.6949152542372881E-2</v>
      </c>
      <c r="F126" s="1">
        <f>8/59</f>
        <v>0.13559322033898305</v>
      </c>
      <c r="G126" s="1">
        <f>46/59</f>
        <v>0.77966101694915257</v>
      </c>
      <c r="H126" s="1">
        <f>29/59</f>
        <v>0.49152542372881358</v>
      </c>
      <c r="I126" s="1">
        <f>16/59</f>
        <v>0.2711864406779661</v>
      </c>
      <c r="J126" s="1">
        <f>50/59</f>
        <v>0.84745762711864403</v>
      </c>
      <c r="K126" s="1">
        <f>14/59</f>
        <v>0.23728813559322035</v>
      </c>
      <c r="L126" s="1"/>
      <c r="M126" s="1"/>
      <c r="N126" s="1"/>
      <c r="O126" s="1"/>
      <c r="P126" s="1"/>
      <c r="Q126" s="1"/>
    </row>
    <row r="127" spans="1:17" ht="17" thickBot="1" x14ac:dyDescent="0.25">
      <c r="A127" s="13"/>
      <c r="B127" s="1">
        <v>94</v>
      </c>
      <c r="C127" s="1">
        <v>43.098360655737707</v>
      </c>
      <c r="D127" s="1">
        <f>62/92</f>
        <v>0.67391304347826086</v>
      </c>
      <c r="E127" s="1">
        <v>0</v>
      </c>
      <c r="F127" s="1">
        <f>13/61</f>
        <v>0.21311475409836064</v>
      </c>
      <c r="G127" s="1">
        <f>59/61</f>
        <v>0.96721311475409832</v>
      </c>
      <c r="H127" s="1">
        <f>31/61</f>
        <v>0.50819672131147542</v>
      </c>
      <c r="I127" s="1">
        <f>27/61</f>
        <v>0.44262295081967212</v>
      </c>
      <c r="J127" s="1">
        <f>54/61</f>
        <v>0.88524590163934425</v>
      </c>
      <c r="K127" s="1">
        <f>7/61</f>
        <v>0.11475409836065574</v>
      </c>
      <c r="L127" s="1"/>
      <c r="M127" s="1"/>
      <c r="N127" s="1"/>
      <c r="O127" s="1"/>
      <c r="P127" s="1"/>
      <c r="Q127" s="1"/>
    </row>
    <row r="128" spans="1:17" ht="17" thickBot="1" x14ac:dyDescent="0.25">
      <c r="A128" s="13"/>
      <c r="B128" s="1">
        <v>95</v>
      </c>
      <c r="C128" s="1">
        <v>46.94</v>
      </c>
      <c r="D128" s="1">
        <f>48/74</f>
        <v>0.64864864864864868</v>
      </c>
      <c r="E128" s="1">
        <v>0</v>
      </c>
      <c r="F128" s="1">
        <f>4/50</f>
        <v>0.08</v>
      </c>
      <c r="G128" s="1">
        <f>49/50</f>
        <v>0.98</v>
      </c>
      <c r="H128" s="1">
        <f>24/50</f>
        <v>0.48</v>
      </c>
      <c r="I128" s="1">
        <f>9/50</f>
        <v>0.18</v>
      </c>
      <c r="J128" s="1">
        <f>42/50</f>
        <v>0.84</v>
      </c>
      <c r="K128" s="20">
        <v>0</v>
      </c>
      <c r="L128" s="1"/>
      <c r="M128" s="1"/>
      <c r="N128" s="1"/>
      <c r="O128" s="1"/>
      <c r="P128" s="1"/>
      <c r="Q128" s="1"/>
    </row>
    <row r="129" spans="1:17" ht="17" thickBot="1" x14ac:dyDescent="0.25">
      <c r="A129" s="14"/>
      <c r="B129" s="1">
        <v>128</v>
      </c>
      <c r="C129" s="1">
        <v>44.871794871794869</v>
      </c>
      <c r="D129" s="1">
        <f>38/58</f>
        <v>0.65517241379310343</v>
      </c>
      <c r="E129" s="1">
        <v>0</v>
      </c>
      <c r="F129" s="1">
        <v>0</v>
      </c>
      <c r="G129" s="1">
        <f>37/39</f>
        <v>0.94871794871794868</v>
      </c>
      <c r="H129" s="1">
        <f>20/39</f>
        <v>0.51282051282051277</v>
      </c>
      <c r="I129" s="1">
        <f>10/39</f>
        <v>0.25641025641025639</v>
      </c>
      <c r="J129" s="1">
        <f>38/39</f>
        <v>0.97435897435897434</v>
      </c>
      <c r="K129" s="1">
        <f>12/39</f>
        <v>0.30769230769230771</v>
      </c>
      <c r="L129" s="1"/>
      <c r="M129" s="1"/>
      <c r="N129" s="1"/>
      <c r="O129" s="1"/>
      <c r="P129" s="1"/>
      <c r="Q129" s="1"/>
    </row>
    <row r="130" spans="1:17" ht="17" thickBot="1" x14ac:dyDescent="0.25">
      <c r="A130" s="12" t="s">
        <v>36</v>
      </c>
      <c r="B130" s="1">
        <v>96</v>
      </c>
      <c r="C130" s="1">
        <v>40.131578947368418</v>
      </c>
      <c r="D130" s="1">
        <f>36/56</f>
        <v>0.6428571428571429</v>
      </c>
      <c r="E130" s="1">
        <v>0</v>
      </c>
      <c r="F130" s="1">
        <f>2/38</f>
        <v>5.2631578947368418E-2</v>
      </c>
      <c r="G130" s="1">
        <f>33/38</f>
        <v>0.86842105263157898</v>
      </c>
      <c r="H130" s="1">
        <f>21/38</f>
        <v>0.55263157894736847</v>
      </c>
      <c r="I130" s="1">
        <f>2/38</f>
        <v>5.2631578947368418E-2</v>
      </c>
      <c r="J130" s="1">
        <f>36/38</f>
        <v>0.94736842105263153</v>
      </c>
      <c r="K130" s="1">
        <f>8/38</f>
        <v>0.21052631578947367</v>
      </c>
      <c r="L130" s="1"/>
      <c r="M130" s="1"/>
      <c r="N130" s="1"/>
      <c r="O130" s="1"/>
      <c r="P130" s="1"/>
      <c r="Q130" s="1"/>
    </row>
    <row r="131" spans="1:17" ht="17" thickBot="1" x14ac:dyDescent="0.25">
      <c r="A131" s="13"/>
      <c r="B131" s="1">
        <v>97</v>
      </c>
      <c r="C131" s="1">
        <v>47.65</v>
      </c>
      <c r="D131" s="1">
        <f>40/60</f>
        <v>0.66666666666666663</v>
      </c>
      <c r="E131" s="1">
        <v>0</v>
      </c>
      <c r="F131" s="1">
        <v>0</v>
      </c>
      <c r="G131" s="1">
        <v>100</v>
      </c>
      <c r="H131" s="1">
        <f>16/40</f>
        <v>0.4</v>
      </c>
      <c r="I131" s="1">
        <f>3/40</f>
        <v>7.4999999999999997E-2</v>
      </c>
      <c r="J131" s="1">
        <f>38/40</f>
        <v>0.95</v>
      </c>
      <c r="K131" s="1">
        <f>2/40</f>
        <v>0.05</v>
      </c>
      <c r="L131" s="1"/>
      <c r="M131" s="1"/>
      <c r="N131" s="1"/>
      <c r="O131" s="1"/>
      <c r="P131" s="1"/>
      <c r="Q131" s="1"/>
    </row>
    <row r="132" spans="1:17" ht="17" thickBot="1" x14ac:dyDescent="0.25">
      <c r="A132" s="13"/>
      <c r="B132" s="1">
        <v>98</v>
      </c>
      <c r="C132" s="1">
        <v>48.74285714285714</v>
      </c>
      <c r="D132" s="1">
        <f>36/53</f>
        <v>0.67924528301886788</v>
      </c>
      <c r="E132" s="1">
        <v>0</v>
      </c>
      <c r="F132" s="1">
        <f>1/35</f>
        <v>2.8571428571428571E-2</v>
      </c>
      <c r="G132" s="1">
        <f>32/35</f>
        <v>0.91428571428571426</v>
      </c>
      <c r="H132" s="1">
        <f>16/35</f>
        <v>0.45714285714285713</v>
      </c>
      <c r="I132" s="1">
        <f>3/35</f>
        <v>8.5714285714285715E-2</v>
      </c>
      <c r="J132" s="1">
        <f>33/35</f>
        <v>0.94285714285714284</v>
      </c>
      <c r="K132" s="1">
        <f>4/35</f>
        <v>0.11428571428571428</v>
      </c>
      <c r="L132" s="1"/>
      <c r="M132" s="1"/>
      <c r="N132" s="1"/>
      <c r="O132" s="1"/>
      <c r="P132" s="1"/>
      <c r="Q132" s="1"/>
    </row>
    <row r="133" spans="1:17" ht="17" thickBot="1" x14ac:dyDescent="0.25">
      <c r="A133" s="13"/>
      <c r="B133" s="1">
        <v>99</v>
      </c>
      <c r="C133" s="1">
        <v>41.594594594594597</v>
      </c>
      <c r="D133" s="1">
        <f>38/56</f>
        <v>0.6785714285714286</v>
      </c>
      <c r="E133" s="1">
        <f>2/37</f>
        <v>5.4054054054054057E-2</v>
      </c>
      <c r="F133" s="1">
        <f>4/37</f>
        <v>0.10810810810810811</v>
      </c>
      <c r="G133" s="1">
        <f>5/37</f>
        <v>0.13513513513513514</v>
      </c>
      <c r="H133" s="1">
        <f>21/37</f>
        <v>0.56756756756756754</v>
      </c>
      <c r="I133" s="1">
        <f>20/37</f>
        <v>0.54054054054054057</v>
      </c>
      <c r="J133" s="1">
        <f>31/37</f>
        <v>0.83783783783783783</v>
      </c>
      <c r="K133" s="1">
        <f>9/37</f>
        <v>0.24324324324324326</v>
      </c>
      <c r="L133" s="1"/>
      <c r="M133" s="1"/>
      <c r="N133" s="1"/>
      <c r="O133" s="1"/>
      <c r="P133" s="1"/>
      <c r="Q133" s="1"/>
    </row>
    <row r="134" spans="1:17" ht="17" thickBot="1" x14ac:dyDescent="0.25">
      <c r="A134" s="13"/>
      <c r="B134" s="1">
        <v>100</v>
      </c>
      <c r="C134" s="1">
        <v>53.350877192982459</v>
      </c>
      <c r="D134" s="1">
        <f>58/86</f>
        <v>0.67441860465116277</v>
      </c>
      <c r="E134" s="1">
        <v>0</v>
      </c>
      <c r="F134" s="1">
        <f>1/57</f>
        <v>1.7543859649122806E-2</v>
      </c>
      <c r="G134" s="1">
        <v>100</v>
      </c>
      <c r="H134" s="1">
        <f>26/57</f>
        <v>0.45614035087719296</v>
      </c>
      <c r="I134" s="1">
        <v>0</v>
      </c>
      <c r="J134" s="1">
        <f>54/57</f>
        <v>0.94736842105263153</v>
      </c>
      <c r="K134" s="1">
        <v>0</v>
      </c>
      <c r="L134" s="1"/>
      <c r="M134" s="1"/>
      <c r="N134" s="1"/>
      <c r="O134" s="1"/>
      <c r="P134" s="1"/>
      <c r="Q134" s="1"/>
    </row>
    <row r="135" spans="1:17" ht="17" thickBot="1" x14ac:dyDescent="0.25">
      <c r="A135" s="14"/>
      <c r="B135" s="1">
        <v>129</v>
      </c>
      <c r="C135" s="1">
        <v>50.235294117647058</v>
      </c>
      <c r="D135" s="1">
        <f>32/50</f>
        <v>0.64</v>
      </c>
      <c r="E135" s="1">
        <v>0</v>
      </c>
      <c r="F135" s="1">
        <v>0</v>
      </c>
      <c r="G135" s="1">
        <f>31/34</f>
        <v>0.91176470588235292</v>
      </c>
      <c r="H135" s="1">
        <f>16/34</f>
        <v>0.47058823529411764</v>
      </c>
      <c r="I135" s="1">
        <f>2/34</f>
        <v>5.8823529411764705E-2</v>
      </c>
      <c r="J135" s="1">
        <f>33/39</f>
        <v>0.84615384615384615</v>
      </c>
      <c r="K135" s="1">
        <f>1/34</f>
        <v>2.9411764705882353E-2</v>
      </c>
      <c r="L135" s="1"/>
      <c r="M135" s="1"/>
      <c r="N135" s="1"/>
      <c r="O135" s="1"/>
      <c r="P135" s="1"/>
      <c r="Q135" s="1"/>
    </row>
  </sheetData>
  <mergeCells count="20">
    <mergeCell ref="A124:A129"/>
    <mergeCell ref="A130:A135"/>
    <mergeCell ref="A84:A92"/>
    <mergeCell ref="A93:A98"/>
    <mergeCell ref="A99:A104"/>
    <mergeCell ref="A105:A110"/>
    <mergeCell ref="A111:A117"/>
    <mergeCell ref="A118:A123"/>
    <mergeCell ref="A40:A45"/>
    <mergeCell ref="A46:A52"/>
    <mergeCell ref="A53:A59"/>
    <mergeCell ref="A60:A67"/>
    <mergeCell ref="A68:A76"/>
    <mergeCell ref="A77:A83"/>
    <mergeCell ref="A2:A8"/>
    <mergeCell ref="A9:A14"/>
    <mergeCell ref="A15:A21"/>
    <mergeCell ref="A22:A27"/>
    <mergeCell ref="A28:A33"/>
    <mergeCell ref="A34:A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973FE-0A58-834F-B898-DC0DD63CAF55}">
  <dimension ref="A1:H135"/>
  <sheetViews>
    <sheetView tabSelected="1" topLeftCell="A121" workbookViewId="0">
      <selection activeCell="B136" sqref="B136"/>
    </sheetView>
  </sheetViews>
  <sheetFormatPr baseColWidth="10" defaultRowHeight="16" x14ac:dyDescent="0.2"/>
  <cols>
    <col min="7" max="7" width="16.1640625" customWidth="1"/>
    <col min="8" max="8" width="13.33203125" customWidth="1"/>
  </cols>
  <sheetData>
    <row r="1" spans="1:8" ht="18" thickBot="1" x14ac:dyDescent="0.25">
      <c r="A1" s="9" t="s">
        <v>726</v>
      </c>
      <c r="B1" s="7" t="s">
        <v>727</v>
      </c>
      <c r="C1" s="7" t="s">
        <v>733</v>
      </c>
      <c r="D1" s="7" t="s">
        <v>728</v>
      </c>
      <c r="E1" s="7" t="s">
        <v>729</v>
      </c>
      <c r="F1" s="7" t="s">
        <v>730</v>
      </c>
      <c r="G1" s="7" t="s">
        <v>731</v>
      </c>
      <c r="H1" s="7" t="s">
        <v>732</v>
      </c>
    </row>
    <row r="2" spans="1:8" ht="18" thickBot="1" x14ac:dyDescent="0.25">
      <c r="A2" s="1">
        <v>1</v>
      </c>
      <c r="B2" s="21">
        <v>123.4</v>
      </c>
      <c r="C2" s="1"/>
      <c r="D2" s="1" t="s">
        <v>709</v>
      </c>
      <c r="E2" s="1" t="s">
        <v>708</v>
      </c>
      <c r="F2" s="1" t="s">
        <v>707</v>
      </c>
      <c r="G2" s="1" t="s">
        <v>391</v>
      </c>
      <c r="H2" s="1" t="s">
        <v>437</v>
      </c>
    </row>
    <row r="3" spans="1:8" ht="35" thickBot="1" x14ac:dyDescent="0.25">
      <c r="A3" s="1">
        <v>2</v>
      </c>
      <c r="B3" s="1">
        <v>109.8</v>
      </c>
      <c r="C3" s="1"/>
      <c r="D3" s="1" t="s">
        <v>706</v>
      </c>
      <c r="E3" s="1" t="s">
        <v>705</v>
      </c>
      <c r="F3" s="1" t="s">
        <v>704</v>
      </c>
      <c r="G3" s="1" t="s">
        <v>80</v>
      </c>
      <c r="H3" s="1" t="s">
        <v>703</v>
      </c>
    </row>
    <row r="4" spans="1:8" ht="35" thickBot="1" x14ac:dyDescent="0.25">
      <c r="A4" s="1">
        <v>3</v>
      </c>
      <c r="B4" s="1">
        <v>111.4</v>
      </c>
      <c r="C4" s="1"/>
      <c r="D4" s="1" t="s">
        <v>702</v>
      </c>
      <c r="E4" s="1" t="s">
        <v>701</v>
      </c>
      <c r="F4" s="1" t="s">
        <v>438</v>
      </c>
      <c r="G4" s="1" t="s">
        <v>593</v>
      </c>
      <c r="H4" s="1" t="s">
        <v>700</v>
      </c>
    </row>
    <row r="5" spans="1:8" ht="35" thickBot="1" x14ac:dyDescent="0.25">
      <c r="A5" s="1">
        <v>4</v>
      </c>
      <c r="B5" s="1">
        <v>113.1</v>
      </c>
      <c r="C5" s="1"/>
      <c r="D5" s="1" t="s">
        <v>699</v>
      </c>
      <c r="E5" s="1" t="s">
        <v>698</v>
      </c>
      <c r="F5" s="1" t="s">
        <v>697</v>
      </c>
      <c r="G5" s="1" t="s">
        <v>696</v>
      </c>
      <c r="H5" s="1" t="s">
        <v>695</v>
      </c>
    </row>
    <row r="6" spans="1:8" ht="35" thickBot="1" x14ac:dyDescent="0.25">
      <c r="A6" s="1">
        <v>5</v>
      </c>
      <c r="B6" s="1">
        <v>112.8</v>
      </c>
      <c r="C6" s="1"/>
      <c r="D6" s="1" t="s">
        <v>694</v>
      </c>
      <c r="E6" s="1" t="s">
        <v>693</v>
      </c>
      <c r="F6" s="1" t="s">
        <v>692</v>
      </c>
      <c r="G6" s="1" t="s">
        <v>691</v>
      </c>
      <c r="H6" s="1" t="s">
        <v>690</v>
      </c>
    </row>
    <row r="7" spans="1:8" ht="35" thickBot="1" x14ac:dyDescent="0.25">
      <c r="A7" s="1">
        <v>108</v>
      </c>
      <c r="B7" s="1">
        <v>117</v>
      </c>
      <c r="C7" s="1"/>
      <c r="D7" s="1" t="s">
        <v>689</v>
      </c>
      <c r="E7" s="1" t="s">
        <v>688</v>
      </c>
      <c r="F7" s="1" t="s">
        <v>687</v>
      </c>
      <c r="G7" s="1" t="s">
        <v>686</v>
      </c>
      <c r="H7" s="1" t="s">
        <v>685</v>
      </c>
    </row>
    <row r="8" spans="1:8" ht="35" thickBot="1" x14ac:dyDescent="0.25">
      <c r="A8" s="1">
        <v>110</v>
      </c>
      <c r="B8" s="1">
        <v>118.2</v>
      </c>
      <c r="C8" s="1"/>
      <c r="D8" s="1" t="s">
        <v>684</v>
      </c>
      <c r="E8" s="1" t="s">
        <v>683</v>
      </c>
      <c r="F8" s="1" t="s">
        <v>163</v>
      </c>
      <c r="G8" s="1" t="s">
        <v>682</v>
      </c>
      <c r="H8" s="1" t="s">
        <v>681</v>
      </c>
    </row>
    <row r="9" spans="1:8" ht="35" thickBot="1" x14ac:dyDescent="0.25">
      <c r="A9" s="1">
        <v>6</v>
      </c>
      <c r="B9" s="1">
        <v>98.6</v>
      </c>
      <c r="C9" s="1"/>
      <c r="D9" s="1" t="s">
        <v>679</v>
      </c>
      <c r="E9" s="1" t="s">
        <v>678</v>
      </c>
      <c r="F9" s="1" t="s">
        <v>677</v>
      </c>
      <c r="G9" s="1" t="s">
        <v>197</v>
      </c>
      <c r="H9" s="1" t="s">
        <v>492</v>
      </c>
    </row>
    <row r="10" spans="1:8" ht="35" thickBot="1" x14ac:dyDescent="0.25">
      <c r="A10" s="1">
        <v>7</v>
      </c>
      <c r="B10" s="1">
        <v>154.5</v>
      </c>
      <c r="C10" s="1"/>
      <c r="D10" s="1" t="s">
        <v>676</v>
      </c>
      <c r="E10" s="1" t="s">
        <v>675</v>
      </c>
      <c r="F10" s="1" t="s">
        <v>674</v>
      </c>
      <c r="G10" s="1" t="s">
        <v>673</v>
      </c>
      <c r="H10" s="1" t="s">
        <v>672</v>
      </c>
    </row>
    <row r="11" spans="1:8" ht="35" thickBot="1" x14ac:dyDescent="0.25">
      <c r="A11" s="1">
        <v>8</v>
      </c>
      <c r="B11" s="1">
        <v>105.6</v>
      </c>
      <c r="C11" s="1"/>
      <c r="D11" s="1" t="s">
        <v>671</v>
      </c>
      <c r="E11" s="1" t="s">
        <v>670</v>
      </c>
      <c r="F11" s="1" t="s">
        <v>669</v>
      </c>
      <c r="G11" s="1" t="s">
        <v>453</v>
      </c>
      <c r="H11" s="1" t="s">
        <v>668</v>
      </c>
    </row>
    <row r="12" spans="1:8" ht="35" thickBot="1" x14ac:dyDescent="0.25">
      <c r="A12" s="1">
        <v>9</v>
      </c>
      <c r="B12" s="1">
        <v>123.8</v>
      </c>
      <c r="C12" s="1"/>
      <c r="D12" s="1" t="s">
        <v>667</v>
      </c>
      <c r="E12" s="1" t="s">
        <v>666</v>
      </c>
      <c r="F12" s="1" t="s">
        <v>665</v>
      </c>
      <c r="G12" s="1" t="s">
        <v>538</v>
      </c>
      <c r="H12" s="1" t="s">
        <v>664</v>
      </c>
    </row>
    <row r="13" spans="1:8" ht="35" thickBot="1" x14ac:dyDescent="0.25">
      <c r="A13" s="1">
        <v>10</v>
      </c>
      <c r="B13" s="1">
        <v>102.1</v>
      </c>
      <c r="C13" s="1"/>
      <c r="D13" s="1" t="s">
        <v>663</v>
      </c>
      <c r="E13" s="1" t="s">
        <v>662</v>
      </c>
      <c r="F13" s="1" t="s">
        <v>661</v>
      </c>
      <c r="G13" s="1" t="s">
        <v>660</v>
      </c>
      <c r="H13" s="1" t="s">
        <v>659</v>
      </c>
    </row>
    <row r="14" spans="1:8" ht="18" thickBot="1" x14ac:dyDescent="0.25">
      <c r="A14" s="1">
        <v>111</v>
      </c>
      <c r="B14" s="1">
        <v>99.8</v>
      </c>
      <c r="C14" s="1"/>
      <c r="D14" s="1" t="s">
        <v>658</v>
      </c>
      <c r="E14" s="1" t="s">
        <v>657</v>
      </c>
      <c r="F14" s="1" t="s">
        <v>656</v>
      </c>
      <c r="G14" s="1" t="s">
        <v>101</v>
      </c>
      <c r="H14" s="1" t="s">
        <v>655</v>
      </c>
    </row>
    <row r="15" spans="1:8" ht="35" thickBot="1" x14ac:dyDescent="0.25">
      <c r="A15" s="1">
        <v>11</v>
      </c>
      <c r="B15" s="1">
        <v>105.4</v>
      </c>
      <c r="C15" s="1"/>
      <c r="D15" s="1" t="s">
        <v>653</v>
      </c>
      <c r="E15" s="1" t="s">
        <v>652</v>
      </c>
      <c r="F15" s="1" t="s">
        <v>651</v>
      </c>
      <c r="G15" s="1" t="s">
        <v>650</v>
      </c>
      <c r="H15" s="1" t="s">
        <v>649</v>
      </c>
    </row>
    <row r="16" spans="1:8" ht="35" thickBot="1" x14ac:dyDescent="0.25">
      <c r="A16" s="1">
        <v>12</v>
      </c>
      <c r="B16" s="1">
        <v>106.8</v>
      </c>
      <c r="C16" s="1"/>
      <c r="D16" s="1" t="s">
        <v>648</v>
      </c>
      <c r="E16" s="1" t="s">
        <v>647</v>
      </c>
      <c r="F16" s="1" t="s">
        <v>646</v>
      </c>
      <c r="G16" s="1" t="s">
        <v>645</v>
      </c>
      <c r="H16" s="1" t="s">
        <v>644</v>
      </c>
    </row>
    <row r="17" spans="1:8" ht="35" thickBot="1" x14ac:dyDescent="0.25">
      <c r="A17" s="1">
        <v>13</v>
      </c>
      <c r="B17" s="1">
        <v>107.1</v>
      </c>
      <c r="C17" s="1"/>
      <c r="D17" s="1" t="s">
        <v>643</v>
      </c>
      <c r="E17" s="1" t="s">
        <v>642</v>
      </c>
      <c r="F17" s="1" t="s">
        <v>641</v>
      </c>
      <c r="G17" s="1" t="s">
        <v>640</v>
      </c>
      <c r="H17" s="1" t="s">
        <v>80</v>
      </c>
    </row>
    <row r="18" spans="1:8" ht="35" thickBot="1" x14ac:dyDescent="0.25">
      <c r="A18" s="1">
        <v>14</v>
      </c>
      <c r="B18" s="1">
        <v>98</v>
      </c>
      <c r="C18" s="1"/>
      <c r="D18" s="1" t="s">
        <v>639</v>
      </c>
      <c r="E18" s="1" t="s">
        <v>638</v>
      </c>
      <c r="F18" s="1" t="s">
        <v>637</v>
      </c>
      <c r="G18" s="1" t="s">
        <v>636</v>
      </c>
      <c r="H18" s="1" t="s">
        <v>238</v>
      </c>
    </row>
    <row r="19" spans="1:8" ht="18" thickBot="1" x14ac:dyDescent="0.25">
      <c r="A19" s="1">
        <v>15</v>
      </c>
      <c r="B19" s="1">
        <v>122.9</v>
      </c>
      <c r="C19" s="1"/>
      <c r="D19" s="1" t="s">
        <v>635</v>
      </c>
      <c r="E19" s="1" t="s">
        <v>634</v>
      </c>
      <c r="F19" s="1" t="s">
        <v>633</v>
      </c>
      <c r="G19" s="1" t="s">
        <v>632</v>
      </c>
      <c r="H19" s="1" t="s">
        <v>631</v>
      </c>
    </row>
    <row r="20" spans="1:8" ht="35" thickBot="1" x14ac:dyDescent="0.25">
      <c r="A20" s="1">
        <v>112</v>
      </c>
      <c r="B20" s="1">
        <v>132.6</v>
      </c>
      <c r="C20" s="1"/>
      <c r="D20" s="1" t="s">
        <v>630</v>
      </c>
      <c r="E20" s="1" t="s">
        <v>629</v>
      </c>
      <c r="F20" s="1" t="s">
        <v>628</v>
      </c>
      <c r="G20" s="1" t="s">
        <v>593</v>
      </c>
      <c r="H20" s="1" t="s">
        <v>582</v>
      </c>
    </row>
    <row r="21" spans="1:8" ht="35" thickBot="1" x14ac:dyDescent="0.25">
      <c r="A21" s="1">
        <v>130</v>
      </c>
      <c r="B21" s="1">
        <v>111.1</v>
      </c>
      <c r="C21" s="1"/>
      <c r="D21" s="1" t="s">
        <v>627</v>
      </c>
      <c r="E21" s="1" t="s">
        <v>626</v>
      </c>
      <c r="F21" s="1" t="s">
        <v>625</v>
      </c>
      <c r="G21" s="1" t="s">
        <v>574</v>
      </c>
      <c r="H21" s="1" t="s">
        <v>624</v>
      </c>
    </row>
    <row r="22" spans="1:8" ht="35" thickBot="1" x14ac:dyDescent="0.25">
      <c r="A22" s="1">
        <v>16</v>
      </c>
      <c r="B22" s="1">
        <v>115.7</v>
      </c>
      <c r="C22" s="1"/>
      <c r="D22" s="1" t="s">
        <v>622</v>
      </c>
      <c r="E22" s="1" t="s">
        <v>621</v>
      </c>
      <c r="F22" s="1" t="s">
        <v>620</v>
      </c>
      <c r="G22" s="1" t="s">
        <v>619</v>
      </c>
      <c r="H22" s="1" t="s">
        <v>618</v>
      </c>
    </row>
    <row r="23" spans="1:8" ht="35" thickBot="1" x14ac:dyDescent="0.25">
      <c r="A23" s="1">
        <v>17</v>
      </c>
      <c r="B23" s="1">
        <v>110.2</v>
      </c>
      <c r="C23" s="1"/>
      <c r="D23" s="1" t="s">
        <v>617</v>
      </c>
      <c r="E23" s="1" t="s">
        <v>616</v>
      </c>
      <c r="F23" s="1" t="s">
        <v>615</v>
      </c>
      <c r="G23" s="1" t="s">
        <v>614</v>
      </c>
      <c r="H23" s="1" t="s">
        <v>614</v>
      </c>
    </row>
    <row r="24" spans="1:8" ht="35" thickBot="1" x14ac:dyDescent="0.25">
      <c r="A24" s="1">
        <v>18</v>
      </c>
      <c r="B24" s="1">
        <v>105.9</v>
      </c>
      <c r="C24" s="1">
        <v>51.7</v>
      </c>
      <c r="D24" s="1" t="s">
        <v>612</v>
      </c>
      <c r="E24" s="1" t="s">
        <v>611</v>
      </c>
      <c r="F24" s="1" t="s">
        <v>610</v>
      </c>
      <c r="G24" s="1" t="s">
        <v>25</v>
      </c>
      <c r="H24" s="1" t="s">
        <v>114</v>
      </c>
    </row>
    <row r="25" spans="1:8" ht="35" thickBot="1" x14ac:dyDescent="0.25">
      <c r="A25" s="1">
        <v>19</v>
      </c>
      <c r="B25" s="1">
        <v>134.69999999999999</v>
      </c>
      <c r="C25" s="1"/>
      <c r="D25" s="1" t="s">
        <v>609</v>
      </c>
      <c r="E25" s="1" t="s">
        <v>608</v>
      </c>
      <c r="F25" s="1" t="s">
        <v>607</v>
      </c>
      <c r="G25" s="1" t="s">
        <v>606</v>
      </c>
      <c r="H25" s="1" t="s">
        <v>568</v>
      </c>
    </row>
    <row r="26" spans="1:8" ht="35" thickBot="1" x14ac:dyDescent="0.25">
      <c r="A26" s="1">
        <v>20</v>
      </c>
      <c r="B26" s="1">
        <v>127.8</v>
      </c>
      <c r="C26" s="1"/>
      <c r="D26" s="1" t="s">
        <v>605</v>
      </c>
      <c r="E26" s="1" t="s">
        <v>604</v>
      </c>
      <c r="F26" s="1" t="s">
        <v>603</v>
      </c>
      <c r="G26" s="1" t="s">
        <v>602</v>
      </c>
      <c r="H26" s="1" t="s">
        <v>601</v>
      </c>
    </row>
    <row r="27" spans="1:8" ht="35" thickBot="1" x14ac:dyDescent="0.25">
      <c r="A27" s="1">
        <v>113</v>
      </c>
      <c r="B27" s="1">
        <v>113.5</v>
      </c>
      <c r="C27" s="1"/>
      <c r="D27" s="1" t="s">
        <v>600</v>
      </c>
      <c r="E27" s="1" t="s">
        <v>599</v>
      </c>
      <c r="F27" s="1" t="s">
        <v>598</v>
      </c>
      <c r="G27" s="1" t="s">
        <v>31</v>
      </c>
      <c r="H27" s="1" t="s">
        <v>447</v>
      </c>
    </row>
    <row r="28" spans="1:8" ht="35" thickBot="1" x14ac:dyDescent="0.25">
      <c r="A28" s="1">
        <v>21</v>
      </c>
      <c r="B28" s="1">
        <v>95.3</v>
      </c>
      <c r="C28" s="1"/>
      <c r="D28" s="1" t="s">
        <v>596</v>
      </c>
      <c r="E28" s="1" t="s">
        <v>595</v>
      </c>
      <c r="F28" s="1" t="s">
        <v>594</v>
      </c>
      <c r="G28" s="1" t="s">
        <v>593</v>
      </c>
      <c r="H28" s="1" t="s">
        <v>307</v>
      </c>
    </row>
    <row r="29" spans="1:8" ht="18" thickBot="1" x14ac:dyDescent="0.25">
      <c r="A29" s="1">
        <v>22</v>
      </c>
      <c r="B29" s="1">
        <v>135.69999999999999</v>
      </c>
      <c r="C29" s="1"/>
      <c r="D29" s="1" t="s">
        <v>592</v>
      </c>
      <c r="E29" s="1" t="s">
        <v>591</v>
      </c>
      <c r="F29" s="1" t="s">
        <v>590</v>
      </c>
      <c r="G29" s="1" t="s">
        <v>431</v>
      </c>
      <c r="H29" s="1" t="s">
        <v>589</v>
      </c>
    </row>
    <row r="30" spans="1:8" ht="35" thickBot="1" x14ac:dyDescent="0.25">
      <c r="A30" s="1">
        <v>23</v>
      </c>
      <c r="B30" s="1">
        <v>100.7</v>
      </c>
      <c r="C30" s="1"/>
      <c r="D30" s="1" t="s">
        <v>588</v>
      </c>
      <c r="E30" s="1" t="s">
        <v>587</v>
      </c>
      <c r="F30" s="1" t="s">
        <v>586</v>
      </c>
      <c r="G30" s="1" t="s">
        <v>363</v>
      </c>
      <c r="H30" s="1" t="s">
        <v>249</v>
      </c>
    </row>
    <row r="31" spans="1:8" ht="35" thickBot="1" x14ac:dyDescent="0.25">
      <c r="A31" s="1">
        <v>24</v>
      </c>
      <c r="B31" s="1">
        <v>117.7</v>
      </c>
      <c r="C31" s="1"/>
      <c r="D31" s="1" t="s">
        <v>585</v>
      </c>
      <c r="E31" s="1" t="s">
        <v>584</v>
      </c>
      <c r="F31" s="1" t="s">
        <v>583</v>
      </c>
      <c r="G31" s="1" t="s">
        <v>552</v>
      </c>
      <c r="H31" s="1" t="s">
        <v>582</v>
      </c>
    </row>
    <row r="32" spans="1:8" ht="18" thickBot="1" x14ac:dyDescent="0.25">
      <c r="A32" s="1">
        <v>25</v>
      </c>
      <c r="B32" s="1">
        <v>113.1</v>
      </c>
      <c r="C32" s="1"/>
      <c r="D32" s="1" t="s">
        <v>581</v>
      </c>
      <c r="E32" s="1" t="s">
        <v>580</v>
      </c>
      <c r="F32" s="1" t="s">
        <v>579</v>
      </c>
      <c r="G32" s="1" t="s">
        <v>578</v>
      </c>
      <c r="H32" s="1" t="s">
        <v>115</v>
      </c>
    </row>
    <row r="33" spans="1:8" ht="18" thickBot="1" x14ac:dyDescent="0.25">
      <c r="A33" s="1">
        <v>114</v>
      </c>
      <c r="B33" s="1">
        <v>103.4</v>
      </c>
      <c r="C33" s="1"/>
      <c r="D33" s="1" t="s">
        <v>577</v>
      </c>
      <c r="E33" s="1" t="s">
        <v>576</v>
      </c>
      <c r="F33" s="1" t="s">
        <v>575</v>
      </c>
      <c r="G33" s="1" t="s">
        <v>574</v>
      </c>
      <c r="H33" s="1" t="s">
        <v>573</v>
      </c>
    </row>
    <row r="34" spans="1:8" ht="18" thickBot="1" x14ac:dyDescent="0.25">
      <c r="A34" s="1">
        <v>26</v>
      </c>
      <c r="B34" s="1">
        <v>111.4</v>
      </c>
      <c r="C34" s="1"/>
      <c r="D34" s="1" t="s">
        <v>571</v>
      </c>
      <c r="E34" s="1" t="s">
        <v>570</v>
      </c>
      <c r="F34" s="1" t="s">
        <v>569</v>
      </c>
      <c r="G34" s="1" t="s">
        <v>156</v>
      </c>
      <c r="H34" s="1" t="s">
        <v>568</v>
      </c>
    </row>
    <row r="35" spans="1:8" ht="35" thickBot="1" x14ac:dyDescent="0.25">
      <c r="A35" s="1">
        <v>27</v>
      </c>
      <c r="B35" s="1">
        <v>104.9</v>
      </c>
      <c r="C35" s="1"/>
      <c r="D35" s="1" t="s">
        <v>567</v>
      </c>
      <c r="E35" s="1" t="s">
        <v>566</v>
      </c>
      <c r="F35" s="1" t="s">
        <v>565</v>
      </c>
      <c r="G35" s="1" t="s">
        <v>552</v>
      </c>
      <c r="H35" s="1" t="s">
        <v>492</v>
      </c>
    </row>
    <row r="36" spans="1:8" ht="35" thickBot="1" x14ac:dyDescent="0.25">
      <c r="A36" s="1">
        <v>28</v>
      </c>
      <c r="B36" s="1">
        <v>114.9</v>
      </c>
      <c r="C36" s="1"/>
      <c r="D36" s="1" t="s">
        <v>564</v>
      </c>
      <c r="E36" s="1" t="s">
        <v>563</v>
      </c>
      <c r="F36" s="1" t="s">
        <v>562</v>
      </c>
      <c r="G36" s="1" t="s">
        <v>552</v>
      </c>
      <c r="H36" s="1" t="s">
        <v>561</v>
      </c>
    </row>
    <row r="37" spans="1:8" ht="18" thickBot="1" x14ac:dyDescent="0.25">
      <c r="A37" s="1">
        <v>29</v>
      </c>
      <c r="B37" s="1">
        <v>103.6</v>
      </c>
      <c r="C37" s="1"/>
      <c r="D37" s="1" t="s">
        <v>560</v>
      </c>
      <c r="E37" s="1" t="s">
        <v>559</v>
      </c>
      <c r="F37" s="1" t="s">
        <v>558</v>
      </c>
      <c r="G37" s="1" t="s">
        <v>557</v>
      </c>
      <c r="H37" s="1" t="s">
        <v>556</v>
      </c>
    </row>
    <row r="38" spans="1:8" ht="18" thickBot="1" x14ac:dyDescent="0.25">
      <c r="A38" s="1">
        <v>30</v>
      </c>
      <c r="B38" s="1">
        <v>113.8</v>
      </c>
      <c r="C38" s="1"/>
      <c r="D38" s="1" t="s">
        <v>555</v>
      </c>
      <c r="E38" s="1" t="s">
        <v>554</v>
      </c>
      <c r="F38" s="1" t="s">
        <v>553</v>
      </c>
      <c r="G38" s="1" t="s">
        <v>552</v>
      </c>
      <c r="H38" s="1" t="s">
        <v>186</v>
      </c>
    </row>
    <row r="39" spans="1:8" ht="35" thickBot="1" x14ac:dyDescent="0.25">
      <c r="A39" s="1">
        <v>115</v>
      </c>
      <c r="B39" s="1">
        <v>132.30000000000001</v>
      </c>
      <c r="C39" s="1"/>
      <c r="D39" s="1" t="s">
        <v>551</v>
      </c>
      <c r="E39" s="1" t="s">
        <v>550</v>
      </c>
      <c r="F39" s="1" t="s">
        <v>549</v>
      </c>
      <c r="G39" s="1" t="s">
        <v>548</v>
      </c>
      <c r="H39" s="1" t="s">
        <v>547</v>
      </c>
    </row>
    <row r="40" spans="1:8" ht="35" thickBot="1" x14ac:dyDescent="0.25">
      <c r="A40" s="1">
        <v>31</v>
      </c>
      <c r="B40" s="1">
        <v>112.6</v>
      </c>
      <c r="C40" s="1"/>
      <c r="D40" s="1" t="s">
        <v>545</v>
      </c>
      <c r="E40" s="1" t="s">
        <v>544</v>
      </c>
      <c r="F40" s="1" t="s">
        <v>543</v>
      </c>
      <c r="G40" s="1" t="s">
        <v>542</v>
      </c>
      <c r="H40" s="1" t="s">
        <v>447</v>
      </c>
    </row>
    <row r="41" spans="1:8" ht="35" thickBot="1" x14ac:dyDescent="0.25">
      <c r="A41" s="1">
        <v>32</v>
      </c>
      <c r="B41" s="1">
        <v>116.4</v>
      </c>
      <c r="C41" s="1"/>
      <c r="D41" s="1" t="s">
        <v>541</v>
      </c>
      <c r="E41" s="1" t="s">
        <v>540</v>
      </c>
      <c r="F41" s="1" t="s">
        <v>539</v>
      </c>
      <c r="G41" s="1" t="s">
        <v>398</v>
      </c>
      <c r="H41" s="1" t="s">
        <v>538</v>
      </c>
    </row>
    <row r="42" spans="1:8" ht="18" thickBot="1" x14ac:dyDescent="0.25">
      <c r="A42" s="1">
        <v>33</v>
      </c>
      <c r="B42" s="1">
        <v>111</v>
      </c>
      <c r="C42" s="1"/>
      <c r="D42" s="1" t="s">
        <v>537</v>
      </c>
      <c r="E42" s="1" t="s">
        <v>536</v>
      </c>
      <c r="F42" s="1" t="s">
        <v>535</v>
      </c>
      <c r="G42" s="1" t="s">
        <v>534</v>
      </c>
      <c r="H42" s="1" t="s">
        <v>533</v>
      </c>
    </row>
    <row r="43" spans="1:8" ht="35" thickBot="1" x14ac:dyDescent="0.25">
      <c r="A43" s="1">
        <v>34</v>
      </c>
      <c r="B43" s="1">
        <v>103.5</v>
      </c>
      <c r="C43" s="1"/>
      <c r="D43" s="1" t="s">
        <v>532</v>
      </c>
      <c r="E43" s="1" t="s">
        <v>531</v>
      </c>
      <c r="F43" s="1" t="s">
        <v>530</v>
      </c>
      <c r="G43" s="1" t="s">
        <v>529</v>
      </c>
      <c r="H43" s="1" t="s">
        <v>339</v>
      </c>
    </row>
    <row r="44" spans="1:8" ht="35" thickBot="1" x14ac:dyDescent="0.25">
      <c r="A44" s="1">
        <v>35</v>
      </c>
      <c r="B44" s="1">
        <v>104.7</v>
      </c>
      <c r="C44" s="1"/>
      <c r="D44" s="1" t="s">
        <v>528</v>
      </c>
      <c r="E44" s="1" t="s">
        <v>527</v>
      </c>
      <c r="F44" s="1" t="s">
        <v>526</v>
      </c>
      <c r="G44" s="1" t="s">
        <v>363</v>
      </c>
      <c r="H44" s="1" t="s">
        <v>114</v>
      </c>
    </row>
    <row r="45" spans="1:8" ht="18" thickBot="1" x14ac:dyDescent="0.25">
      <c r="A45" s="1">
        <v>116</v>
      </c>
      <c r="B45" s="1">
        <v>129.80000000000001</v>
      </c>
      <c r="C45" s="1">
        <v>48.6</v>
      </c>
      <c r="D45" s="1" t="s">
        <v>524</v>
      </c>
      <c r="E45" s="1" t="s">
        <v>523</v>
      </c>
      <c r="F45" s="1" t="s">
        <v>522</v>
      </c>
      <c r="G45" s="1" t="s">
        <v>521</v>
      </c>
      <c r="H45" s="1" t="s">
        <v>520</v>
      </c>
    </row>
    <row r="46" spans="1:8" ht="35" thickBot="1" x14ac:dyDescent="0.25">
      <c r="A46" s="1">
        <v>36</v>
      </c>
      <c r="B46" s="1">
        <v>124.1</v>
      </c>
      <c r="C46" s="1">
        <v>53.8</v>
      </c>
      <c r="D46" s="1" t="s">
        <v>517</v>
      </c>
      <c r="E46" s="1" t="s">
        <v>516</v>
      </c>
      <c r="F46" s="1" t="s">
        <v>515</v>
      </c>
      <c r="G46" s="1" t="s">
        <v>514</v>
      </c>
      <c r="H46" s="1" t="s">
        <v>513</v>
      </c>
    </row>
    <row r="47" spans="1:8" ht="35" thickBot="1" x14ac:dyDescent="0.25">
      <c r="A47" s="1">
        <v>37</v>
      </c>
      <c r="B47" s="1">
        <v>112.8</v>
      </c>
      <c r="C47" s="1">
        <v>30.6</v>
      </c>
      <c r="D47" s="1" t="s">
        <v>511</v>
      </c>
      <c r="E47" s="1" t="s">
        <v>510</v>
      </c>
      <c r="F47" s="1" t="s">
        <v>509</v>
      </c>
      <c r="G47" s="1" t="s">
        <v>80</v>
      </c>
      <c r="H47" s="1" t="s">
        <v>508</v>
      </c>
    </row>
    <row r="48" spans="1:8" ht="35" thickBot="1" x14ac:dyDescent="0.25">
      <c r="A48" s="1">
        <v>38</v>
      </c>
      <c r="B48" s="1">
        <v>116.9</v>
      </c>
      <c r="C48" s="1">
        <v>51.5</v>
      </c>
      <c r="D48" s="1" t="s">
        <v>506</v>
      </c>
      <c r="E48" s="1" t="s">
        <v>505</v>
      </c>
      <c r="F48" s="1" t="s">
        <v>504</v>
      </c>
      <c r="G48" s="1" t="s">
        <v>156</v>
      </c>
      <c r="H48" s="1" t="s">
        <v>503</v>
      </c>
    </row>
    <row r="49" spans="1:8" ht="35" thickBot="1" x14ac:dyDescent="0.25">
      <c r="A49" s="1">
        <v>39</v>
      </c>
      <c r="B49" s="1">
        <v>112.7</v>
      </c>
      <c r="C49" s="1">
        <v>36.1</v>
      </c>
      <c r="D49" s="1" t="s">
        <v>501</v>
      </c>
      <c r="E49" s="1" t="s">
        <v>500</v>
      </c>
      <c r="F49" s="1" t="s">
        <v>499</v>
      </c>
      <c r="G49" s="1" t="s">
        <v>498</v>
      </c>
      <c r="H49" s="1" t="s">
        <v>497</v>
      </c>
    </row>
    <row r="50" spans="1:8" ht="35" thickBot="1" x14ac:dyDescent="0.25">
      <c r="A50" s="1">
        <v>40</v>
      </c>
      <c r="B50" s="1">
        <v>103.6</v>
      </c>
      <c r="C50" s="1">
        <v>12.3</v>
      </c>
      <c r="D50" s="1" t="s">
        <v>495</v>
      </c>
      <c r="E50" s="1" t="s">
        <v>494</v>
      </c>
      <c r="F50" s="1" t="s">
        <v>493</v>
      </c>
      <c r="G50" s="1" t="s">
        <v>492</v>
      </c>
      <c r="H50" s="1" t="s">
        <v>73</v>
      </c>
    </row>
    <row r="51" spans="1:8" ht="35" thickBot="1" x14ac:dyDescent="0.25">
      <c r="A51" s="1">
        <v>117</v>
      </c>
      <c r="B51" s="1">
        <v>150.30000000000001</v>
      </c>
      <c r="C51" s="1">
        <v>80.3</v>
      </c>
      <c r="D51" s="1" t="s">
        <v>490</v>
      </c>
      <c r="E51" s="1" t="s">
        <v>489</v>
      </c>
      <c r="F51" s="1" t="s">
        <v>488</v>
      </c>
      <c r="G51" s="1" t="s">
        <v>487</v>
      </c>
      <c r="H51" s="1" t="s">
        <v>486</v>
      </c>
    </row>
    <row r="52" spans="1:8" ht="35" thickBot="1" x14ac:dyDescent="0.25">
      <c r="A52" s="1">
        <v>138</v>
      </c>
      <c r="B52" s="1">
        <v>97.8</v>
      </c>
      <c r="C52" s="1">
        <v>10</v>
      </c>
      <c r="D52" s="1" t="s">
        <v>484</v>
      </c>
      <c r="E52" s="1" t="s">
        <v>483</v>
      </c>
      <c r="F52" s="1" t="s">
        <v>482</v>
      </c>
      <c r="G52" s="1" t="s">
        <v>481</v>
      </c>
      <c r="H52" s="1" t="s">
        <v>480</v>
      </c>
    </row>
    <row r="53" spans="1:8" ht="35" thickBot="1" x14ac:dyDescent="0.25">
      <c r="A53" s="1">
        <v>41</v>
      </c>
      <c r="B53" s="1">
        <v>111.5</v>
      </c>
      <c r="C53" s="1">
        <v>21.3</v>
      </c>
      <c r="D53" s="1" t="s">
        <v>477</v>
      </c>
      <c r="E53" s="1" t="s">
        <v>476</v>
      </c>
      <c r="F53" s="1" t="s">
        <v>475</v>
      </c>
      <c r="G53" s="1" t="s">
        <v>155</v>
      </c>
      <c r="H53" s="1" t="s">
        <v>474</v>
      </c>
    </row>
    <row r="54" spans="1:8" ht="35" thickBot="1" x14ac:dyDescent="0.25">
      <c r="A54" s="1">
        <v>42</v>
      </c>
      <c r="B54" s="1">
        <v>118.2</v>
      </c>
      <c r="C54" s="1">
        <v>52.5</v>
      </c>
      <c r="D54" s="1" t="s">
        <v>472</v>
      </c>
      <c r="E54" s="1" t="s">
        <v>471</v>
      </c>
      <c r="F54" s="1" t="s">
        <v>470</v>
      </c>
      <c r="G54" s="1" t="s">
        <v>437</v>
      </c>
      <c r="H54" s="1" t="s">
        <v>469</v>
      </c>
    </row>
    <row r="55" spans="1:8" ht="35" thickBot="1" x14ac:dyDescent="0.25">
      <c r="A55" s="1">
        <v>43</v>
      </c>
      <c r="B55" s="1">
        <v>106.8</v>
      </c>
      <c r="C55" s="1">
        <v>20.7</v>
      </c>
      <c r="D55" s="1" t="s">
        <v>467</v>
      </c>
      <c r="E55" s="1" t="s">
        <v>466</v>
      </c>
      <c r="F55" s="1" t="s">
        <v>465</v>
      </c>
      <c r="G55" s="1" t="s">
        <v>464</v>
      </c>
      <c r="H55" s="1" t="s">
        <v>463</v>
      </c>
    </row>
    <row r="56" spans="1:8" ht="35" thickBot="1" x14ac:dyDescent="0.25">
      <c r="A56" s="1">
        <v>44</v>
      </c>
      <c r="B56" s="1">
        <v>110.9</v>
      </c>
      <c r="C56" s="1">
        <v>17.600000000000001</v>
      </c>
      <c r="D56" s="1" t="s">
        <v>461</v>
      </c>
      <c r="E56" s="1" t="s">
        <v>460</v>
      </c>
      <c r="F56" s="1" t="s">
        <v>459</v>
      </c>
      <c r="G56" s="1" t="s">
        <v>453</v>
      </c>
      <c r="H56" s="1" t="s">
        <v>458</v>
      </c>
    </row>
    <row r="57" spans="1:8" ht="18" thickBot="1" x14ac:dyDescent="0.25">
      <c r="A57" s="1">
        <v>45</v>
      </c>
      <c r="B57" s="1">
        <v>111.8</v>
      </c>
      <c r="C57" s="1">
        <v>29.4</v>
      </c>
      <c r="D57" s="1" t="s">
        <v>456</v>
      </c>
      <c r="E57" s="1" t="s">
        <v>455</v>
      </c>
      <c r="F57" s="1" t="s">
        <v>454</v>
      </c>
      <c r="G57" s="1" t="s">
        <v>453</v>
      </c>
      <c r="H57" s="1" t="s">
        <v>452</v>
      </c>
    </row>
    <row r="58" spans="1:8" ht="35" thickBot="1" x14ac:dyDescent="0.25">
      <c r="A58" s="1">
        <v>101</v>
      </c>
      <c r="B58" s="1">
        <v>113.3</v>
      </c>
      <c r="C58" s="1">
        <v>46.3</v>
      </c>
      <c r="D58" s="1" t="s">
        <v>450</v>
      </c>
      <c r="E58" s="1" t="s">
        <v>449</v>
      </c>
      <c r="F58" s="1" t="s">
        <v>448</v>
      </c>
      <c r="G58" s="1" t="s">
        <v>84</v>
      </c>
      <c r="H58" s="1" t="s">
        <v>447</v>
      </c>
    </row>
    <row r="59" spans="1:8" ht="35" thickBot="1" x14ac:dyDescent="0.25">
      <c r="A59" s="1">
        <v>118</v>
      </c>
      <c r="B59" s="1">
        <v>107.3</v>
      </c>
      <c r="C59" s="1">
        <v>22</v>
      </c>
      <c r="D59" s="1" t="s">
        <v>445</v>
      </c>
      <c r="E59" s="1" t="s">
        <v>444</v>
      </c>
      <c r="F59" s="1" t="s">
        <v>443</v>
      </c>
      <c r="G59" s="1" t="s">
        <v>391</v>
      </c>
      <c r="H59" s="1" t="s">
        <v>232</v>
      </c>
    </row>
    <row r="60" spans="1:8" ht="35" thickBot="1" x14ac:dyDescent="0.25">
      <c r="A60" s="1">
        <v>46</v>
      </c>
      <c r="B60" s="1">
        <v>108</v>
      </c>
      <c r="C60" s="1">
        <v>29.7</v>
      </c>
      <c r="D60" s="1" t="s">
        <v>440</v>
      </c>
      <c r="E60" s="1" t="s">
        <v>439</v>
      </c>
      <c r="F60" s="1" t="s">
        <v>438</v>
      </c>
      <c r="G60" s="1" t="s">
        <v>437</v>
      </c>
      <c r="H60" s="1" t="s">
        <v>167</v>
      </c>
    </row>
    <row r="61" spans="1:8" ht="18" thickBot="1" x14ac:dyDescent="0.25">
      <c r="A61" s="1">
        <v>47</v>
      </c>
      <c r="B61" s="1">
        <v>141.80000000000001</v>
      </c>
      <c r="C61" s="1">
        <v>75.5</v>
      </c>
      <c r="D61" s="1" t="s">
        <v>435</v>
      </c>
      <c r="E61" s="1" t="s">
        <v>434</v>
      </c>
      <c r="F61" s="1" t="s">
        <v>433</v>
      </c>
      <c r="G61" s="1" t="s">
        <v>432</v>
      </c>
      <c r="H61" s="1" t="s">
        <v>431</v>
      </c>
    </row>
    <row r="62" spans="1:8" ht="35" thickBot="1" x14ac:dyDescent="0.25">
      <c r="A62" s="1">
        <v>48</v>
      </c>
      <c r="B62" s="1">
        <v>120.1</v>
      </c>
      <c r="C62" s="1">
        <v>34.200000000000003</v>
      </c>
      <c r="D62" s="1" t="s">
        <v>429</v>
      </c>
      <c r="E62" s="1" t="s">
        <v>428</v>
      </c>
      <c r="F62" s="1" t="s">
        <v>427</v>
      </c>
      <c r="G62" s="1" t="s">
        <v>426</v>
      </c>
      <c r="H62" s="1" t="s">
        <v>425</v>
      </c>
    </row>
    <row r="63" spans="1:8" ht="35" thickBot="1" x14ac:dyDescent="0.25">
      <c r="A63" s="1">
        <v>49</v>
      </c>
      <c r="B63" s="1">
        <v>106.9</v>
      </c>
      <c r="C63" s="1">
        <v>40.299999999999997</v>
      </c>
      <c r="D63" s="1" t="s">
        <v>423</v>
      </c>
      <c r="E63" s="1" t="s">
        <v>422</v>
      </c>
      <c r="F63" s="1" t="s">
        <v>421</v>
      </c>
      <c r="G63" s="1" t="s">
        <v>420</v>
      </c>
      <c r="H63" s="1" t="s">
        <v>419</v>
      </c>
    </row>
    <row r="64" spans="1:8" ht="35" thickBot="1" x14ac:dyDescent="0.25">
      <c r="A64" s="1">
        <v>50</v>
      </c>
      <c r="B64" s="1">
        <v>121.5</v>
      </c>
      <c r="C64" s="1">
        <v>40.700000000000003</v>
      </c>
      <c r="D64" s="1" t="s">
        <v>417</v>
      </c>
      <c r="E64" s="1" t="s">
        <v>416</v>
      </c>
      <c r="F64" s="1" t="s">
        <v>415</v>
      </c>
      <c r="G64" s="1" t="s">
        <v>414</v>
      </c>
      <c r="H64" s="1" t="s">
        <v>413</v>
      </c>
    </row>
    <row r="65" spans="1:8" ht="18" thickBot="1" x14ac:dyDescent="0.25">
      <c r="A65" s="1">
        <v>102</v>
      </c>
      <c r="B65" s="1">
        <v>130.19999999999999</v>
      </c>
      <c r="C65" s="1">
        <v>61.2</v>
      </c>
      <c r="D65" s="1" t="s">
        <v>411</v>
      </c>
      <c r="E65" s="1" t="s">
        <v>410</v>
      </c>
      <c r="F65" s="1" t="s">
        <v>409</v>
      </c>
      <c r="G65" s="1" t="s">
        <v>408</v>
      </c>
      <c r="H65" s="1" t="s">
        <v>66</v>
      </c>
    </row>
    <row r="66" spans="1:8" ht="35" thickBot="1" x14ac:dyDescent="0.25">
      <c r="A66" s="1">
        <v>106</v>
      </c>
      <c r="B66" s="1">
        <v>123.6</v>
      </c>
      <c r="C66" s="1">
        <v>40.799999999999997</v>
      </c>
      <c r="D66" s="1" t="s">
        <v>406</v>
      </c>
      <c r="E66" s="1" t="s">
        <v>405</v>
      </c>
      <c r="F66" s="1" t="s">
        <v>404</v>
      </c>
      <c r="G66" s="1" t="s">
        <v>403</v>
      </c>
      <c r="H66" s="1" t="s">
        <v>155</v>
      </c>
    </row>
    <row r="67" spans="1:8" ht="18" thickBot="1" x14ac:dyDescent="0.25">
      <c r="A67" s="1">
        <v>119</v>
      </c>
      <c r="B67" s="1">
        <v>124.1</v>
      </c>
      <c r="C67" s="1">
        <v>49.1</v>
      </c>
      <c r="D67" s="1" t="s">
        <v>401</v>
      </c>
      <c r="E67" s="1" t="s">
        <v>400</v>
      </c>
      <c r="F67" s="1" t="s">
        <v>399</v>
      </c>
      <c r="G67" s="1" t="s">
        <v>398</v>
      </c>
      <c r="H67" s="1" t="s">
        <v>397</v>
      </c>
    </row>
    <row r="68" spans="1:8" ht="35" thickBot="1" x14ac:dyDescent="0.25">
      <c r="A68" s="1">
        <v>51</v>
      </c>
      <c r="B68" s="1">
        <v>129.5</v>
      </c>
      <c r="C68" s="1">
        <v>46.5</v>
      </c>
      <c r="D68" s="1" t="s">
        <v>394</v>
      </c>
      <c r="E68" s="1" t="s">
        <v>393</v>
      </c>
      <c r="F68" s="1" t="s">
        <v>392</v>
      </c>
      <c r="G68" s="1" t="s">
        <v>391</v>
      </c>
      <c r="H68" s="1" t="s">
        <v>390</v>
      </c>
    </row>
    <row r="69" spans="1:8" ht="18" thickBot="1" x14ac:dyDescent="0.25">
      <c r="A69" s="1">
        <v>52</v>
      </c>
      <c r="B69" s="1">
        <v>109.8</v>
      </c>
      <c r="C69" s="1">
        <v>17.2</v>
      </c>
      <c r="D69" s="1" t="s">
        <v>388</v>
      </c>
      <c r="E69" s="1" t="s">
        <v>387</v>
      </c>
      <c r="F69" s="1" t="s">
        <v>103</v>
      </c>
      <c r="G69" s="1" t="s">
        <v>386</v>
      </c>
      <c r="H69" s="1" t="s">
        <v>385</v>
      </c>
    </row>
    <row r="70" spans="1:8" ht="35" thickBot="1" x14ac:dyDescent="0.25">
      <c r="A70" s="1">
        <v>53</v>
      </c>
      <c r="B70" s="1">
        <v>117.6</v>
      </c>
      <c r="C70" s="1">
        <v>29.3</v>
      </c>
      <c r="D70" s="1" t="s">
        <v>383</v>
      </c>
      <c r="E70" s="1" t="s">
        <v>382</v>
      </c>
      <c r="F70" s="1" t="s">
        <v>381</v>
      </c>
      <c r="G70" s="1" t="s">
        <v>380</v>
      </c>
      <c r="H70" s="1" t="s">
        <v>379</v>
      </c>
    </row>
    <row r="71" spans="1:8" ht="18" thickBot="1" x14ac:dyDescent="0.25">
      <c r="A71" s="1">
        <v>54</v>
      </c>
      <c r="B71" s="1">
        <v>115.6</v>
      </c>
      <c r="C71" s="1">
        <v>55.8</v>
      </c>
      <c r="D71" s="1" t="s">
        <v>377</v>
      </c>
      <c r="E71" s="1" t="s">
        <v>376</v>
      </c>
      <c r="F71" s="1" t="s">
        <v>375</v>
      </c>
      <c r="G71" s="1" t="s">
        <v>374</v>
      </c>
      <c r="H71" s="1" t="s">
        <v>373</v>
      </c>
    </row>
    <row r="72" spans="1:8" ht="35" thickBot="1" x14ac:dyDescent="0.25">
      <c r="A72" s="1">
        <v>55</v>
      </c>
      <c r="B72" s="1">
        <v>117.2</v>
      </c>
      <c r="C72" s="1">
        <v>43.7</v>
      </c>
      <c r="D72" s="1" t="s">
        <v>371</v>
      </c>
      <c r="E72" s="1" t="s">
        <v>370</v>
      </c>
      <c r="F72" s="1" t="s">
        <v>369</v>
      </c>
      <c r="G72" s="1" t="s">
        <v>368</v>
      </c>
      <c r="H72" s="1" t="s">
        <v>19</v>
      </c>
    </row>
    <row r="73" spans="1:8" ht="35" thickBot="1" x14ac:dyDescent="0.25">
      <c r="A73" s="1">
        <v>103</v>
      </c>
      <c r="B73" s="1">
        <v>110.1</v>
      </c>
      <c r="C73" s="1">
        <v>18.8</v>
      </c>
      <c r="D73" s="1" t="s">
        <v>366</v>
      </c>
      <c r="E73" s="1" t="s">
        <v>365</v>
      </c>
      <c r="F73" s="1" t="s">
        <v>364</v>
      </c>
      <c r="G73" s="1" t="s">
        <v>363</v>
      </c>
      <c r="H73" s="1" t="s">
        <v>362</v>
      </c>
    </row>
    <row r="74" spans="1:8" ht="35" thickBot="1" x14ac:dyDescent="0.25">
      <c r="A74" s="1">
        <v>104</v>
      </c>
      <c r="B74" s="1">
        <v>125.7</v>
      </c>
      <c r="C74" s="1">
        <v>75.7</v>
      </c>
      <c r="D74" s="1" t="s">
        <v>360</v>
      </c>
      <c r="E74" s="1" t="s">
        <v>359</v>
      </c>
      <c r="F74" s="1" t="s">
        <v>358</v>
      </c>
      <c r="G74" s="1" t="s">
        <v>74</v>
      </c>
      <c r="H74" s="1" t="s">
        <v>357</v>
      </c>
    </row>
    <row r="75" spans="1:8" ht="35" thickBot="1" x14ac:dyDescent="0.25">
      <c r="A75" s="1">
        <v>105</v>
      </c>
      <c r="B75" s="1">
        <v>122.4</v>
      </c>
      <c r="C75" s="1">
        <v>26.4</v>
      </c>
      <c r="D75" s="1" t="s">
        <v>355</v>
      </c>
      <c r="E75" s="1" t="s">
        <v>354</v>
      </c>
      <c r="F75" s="1" t="s">
        <v>353</v>
      </c>
      <c r="G75" s="1" t="s">
        <v>352</v>
      </c>
      <c r="H75" s="1" t="s">
        <v>351</v>
      </c>
    </row>
    <row r="76" spans="1:8" ht="35" thickBot="1" x14ac:dyDescent="0.25">
      <c r="A76" s="1">
        <v>120</v>
      </c>
      <c r="B76" s="1">
        <v>127.7</v>
      </c>
      <c r="C76" s="1">
        <v>75.400000000000006</v>
      </c>
      <c r="D76" s="1" t="s">
        <v>349</v>
      </c>
      <c r="E76" s="1" t="s">
        <v>348</v>
      </c>
      <c r="F76" s="1" t="s">
        <v>347</v>
      </c>
      <c r="G76" s="1" t="s">
        <v>346</v>
      </c>
      <c r="H76" s="1" t="s">
        <v>345</v>
      </c>
    </row>
    <row r="77" spans="1:8" ht="35" thickBot="1" x14ac:dyDescent="0.25">
      <c r="A77" s="1">
        <v>56</v>
      </c>
      <c r="B77" s="1">
        <v>104.3</v>
      </c>
      <c r="C77" s="1">
        <v>18.2</v>
      </c>
      <c r="D77" s="1" t="s">
        <v>342</v>
      </c>
      <c r="E77" s="1" t="s">
        <v>341</v>
      </c>
      <c r="F77" s="1" t="s">
        <v>340</v>
      </c>
      <c r="G77" s="1" t="s">
        <v>80</v>
      </c>
      <c r="H77" s="1" t="s">
        <v>339</v>
      </c>
    </row>
    <row r="78" spans="1:8" ht="35" thickBot="1" x14ac:dyDescent="0.25">
      <c r="A78" s="1">
        <v>57</v>
      </c>
      <c r="B78" s="1">
        <v>105.3</v>
      </c>
      <c r="C78" s="1">
        <v>25.1</v>
      </c>
      <c r="D78" s="1" t="s">
        <v>337</v>
      </c>
      <c r="E78" s="1" t="s">
        <v>336</v>
      </c>
      <c r="F78" s="1" t="s">
        <v>335</v>
      </c>
      <c r="G78" s="1" t="s">
        <v>197</v>
      </c>
      <c r="H78" s="1" t="s">
        <v>126</v>
      </c>
    </row>
    <row r="79" spans="1:8" ht="35" thickBot="1" x14ac:dyDescent="0.25">
      <c r="A79" s="1">
        <v>58</v>
      </c>
      <c r="B79" s="1">
        <v>117.6</v>
      </c>
      <c r="C79" s="1">
        <v>57.1</v>
      </c>
      <c r="D79" s="1" t="s">
        <v>333</v>
      </c>
      <c r="E79" s="1" t="s">
        <v>332</v>
      </c>
      <c r="F79" s="1" t="s">
        <v>331</v>
      </c>
      <c r="G79" s="1" t="s">
        <v>330</v>
      </c>
      <c r="H79" s="1" t="s">
        <v>329</v>
      </c>
    </row>
    <row r="80" spans="1:8" ht="35" thickBot="1" x14ac:dyDescent="0.25">
      <c r="A80" s="1">
        <v>59</v>
      </c>
      <c r="B80" s="1">
        <v>93.5</v>
      </c>
      <c r="C80" s="1">
        <v>9.6</v>
      </c>
      <c r="D80" s="1" t="s">
        <v>327</v>
      </c>
      <c r="E80" s="1" t="s">
        <v>326</v>
      </c>
      <c r="F80" s="1" t="s">
        <v>325</v>
      </c>
      <c r="G80" s="1" t="s">
        <v>13</v>
      </c>
      <c r="H80" s="1" t="s">
        <v>324</v>
      </c>
    </row>
    <row r="81" spans="1:8" ht="18" thickBot="1" x14ac:dyDescent="0.25">
      <c r="A81" s="1">
        <v>60</v>
      </c>
      <c r="B81" s="1">
        <v>98.7</v>
      </c>
      <c r="C81" s="1">
        <v>13.6</v>
      </c>
      <c r="D81" s="1" t="s">
        <v>322</v>
      </c>
      <c r="E81" s="1" t="s">
        <v>321</v>
      </c>
      <c r="F81" s="1" t="s">
        <v>320</v>
      </c>
      <c r="G81" s="1" t="s">
        <v>319</v>
      </c>
      <c r="H81" s="1" t="s">
        <v>318</v>
      </c>
    </row>
    <row r="82" spans="1:8" ht="18" thickBot="1" x14ac:dyDescent="0.25">
      <c r="A82" s="1">
        <v>121</v>
      </c>
      <c r="B82" s="1">
        <v>133.80000000000001</v>
      </c>
      <c r="C82" s="1">
        <v>67.400000000000006</v>
      </c>
      <c r="D82" s="1" t="s">
        <v>316</v>
      </c>
      <c r="E82" s="1" t="s">
        <v>315</v>
      </c>
      <c r="F82" s="1" t="s">
        <v>314</v>
      </c>
      <c r="G82" s="1" t="s">
        <v>80</v>
      </c>
      <c r="H82" s="1" t="s">
        <v>313</v>
      </c>
    </row>
    <row r="83" spans="1:8" ht="35" thickBot="1" x14ac:dyDescent="0.25">
      <c r="A83" s="1">
        <v>124</v>
      </c>
      <c r="B83" s="1">
        <v>105.4</v>
      </c>
      <c r="C83" s="1">
        <v>32.700000000000003</v>
      </c>
      <c r="D83" s="1" t="s">
        <v>311</v>
      </c>
      <c r="E83" s="1" t="s">
        <v>310</v>
      </c>
      <c r="F83" s="1" t="s">
        <v>309</v>
      </c>
      <c r="G83" s="1" t="s">
        <v>308</v>
      </c>
      <c r="H83" s="1" t="s">
        <v>307</v>
      </c>
    </row>
    <row r="84" spans="1:8" ht="35" thickBot="1" x14ac:dyDescent="0.25">
      <c r="A84" s="1">
        <v>61</v>
      </c>
      <c r="B84" s="1">
        <v>112.2</v>
      </c>
      <c r="C84" s="1">
        <v>41.1</v>
      </c>
      <c r="D84" s="1" t="s">
        <v>304</v>
      </c>
      <c r="E84" s="1" t="s">
        <v>303</v>
      </c>
      <c r="F84" s="1" t="s">
        <v>302</v>
      </c>
      <c r="G84" s="1" t="s">
        <v>250</v>
      </c>
      <c r="H84" s="1" t="s">
        <v>301</v>
      </c>
    </row>
    <row r="85" spans="1:8" ht="18" thickBot="1" x14ac:dyDescent="0.25">
      <c r="A85" s="1">
        <v>62</v>
      </c>
      <c r="B85" s="1">
        <v>102.6</v>
      </c>
      <c r="C85" s="1">
        <v>16.600000000000001</v>
      </c>
      <c r="D85" s="1" t="s">
        <v>299</v>
      </c>
      <c r="E85" s="1" t="s">
        <v>298</v>
      </c>
      <c r="F85" s="1" t="s">
        <v>297</v>
      </c>
      <c r="G85" s="1" t="s">
        <v>296</v>
      </c>
      <c r="H85" s="1" t="s">
        <v>295</v>
      </c>
    </row>
    <row r="86" spans="1:8" ht="18" thickBot="1" x14ac:dyDescent="0.25">
      <c r="A86" s="1">
        <v>63</v>
      </c>
      <c r="B86" s="1">
        <v>122.7</v>
      </c>
      <c r="C86" s="1">
        <v>26</v>
      </c>
      <c r="D86" s="1" t="s">
        <v>293</v>
      </c>
      <c r="E86" s="1" t="s">
        <v>292</v>
      </c>
      <c r="F86" s="1" t="s">
        <v>291</v>
      </c>
      <c r="G86" s="1" t="s">
        <v>290</v>
      </c>
      <c r="H86" s="1" t="s">
        <v>289</v>
      </c>
    </row>
    <row r="87" spans="1:8" ht="35" thickBot="1" x14ac:dyDescent="0.25">
      <c r="A87" s="1">
        <v>64</v>
      </c>
      <c r="B87" s="1">
        <v>138.9</v>
      </c>
      <c r="C87" s="1">
        <v>69.8</v>
      </c>
      <c r="D87" s="1" t="s">
        <v>287</v>
      </c>
      <c r="E87" s="1" t="s">
        <v>286</v>
      </c>
      <c r="F87" s="1" t="s">
        <v>285</v>
      </c>
      <c r="G87" s="1" t="s">
        <v>284</v>
      </c>
      <c r="H87" s="1" t="s">
        <v>155</v>
      </c>
    </row>
    <row r="88" spans="1:8" ht="35" thickBot="1" x14ac:dyDescent="0.25">
      <c r="A88" s="1">
        <v>65</v>
      </c>
      <c r="B88" s="1">
        <v>100</v>
      </c>
      <c r="C88" s="1">
        <v>9.1999999999999993</v>
      </c>
      <c r="D88" s="1" t="s">
        <v>282</v>
      </c>
      <c r="E88" s="1" t="s">
        <v>281</v>
      </c>
      <c r="F88" s="1" t="s">
        <v>280</v>
      </c>
      <c r="G88" s="1" t="s">
        <v>279</v>
      </c>
      <c r="H88" s="1" t="s">
        <v>278</v>
      </c>
    </row>
    <row r="89" spans="1:8" ht="35" thickBot="1" x14ac:dyDescent="0.25">
      <c r="A89" s="1">
        <v>107</v>
      </c>
      <c r="B89" s="1">
        <v>119.9</v>
      </c>
      <c r="C89" s="1">
        <v>42.1</v>
      </c>
      <c r="D89" s="1" t="s">
        <v>276</v>
      </c>
      <c r="E89" s="1" t="s">
        <v>275</v>
      </c>
      <c r="F89" s="1" t="s">
        <v>274</v>
      </c>
      <c r="G89" s="1" t="s">
        <v>13</v>
      </c>
      <c r="H89" s="1" t="s">
        <v>273</v>
      </c>
    </row>
    <row r="90" spans="1:8" ht="35" thickBot="1" x14ac:dyDescent="0.25">
      <c r="A90" s="1">
        <v>109</v>
      </c>
      <c r="B90" s="1">
        <v>117</v>
      </c>
      <c r="C90" s="1">
        <v>55.8</v>
      </c>
      <c r="D90" s="1" t="s">
        <v>271</v>
      </c>
      <c r="E90" s="1" t="s">
        <v>270</v>
      </c>
      <c r="F90" s="1" t="s">
        <v>269</v>
      </c>
      <c r="G90" s="1" t="s">
        <v>268</v>
      </c>
      <c r="H90" s="1" t="s">
        <v>267</v>
      </c>
    </row>
    <row r="91" spans="1:8" ht="18" thickBot="1" x14ac:dyDescent="0.25">
      <c r="A91" s="1">
        <v>122</v>
      </c>
      <c r="B91" s="1">
        <v>111.5</v>
      </c>
      <c r="C91" s="1">
        <v>40.9</v>
      </c>
      <c r="D91" s="1" t="s">
        <v>265</v>
      </c>
      <c r="E91" s="1" t="s">
        <v>264</v>
      </c>
      <c r="F91" s="1" t="s">
        <v>263</v>
      </c>
      <c r="G91" s="1" t="s">
        <v>262</v>
      </c>
      <c r="H91" s="1" t="s">
        <v>114</v>
      </c>
    </row>
    <row r="92" spans="1:8" ht="35" thickBot="1" x14ac:dyDescent="0.25">
      <c r="A92" s="1">
        <v>136</v>
      </c>
      <c r="B92" s="1">
        <v>106.8</v>
      </c>
      <c r="C92" s="1">
        <v>30.3</v>
      </c>
      <c r="D92" s="1" t="s">
        <v>260</v>
      </c>
      <c r="E92" s="1" t="s">
        <v>259</v>
      </c>
      <c r="F92" s="1" t="s">
        <v>258</v>
      </c>
      <c r="G92" s="1" t="s">
        <v>257</v>
      </c>
      <c r="H92" s="1" t="s">
        <v>256</v>
      </c>
    </row>
    <row r="93" spans="1:8" ht="35" thickBot="1" x14ac:dyDescent="0.25">
      <c r="A93" s="1">
        <v>66</v>
      </c>
      <c r="B93" s="1">
        <v>104.2</v>
      </c>
      <c r="C93" s="1">
        <v>33.5</v>
      </c>
      <c r="D93" s="1" t="s">
        <v>253</v>
      </c>
      <c r="E93" s="1" t="s">
        <v>252</v>
      </c>
      <c r="F93" s="1" t="s">
        <v>251</v>
      </c>
      <c r="G93" s="1" t="s">
        <v>250</v>
      </c>
      <c r="H93" s="1" t="s">
        <v>249</v>
      </c>
    </row>
    <row r="94" spans="1:8" ht="35" thickBot="1" x14ac:dyDescent="0.25">
      <c r="A94" s="1">
        <v>67</v>
      </c>
      <c r="B94" s="1">
        <v>103.7</v>
      </c>
      <c r="C94" s="1">
        <v>17.3</v>
      </c>
      <c r="D94" s="1" t="s">
        <v>247</v>
      </c>
      <c r="E94" s="1" t="s">
        <v>246</v>
      </c>
      <c r="F94" s="1" t="s">
        <v>245</v>
      </c>
      <c r="G94" s="1" t="s">
        <v>25</v>
      </c>
      <c r="H94" s="1" t="s">
        <v>244</v>
      </c>
    </row>
    <row r="95" spans="1:8" ht="35" thickBot="1" x14ac:dyDescent="0.25">
      <c r="A95" s="1">
        <v>68</v>
      </c>
      <c r="B95" s="1">
        <v>101.1</v>
      </c>
      <c r="C95" s="1">
        <v>17.5</v>
      </c>
      <c r="D95" s="1" t="s">
        <v>242</v>
      </c>
      <c r="E95" s="1" t="s">
        <v>241</v>
      </c>
      <c r="F95" s="1" t="s">
        <v>240</v>
      </c>
      <c r="G95" s="1" t="s">
        <v>239</v>
      </c>
      <c r="H95" s="1" t="s">
        <v>238</v>
      </c>
    </row>
    <row r="96" spans="1:8" ht="35" thickBot="1" x14ac:dyDescent="0.25">
      <c r="A96" s="1">
        <v>69</v>
      </c>
      <c r="B96" s="1">
        <v>115.1</v>
      </c>
      <c r="C96" s="1">
        <v>55.5</v>
      </c>
      <c r="D96" s="1" t="s">
        <v>236</v>
      </c>
      <c r="E96" s="1" t="s">
        <v>235</v>
      </c>
      <c r="F96" s="1" t="s">
        <v>234</v>
      </c>
      <c r="G96" s="1" t="s">
        <v>233</v>
      </c>
      <c r="H96" s="1" t="s">
        <v>232</v>
      </c>
    </row>
    <row r="97" spans="1:8" ht="35" thickBot="1" x14ac:dyDescent="0.25">
      <c r="A97" s="1">
        <v>70</v>
      </c>
      <c r="B97" s="1">
        <v>97.8</v>
      </c>
      <c r="C97" s="1">
        <v>10.5</v>
      </c>
      <c r="D97" s="1" t="s">
        <v>230</v>
      </c>
      <c r="E97" s="1" t="s">
        <v>229</v>
      </c>
      <c r="F97" s="1" t="s">
        <v>228</v>
      </c>
      <c r="G97" s="1" t="s">
        <v>101</v>
      </c>
      <c r="H97" s="1" t="s">
        <v>227</v>
      </c>
    </row>
    <row r="98" spans="1:8" ht="35" thickBot="1" x14ac:dyDescent="0.25">
      <c r="A98" s="1">
        <v>123</v>
      </c>
      <c r="B98" s="1">
        <v>106.3</v>
      </c>
      <c r="C98" s="1">
        <v>25.7</v>
      </c>
      <c r="D98" s="1" t="s">
        <v>225</v>
      </c>
      <c r="E98" s="1" t="s">
        <v>224</v>
      </c>
      <c r="F98" s="1" t="s">
        <v>223</v>
      </c>
      <c r="G98" s="1" t="s">
        <v>222</v>
      </c>
      <c r="H98" s="1" t="s">
        <v>221</v>
      </c>
    </row>
    <row r="99" spans="1:8" ht="35" thickBot="1" x14ac:dyDescent="0.25">
      <c r="A99" s="1">
        <v>71</v>
      </c>
      <c r="B99" s="1">
        <v>110</v>
      </c>
      <c r="C99" s="1">
        <v>37.200000000000003</v>
      </c>
      <c r="D99" s="1" t="s">
        <v>218</v>
      </c>
      <c r="E99" s="1" t="s">
        <v>217</v>
      </c>
      <c r="F99" s="1" t="s">
        <v>216</v>
      </c>
      <c r="G99" s="1" t="s">
        <v>215</v>
      </c>
      <c r="H99" s="1" t="s">
        <v>214</v>
      </c>
    </row>
    <row r="100" spans="1:8" ht="18" thickBot="1" x14ac:dyDescent="0.25">
      <c r="A100" s="1">
        <v>72</v>
      </c>
      <c r="B100" s="1">
        <v>119.4</v>
      </c>
      <c r="C100" s="1">
        <v>51.7</v>
      </c>
      <c r="D100" s="1" t="s">
        <v>212</v>
      </c>
      <c r="E100" s="1" t="s">
        <v>211</v>
      </c>
      <c r="F100" s="1" t="s">
        <v>210</v>
      </c>
      <c r="G100" s="1" t="s">
        <v>209</v>
      </c>
      <c r="H100" s="1" t="s">
        <v>208</v>
      </c>
    </row>
    <row r="101" spans="1:8" ht="35" thickBot="1" x14ac:dyDescent="0.25">
      <c r="A101" s="1">
        <v>73</v>
      </c>
      <c r="B101" s="1">
        <v>122.6</v>
      </c>
      <c r="C101" s="1">
        <v>41.9</v>
      </c>
      <c r="D101" s="1" t="s">
        <v>206</v>
      </c>
      <c r="E101" s="1" t="s">
        <v>205</v>
      </c>
      <c r="F101" s="1" t="s">
        <v>204</v>
      </c>
      <c r="G101" s="1" t="s">
        <v>203</v>
      </c>
      <c r="H101" s="1" t="s">
        <v>202</v>
      </c>
    </row>
    <row r="102" spans="1:8" ht="35" thickBot="1" x14ac:dyDescent="0.25">
      <c r="A102" s="1">
        <v>74</v>
      </c>
      <c r="B102" s="1">
        <v>96.9</v>
      </c>
      <c r="C102" s="1">
        <v>13.3</v>
      </c>
      <c r="D102" s="1" t="s">
        <v>200</v>
      </c>
      <c r="E102" s="1" t="s">
        <v>199</v>
      </c>
      <c r="F102" s="1" t="s">
        <v>198</v>
      </c>
      <c r="G102" s="1" t="s">
        <v>197</v>
      </c>
      <c r="H102" s="1" t="s">
        <v>114</v>
      </c>
    </row>
    <row r="103" spans="1:8" ht="35" thickBot="1" x14ac:dyDescent="0.25">
      <c r="A103" s="1">
        <v>75</v>
      </c>
      <c r="B103" s="1">
        <v>128.1</v>
      </c>
      <c r="C103" s="1">
        <v>58.5</v>
      </c>
      <c r="D103" s="1" t="s">
        <v>195</v>
      </c>
      <c r="E103" s="1" t="s">
        <v>194</v>
      </c>
      <c r="F103" s="1" t="s">
        <v>193</v>
      </c>
      <c r="G103" s="1" t="s">
        <v>192</v>
      </c>
      <c r="H103" s="1" t="s">
        <v>191</v>
      </c>
    </row>
    <row r="104" spans="1:8" ht="35" thickBot="1" x14ac:dyDescent="0.25">
      <c r="A104" s="1">
        <v>137</v>
      </c>
      <c r="B104" s="1">
        <v>98.4</v>
      </c>
      <c r="C104" s="1">
        <v>10.4</v>
      </c>
      <c r="D104" s="1" t="s">
        <v>189</v>
      </c>
      <c r="E104" s="1" t="s">
        <v>188</v>
      </c>
      <c r="F104" s="1" t="s">
        <v>187</v>
      </c>
      <c r="G104" s="1" t="s">
        <v>186</v>
      </c>
      <c r="H104" s="1" t="s">
        <v>185</v>
      </c>
    </row>
    <row r="105" spans="1:8" ht="35" thickBot="1" x14ac:dyDescent="0.25">
      <c r="A105" s="1">
        <v>76</v>
      </c>
      <c r="B105" s="1">
        <v>120.5</v>
      </c>
      <c r="C105" s="1">
        <v>45.4</v>
      </c>
      <c r="D105" s="1" t="s">
        <v>182</v>
      </c>
      <c r="E105" s="1" t="s">
        <v>181</v>
      </c>
      <c r="F105" s="1" t="s">
        <v>180</v>
      </c>
      <c r="G105" s="1" t="s">
        <v>179</v>
      </c>
      <c r="H105" s="1" t="s">
        <v>178</v>
      </c>
    </row>
    <row r="106" spans="1:8" ht="35" thickBot="1" x14ac:dyDescent="0.25">
      <c r="A106" s="1">
        <v>77</v>
      </c>
      <c r="B106" s="1">
        <v>109.5</v>
      </c>
      <c r="C106" s="1">
        <v>34.700000000000003</v>
      </c>
      <c r="D106" s="1" t="s">
        <v>176</v>
      </c>
      <c r="E106" s="1" t="s">
        <v>175</v>
      </c>
      <c r="F106" s="1" t="s">
        <v>174</v>
      </c>
      <c r="G106" s="1" t="s">
        <v>173</v>
      </c>
      <c r="H106" s="1" t="s">
        <v>172</v>
      </c>
    </row>
    <row r="107" spans="1:8" ht="18" thickBot="1" x14ac:dyDescent="0.25">
      <c r="A107" s="1">
        <v>78</v>
      </c>
      <c r="B107" s="1">
        <v>111.5</v>
      </c>
      <c r="C107" s="1">
        <v>35.450000000000003</v>
      </c>
      <c r="D107" s="1" t="s">
        <v>170</v>
      </c>
      <c r="E107" s="1" t="s">
        <v>169</v>
      </c>
      <c r="F107" s="1" t="s">
        <v>168</v>
      </c>
      <c r="G107" s="1" t="s">
        <v>1</v>
      </c>
      <c r="H107" s="1" t="s">
        <v>167</v>
      </c>
    </row>
    <row r="108" spans="1:8" ht="35" thickBot="1" x14ac:dyDescent="0.25">
      <c r="A108" s="1">
        <v>79</v>
      </c>
      <c r="B108" s="1">
        <v>130.4</v>
      </c>
      <c r="C108" s="1">
        <v>59.2</v>
      </c>
      <c r="D108" s="1" t="s">
        <v>165</v>
      </c>
      <c r="E108" s="1" t="s">
        <v>164</v>
      </c>
      <c r="F108" s="1" t="s">
        <v>163</v>
      </c>
      <c r="G108" s="1" t="s">
        <v>162</v>
      </c>
      <c r="H108" s="1" t="s">
        <v>161</v>
      </c>
    </row>
    <row r="109" spans="1:8" ht="35" thickBot="1" x14ac:dyDescent="0.25">
      <c r="A109" s="1">
        <v>80</v>
      </c>
      <c r="B109" s="1">
        <v>128.1</v>
      </c>
      <c r="C109" s="1">
        <v>57.4</v>
      </c>
      <c r="D109" s="1" t="s">
        <v>159</v>
      </c>
      <c r="E109" s="1" t="s">
        <v>158</v>
      </c>
      <c r="F109" s="1" t="s">
        <v>157</v>
      </c>
      <c r="G109" s="1" t="s">
        <v>156</v>
      </c>
      <c r="H109" s="1" t="s">
        <v>155</v>
      </c>
    </row>
    <row r="110" spans="1:8" ht="35" thickBot="1" x14ac:dyDescent="0.25">
      <c r="A110" s="1">
        <v>125</v>
      </c>
      <c r="B110" s="1">
        <v>142.19999999999999</v>
      </c>
      <c r="C110" s="1">
        <v>74.2</v>
      </c>
      <c r="D110" s="1" t="s">
        <v>153</v>
      </c>
      <c r="E110" s="1" t="s">
        <v>152</v>
      </c>
      <c r="F110" s="1" t="s">
        <v>151</v>
      </c>
      <c r="G110" s="1" t="s">
        <v>150</v>
      </c>
      <c r="H110" s="1" t="s">
        <v>0</v>
      </c>
    </row>
    <row r="111" spans="1:8" ht="18" thickBot="1" x14ac:dyDescent="0.25">
      <c r="A111" s="1">
        <v>81</v>
      </c>
      <c r="B111" s="1">
        <v>132.6</v>
      </c>
      <c r="C111" s="1">
        <v>79.099999999999994</v>
      </c>
      <c r="D111" s="1" t="s">
        <v>147</v>
      </c>
      <c r="E111" s="1" t="s">
        <v>146</v>
      </c>
      <c r="F111" s="1" t="s">
        <v>145</v>
      </c>
      <c r="G111" s="1" t="s">
        <v>144</v>
      </c>
      <c r="H111" s="1" t="s">
        <v>143</v>
      </c>
    </row>
    <row r="112" spans="1:8" ht="35" thickBot="1" x14ac:dyDescent="0.25">
      <c r="A112" s="1">
        <v>82</v>
      </c>
      <c r="B112" s="1">
        <v>132.19999999999999</v>
      </c>
      <c r="C112" s="1">
        <v>93.6</v>
      </c>
      <c r="D112" s="1" t="s">
        <v>141</v>
      </c>
      <c r="E112" s="1" t="s">
        <v>140</v>
      </c>
      <c r="F112" s="1" t="s">
        <v>139</v>
      </c>
      <c r="G112" s="1" t="s">
        <v>138</v>
      </c>
      <c r="H112" s="1" t="s">
        <v>137</v>
      </c>
    </row>
    <row r="113" spans="1:8" ht="18" thickBot="1" x14ac:dyDescent="0.25">
      <c r="A113" s="1">
        <v>83</v>
      </c>
      <c r="B113" s="1">
        <v>94.8</v>
      </c>
      <c r="C113" s="1">
        <v>10.3</v>
      </c>
      <c r="D113" s="1" t="s">
        <v>135</v>
      </c>
      <c r="E113" s="1" t="s">
        <v>134</v>
      </c>
      <c r="F113" s="1" t="s">
        <v>133</v>
      </c>
      <c r="G113" s="1" t="s">
        <v>132</v>
      </c>
      <c r="H113" s="1">
        <v>0</v>
      </c>
    </row>
    <row r="114" spans="1:8" ht="35" thickBot="1" x14ac:dyDescent="0.25">
      <c r="A114" s="1">
        <v>84</v>
      </c>
      <c r="B114" s="1">
        <v>96.1</v>
      </c>
      <c r="C114" s="1">
        <v>11.1</v>
      </c>
      <c r="D114" s="1" t="s">
        <v>130</v>
      </c>
      <c r="E114" s="1" t="s">
        <v>129</v>
      </c>
      <c r="F114" s="1" t="s">
        <v>128</v>
      </c>
      <c r="G114" s="1" t="s">
        <v>127</v>
      </c>
      <c r="H114" s="1" t="s">
        <v>126</v>
      </c>
    </row>
    <row r="115" spans="1:8" ht="35" thickBot="1" x14ac:dyDescent="0.25">
      <c r="A115" s="1">
        <v>85</v>
      </c>
      <c r="B115" s="1">
        <v>106.7</v>
      </c>
      <c r="C115" s="1">
        <v>37.6</v>
      </c>
      <c r="D115" s="1" t="s">
        <v>124</v>
      </c>
      <c r="E115" s="1" t="s">
        <v>123</v>
      </c>
      <c r="F115" s="1" t="s">
        <v>122</v>
      </c>
      <c r="G115" s="1" t="s">
        <v>121</v>
      </c>
      <c r="H115" s="1" t="s">
        <v>120</v>
      </c>
    </row>
    <row r="116" spans="1:8" ht="35" thickBot="1" x14ac:dyDescent="0.25">
      <c r="A116" s="1">
        <v>126</v>
      </c>
      <c r="B116" s="1">
        <v>119.6</v>
      </c>
      <c r="C116" s="1">
        <v>74.099999999999994</v>
      </c>
      <c r="D116" s="1" t="s">
        <v>118</v>
      </c>
      <c r="E116" s="1" t="s">
        <v>117</v>
      </c>
      <c r="F116" s="1" t="s">
        <v>116</v>
      </c>
      <c r="G116" s="1" t="s">
        <v>115</v>
      </c>
      <c r="H116" s="1" t="s">
        <v>114</v>
      </c>
    </row>
    <row r="117" spans="1:8" ht="35" thickBot="1" x14ac:dyDescent="0.25">
      <c r="A117" s="1">
        <v>134</v>
      </c>
      <c r="B117" s="1">
        <v>115.8</v>
      </c>
      <c r="C117" s="1">
        <v>39.200000000000003</v>
      </c>
      <c r="D117" s="1" t="s">
        <v>112</v>
      </c>
      <c r="E117" s="1" t="s">
        <v>111</v>
      </c>
      <c r="F117" s="1" t="s">
        <v>110</v>
      </c>
      <c r="G117" s="1" t="s">
        <v>109</v>
      </c>
      <c r="H117" s="1" t="s">
        <v>108</v>
      </c>
    </row>
    <row r="118" spans="1:8" ht="35" thickBot="1" x14ac:dyDescent="0.25">
      <c r="A118" s="1">
        <v>86</v>
      </c>
      <c r="B118" s="1">
        <v>116.1</v>
      </c>
      <c r="C118" s="1">
        <v>34.200000000000003</v>
      </c>
      <c r="D118" s="1" t="s">
        <v>105</v>
      </c>
      <c r="E118" s="1" t="s">
        <v>104</v>
      </c>
      <c r="F118" s="1" t="s">
        <v>103</v>
      </c>
      <c r="G118" s="1" t="s">
        <v>102</v>
      </c>
      <c r="H118" s="1" t="s">
        <v>101</v>
      </c>
    </row>
    <row r="119" spans="1:8" ht="35" thickBot="1" x14ac:dyDescent="0.25">
      <c r="A119" s="1">
        <v>87</v>
      </c>
      <c r="B119" s="1">
        <v>109.6</v>
      </c>
      <c r="C119" s="1">
        <v>37.200000000000003</v>
      </c>
      <c r="D119" s="1" t="s">
        <v>99</v>
      </c>
      <c r="E119" s="1" t="s">
        <v>98</v>
      </c>
      <c r="F119" s="1" t="s">
        <v>97</v>
      </c>
      <c r="G119" s="1" t="s">
        <v>96</v>
      </c>
      <c r="H119" s="1" t="s">
        <v>95</v>
      </c>
    </row>
    <row r="120" spans="1:8" ht="35" thickBot="1" x14ac:dyDescent="0.25">
      <c r="A120" s="1">
        <v>88</v>
      </c>
      <c r="B120" s="1">
        <v>110.9</v>
      </c>
      <c r="C120" s="1">
        <v>35.700000000000003</v>
      </c>
      <c r="D120" s="1" t="s">
        <v>93</v>
      </c>
      <c r="E120" s="1" t="s">
        <v>92</v>
      </c>
      <c r="F120" s="1" t="s">
        <v>91</v>
      </c>
      <c r="G120" s="1" t="s">
        <v>90</v>
      </c>
      <c r="H120" s="1" t="s">
        <v>89</v>
      </c>
    </row>
    <row r="121" spans="1:8" ht="35" thickBot="1" x14ac:dyDescent="0.25">
      <c r="A121" s="1">
        <v>89</v>
      </c>
      <c r="B121" s="1">
        <v>111.5</v>
      </c>
      <c r="C121" s="1">
        <v>57.1</v>
      </c>
      <c r="D121" s="1" t="s">
        <v>87</v>
      </c>
      <c r="E121" s="1" t="s">
        <v>86</v>
      </c>
      <c r="F121" s="1" t="s">
        <v>85</v>
      </c>
      <c r="G121" s="1" t="s">
        <v>84</v>
      </c>
      <c r="H121" s="1" t="s">
        <v>25</v>
      </c>
    </row>
    <row r="122" spans="1:8" ht="35" thickBot="1" x14ac:dyDescent="0.25">
      <c r="A122" s="1">
        <v>90</v>
      </c>
      <c r="B122" s="1">
        <v>101.2</v>
      </c>
      <c r="C122" s="1">
        <v>16.2</v>
      </c>
      <c r="D122" s="1" t="s">
        <v>82</v>
      </c>
      <c r="E122" s="1" t="s">
        <v>81</v>
      </c>
      <c r="F122" s="1" t="s">
        <v>14</v>
      </c>
      <c r="G122" s="1" t="s">
        <v>80</v>
      </c>
      <c r="H122" s="1" t="s">
        <v>79</v>
      </c>
    </row>
    <row r="123" spans="1:8" ht="35" thickBot="1" x14ac:dyDescent="0.25">
      <c r="A123" s="1">
        <v>127</v>
      </c>
      <c r="B123" s="1">
        <v>106.5</v>
      </c>
      <c r="C123" s="1">
        <v>43.1</v>
      </c>
      <c r="D123" s="1" t="s">
        <v>77</v>
      </c>
      <c r="E123" s="1" t="s">
        <v>76</v>
      </c>
      <c r="F123" s="1" t="s">
        <v>75</v>
      </c>
      <c r="G123" s="1" t="s">
        <v>74</v>
      </c>
      <c r="H123" s="1" t="s">
        <v>73</v>
      </c>
    </row>
    <row r="124" spans="1:8" ht="35" thickBot="1" x14ac:dyDescent="0.25">
      <c r="A124" s="1">
        <v>91</v>
      </c>
      <c r="B124" s="1">
        <v>115.1</v>
      </c>
      <c r="C124" s="1">
        <v>43.3</v>
      </c>
      <c r="D124" s="1" t="s">
        <v>70</v>
      </c>
      <c r="E124" s="1" t="s">
        <v>69</v>
      </c>
      <c r="F124" s="1" t="s">
        <v>68</v>
      </c>
      <c r="G124" s="1" t="s">
        <v>67</v>
      </c>
      <c r="H124" s="1" t="s">
        <v>66</v>
      </c>
    </row>
    <row r="125" spans="1:8" ht="35" thickBot="1" x14ac:dyDescent="0.25">
      <c r="A125" s="1">
        <v>92</v>
      </c>
      <c r="B125" s="1">
        <v>105.6</v>
      </c>
      <c r="C125" s="1">
        <v>18.3</v>
      </c>
      <c r="D125" s="1" t="s">
        <v>64</v>
      </c>
      <c r="E125" s="1" t="s">
        <v>63</v>
      </c>
      <c r="F125" s="1" t="s">
        <v>62</v>
      </c>
      <c r="G125" s="1" t="s">
        <v>61</v>
      </c>
      <c r="H125" s="1" t="s">
        <v>60</v>
      </c>
    </row>
    <row r="126" spans="1:8" ht="18" thickBot="1" x14ac:dyDescent="0.25">
      <c r="A126" s="1">
        <v>93</v>
      </c>
      <c r="B126" s="1">
        <v>111.7</v>
      </c>
      <c r="C126" s="1">
        <v>28.1</v>
      </c>
      <c r="D126" s="1" t="s">
        <v>58</v>
      </c>
      <c r="E126" s="1" t="s">
        <v>57</v>
      </c>
      <c r="F126" s="1" t="s">
        <v>56</v>
      </c>
      <c r="G126" s="1" t="s">
        <v>55</v>
      </c>
      <c r="H126" s="1" t="s">
        <v>54</v>
      </c>
    </row>
    <row r="127" spans="1:8" ht="35" thickBot="1" x14ac:dyDescent="0.25">
      <c r="A127" s="1">
        <v>94</v>
      </c>
      <c r="B127" s="1">
        <v>106.4</v>
      </c>
      <c r="C127" s="1">
        <v>20.5</v>
      </c>
      <c r="D127" s="1" t="s">
        <v>52</v>
      </c>
      <c r="E127" s="1" t="s">
        <v>51</v>
      </c>
      <c r="F127" s="1" t="s">
        <v>50</v>
      </c>
      <c r="G127" s="1" t="s">
        <v>49</v>
      </c>
      <c r="H127" s="1" t="s">
        <v>48</v>
      </c>
    </row>
    <row r="128" spans="1:8" ht="35" thickBot="1" x14ac:dyDescent="0.25">
      <c r="A128" s="1">
        <v>95</v>
      </c>
      <c r="B128" s="1">
        <v>119.6</v>
      </c>
      <c r="C128" s="1">
        <v>42.9</v>
      </c>
      <c r="D128" s="1" t="s">
        <v>46</v>
      </c>
      <c r="E128" s="1" t="s">
        <v>45</v>
      </c>
      <c r="F128" s="1" t="s">
        <v>44</v>
      </c>
      <c r="G128" s="1" t="s">
        <v>43</v>
      </c>
      <c r="H128" s="1" t="s">
        <v>42</v>
      </c>
    </row>
    <row r="129" spans="1:8" ht="35" thickBot="1" x14ac:dyDescent="0.25">
      <c r="A129" s="1">
        <v>128</v>
      </c>
      <c r="B129" s="1">
        <v>119.6</v>
      </c>
      <c r="C129" s="1">
        <v>67.900000000000006</v>
      </c>
      <c r="D129" s="1" t="s">
        <v>40</v>
      </c>
      <c r="E129" s="1" t="s">
        <v>39</v>
      </c>
      <c r="F129" s="1" t="s">
        <v>38</v>
      </c>
      <c r="G129" s="1" t="s">
        <v>25</v>
      </c>
      <c r="H129" s="1" t="s">
        <v>37</v>
      </c>
    </row>
    <row r="130" spans="1:8" ht="18" thickBot="1" x14ac:dyDescent="0.25">
      <c r="A130" s="1">
        <v>96</v>
      </c>
      <c r="B130" s="1">
        <v>103.4</v>
      </c>
      <c r="C130" s="1">
        <v>14.9</v>
      </c>
      <c r="D130" s="1" t="s">
        <v>34</v>
      </c>
      <c r="E130" s="1" t="s">
        <v>33</v>
      </c>
      <c r="F130" s="1" t="s">
        <v>32</v>
      </c>
      <c r="G130" s="1" t="s">
        <v>31</v>
      </c>
      <c r="H130" s="1" t="s">
        <v>30</v>
      </c>
    </row>
    <row r="131" spans="1:8" ht="35" thickBot="1" x14ac:dyDescent="0.25">
      <c r="A131" s="1">
        <v>97</v>
      </c>
      <c r="B131" s="1">
        <v>104.5</v>
      </c>
      <c r="C131" s="1">
        <v>29</v>
      </c>
      <c r="D131" s="1" t="s">
        <v>28</v>
      </c>
      <c r="E131" s="1" t="s">
        <v>27</v>
      </c>
      <c r="F131" s="1" t="s">
        <v>26</v>
      </c>
      <c r="G131" s="1" t="s">
        <v>25</v>
      </c>
      <c r="H131" s="1" t="s">
        <v>24</v>
      </c>
    </row>
    <row r="132" spans="1:8" ht="35" thickBot="1" x14ac:dyDescent="0.25">
      <c r="A132" s="1">
        <v>98</v>
      </c>
      <c r="B132" s="1">
        <v>114.4</v>
      </c>
      <c r="C132" s="1">
        <v>36.799999999999997</v>
      </c>
      <c r="D132" s="1" t="s">
        <v>22</v>
      </c>
      <c r="E132" s="1" t="s">
        <v>21</v>
      </c>
      <c r="F132" s="1" t="s">
        <v>20</v>
      </c>
      <c r="G132" s="1" t="s">
        <v>19</v>
      </c>
      <c r="H132" s="1" t="s">
        <v>18</v>
      </c>
    </row>
    <row r="133" spans="1:8" ht="18" thickBot="1" x14ac:dyDescent="0.25">
      <c r="A133" s="1">
        <v>99</v>
      </c>
      <c r="B133" s="1">
        <v>112.2</v>
      </c>
      <c r="C133" s="1">
        <v>58.8</v>
      </c>
      <c r="D133" s="1" t="s">
        <v>16</v>
      </c>
      <c r="E133" s="1" t="s">
        <v>15</v>
      </c>
      <c r="F133" s="1" t="s">
        <v>14</v>
      </c>
      <c r="G133" s="1" t="s">
        <v>13</v>
      </c>
      <c r="H133" s="1" t="s">
        <v>12</v>
      </c>
    </row>
    <row r="134" spans="1:8" ht="35" thickBot="1" x14ac:dyDescent="0.25">
      <c r="A134" s="1">
        <v>100</v>
      </c>
      <c r="B134" s="1">
        <v>119.5</v>
      </c>
      <c r="C134" s="1">
        <v>44.1</v>
      </c>
      <c r="D134" s="1" t="s">
        <v>10</v>
      </c>
      <c r="E134" s="1" t="s">
        <v>9</v>
      </c>
      <c r="F134" s="1" t="s">
        <v>8</v>
      </c>
      <c r="G134" s="1" t="s">
        <v>7</v>
      </c>
      <c r="H134" s="1" t="s">
        <v>6</v>
      </c>
    </row>
    <row r="135" spans="1:8" ht="18" thickBot="1" x14ac:dyDescent="0.25">
      <c r="A135" s="1">
        <v>129</v>
      </c>
      <c r="B135" s="1">
        <v>117.5</v>
      </c>
      <c r="C135" s="1">
        <v>52.7</v>
      </c>
      <c r="D135" s="1" t="s">
        <v>4</v>
      </c>
      <c r="E135" s="1" t="s">
        <v>3</v>
      </c>
      <c r="F135" s="1" t="s">
        <v>2</v>
      </c>
      <c r="G135" s="1" t="s">
        <v>1</v>
      </c>
      <c r="H13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dataset_2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Naina Ahuja</dc:creator>
  <cp:lastModifiedBy>Naina Ahuja</cp:lastModifiedBy>
  <dcterms:created xsi:type="dcterms:W3CDTF">2020-03-02T05:14:10Z</dcterms:created>
  <dcterms:modified xsi:type="dcterms:W3CDTF">2020-03-20T04:30:15Z</dcterms:modified>
</cp:coreProperties>
</file>