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harts/chart1.xml" ContentType="application/vnd.openxmlformats-officedocument.drawingml.chart+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 yWindow="420" windowWidth="15375" windowHeight="1170" tabRatio="588" activeTab="1"/>
  </bookViews>
  <sheets>
    <sheet name="Help" sheetId="14" r:id="rId1"/>
    <sheet name="Baseline" sheetId="8" r:id="rId2"/>
    <sheet name="Liquids" sheetId="19" r:id="rId3"/>
    <sheet name="Solids+Liquids" sheetId="21" r:id="rId4"/>
    <sheet name="Solids+Liquids (CKD Extraction)" sheetId="23" r:id="rId5"/>
    <sheet name="Summary" sheetId="18" r:id="rId6"/>
    <sheet name="Guidelines" sheetId="4" r:id="rId7"/>
    <sheet name="NCB-SB-GAV" sheetId="20" state="hidden" r:id="rId8"/>
    <sheet name="Solver" sheetId="24" state="hidden" r:id="rId9"/>
  </sheets>
  <definedNames>
    <definedName name="ACTE" localSheetId="0">Help!$C$50</definedName>
    <definedName name="AHadj" localSheetId="1">Baseline!$C$79</definedName>
    <definedName name="AHadj" localSheetId="2">Liquids!$C$79</definedName>
    <definedName name="AHadj" localSheetId="3">'Solids+Liquids'!$C$79</definedName>
    <definedName name="AHadj" localSheetId="4">'Solids+Liquids (CKD Extraction)'!$C$79</definedName>
    <definedName name="AHaf" localSheetId="1">Baseline!$C$76</definedName>
    <definedName name="AHaf" localSheetId="2">Liquids!$C$76</definedName>
    <definedName name="AHaf" localSheetId="3">'Solids+Liquids'!$C$76</definedName>
    <definedName name="AHaf" localSheetId="4">'Solids+Liquids (CKD Extraction)'!$C$76</definedName>
    <definedName name="AHbp" localSheetId="1">Baseline!$C$77</definedName>
    <definedName name="AHbp" localSheetId="2">Liquids!$C$77</definedName>
    <definedName name="AHbp" localSheetId="3">'Solids+Liquids'!$C$77</definedName>
    <definedName name="AHbp" localSheetId="4">'Solids+Liquids (CKD Extraction)'!$C$77</definedName>
    <definedName name="AHfa" localSheetId="1">Baseline!$C$78</definedName>
    <definedName name="AHfa" localSheetId="2">Liquids!$C$78</definedName>
    <definedName name="AHfa" localSheetId="3">'Solids+Liquids'!$C$78</definedName>
    <definedName name="AHfa" localSheetId="4">'Solids+Liquids (CKD Extraction)'!$C$78</definedName>
    <definedName name="AHtf" localSheetId="1">Baseline!$C$75</definedName>
    <definedName name="AHtf" localSheetId="2">Liquids!$C$75</definedName>
    <definedName name="AHtf" localSheetId="3">'Solids+Liquids'!$C$75</definedName>
    <definedName name="AHtf" localSheetId="4">'Solids+Liquids (CKD Extraction)'!$C$75</definedName>
    <definedName name="ASHc" localSheetId="1">Baseline!$F$95</definedName>
    <definedName name="ASHc" localSheetId="2">Liquids!$F$95</definedName>
    <definedName name="ASHc" localSheetId="3">'Solids+Liquids'!$F$95</definedName>
    <definedName name="ASHc" localSheetId="4">'Solids+Liquids (CKD Extraction)'!$F$95</definedName>
    <definedName name="ASHt" localSheetId="1">Baseline!$G$95</definedName>
    <definedName name="ASHt" localSheetId="2">Liquids!$G$95</definedName>
    <definedName name="ASHt" localSheetId="3">'Solids+Liquids'!$G$95</definedName>
    <definedName name="ASHt" localSheetId="4">'Solids+Liquids (CKD Extraction)'!$G$95</definedName>
    <definedName name="ATECpG" localSheetId="1">Baseline!$L$71</definedName>
    <definedName name="ATECpG" localSheetId="2">Liquids!$L$71</definedName>
    <definedName name="ATECpG" localSheetId="3">'Solids+Liquids'!$L$71</definedName>
    <definedName name="ATECpG" localSheetId="4">'Solids+Liquids (CKD Extraction)'!$L$71</definedName>
    <definedName name="BZash" localSheetId="1">Baseline!$M$95</definedName>
    <definedName name="BZash" localSheetId="2">Liquids!$M$95</definedName>
    <definedName name="BZash" localSheetId="3">'Solids+Liquids'!$M$95</definedName>
    <definedName name="BZash" localSheetId="4">'Solids+Liquids (CKD Extraction)'!$M$95</definedName>
    <definedName name="BZh2o" localSheetId="1">Baseline!$L$95</definedName>
    <definedName name="BZh2o" localSheetId="2">Liquids!$L$95</definedName>
    <definedName name="BZh2o" localSheetId="3">'Solids+Liquids'!$L$95</definedName>
    <definedName name="BZh2o" localSheetId="4">'Solids+Liquids (CKD Extraction)'!$L$95</definedName>
    <definedName name="BZncv" localSheetId="1">Baseline!$N$95</definedName>
    <definedName name="BZncv" localSheetId="2">Liquids!$N$95</definedName>
    <definedName name="BZncv" localSheetId="3">'Solids+Liquids'!$N$95</definedName>
    <definedName name="BZncv" localSheetId="4">'Solids+Liquids (CKD Extraction)'!$N$95</definedName>
    <definedName name="CalcineType" localSheetId="0">Help!$D$160</definedName>
    <definedName name="CalenderDays">Help!$D$146</definedName>
    <definedName name="Cl" localSheetId="1">Baseline!$K$95</definedName>
    <definedName name="Cl" localSheetId="2">Liquids!$K$95</definedName>
    <definedName name="Cl" localSheetId="3">'Solids+Liquids'!$K$95</definedName>
    <definedName name="Cl" localSheetId="4">'Solids+Liquids (CKD Extraction)'!$K$95</definedName>
    <definedName name="CLI" localSheetId="1">Baseline!$K$11</definedName>
    <definedName name="CLI" localSheetId="2">Liquids!$K$11</definedName>
    <definedName name="CLI" localSheetId="3">'Solids+Liquids'!$K$11</definedName>
    <definedName name="CLI" localSheetId="4">'Solids+Liquids (CKD Extraction)'!$K$11</definedName>
    <definedName name="CLIasratio" localSheetId="1">Baseline!$I$95</definedName>
    <definedName name="CLIasratio" localSheetId="2">Liquids!$I$95</definedName>
    <definedName name="CLIasratio" localSheetId="3">'Solids+Liquids'!$I$95</definedName>
    <definedName name="CLIasratio" localSheetId="4">'Solids+Liquids (CKD Extraction)'!$I$95</definedName>
    <definedName name="CLIloss" localSheetId="2">Liquids!$Y$14</definedName>
    <definedName name="CLIloss" localSheetId="3">'Solids+Liquids'!$Y$14</definedName>
    <definedName name="CLIloss" localSheetId="4">'Solids+Liquids (CKD Extraction)'!$Y$14</definedName>
    <definedName name="CLIna2o" localSheetId="1">Baseline!$J$95</definedName>
    <definedName name="CLIna2o" localSheetId="2">Liquids!$J$95</definedName>
    <definedName name="CLIna2o" localSheetId="3">'Solids+Liquids'!$J$95</definedName>
    <definedName name="CLIna2o" localSheetId="4">'Solids+Liquids (CKD Extraction)'!$J$95</definedName>
    <definedName name="CLIso3" localSheetId="1">Baseline!$H$95</definedName>
    <definedName name="CLIso3" localSheetId="2">Liquids!$H$95</definedName>
    <definedName name="CLIso3" localSheetId="3">'Solids+Liquids'!$H$95</definedName>
    <definedName name="CLIso3" localSheetId="4">'Solids+Liquids (CKD Extraction)'!$H$95</definedName>
    <definedName name="ClRemoval">Help!$E$245</definedName>
    <definedName name="CO2C" localSheetId="1">Baseline!$AV$143</definedName>
    <definedName name="CO2C" localSheetId="2">Liquids!$AV$143</definedName>
    <definedName name="CO2C" localSheetId="3">'Solids+Liquids'!$AV$143</definedName>
    <definedName name="CO2C" localSheetId="4">'Solids+Liquids (CKD Extraction)'!$AV$143</definedName>
    <definedName name="CoHH" localSheetId="1">Baseline!$AV$152</definedName>
    <definedName name="CoHH" localSheetId="2">Liquids!$AV$152</definedName>
    <definedName name="CoHH" localSheetId="3">'Solids+Liquids'!$AV$152</definedName>
    <definedName name="CoHH" localSheetId="4">'Solids+Liquids (CKD Extraction)'!$AV$152</definedName>
    <definedName name="CostStructureFuels" localSheetId="0">Help!#REF!</definedName>
    <definedName name="False_air_impact" localSheetId="0">Help!$E$255</definedName>
    <definedName name="FiringLocation" localSheetId="0">Help!$D$208</definedName>
    <definedName name="FuelCategory" localSheetId="0">Help!$D$215</definedName>
    <definedName name="GAV" localSheetId="0">Help!$C$67</definedName>
    <definedName name="GuideValue_PQ" localSheetId="6">Guidelines!$A$239</definedName>
    <definedName name="HotMealExtraction">Help!$F$248</definedName>
    <definedName name="IntCur" localSheetId="1">Baseline!$D$12</definedName>
    <definedName name="IntCur" localSheetId="2">Liquids!$D$12</definedName>
    <definedName name="IntCur" localSheetId="3">'Solids+Liquids'!$D$12</definedName>
    <definedName name="IntCur" localSheetId="4">'Solids+Liquids (CKD Extraction)'!$D$12</definedName>
    <definedName name="Kiln_System_ID" localSheetId="1">Baseline!$AF$151</definedName>
    <definedName name="Kiln_System_ID" localSheetId="2">Liquids!$AF$151</definedName>
    <definedName name="Kiln_System_ID" localSheetId="3">'Solids+Liquids'!$AF$151</definedName>
    <definedName name="Kiln_System_ID" localSheetId="4">'Solids+Liquids (CKD Extraction)'!$AF$151</definedName>
    <definedName name="KilnGasBypass">Help!$F$251</definedName>
    <definedName name="KilnSystem" localSheetId="0">Help!$D$153</definedName>
    <definedName name="LocCur" localSheetId="1">Baseline!$D$11</definedName>
    <definedName name="LocCur" localSheetId="2">Liquids!$D$11</definedName>
    <definedName name="LocCur" localSheetId="3">'Solids+Liquids'!$D$11</definedName>
    <definedName name="LocCur" localSheetId="4">'Solids+Liquids (CKD Extraction)'!$D$11</definedName>
    <definedName name="LumpsSF" localSheetId="1">Baseline!$E$95</definedName>
    <definedName name="LumpsSF" localSheetId="2">Liquids!$E$95</definedName>
    <definedName name="LumpsSF" localSheetId="3">'Solids+Liquids'!$E$95</definedName>
    <definedName name="LumpsSF" localSheetId="4">'Solids+Liquids (CKD Extraction)'!$E$95</definedName>
    <definedName name="NCB" localSheetId="1">Baseline!$AV$141</definedName>
    <definedName name="NCB" localSheetId="2">Liquids!$AV$141</definedName>
    <definedName name="NCB" localSheetId="3">'Solids+Liquids'!$AV$141</definedName>
    <definedName name="NCB" localSheetId="4">'Solids+Liquids (CKD Extraction)'!$AV$141</definedName>
    <definedName name="NCV" localSheetId="6">Guidelines!$A$203</definedName>
    <definedName name="NumberOfDays">Help!$D$146</definedName>
    <definedName name="Operational_GAV" localSheetId="0">Help!$C$92</definedName>
    <definedName name="Oxygen_correction" localSheetId="0">Help!$E$259</definedName>
    <definedName name="_xlnm.Print_Area" localSheetId="1">Baseline!$A$1:$Y$99</definedName>
    <definedName name="_xlnm.Print_Area" localSheetId="6">Guidelines!$A$2:$Q$272</definedName>
    <definedName name="_xlnm.Print_Area" localSheetId="0">Help!$B$2:$O$344</definedName>
    <definedName name="_xlnm.Print_Area" localSheetId="2">Liquids!$A$1:$Y$99</definedName>
    <definedName name="_xlnm.Print_Area" localSheetId="3">'Solids+Liquids'!$A$1:$Y$99</definedName>
    <definedName name="_xlnm.Print_Area" localSheetId="4">'Solids+Liquids (CKD Extraction)'!$A$1:$Y$99</definedName>
    <definedName name="_xlnm.Print_Area" localSheetId="5">Summary!$A$1:$G$54</definedName>
    <definedName name="ProcessQuality_Constraints" localSheetId="0">Help!$D$267</definedName>
    <definedName name="REF" localSheetId="1">Baseline!$D$10</definedName>
    <definedName name="REF" localSheetId="2">Liquids!$D$10</definedName>
    <definedName name="REF" localSheetId="3">'Solids+Liquids'!$D$10</definedName>
    <definedName name="REF" localSheetId="4">'Solids+Liquids (CKD Extraction)'!$D$10</definedName>
    <definedName name="ReportedData" localSheetId="0">Help!$E$241</definedName>
    <definedName name="SACTE">Help!$K$58</definedName>
    <definedName name="SB" localSheetId="1">Baseline!$AV$142</definedName>
    <definedName name="SB" localSheetId="2">Liquids!$AV$142</definedName>
    <definedName name="SB" localSheetId="3">'Solids+Liquids'!$AV$142</definedName>
    <definedName name="SB" localSheetId="4">'Solids+Liquids (CKD Extraction)'!$AV$142</definedName>
    <definedName name="SimName" localSheetId="2">Liquids!$D$1</definedName>
    <definedName name="SimName" localSheetId="3">'Solids+Liquids'!$D$1</definedName>
    <definedName name="SimName" localSheetId="4">'Solids+Liquids (CKD Extraction)'!$D$1</definedName>
    <definedName name="SolidPasty5" localSheetId="1">Baseline!$C$95</definedName>
    <definedName name="SolidPasty5" localSheetId="2">Liquids!$C$95</definedName>
    <definedName name="SolidPasty5" localSheetId="3">'Solids+Liquids'!$C$95</definedName>
    <definedName name="SolidPasty5" localSheetId="4">'Solids+Liquids (CKD Extraction)'!$C$95</definedName>
    <definedName name="SolidPasty50" localSheetId="1">Baseline!$D$95</definedName>
    <definedName name="SolidPasty50" localSheetId="2">Liquids!$D$95</definedName>
    <definedName name="SolidPasty50" localSheetId="3">'Solids+Liquids'!$D$95</definedName>
    <definedName name="SolidPasty50" localSheetId="4">'Solids+Liquids (CKD Extraction)'!$D$95</definedName>
    <definedName name="solver_adj" localSheetId="2" hidden="1">Liquids!$E$21:$E$26</definedName>
    <definedName name="solver_adj" localSheetId="3" hidden="1">'Solids+Liquids'!$E$21:$E$31</definedName>
    <definedName name="solver_adj" localSheetId="4" hidden="1">'Solids+Liquids (CKD Extraction)'!$E$21:$E$31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eng" localSheetId="1" hidden="1">1</definedName>
    <definedName name="solver_eng" localSheetId="2" hidden="1">1</definedName>
    <definedName name="solver_eng" localSheetId="3" hidden="1">1</definedName>
    <definedName name="solver_eng" localSheetId="4"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1" hidden="1">Baseline!$AD$19</definedName>
    <definedName name="solver_lhs1" localSheetId="2" hidden="1">Liquids!$C$82</definedName>
    <definedName name="solver_lhs1" localSheetId="3" hidden="1">'Solids+Liquids'!$C$82</definedName>
    <definedName name="solver_lhs1" localSheetId="4" hidden="1">'Solids+Liquids (CKD Extraction)'!$C$82</definedName>
    <definedName name="solver_lhs10" localSheetId="1" hidden="1">Baseline!$M$75</definedName>
    <definedName name="solver_lhs10" localSheetId="2" hidden="1">Liquids!$M$76</definedName>
    <definedName name="solver_lhs10" localSheetId="3" hidden="1">'Solids+Liquids'!$M$76</definedName>
    <definedName name="solver_lhs10" localSheetId="4" hidden="1">'Solids+Liquids (CKD Extraction)'!$M$76</definedName>
    <definedName name="solver_lhs11" localSheetId="1" hidden="1">Baseline!$M$75</definedName>
    <definedName name="solver_lhs11" localSheetId="2" hidden="1">Liquids!$M$77</definedName>
    <definedName name="solver_lhs11" localSheetId="3" hidden="1">'Solids+Liquids'!$M$77</definedName>
    <definedName name="solver_lhs11" localSheetId="4" hidden="1">'Solids+Liquids (CKD Extraction)'!$M$77</definedName>
    <definedName name="solver_lhs12" localSheetId="1" hidden="1">Baseline!$M$75</definedName>
    <definedName name="solver_lhs12" localSheetId="2" hidden="1">Liquids!$K$95</definedName>
    <definedName name="solver_lhs12" localSheetId="3" hidden="1">'Solids+Liquids'!$K$95</definedName>
    <definedName name="solver_lhs12" localSheetId="4" hidden="1">'Solids+Liquids (CKD Extraction)'!$K$95</definedName>
    <definedName name="solver_lhs13" localSheetId="1" hidden="1">Baseline!$M$75</definedName>
    <definedName name="solver_lhs13" localSheetId="2" hidden="1">Liquids!$E$39</definedName>
    <definedName name="solver_lhs13" localSheetId="3" hidden="1">'Solids+Liquids'!$E$39</definedName>
    <definedName name="solver_lhs13" localSheetId="4" hidden="1">'Solids+Liquids (CKD Extraction)'!$E$39</definedName>
    <definedName name="solver_lhs14" localSheetId="1" hidden="1">Baseline!#REF!</definedName>
    <definedName name="solver_lhs14" localSheetId="2" hidden="1">Liquids!$E$39</definedName>
    <definedName name="solver_lhs14" localSheetId="3" hidden="1">'Solids+Liquids'!$E$39</definedName>
    <definedName name="solver_lhs14" localSheetId="4" hidden="1">'Solids+Liquids (CKD Extraction)'!$E$39</definedName>
    <definedName name="solver_lhs15" localSheetId="1" hidden="1">Baseline!#REF!</definedName>
    <definedName name="solver_lhs15" localSheetId="2" hidden="1">Liquids!$E$39</definedName>
    <definedName name="solver_lhs15" localSheetId="3" hidden="1">'Solids+Liquids'!$E$39</definedName>
    <definedName name="solver_lhs15" localSheetId="4" hidden="1">'Solids+Liquids (CKD Extraction)'!$E$39</definedName>
    <definedName name="solver_lhs16" localSheetId="1" hidden="1">Baseline!#REF!</definedName>
    <definedName name="solver_lhs16" localSheetId="2" hidden="1">Liquids!$E$39</definedName>
    <definedName name="solver_lhs16" localSheetId="3" hidden="1">'Solids+Liquids'!$E$39</definedName>
    <definedName name="solver_lhs16" localSheetId="4" hidden="1">'Solids+Liquids (CKD Extraction)'!$E$39</definedName>
    <definedName name="solver_lhs17" localSheetId="1" hidden="1">Baseline!#REF!</definedName>
    <definedName name="solver_lhs17" localSheetId="2" hidden="1">Liquids!$E$39</definedName>
    <definedName name="solver_lhs17" localSheetId="3" hidden="1">'Solids+Liquids'!$E$39</definedName>
    <definedName name="solver_lhs17" localSheetId="4" hidden="1">'Solids+Liquids (CKD Extraction)'!$E$39</definedName>
    <definedName name="solver_lhs18" localSheetId="1" hidden="1">Baseline!#REF!</definedName>
    <definedName name="solver_lhs18" localSheetId="2" hidden="1">Liquids!$E$39</definedName>
    <definedName name="solver_lhs18" localSheetId="3" hidden="1">'Solids+Liquids'!$E$39</definedName>
    <definedName name="solver_lhs18" localSheetId="4" hidden="1">'Solids+Liquids (CKD Extraction)'!$E$39</definedName>
    <definedName name="solver_lhs19" localSheetId="1" hidden="1">Baseline!#REF!</definedName>
    <definedName name="solver_lhs19" localSheetId="2" hidden="1">Liquids!$E$39</definedName>
    <definedName name="solver_lhs19" localSheetId="3" hidden="1">'Solids+Liquids'!$E$39</definedName>
    <definedName name="solver_lhs19" localSheetId="4" hidden="1">'Solids+Liquids (CKD Extraction)'!$E$39</definedName>
    <definedName name="solver_lhs2" localSheetId="1" hidden="1">Baseline!$D$25</definedName>
    <definedName name="solver_lhs2" localSheetId="2" hidden="1">Liquids!$E$21</definedName>
    <definedName name="solver_lhs2" localSheetId="3" hidden="1">'Solids+Liquids'!$E$21</definedName>
    <definedName name="solver_lhs2" localSheetId="4" hidden="1">'Solids+Liquids (CKD Extraction)'!$E$21</definedName>
    <definedName name="solver_lhs3" localSheetId="1" hidden="1">Baseline!$D$30</definedName>
    <definedName name="solver_lhs3" localSheetId="2" hidden="1">Liquids!$E$21:$E$26</definedName>
    <definedName name="solver_lhs3" localSheetId="3" hidden="1">'Solids+Liquids'!$E$21:$E$31</definedName>
    <definedName name="solver_lhs3" localSheetId="4" hidden="1">'Solids+Liquids (CKD Extraction)'!$E$21:$E$31</definedName>
    <definedName name="solver_lhs4" localSheetId="1" hidden="1">Baseline!$E$21:$E$30</definedName>
    <definedName name="solver_lhs4" localSheetId="2" hidden="1">Liquids!$E$21:$E$26</definedName>
    <definedName name="solver_lhs4" localSheetId="3" hidden="1">'Solids+Liquids'!$E$21:$E$31</definedName>
    <definedName name="solver_lhs4" localSheetId="4" hidden="1">'Solids+Liquids (CKD Extraction)'!$E$21:$E$31</definedName>
    <definedName name="solver_lhs5" localSheetId="1" hidden="1">Baseline!$E$21:$E$30</definedName>
    <definedName name="solver_lhs5" localSheetId="2" hidden="1">Liquids!$M$75</definedName>
    <definedName name="solver_lhs5" localSheetId="3" hidden="1">'Solids+Liquids'!$M$75</definedName>
    <definedName name="solver_lhs5" localSheetId="4" hidden="1">'Solids+Liquids (CKD Extraction)'!$M$75</definedName>
    <definedName name="solver_lhs6" localSheetId="1" hidden="1">Baseline!$M$75</definedName>
    <definedName name="solver_lhs6" localSheetId="2" hidden="1">Liquids!$C$82</definedName>
    <definedName name="solver_lhs6" localSheetId="3" hidden="1">'Solids+Liquids'!$K$95</definedName>
    <definedName name="solver_lhs6" localSheetId="4" hidden="1">'Solids+Liquids (CKD Extraction)'!$K$95</definedName>
    <definedName name="solver_lhs7" localSheetId="1" hidden="1">Baseline!$M$75</definedName>
    <definedName name="solver_lhs7" localSheetId="2" hidden="1">Liquids!$E$21:$E$65</definedName>
    <definedName name="solver_lhs7" localSheetId="3" hidden="1">'Solids+Liquids'!$E$95</definedName>
    <definedName name="solver_lhs7" localSheetId="4" hidden="1">'Solids+Liquids (CKD Extraction)'!$E$95</definedName>
    <definedName name="solver_lhs8" localSheetId="1" hidden="1">Baseline!$M$75</definedName>
    <definedName name="solver_lhs8" localSheetId="2" hidden="1">Liquids!$E$21:$E$65</definedName>
    <definedName name="solver_lhs8" localSheetId="3" hidden="1">'Solids+Liquids'!$E$21:$E$65</definedName>
    <definedName name="solver_lhs8" localSheetId="4" hidden="1">'Solids+Liquids (CKD Extraction)'!$E$21:$E$65</definedName>
    <definedName name="solver_lhs9" localSheetId="1" hidden="1">Baseline!$M$75</definedName>
    <definedName name="solver_lhs9" localSheetId="2" hidden="1">Liquids!$E$36</definedName>
    <definedName name="solver_lhs9" localSheetId="3" hidden="1">'Solids+Liquids'!$E$36</definedName>
    <definedName name="solver_lhs9" localSheetId="4" hidden="1">'Solids+Liquids (CKD Extraction)'!$E$36</definedName>
    <definedName name="solver_lin" localSheetId="1" hidden="1">2</definedName>
    <definedName name="solver_lin" localSheetId="2" hidden="1">2</definedName>
    <definedName name="solver_lin" localSheetId="3" hidden="1">2</definedName>
    <definedName name="solver_lin" localSheetId="4" hidden="1">2</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1" hidden="1">0</definedName>
    <definedName name="solver_num" localSheetId="2" hidden="1">5</definedName>
    <definedName name="solver_num" localSheetId="3" hidden="1">7</definedName>
    <definedName name="solver_num" localSheetId="4" hidden="1">7</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2" hidden="1">Liquids!$X$74</definedName>
    <definedName name="solver_opt" localSheetId="3" hidden="1">'Solids+Liquids'!$X$74</definedName>
    <definedName name="solver_opt" localSheetId="4" hidden="1">'Solids+Liquids (CKD Extraction)'!$X$74</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el1" localSheetId="1" hidden="1">2</definedName>
    <definedName name="solver_rel1" localSheetId="2" hidden="1">2</definedName>
    <definedName name="solver_rel1" localSheetId="3" hidden="1">2</definedName>
    <definedName name="solver_rel1" localSheetId="4" hidden="1">2</definedName>
    <definedName name="solver_rel10" localSheetId="1" hidden="1">2</definedName>
    <definedName name="solver_rel10" localSheetId="2" hidden="1">2</definedName>
    <definedName name="solver_rel10" localSheetId="3" hidden="1">2</definedName>
    <definedName name="solver_rel10" localSheetId="4" hidden="1">2</definedName>
    <definedName name="solver_rel11" localSheetId="1" hidden="1">2</definedName>
    <definedName name="solver_rel11" localSheetId="2" hidden="1">2</definedName>
    <definedName name="solver_rel11" localSheetId="3" hidden="1">2</definedName>
    <definedName name="solver_rel11" localSheetId="4" hidden="1">2</definedName>
    <definedName name="solver_rel12" localSheetId="1" hidden="1">2</definedName>
    <definedName name="solver_rel12" localSheetId="2" hidden="1">1</definedName>
    <definedName name="solver_rel12" localSheetId="3" hidden="1">1</definedName>
    <definedName name="solver_rel12" localSheetId="4" hidden="1">1</definedName>
    <definedName name="solver_rel13" localSheetId="1" hidden="1">2</definedName>
    <definedName name="solver_rel13" localSheetId="2" hidden="1">1</definedName>
    <definedName name="solver_rel13" localSheetId="3" hidden="1">1</definedName>
    <definedName name="solver_rel13" localSheetId="4" hidden="1">1</definedName>
    <definedName name="solver_rel14" localSheetId="1" hidden="1">1</definedName>
    <definedName name="solver_rel14" localSheetId="2" hidden="1">1</definedName>
    <definedName name="solver_rel14" localSheetId="3" hidden="1">1</definedName>
    <definedName name="solver_rel14" localSheetId="4" hidden="1">1</definedName>
    <definedName name="solver_rel15" localSheetId="1" hidden="1">1</definedName>
    <definedName name="solver_rel15" localSheetId="2" hidden="1">1</definedName>
    <definedName name="solver_rel15" localSheetId="3" hidden="1">1</definedName>
    <definedName name="solver_rel15" localSheetId="4" hidden="1">1</definedName>
    <definedName name="solver_rel16" localSheetId="1" hidden="1">1</definedName>
    <definedName name="solver_rel16" localSheetId="2" hidden="1">1</definedName>
    <definedName name="solver_rel16" localSheetId="3" hidden="1">1</definedName>
    <definedName name="solver_rel16" localSheetId="4" hidden="1">1</definedName>
    <definedName name="solver_rel17" localSheetId="1" hidden="1">2</definedName>
    <definedName name="solver_rel17" localSheetId="2" hidden="1">1</definedName>
    <definedName name="solver_rel17" localSheetId="3" hidden="1">1</definedName>
    <definedName name="solver_rel17" localSheetId="4" hidden="1">1</definedName>
    <definedName name="solver_rel18" localSheetId="1" hidden="1">2</definedName>
    <definedName name="solver_rel18" localSheetId="2" hidden="1">1</definedName>
    <definedName name="solver_rel18" localSheetId="3" hidden="1">1</definedName>
    <definedName name="solver_rel18" localSheetId="4" hidden="1">1</definedName>
    <definedName name="solver_rel19" localSheetId="1" hidden="1">2</definedName>
    <definedName name="solver_rel19" localSheetId="2" hidden="1">1</definedName>
    <definedName name="solver_rel19" localSheetId="3" hidden="1">1</definedName>
    <definedName name="solver_rel19" localSheetId="4" hidden="1">1</definedName>
    <definedName name="solver_rel2" localSheetId="1" hidden="1">2</definedName>
    <definedName name="solver_rel2" localSheetId="2" hidden="1">2</definedName>
    <definedName name="solver_rel2" localSheetId="3" hidden="1">2</definedName>
    <definedName name="solver_rel2" localSheetId="4" hidden="1">2</definedName>
    <definedName name="solver_rel3" localSheetId="1" hidden="1">2</definedName>
    <definedName name="solver_rel3" localSheetId="2" hidden="1">1</definedName>
    <definedName name="solver_rel3" localSheetId="3" hidden="1">1</definedName>
    <definedName name="solver_rel3" localSheetId="4" hidden="1">1</definedName>
    <definedName name="solver_rel4" localSheetId="1" hidden="1">1</definedName>
    <definedName name="solver_rel4" localSheetId="2" hidden="1">3</definedName>
    <definedName name="solver_rel4" localSheetId="3" hidden="1">3</definedName>
    <definedName name="solver_rel4" localSheetId="4" hidden="1">3</definedName>
    <definedName name="solver_rel5" localSheetId="1" hidden="1">3</definedName>
    <definedName name="solver_rel5" localSheetId="2" hidden="1">2</definedName>
    <definedName name="solver_rel5" localSheetId="3" hidden="1">2</definedName>
    <definedName name="solver_rel5" localSheetId="4" hidden="1">2</definedName>
    <definedName name="solver_rel6" localSheetId="1" hidden="1">2</definedName>
    <definedName name="solver_rel6" localSheetId="2" hidden="1">2</definedName>
    <definedName name="solver_rel6" localSheetId="3" hidden="1">1</definedName>
    <definedName name="solver_rel6" localSheetId="4" hidden="1">1</definedName>
    <definedName name="solver_rel7" localSheetId="1" hidden="1">2</definedName>
    <definedName name="solver_rel7" localSheetId="2" hidden="1">1</definedName>
    <definedName name="solver_rel7" localSheetId="3" hidden="1">1</definedName>
    <definedName name="solver_rel7" localSheetId="4" hidden="1">1</definedName>
    <definedName name="solver_rel8" localSheetId="1" hidden="1">2</definedName>
    <definedName name="solver_rel8" localSheetId="2" hidden="1">3</definedName>
    <definedName name="solver_rel8" localSheetId="3" hidden="1">3</definedName>
    <definedName name="solver_rel8" localSheetId="4" hidden="1">3</definedName>
    <definedName name="solver_rel9" localSheetId="1" hidden="1">2</definedName>
    <definedName name="solver_rel9" localSheetId="2" hidden="1">2</definedName>
    <definedName name="solver_rel9" localSheetId="3" hidden="1">2</definedName>
    <definedName name="solver_rel9" localSheetId="4" hidden="1">2</definedName>
    <definedName name="solver_rhs1" localSheetId="1" hidden="1">Baseline!$AD$20</definedName>
    <definedName name="solver_rhs1" localSheetId="2" hidden="1">0</definedName>
    <definedName name="solver_rhs1" localSheetId="3" hidden="1">0</definedName>
    <definedName name="solver_rhs1" localSheetId="4" hidden="1">0</definedName>
    <definedName name="solver_rhs10" localSheetId="1" hidden="1">40</definedName>
    <definedName name="solver_rhs10" localSheetId="2" hidden="1">36</definedName>
    <definedName name="solver_rhs10" localSheetId="3" hidden="1">36</definedName>
    <definedName name="solver_rhs10" localSheetId="4" hidden="1">36</definedName>
    <definedName name="solver_rhs11" localSheetId="1" hidden="1">40</definedName>
    <definedName name="solver_rhs11" localSheetId="2" hidden="1">22</definedName>
    <definedName name="solver_rhs11" localSheetId="3" hidden="1">22</definedName>
    <definedName name="solver_rhs11" localSheetId="4" hidden="1">22</definedName>
    <definedName name="solver_rhs12" localSheetId="1" hidden="1">40</definedName>
    <definedName name="solver_rhs12" localSheetId="2" hidden="1">Liquids!$K$97</definedName>
    <definedName name="solver_rhs12" localSheetId="3" hidden="1">'Solids+Liquids'!$K$97</definedName>
    <definedName name="solver_rhs12" localSheetId="4" hidden="1">'Solids+Liquids (CKD Extraction)'!$K$97</definedName>
    <definedName name="solver_rhs13" localSheetId="1" hidden="1">40</definedName>
    <definedName name="solver_rhs13" localSheetId="2" hidden="1">Liquids!$D$39</definedName>
    <definedName name="solver_rhs13" localSheetId="3" hidden="1">'Solids+Liquids'!$D$39</definedName>
    <definedName name="solver_rhs13" localSheetId="4" hidden="1">'Solids+Liquids (CKD Extraction)'!$D$39</definedName>
    <definedName name="solver_rhs14" localSheetId="1" hidden="1">Baseline!#REF!</definedName>
    <definedName name="solver_rhs14" localSheetId="2" hidden="1">Liquids!$D$39</definedName>
    <definedName name="solver_rhs14" localSheetId="3" hidden="1">'Solids+Liquids'!$D$39</definedName>
    <definedName name="solver_rhs14" localSheetId="4" hidden="1">'Solids+Liquids (CKD Extraction)'!$D$39</definedName>
    <definedName name="solver_rhs15" localSheetId="1" hidden="1">Baseline!#REF!</definedName>
    <definedName name="solver_rhs15" localSheetId="2" hidden="1">Liquids!$D$39</definedName>
    <definedName name="solver_rhs15" localSheetId="3" hidden="1">'Solids+Liquids'!$D$39</definedName>
    <definedName name="solver_rhs15" localSheetId="4" hidden="1">'Solids+Liquids (CKD Extraction)'!$D$39</definedName>
    <definedName name="solver_rhs16" localSheetId="1" hidden="1">Baseline!#REF!</definedName>
    <definedName name="solver_rhs16" localSheetId="2" hidden="1">Liquids!$D$39</definedName>
    <definedName name="solver_rhs16" localSheetId="3" hidden="1">'Solids+Liquids'!$D$39</definedName>
    <definedName name="solver_rhs16" localSheetId="4" hidden="1">'Solids+Liquids (CKD Extraction)'!$D$39</definedName>
    <definedName name="solver_rhs17" localSheetId="1" hidden="1">0</definedName>
    <definedName name="solver_rhs17" localSheetId="2" hidden="1">Liquids!$D$39</definedName>
    <definedName name="solver_rhs17" localSheetId="3" hidden="1">'Solids+Liquids'!$D$39</definedName>
    <definedName name="solver_rhs17" localSheetId="4" hidden="1">'Solids+Liquids (CKD Extraction)'!$D$39</definedName>
    <definedName name="solver_rhs18" localSheetId="1" hidden="1">0</definedName>
    <definedName name="solver_rhs18" localSheetId="2" hidden="1">Liquids!$D$39</definedName>
    <definedName name="solver_rhs18" localSheetId="3" hidden="1">'Solids+Liquids'!$D$39</definedName>
    <definedName name="solver_rhs18" localSheetId="4" hidden="1">'Solids+Liquids (CKD Extraction)'!$D$39</definedName>
    <definedName name="solver_rhs19" localSheetId="1" hidden="1">0</definedName>
    <definedName name="solver_rhs19" localSheetId="2" hidden="1">Liquids!$D$39</definedName>
    <definedName name="solver_rhs19" localSheetId="3" hidden="1">'Solids+Liquids'!$D$39</definedName>
    <definedName name="solver_rhs19" localSheetId="4" hidden="1">'Solids+Liquids (CKD Extraction)'!$D$39</definedName>
    <definedName name="solver_rhs2" localSheetId="1" hidden="1">Baseline!$E$25</definedName>
    <definedName name="solver_rhs2" localSheetId="2" hidden="1">Liquids!$D$21</definedName>
    <definedName name="solver_rhs2" localSheetId="3" hidden="1">'Solids+Liquids'!$D$21</definedName>
    <definedName name="solver_rhs2" localSheetId="4" hidden="1">'Solids+Liquids (CKD Extraction)'!$D$21</definedName>
    <definedName name="solver_rhs3" localSheetId="1" hidden="1">Baseline!$E$30</definedName>
    <definedName name="solver_rhs3" localSheetId="2" hidden="1">Liquids!$D$21:$D$26</definedName>
    <definedName name="solver_rhs3" localSheetId="3" hidden="1">'Solids+Liquids'!$D$21:$D$31</definedName>
    <definedName name="solver_rhs3" localSheetId="4" hidden="1">'Solids+Liquids (CKD Extraction)'!$D$21:$D$31</definedName>
    <definedName name="solver_rhs4" localSheetId="1" hidden="1">Baseline!$D$21:$D$30</definedName>
    <definedName name="solver_rhs4" localSheetId="2" hidden="1">0</definedName>
    <definedName name="solver_rhs4" localSheetId="3" hidden="1">0</definedName>
    <definedName name="solver_rhs4" localSheetId="4" hidden="1">0</definedName>
    <definedName name="solver_rhs5" localSheetId="1" hidden="1">0</definedName>
    <definedName name="solver_rhs5" localSheetId="2" hidden="1">40</definedName>
    <definedName name="solver_rhs5" localSheetId="3" hidden="1">40</definedName>
    <definedName name="solver_rhs5" localSheetId="4" hidden="1">40</definedName>
    <definedName name="solver_rhs6" localSheetId="1" hidden="1">35.3</definedName>
    <definedName name="solver_rhs6" localSheetId="2" hidden="1">0</definedName>
    <definedName name="solver_rhs6" localSheetId="3" hidden="1">'Solids+Liquids'!$K$97</definedName>
    <definedName name="solver_rhs6" localSheetId="4" hidden="1">'Solids+Liquids (CKD Extraction)'!$K$97</definedName>
    <definedName name="solver_rhs7" localSheetId="1" hidden="1">40</definedName>
    <definedName name="solver_rhs7" localSheetId="2" hidden="1">Liquids!$D$21:$D$65</definedName>
    <definedName name="solver_rhs7" localSheetId="3" hidden="1">'Solids+Liquids'!$E$97</definedName>
    <definedName name="solver_rhs7" localSheetId="4" hidden="1">'Solids+Liquids (CKD Extraction)'!$E$97</definedName>
    <definedName name="solver_rhs8" localSheetId="1" hidden="1">40</definedName>
    <definedName name="solver_rhs8" localSheetId="2" hidden="1">0</definedName>
    <definedName name="solver_rhs8" localSheetId="3" hidden="1">0</definedName>
    <definedName name="solver_rhs8" localSheetId="4" hidden="1">0</definedName>
    <definedName name="solver_rhs9" localSheetId="1" hidden="1">40</definedName>
    <definedName name="solver_rhs9" localSheetId="2" hidden="1">Liquids!$D$36</definedName>
    <definedName name="solver_rhs9" localSheetId="3" hidden="1">'Solids+Liquids'!$D$36</definedName>
    <definedName name="solver_rhs9" localSheetId="4" hidden="1">'Solids+Liquids (CKD Extraction)'!$D$36</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1" hidden="1">1</definedName>
    <definedName name="solver_typ" localSheetId="2" hidden="1">2</definedName>
    <definedName name="solver_typ" localSheetId="3" hidden="1">2</definedName>
    <definedName name="solver_typ" localSheetId="4" hidden="1">2</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1" hidden="1">3</definedName>
    <definedName name="solver_ver" localSheetId="2" hidden="1">3</definedName>
    <definedName name="solver_ver" localSheetId="3" hidden="1">3</definedName>
    <definedName name="solver_ver" localSheetId="4" hidden="1">3</definedName>
    <definedName name="SPC" localSheetId="1">Baseline!$X$80</definedName>
    <definedName name="SPC" localSheetId="0">Help!$D$315</definedName>
    <definedName name="SPC" localSheetId="2">Liquids!$X$80</definedName>
    <definedName name="SPC" localSheetId="3">'Solids+Liquids'!$X$80</definedName>
    <definedName name="SPC" localSheetId="4">'Solids+Liquids (CKD Extraction)'!$X$80</definedName>
    <definedName name="StandardFuel" localSheetId="6">Guidelines!$A$119</definedName>
    <definedName name="STEC" localSheetId="1">Baseline!$C$81</definedName>
    <definedName name="STEC" localSheetId="2">Liquids!$C$81</definedName>
    <definedName name="STEC" localSheetId="3">'Solids+Liquids'!$C$81</definedName>
    <definedName name="STEC" localSheetId="4">'Solids+Liquids (CKD Extraction)'!$C$81</definedName>
    <definedName name="STECsf" localSheetId="1">Baseline!$C$74</definedName>
    <definedName name="STECsf" localSheetId="2">Liquids!$C$74</definedName>
    <definedName name="STECsf" localSheetId="3">'Solids+Liquids'!$C$74</definedName>
    <definedName name="STECsf" localSheetId="4">'Solids+Liquids (CKD Extraction)'!$C$74</definedName>
    <definedName name="TECpG" localSheetId="1">Baseline!$X$75</definedName>
    <definedName name="TECpG" localSheetId="2">Liquids!$X$75</definedName>
    <definedName name="TECpG" localSheetId="3">'Solids+Liquids'!$X$75</definedName>
    <definedName name="TECpG" localSheetId="4">'Solids+Liquids (CKD Extraction)'!$X$75</definedName>
    <definedName name="TECpT" localSheetId="1">Baseline!$X$74</definedName>
    <definedName name="TECpT" localSheetId="2">Liquids!$X$74</definedName>
    <definedName name="TECpT" localSheetId="3">'Solids+Liquids'!$X$74</definedName>
    <definedName name="TECpT" localSheetId="4">'Solids+Liquids (CKD Extraction)'!$X$74</definedName>
    <definedName name="TECpY" localSheetId="1">Baseline!$X$76</definedName>
    <definedName name="TECpY" localSheetId="2">Liquids!$X$76</definedName>
    <definedName name="TECpY" localSheetId="3">'Solids+Liquids'!$X$76</definedName>
    <definedName name="TECpY" localSheetId="4">'Solids+Liquids (CKD Extraction)'!$X$76</definedName>
    <definedName name="TEE" localSheetId="1">Baseline!$X$77</definedName>
    <definedName name="TEE" localSheetId="0">Help!$C$109</definedName>
    <definedName name="TEE" localSheetId="2">Liquids!$X$77</definedName>
    <definedName name="TEE" localSheetId="3">'Solids+Liquids'!$X$77</definedName>
    <definedName name="TEE" localSheetId="4">'Solids+Liquids (CKD Extraction)'!$X$77</definedName>
    <definedName name="TotAF" localSheetId="1">Baseline!$E$71</definedName>
    <definedName name="TotAF" localSheetId="2">Liquids!$E$71</definedName>
    <definedName name="TotAF" localSheetId="3">'Solids+Liquids'!$E$71</definedName>
    <definedName name="TotAF" localSheetId="4">'Solids+Liquids (CKD Extraction)'!$E$71</definedName>
    <definedName name="TotTF" localSheetId="1">Baseline!$E$70</definedName>
    <definedName name="TotTF" localSheetId="2">Liquids!$E$70</definedName>
    <definedName name="TotTF" localSheetId="3">'Solids+Liquids'!$E$70</definedName>
    <definedName name="TotTF" localSheetId="4">'Solids+Liquids (CKD Extraction)'!$E$70</definedName>
    <definedName name="TSR" localSheetId="1">Baseline!$X$78</definedName>
    <definedName name="TSR" localSheetId="0">Help!$C$97</definedName>
    <definedName name="TSR" localSheetId="2">Liquids!$X$78</definedName>
    <definedName name="TSR" localSheetId="3">'Solids+Liquids'!$X$78</definedName>
    <definedName name="TSR" localSheetId="4">'Solids+Liquids (CKD Extraction)'!$X$78</definedName>
    <definedName name="TTECpG" localSheetId="1">Baseline!$L$70</definedName>
    <definedName name="TTECpG" localSheetId="2">Liquids!$L$70</definedName>
    <definedName name="TTECpG" localSheetId="3">'Solids+Liquids'!$L$70</definedName>
    <definedName name="TTECpG" localSheetId="4">'Solids+Liquids (CKD Extraction)'!$L$70</definedName>
    <definedName name="TTECpT" localSheetId="1">Baseline!$AR$147</definedName>
    <definedName name="TTECpT" localSheetId="2">Liquids!$AR$147</definedName>
    <definedName name="TTECpT" localSheetId="3">'Solids+Liquids'!$AR$147</definedName>
    <definedName name="TTECpT" localSheetId="4">'Solids+Liquids (CKD Extraction)'!$AR$147</definedName>
    <definedName name="TTECpY" localSheetId="1">Baseline!$AR$148</definedName>
    <definedName name="TTECpY" localSheetId="2">Liquids!$AR$148</definedName>
    <definedName name="TTECpY" localSheetId="3">'Solids+Liquids'!$AR$148</definedName>
    <definedName name="TTECpY" localSheetId="4">'Solids+Liquids (CKD Extraction)'!$AR$148</definedName>
    <definedName name="Xrate" localSheetId="1">Baseline!$X$82</definedName>
    <definedName name="Xrate" localSheetId="2">Liquids!$X$82</definedName>
    <definedName name="Xrate" localSheetId="3">'Solids+Liquids'!$X$82</definedName>
    <definedName name="Xrate" localSheetId="4">'Solids+Liquids (CKD Extraction)'!$X$82</definedName>
  </definedNames>
  <calcPr calcId="145621"/>
</workbook>
</file>

<file path=xl/calcChain.xml><?xml version="1.0" encoding="utf-8"?>
<calcChain xmlns="http://schemas.openxmlformats.org/spreadsheetml/2006/main">
  <c r="C12" i="24" l="1"/>
  <c r="C11" i="24"/>
  <c r="C10" i="24"/>
  <c r="C9" i="24"/>
  <c r="C8" i="24"/>
  <c r="C7" i="24" a="1"/>
  <c r="C7" i="24" s="1"/>
  <c r="C6" i="24" a="1"/>
  <c r="C6" i="24" s="1"/>
  <c r="C5" i="24"/>
  <c r="C4" i="24"/>
  <c r="C3" i="24"/>
  <c r="B12" i="24"/>
  <c r="B11" i="24"/>
  <c r="B10" i="24"/>
  <c r="B9" i="24"/>
  <c r="B8" i="24"/>
  <c r="B7" i="24" a="1"/>
  <c r="B7" i="24" s="1"/>
  <c r="B6" i="24" a="1"/>
  <c r="B6" i="24"/>
  <c r="B5" i="24"/>
  <c r="B4" i="24"/>
  <c r="B3" i="24"/>
  <c r="A10" i="24"/>
  <c r="A9" i="24"/>
  <c r="A8" i="24"/>
  <c r="A7" i="24" a="1"/>
  <c r="A7" i="24" s="1"/>
  <c r="A6" i="24" a="1"/>
  <c r="A6" i="24" s="1"/>
  <c r="A5" i="24"/>
  <c r="A4" i="24"/>
  <c r="A3" i="24"/>
  <c r="AD157" i="23" l="1"/>
  <c r="AD156" i="23"/>
  <c r="AD155" i="23"/>
  <c r="AD154" i="23"/>
  <c r="AP102" i="23" s="1"/>
  <c r="AE153" i="23"/>
  <c r="AD153" i="23"/>
  <c r="AE152" i="23"/>
  <c r="AD152" i="23"/>
  <c r="AE151" i="23"/>
  <c r="AD151" i="23"/>
  <c r="AV150" i="23"/>
  <c r="AG150" i="23"/>
  <c r="AF150" i="23"/>
  <c r="AE150" i="23"/>
  <c r="AD150" i="23"/>
  <c r="AR149" i="23"/>
  <c r="AH149" i="23"/>
  <c r="AG149" i="23"/>
  <c r="AF149" i="23"/>
  <c r="AE149" i="23"/>
  <c r="AD149" i="23"/>
  <c r="AL148" i="23"/>
  <c r="AK148" i="23"/>
  <c r="AJ148" i="23"/>
  <c r="AI148" i="23"/>
  <c r="AH148" i="23"/>
  <c r="AG148" i="23"/>
  <c r="AE107" i="23" s="1"/>
  <c r="AF148" i="23"/>
  <c r="AE148" i="23"/>
  <c r="AD148" i="23"/>
  <c r="AV147" i="23"/>
  <c r="AN147" i="23"/>
  <c r="AM147" i="23"/>
  <c r="AL147" i="23"/>
  <c r="AK147" i="23"/>
  <c r="AJ147" i="23"/>
  <c r="AI147" i="23"/>
  <c r="AH147" i="23"/>
  <c r="AG147" i="23"/>
  <c r="AF147" i="23"/>
  <c r="AE147" i="23"/>
  <c r="AD147" i="23"/>
  <c r="AI102" i="23" s="1"/>
  <c r="AN146" i="23"/>
  <c r="AM146" i="23"/>
  <c r="AL146" i="23"/>
  <c r="AK146" i="23"/>
  <c r="AJ146" i="23"/>
  <c r="AI146" i="23"/>
  <c r="AH146" i="23"/>
  <c r="AG146" i="23"/>
  <c r="AF146" i="23"/>
  <c r="AE146" i="23"/>
  <c r="AD146" i="23"/>
  <c r="AN145" i="23"/>
  <c r="AM145" i="23"/>
  <c r="AL145" i="23"/>
  <c r="AK145" i="23"/>
  <c r="AJ145" i="23"/>
  <c r="AI145" i="23"/>
  <c r="AH145" i="23"/>
  <c r="AG145" i="23"/>
  <c r="AF145" i="23"/>
  <c r="AD145" i="23"/>
  <c r="AT142" i="23"/>
  <c r="AT141" i="23"/>
  <c r="AG137" i="23"/>
  <c r="AG136" i="23"/>
  <c r="AG135" i="23"/>
  <c r="AG134" i="23"/>
  <c r="AG133" i="23"/>
  <c r="AU127" i="23"/>
  <c r="AU126" i="23"/>
  <c r="AT126" i="23"/>
  <c r="AS123" i="23"/>
  <c r="AR123" i="23"/>
  <c r="AN123" i="23"/>
  <c r="AM121" i="23"/>
  <c r="AM122" i="23" s="1"/>
  <c r="AM123" i="23" s="1"/>
  <c r="AO112" i="23"/>
  <c r="AM112" i="23"/>
  <c r="AN111" i="23"/>
  <c r="AL111" i="23"/>
  <c r="AE111" i="23"/>
  <c r="AR112" i="23" s="1"/>
  <c r="AN110" i="23"/>
  <c r="AJ110" i="23"/>
  <c r="AS109" i="23"/>
  <c r="AR109" i="23"/>
  <c r="AN109" i="23"/>
  <c r="AM109" i="23"/>
  <c r="AI109" i="23"/>
  <c r="AE109" i="23"/>
  <c r="AE105" i="23"/>
  <c r="AL106" i="23" s="1"/>
  <c r="AR104" i="23"/>
  <c r="AO104" i="23"/>
  <c r="AN104" i="23"/>
  <c r="AJ104" i="23"/>
  <c r="AR103" i="23"/>
  <c r="AQ103" i="23"/>
  <c r="AN103" i="23"/>
  <c r="AM103" i="23"/>
  <c r="AJ103" i="23"/>
  <c r="AI103" i="23"/>
  <c r="AE103" i="23"/>
  <c r="AQ104" i="23" s="1"/>
  <c r="AS102" i="23"/>
  <c r="AR102" i="23"/>
  <c r="AR110" i="23" s="1"/>
  <c r="AQ102" i="23"/>
  <c r="AO102" i="23"/>
  <c r="AN102" i="23"/>
  <c r="AN121" i="23" s="1"/>
  <c r="AM102" i="23"/>
  <c r="AL102" i="23"/>
  <c r="AL121" i="23" s="1"/>
  <c r="AL122" i="23" s="1"/>
  <c r="AK102" i="23"/>
  <c r="AJ102" i="23"/>
  <c r="AJ121" i="23" s="1"/>
  <c r="AJ122" i="23" s="1"/>
  <c r="AH102" i="23"/>
  <c r="G97" i="23"/>
  <c r="F97" i="23"/>
  <c r="D97" i="23"/>
  <c r="Y96" i="23"/>
  <c r="X96" i="23"/>
  <c r="W96" i="23"/>
  <c r="Q96" i="23"/>
  <c r="P96" i="23"/>
  <c r="O96" i="23"/>
  <c r="N96" i="23"/>
  <c r="M96" i="23"/>
  <c r="L96" i="23"/>
  <c r="K96" i="23"/>
  <c r="J96" i="23"/>
  <c r="I96" i="23"/>
  <c r="H96" i="23"/>
  <c r="G96" i="23"/>
  <c r="F96" i="23"/>
  <c r="E96" i="23"/>
  <c r="D96" i="23"/>
  <c r="C96" i="23"/>
  <c r="A96" i="23"/>
  <c r="N95" i="23"/>
  <c r="M95" i="23"/>
  <c r="A95" i="23"/>
  <c r="E90" i="23"/>
  <c r="E89" i="23"/>
  <c r="E88" i="23"/>
  <c r="E87" i="23"/>
  <c r="E86" i="23"/>
  <c r="C78" i="23" s="1"/>
  <c r="Y83" i="23"/>
  <c r="Y82" i="23"/>
  <c r="I82" i="23"/>
  <c r="D82" i="23"/>
  <c r="Y81" i="23"/>
  <c r="I81" i="23"/>
  <c r="D81" i="23"/>
  <c r="Y80" i="23"/>
  <c r="I80" i="23"/>
  <c r="D80" i="23"/>
  <c r="Y79" i="23"/>
  <c r="O79" i="23"/>
  <c r="N79" i="23"/>
  <c r="K79" i="23"/>
  <c r="I79" i="23"/>
  <c r="D79" i="23"/>
  <c r="Y78" i="23"/>
  <c r="O78" i="23"/>
  <c r="N78" i="23"/>
  <c r="K78" i="23"/>
  <c r="M78" i="23" s="1"/>
  <c r="I78" i="23"/>
  <c r="H78" i="23"/>
  <c r="Y77" i="23"/>
  <c r="O77" i="23"/>
  <c r="N77" i="23"/>
  <c r="O76" i="23"/>
  <c r="N76" i="23"/>
  <c r="N80" i="23" s="1"/>
  <c r="K76" i="23"/>
  <c r="I76" i="23"/>
  <c r="Y75" i="23"/>
  <c r="O75" i="23"/>
  <c r="O80" i="23" s="1"/>
  <c r="N75" i="23"/>
  <c r="K75" i="23"/>
  <c r="I75" i="23"/>
  <c r="Y74" i="23"/>
  <c r="I74" i="23"/>
  <c r="Y73" i="23"/>
  <c r="X73" i="23"/>
  <c r="N73" i="23"/>
  <c r="L73" i="23"/>
  <c r="I73" i="23"/>
  <c r="H73" i="23"/>
  <c r="D73" i="23"/>
  <c r="C73" i="23"/>
  <c r="AB69" i="23"/>
  <c r="AA69" i="23"/>
  <c r="Z69" i="23"/>
  <c r="W69" i="23"/>
  <c r="X69" i="23" s="1"/>
  <c r="L69" i="23"/>
  <c r="K69" i="23"/>
  <c r="AB68" i="23"/>
  <c r="AA68" i="23"/>
  <c r="Z68" i="23"/>
  <c r="W68" i="23"/>
  <c r="Y68" i="23" s="1"/>
  <c r="L68" i="23"/>
  <c r="K68" i="23"/>
  <c r="AB67" i="23"/>
  <c r="AA67" i="23"/>
  <c r="Z67" i="23"/>
  <c r="W67" i="23"/>
  <c r="X67" i="23" s="1"/>
  <c r="L67" i="23"/>
  <c r="K67" i="23"/>
  <c r="AB66" i="23"/>
  <c r="AA66" i="23"/>
  <c r="Z66" i="23"/>
  <c r="W66" i="23"/>
  <c r="X66" i="23" s="1"/>
  <c r="L66" i="23"/>
  <c r="K66" i="23"/>
  <c r="AB65" i="23"/>
  <c r="AA65" i="23"/>
  <c r="Z65" i="23"/>
  <c r="W65" i="23"/>
  <c r="X65" i="23" s="1"/>
  <c r="L65" i="23"/>
  <c r="K65" i="23"/>
  <c r="AB64" i="23"/>
  <c r="AA64" i="23"/>
  <c r="Z64" i="23"/>
  <c r="W64" i="23"/>
  <c r="Y64" i="23" s="1"/>
  <c r="L64" i="23"/>
  <c r="K64" i="23"/>
  <c r="AB63" i="23"/>
  <c r="AA63" i="23"/>
  <c r="Z63" i="23"/>
  <c r="W63" i="23"/>
  <c r="Y63" i="23" s="1"/>
  <c r="L63" i="23"/>
  <c r="K63" i="23"/>
  <c r="AB62" i="23"/>
  <c r="AA62" i="23"/>
  <c r="Z62" i="23"/>
  <c r="W62" i="23"/>
  <c r="Y62" i="23" s="1"/>
  <c r="L62" i="23"/>
  <c r="K62" i="23"/>
  <c r="AB61" i="23"/>
  <c r="AA61" i="23"/>
  <c r="Z61" i="23"/>
  <c r="W61" i="23"/>
  <c r="X61" i="23" s="1"/>
  <c r="L61" i="23"/>
  <c r="K61" i="23"/>
  <c r="AB60" i="23"/>
  <c r="AA60" i="23"/>
  <c r="Z60" i="23"/>
  <c r="W60" i="23"/>
  <c r="Y60" i="23" s="1"/>
  <c r="L60" i="23"/>
  <c r="K60" i="23"/>
  <c r="AB59" i="23"/>
  <c r="AA59" i="23"/>
  <c r="Z59" i="23"/>
  <c r="W59" i="23"/>
  <c r="X59" i="23" s="1"/>
  <c r="L59" i="23"/>
  <c r="K59" i="23"/>
  <c r="AB58" i="23"/>
  <c r="AA58" i="23"/>
  <c r="Z58" i="23"/>
  <c r="W58" i="23"/>
  <c r="X58" i="23" s="1"/>
  <c r="L58" i="23"/>
  <c r="K58" i="23"/>
  <c r="AB57" i="23"/>
  <c r="AA57" i="23"/>
  <c r="Z57" i="23"/>
  <c r="W57" i="23"/>
  <c r="X57" i="23" s="1"/>
  <c r="L57" i="23"/>
  <c r="K57" i="23"/>
  <c r="AB56" i="23"/>
  <c r="AA56" i="23"/>
  <c r="Z56" i="23"/>
  <c r="W56" i="23"/>
  <c r="Y56" i="23" s="1"/>
  <c r="L56" i="23"/>
  <c r="K56" i="23"/>
  <c r="AB55" i="23"/>
  <c r="AA55" i="23"/>
  <c r="Z55" i="23"/>
  <c r="W55" i="23"/>
  <c r="Y55" i="23" s="1"/>
  <c r="L55" i="23"/>
  <c r="K55" i="23"/>
  <c r="AB54" i="23"/>
  <c r="AA54" i="23"/>
  <c r="Z54" i="23"/>
  <c r="W54" i="23"/>
  <c r="X54" i="23" s="1"/>
  <c r="L54" i="23"/>
  <c r="K54" i="23"/>
  <c r="AB53" i="23"/>
  <c r="AA53" i="23"/>
  <c r="Z53" i="23"/>
  <c r="W53" i="23"/>
  <c r="X53" i="23" s="1"/>
  <c r="L53" i="23"/>
  <c r="K53" i="23"/>
  <c r="AB52" i="23"/>
  <c r="AA52" i="23"/>
  <c r="Z52" i="23"/>
  <c r="W52" i="23"/>
  <c r="X52" i="23" s="1"/>
  <c r="L52" i="23"/>
  <c r="K52" i="23"/>
  <c r="AB51" i="23"/>
  <c r="AA51" i="23"/>
  <c r="Z51" i="23"/>
  <c r="W51" i="23"/>
  <c r="Y51" i="23" s="1"/>
  <c r="L51" i="23"/>
  <c r="K51" i="23"/>
  <c r="AB50" i="23"/>
  <c r="AA50" i="23"/>
  <c r="Z50" i="23"/>
  <c r="W50" i="23"/>
  <c r="Y50" i="23" s="1"/>
  <c r="L50" i="23"/>
  <c r="K50" i="23"/>
  <c r="AB49" i="23"/>
  <c r="AA49" i="23"/>
  <c r="Z49" i="23"/>
  <c r="W49" i="23"/>
  <c r="X49" i="23" s="1"/>
  <c r="L49" i="23"/>
  <c r="K49" i="23"/>
  <c r="AB48" i="23"/>
  <c r="AA48" i="23"/>
  <c r="Z48" i="23"/>
  <c r="W48" i="23"/>
  <c r="X48" i="23" s="1"/>
  <c r="L48" i="23"/>
  <c r="K48" i="23"/>
  <c r="AB47" i="23"/>
  <c r="AA47" i="23"/>
  <c r="Z47" i="23"/>
  <c r="W47" i="23"/>
  <c r="Y47" i="23" s="1"/>
  <c r="L47" i="23"/>
  <c r="K47" i="23"/>
  <c r="AB46" i="23"/>
  <c r="AA46" i="23"/>
  <c r="Z46" i="23"/>
  <c r="W46" i="23"/>
  <c r="X46" i="23" s="1"/>
  <c r="L46" i="23"/>
  <c r="K46" i="23"/>
  <c r="AB45" i="23"/>
  <c r="AA45" i="23"/>
  <c r="Z45" i="23"/>
  <c r="W45" i="23"/>
  <c r="X45" i="23" s="1"/>
  <c r="L45" i="23"/>
  <c r="K45" i="23"/>
  <c r="AB44" i="23"/>
  <c r="AA44" i="23"/>
  <c r="Z44" i="23"/>
  <c r="W44" i="23"/>
  <c r="X44" i="23" s="1"/>
  <c r="L44" i="23"/>
  <c r="K44" i="23"/>
  <c r="AB43" i="23"/>
  <c r="AA43" i="23"/>
  <c r="Z43" i="23"/>
  <c r="W43" i="23"/>
  <c r="Y43" i="23" s="1"/>
  <c r="L43" i="23"/>
  <c r="K43" i="23"/>
  <c r="AB42" i="23"/>
  <c r="AA42" i="23"/>
  <c r="Z42" i="23"/>
  <c r="W42" i="23"/>
  <c r="Y42" i="23" s="1"/>
  <c r="L42" i="23"/>
  <c r="K42" i="23"/>
  <c r="AB41" i="23"/>
  <c r="AA41" i="23"/>
  <c r="Z41" i="23"/>
  <c r="W41" i="23"/>
  <c r="X41" i="23" s="1"/>
  <c r="L41" i="23"/>
  <c r="K41" i="23"/>
  <c r="AB40" i="23"/>
  <c r="AA40" i="23"/>
  <c r="Z40" i="23"/>
  <c r="W40" i="23"/>
  <c r="X40" i="23" s="1"/>
  <c r="L40" i="23"/>
  <c r="K40" i="23"/>
  <c r="AB39" i="23"/>
  <c r="AA39" i="23"/>
  <c r="Z39" i="23"/>
  <c r="W39" i="23"/>
  <c r="Y39" i="23" s="1"/>
  <c r="L39" i="23"/>
  <c r="K39" i="23"/>
  <c r="AB38" i="23"/>
  <c r="AA38" i="23"/>
  <c r="Z38" i="23"/>
  <c r="W38" i="23"/>
  <c r="X38" i="23" s="1"/>
  <c r="L38" i="23"/>
  <c r="K38" i="23"/>
  <c r="AB37" i="23"/>
  <c r="AA37" i="23"/>
  <c r="Z37" i="23"/>
  <c r="W37" i="23"/>
  <c r="X37" i="23" s="1"/>
  <c r="L37" i="23"/>
  <c r="K37" i="23"/>
  <c r="AB36" i="23"/>
  <c r="AA36" i="23"/>
  <c r="Z36" i="23"/>
  <c r="W36" i="23"/>
  <c r="X36" i="23" s="1"/>
  <c r="L36" i="23"/>
  <c r="K36" i="23"/>
  <c r="AB35" i="23"/>
  <c r="AA35" i="23"/>
  <c r="Z35" i="23"/>
  <c r="W35" i="23"/>
  <c r="Y35" i="23" s="1"/>
  <c r="L35" i="23"/>
  <c r="K35" i="23"/>
  <c r="AB34" i="23"/>
  <c r="AA34" i="23"/>
  <c r="Z34" i="23"/>
  <c r="W34" i="23"/>
  <c r="Y34" i="23" s="1"/>
  <c r="L34" i="23"/>
  <c r="K34" i="23"/>
  <c r="AB33" i="23"/>
  <c r="AA33" i="23"/>
  <c r="Z33" i="23"/>
  <c r="W33" i="23"/>
  <c r="X33" i="23" s="1"/>
  <c r="L33" i="23"/>
  <c r="K33" i="23"/>
  <c r="AB32" i="23"/>
  <c r="AA32" i="23"/>
  <c r="Z32" i="23"/>
  <c r="W32" i="23"/>
  <c r="X32" i="23" s="1"/>
  <c r="L32" i="23"/>
  <c r="K32" i="23"/>
  <c r="AA31" i="23"/>
  <c r="Z31" i="23"/>
  <c r="L31" i="23"/>
  <c r="K31" i="23"/>
  <c r="AA30" i="23"/>
  <c r="Z30" i="23"/>
  <c r="L30" i="23"/>
  <c r="K30" i="23"/>
  <c r="Z29" i="23"/>
  <c r="K29" i="23"/>
  <c r="AA29" i="23" s="1"/>
  <c r="Z28" i="23"/>
  <c r="K28" i="23"/>
  <c r="L28" i="23" s="1"/>
  <c r="AA27" i="23"/>
  <c r="Z27" i="23"/>
  <c r="L27" i="23"/>
  <c r="K27" i="23"/>
  <c r="AA26" i="23"/>
  <c r="Z26" i="23"/>
  <c r="L26" i="23"/>
  <c r="K26" i="23"/>
  <c r="Z25" i="23"/>
  <c r="K25" i="23"/>
  <c r="AA25" i="23" s="1"/>
  <c r="Z24" i="23"/>
  <c r="K24" i="23"/>
  <c r="L24" i="23" s="1"/>
  <c r="AB23" i="23"/>
  <c r="AA23" i="23"/>
  <c r="Z23" i="23"/>
  <c r="W23" i="23"/>
  <c r="Y23" i="23" s="1"/>
  <c r="L23" i="23"/>
  <c r="K23" i="23"/>
  <c r="AB22" i="23"/>
  <c r="AA22" i="23"/>
  <c r="Z22" i="23"/>
  <c r="W22" i="23"/>
  <c r="Y22" i="23" s="1"/>
  <c r="L22" i="23"/>
  <c r="K22" i="23"/>
  <c r="AB21" i="23"/>
  <c r="AA21" i="23"/>
  <c r="Z21" i="23"/>
  <c r="W21" i="23"/>
  <c r="X21" i="23" s="1"/>
  <c r="K21" i="23"/>
  <c r="L21" i="23" s="1"/>
  <c r="T18" i="23"/>
  <c r="AE140" i="23" s="1"/>
  <c r="K15" i="23"/>
  <c r="E15" i="23"/>
  <c r="L14" i="23"/>
  <c r="K14" i="23"/>
  <c r="E14" i="23"/>
  <c r="L13" i="23"/>
  <c r="K13" i="23"/>
  <c r="D13" i="23"/>
  <c r="L12" i="23"/>
  <c r="D12" i="23"/>
  <c r="Q83" i="23" s="1"/>
  <c r="A12" i="23"/>
  <c r="K11" i="23"/>
  <c r="D11" i="23"/>
  <c r="A11" i="23"/>
  <c r="L10" i="23"/>
  <c r="A10" i="23"/>
  <c r="L9" i="23"/>
  <c r="D9" i="23"/>
  <c r="P8" i="23"/>
  <c r="K8" i="23"/>
  <c r="D8" i="23"/>
  <c r="Y7" i="23"/>
  <c r="L7" i="23"/>
  <c r="D7" i="23"/>
  <c r="P6" i="23"/>
  <c r="L6" i="23"/>
  <c r="L11" i="23" s="1"/>
  <c r="D6" i="23"/>
  <c r="K5" i="23"/>
  <c r="D5" i="23"/>
  <c r="K4" i="23"/>
  <c r="AF151" i="23" s="1"/>
  <c r="D4" i="23"/>
  <c r="Y3" i="23"/>
  <c r="L3" i="23"/>
  <c r="K3" i="23"/>
  <c r="E3" i="23"/>
  <c r="A2" i="23"/>
  <c r="I46" i="18"/>
  <c r="I40" i="18"/>
  <c r="I10" i="18"/>
  <c r="I20" i="18"/>
  <c r="I21" i="18"/>
  <c r="I53" i="18"/>
  <c r="I23" i="18"/>
  <c r="I49" i="18"/>
  <c r="I47" i="18"/>
  <c r="I16" i="18"/>
  <c r="I43" i="18"/>
  <c r="I15" i="18"/>
  <c r="I50" i="18"/>
  <c r="I44" i="18"/>
  <c r="I39" i="18"/>
  <c r="I54" i="18"/>
  <c r="I51" i="18"/>
  <c r="I11" i="18"/>
  <c r="I31" i="18"/>
  <c r="I14" i="18"/>
  <c r="I27" i="18"/>
  <c r="I37" i="18"/>
  <c r="I56" i="18"/>
  <c r="I57" i="18"/>
  <c r="I7" i="18"/>
  <c r="I22" i="18"/>
  <c r="I35" i="18"/>
  <c r="I17" i="18"/>
  <c r="I13" i="18"/>
  <c r="I48" i="18"/>
  <c r="I52" i="18"/>
  <c r="I29" i="18"/>
  <c r="I45" i="18"/>
  <c r="I18" i="18" l="1"/>
  <c r="I58" i="18"/>
  <c r="I33" i="18"/>
  <c r="I34" i="18" s="1"/>
  <c r="I24" i="18"/>
  <c r="I25" i="18" s="1"/>
  <c r="I41" i="18"/>
  <c r="I28" i="18"/>
  <c r="I32" i="18"/>
  <c r="I36" i="18"/>
  <c r="I30" i="18"/>
  <c r="I38" i="18"/>
  <c r="J95" i="23"/>
  <c r="Y58" i="23"/>
  <c r="Y59" i="23"/>
  <c r="X62" i="23"/>
  <c r="Y65" i="23"/>
  <c r="X60" i="23"/>
  <c r="X63" i="23"/>
  <c r="Y21" i="23"/>
  <c r="Y32" i="23"/>
  <c r="Y33" i="23"/>
  <c r="Y36" i="23"/>
  <c r="Y37" i="23"/>
  <c r="Y40" i="23"/>
  <c r="Y41" i="23"/>
  <c r="Y44" i="23"/>
  <c r="Y45" i="23"/>
  <c r="Y48" i="23"/>
  <c r="Y49" i="23"/>
  <c r="Y52" i="23"/>
  <c r="Y53" i="23"/>
  <c r="Y66" i="23"/>
  <c r="X56" i="23"/>
  <c r="Y61" i="23"/>
  <c r="AP111" i="23"/>
  <c r="AP110" i="23"/>
  <c r="AS108" i="23"/>
  <c r="AO108" i="23"/>
  <c r="AK108" i="23"/>
  <c r="AR107" i="23"/>
  <c r="AN107" i="23"/>
  <c r="AJ107" i="23"/>
  <c r="AR108" i="23"/>
  <c r="AN108" i="23"/>
  <c r="AJ108" i="23"/>
  <c r="AQ107" i="23"/>
  <c r="AM107" i="23"/>
  <c r="AI107" i="23"/>
  <c r="AP108" i="23"/>
  <c r="AH108" i="23"/>
  <c r="AO107" i="23"/>
  <c r="AL108" i="23"/>
  <c r="AS107" i="23"/>
  <c r="AK107" i="23"/>
  <c r="AI108" i="23"/>
  <c r="AM108" i="23"/>
  <c r="AL107" i="23"/>
  <c r="AQ108" i="23"/>
  <c r="AP107" i="23"/>
  <c r="AH107" i="23"/>
  <c r="AP147" i="23"/>
  <c r="AD142" i="23"/>
  <c r="AF132" i="23"/>
  <c r="AF131" i="23"/>
  <c r="AD143" i="23"/>
  <c r="AD141" i="23"/>
  <c r="AT152" i="23"/>
  <c r="AP148" i="23"/>
  <c r="Q81" i="23"/>
  <c r="AT150" i="23"/>
  <c r="AT147" i="23"/>
  <c r="AT146" i="23"/>
  <c r="J20" i="23"/>
  <c r="AH111" i="23"/>
  <c r="AO105" i="23"/>
  <c r="AP106" i="23"/>
  <c r="AH109" i="23"/>
  <c r="A15" i="23"/>
  <c r="K20" i="23"/>
  <c r="Y20" i="23"/>
  <c r="X22" i="23"/>
  <c r="X34" i="23"/>
  <c r="X42" i="23"/>
  <c r="X50" i="23"/>
  <c r="Y69" i="23"/>
  <c r="W75" i="23"/>
  <c r="Q80" i="23"/>
  <c r="AJ123" i="23"/>
  <c r="AK106" i="23"/>
  <c r="K95" i="23"/>
  <c r="G95" i="23"/>
  <c r="X74" i="23"/>
  <c r="X76" i="23" s="1"/>
  <c r="F95" i="23"/>
  <c r="C81" i="23"/>
  <c r="K12" i="23"/>
  <c r="E20" i="23"/>
  <c r="L20" i="23"/>
  <c r="AA20" i="23"/>
  <c r="X23" i="23"/>
  <c r="AA24" i="23"/>
  <c r="L25" i="23"/>
  <c r="AA28" i="23"/>
  <c r="L29" i="23"/>
  <c r="X35" i="23"/>
  <c r="Y38" i="23"/>
  <c r="X39" i="23"/>
  <c r="X43" i="23"/>
  <c r="Y46" i="23"/>
  <c r="X47" i="23"/>
  <c r="X51" i="23"/>
  <c r="Y54" i="23"/>
  <c r="X55" i="23"/>
  <c r="Y57" i="23"/>
  <c r="Y67" i="23"/>
  <c r="X68" i="23"/>
  <c r="K77" i="23"/>
  <c r="M77" i="23" s="1"/>
  <c r="Q82" i="23"/>
  <c r="AK112" i="23"/>
  <c r="AK110" i="23"/>
  <c r="AO109" i="23"/>
  <c r="AS121" i="23"/>
  <c r="AS112" i="23"/>
  <c r="AK104" i="23"/>
  <c r="AS104" i="23"/>
  <c r="AK105" i="23"/>
  <c r="AS105" i="23"/>
  <c r="AH110" i="23"/>
  <c r="AI121" i="23"/>
  <c r="AI122" i="23" s="1"/>
  <c r="AI112" i="23"/>
  <c r="X20" i="23"/>
  <c r="W74" i="23"/>
  <c r="AR106" i="23"/>
  <c r="AN106" i="23"/>
  <c r="AJ106" i="23"/>
  <c r="AQ105" i="23"/>
  <c r="AM105" i="23"/>
  <c r="AI105" i="23"/>
  <c r="AQ106" i="23"/>
  <c r="AM106" i="23"/>
  <c r="AI106" i="23"/>
  <c r="AP105" i="23"/>
  <c r="AL105" i="23"/>
  <c r="AH105" i="23"/>
  <c r="AH106" i="23"/>
  <c r="G11" i="23"/>
  <c r="D20" i="23"/>
  <c r="AS141" i="23"/>
  <c r="AO141" i="23"/>
  <c r="AQ141" i="23"/>
  <c r="AR141" i="23"/>
  <c r="AN141" i="23"/>
  <c r="AP141" i="23"/>
  <c r="X75" i="23"/>
  <c r="X64" i="23"/>
  <c r="AJ105" i="23"/>
  <c r="AR105" i="23"/>
  <c r="AS106" i="23"/>
  <c r="L8" i="23"/>
  <c r="A14" i="23"/>
  <c r="N14" i="23"/>
  <c r="I20" i="23"/>
  <c r="W20" i="23"/>
  <c r="AB20" i="23"/>
  <c r="W76" i="23"/>
  <c r="L95" i="23"/>
  <c r="AL123" i="23"/>
  <c r="AD103" i="23"/>
  <c r="AN105" i="23"/>
  <c r="AN113" i="23" s="1"/>
  <c r="AO106" i="23"/>
  <c r="AD116" i="23"/>
  <c r="AK103" i="23"/>
  <c r="AO103" i="23"/>
  <c r="AS103" i="23"/>
  <c r="AH104" i="23"/>
  <c r="AL104" i="23"/>
  <c r="AP104" i="23"/>
  <c r="AJ109" i="23"/>
  <c r="AQ112" i="23"/>
  <c r="AH103" i="23"/>
  <c r="AL103" i="23"/>
  <c r="AP103" i="23"/>
  <c r="AI104" i="23"/>
  <c r="AM104" i="23"/>
  <c r="AQ110" i="23"/>
  <c r="AM110" i="23"/>
  <c r="AI110" i="23"/>
  <c r="AP109" i="23"/>
  <c r="AL109" i="23"/>
  <c r="AS110" i="23"/>
  <c r="AO110" i="23"/>
  <c r="AK109" i="23"/>
  <c r="AQ109" i="23"/>
  <c r="AL110" i="23"/>
  <c r="AJ111" i="23"/>
  <c r="AR111" i="23"/>
  <c r="AK111" i="23"/>
  <c r="AO111" i="23"/>
  <c r="AS111" i="23"/>
  <c r="AH112" i="23"/>
  <c r="AL112" i="23"/>
  <c r="AP112" i="23"/>
  <c r="AV126" i="23"/>
  <c r="AI111" i="23"/>
  <c r="AM111" i="23"/>
  <c r="AQ111" i="23"/>
  <c r="AJ112" i="23"/>
  <c r="AN112" i="23"/>
  <c r="AV146" i="23"/>
  <c r="AV148" i="23" s="1"/>
  <c r="AD157" i="21"/>
  <c r="AD156" i="21"/>
  <c r="AD155" i="21"/>
  <c r="AD154" i="21"/>
  <c r="AE153" i="21"/>
  <c r="AD153" i="21"/>
  <c r="AE152" i="21"/>
  <c r="AD152" i="21"/>
  <c r="AE151" i="21"/>
  <c r="AD151" i="21"/>
  <c r="AG150" i="21"/>
  <c r="AF150" i="21"/>
  <c r="AE150" i="21"/>
  <c r="AD150" i="21"/>
  <c r="AR149" i="21"/>
  <c r="AH149" i="21"/>
  <c r="AG149" i="21"/>
  <c r="AF149" i="21"/>
  <c r="AE149" i="21"/>
  <c r="AD149" i="21"/>
  <c r="AL148" i="21"/>
  <c r="AK148" i="21"/>
  <c r="AJ148" i="21"/>
  <c r="AI148" i="21"/>
  <c r="AH148" i="21"/>
  <c r="AG148" i="21"/>
  <c r="AF148" i="21"/>
  <c r="AE148" i="21"/>
  <c r="AD148" i="21"/>
  <c r="AN147" i="21"/>
  <c r="AM147" i="21"/>
  <c r="AL147" i="21"/>
  <c r="AK147" i="21"/>
  <c r="AJ147" i="21"/>
  <c r="AI147" i="21"/>
  <c r="AH147" i="21"/>
  <c r="AG147" i="21"/>
  <c r="AF147" i="21"/>
  <c r="AE147" i="21"/>
  <c r="AD147" i="21"/>
  <c r="AN146" i="21"/>
  <c r="AM146" i="21"/>
  <c r="AL146" i="21"/>
  <c r="AK146" i="21"/>
  <c r="AJ146" i="21"/>
  <c r="AI146" i="21"/>
  <c r="AH146" i="21"/>
  <c r="AG146" i="21"/>
  <c r="AF146" i="21"/>
  <c r="AE146" i="21"/>
  <c r="AD146" i="21"/>
  <c r="AN145" i="21"/>
  <c r="AM145" i="21"/>
  <c r="AL145" i="21"/>
  <c r="AK145" i="21"/>
  <c r="AJ145" i="21"/>
  <c r="AI145" i="21"/>
  <c r="AH145" i="21"/>
  <c r="AG145" i="21"/>
  <c r="AF145" i="21"/>
  <c r="AD145" i="21"/>
  <c r="AT142" i="21"/>
  <c r="AT141" i="21"/>
  <c r="AG137" i="21"/>
  <c r="AG136" i="21"/>
  <c r="AG135" i="21"/>
  <c r="AG134" i="21"/>
  <c r="AG133" i="21"/>
  <c r="AU127" i="21"/>
  <c r="AU126" i="21"/>
  <c r="AT126" i="21"/>
  <c r="AS123" i="21"/>
  <c r="AR123" i="21"/>
  <c r="AN123" i="21"/>
  <c r="AM121" i="21"/>
  <c r="AM122" i="21" s="1"/>
  <c r="AM123" i="21" s="1"/>
  <c r="AQ112" i="21"/>
  <c r="AN112" i="21"/>
  <c r="AM112" i="21"/>
  <c r="AI112" i="21"/>
  <c r="AQ111" i="21"/>
  <c r="AM111" i="21"/>
  <c r="AL111" i="21"/>
  <c r="AI111" i="21"/>
  <c r="AH111" i="21"/>
  <c r="AE111" i="21"/>
  <c r="AM110" i="21"/>
  <c r="AL109" i="21"/>
  <c r="AE109" i="21"/>
  <c r="AQ110" i="21" s="1"/>
  <c r="AO108" i="21"/>
  <c r="AL108" i="21"/>
  <c r="AN107" i="21"/>
  <c r="AK107" i="21"/>
  <c r="AE107" i="21"/>
  <c r="AO106" i="21"/>
  <c r="AN106" i="21"/>
  <c r="AK106" i="21"/>
  <c r="AR105" i="21"/>
  <c r="AQ105" i="21"/>
  <c r="AM105" i="21"/>
  <c r="AL105" i="21"/>
  <c r="AI105" i="21"/>
  <c r="AH105" i="21"/>
  <c r="AE105" i="21"/>
  <c r="AQ104" i="21"/>
  <c r="AM104" i="21"/>
  <c r="AJ104" i="21"/>
  <c r="AI104" i="21"/>
  <c r="AQ103" i="21"/>
  <c r="AM103" i="21"/>
  <c r="AL103" i="21"/>
  <c r="AI103" i="21"/>
  <c r="AH103" i="21"/>
  <c r="AE103" i="21"/>
  <c r="AR102" i="21"/>
  <c r="AQ102" i="21"/>
  <c r="AO102" i="21"/>
  <c r="AN102" i="21"/>
  <c r="AM102" i="21"/>
  <c r="AM106" i="21" s="1"/>
  <c r="AL102" i="21"/>
  <c r="AL121" i="21" s="1"/>
  <c r="AL122" i="21" s="1"/>
  <c r="AK102" i="21"/>
  <c r="AJ102" i="21"/>
  <c r="AJ121" i="21" s="1"/>
  <c r="AJ122" i="21" s="1"/>
  <c r="AI102" i="21"/>
  <c r="AI121" i="21" s="1"/>
  <c r="AI122" i="21" s="1"/>
  <c r="AH102" i="21"/>
  <c r="G97" i="21"/>
  <c r="F97" i="21"/>
  <c r="Y96" i="21"/>
  <c r="X96" i="21"/>
  <c r="W96" i="21"/>
  <c r="Q96" i="21"/>
  <c r="P96" i="21"/>
  <c r="O96" i="21"/>
  <c r="J96" i="21"/>
  <c r="I96" i="21"/>
  <c r="H96" i="21"/>
  <c r="A96" i="21"/>
  <c r="N95" i="21"/>
  <c r="L95" i="21"/>
  <c r="K95" i="21"/>
  <c r="G95" i="21"/>
  <c r="A95" i="21"/>
  <c r="E90" i="21"/>
  <c r="E89" i="21"/>
  <c r="E88" i="21"/>
  <c r="E87" i="21"/>
  <c r="C78" i="21" s="1"/>
  <c r="E86" i="21"/>
  <c r="Y82" i="21"/>
  <c r="I82" i="21"/>
  <c r="Y80" i="21"/>
  <c r="I80" i="21"/>
  <c r="D80" i="21"/>
  <c r="K79" i="21"/>
  <c r="D79" i="21"/>
  <c r="K78" i="21"/>
  <c r="M78" i="21" s="1"/>
  <c r="I78" i="21"/>
  <c r="H78" i="21"/>
  <c r="M77" i="21"/>
  <c r="K77" i="21"/>
  <c r="K76" i="21"/>
  <c r="I76" i="21"/>
  <c r="K75" i="21"/>
  <c r="I75" i="21"/>
  <c r="I74" i="21"/>
  <c r="Y73" i="21"/>
  <c r="X73" i="21"/>
  <c r="N73" i="21"/>
  <c r="L73" i="21"/>
  <c r="I73" i="21"/>
  <c r="H73" i="21"/>
  <c r="D73" i="21"/>
  <c r="C73" i="21"/>
  <c r="AB69" i="21"/>
  <c r="AA69" i="21"/>
  <c r="Z69" i="21"/>
  <c r="W69" i="21"/>
  <c r="X69" i="21" s="1"/>
  <c r="L69" i="21"/>
  <c r="K69" i="21"/>
  <c r="AB68" i="21"/>
  <c r="AA68" i="21"/>
  <c r="Z68" i="21"/>
  <c r="W68" i="21"/>
  <c r="Y68" i="21" s="1"/>
  <c r="L68" i="21"/>
  <c r="K68" i="21"/>
  <c r="AB67" i="21"/>
  <c r="AA67" i="21"/>
  <c r="Z67" i="21"/>
  <c r="W67" i="21"/>
  <c r="X67" i="21" s="1"/>
  <c r="L67" i="21"/>
  <c r="K67" i="21"/>
  <c r="AB66" i="21"/>
  <c r="AA66" i="21"/>
  <c r="Z66" i="21"/>
  <c r="W66" i="21"/>
  <c r="Y66" i="21" s="1"/>
  <c r="L66" i="21"/>
  <c r="K66" i="21"/>
  <c r="AB65" i="21"/>
  <c r="AA65" i="21"/>
  <c r="Z65" i="21"/>
  <c r="W65" i="21"/>
  <c r="Y65" i="21" s="1"/>
  <c r="L65" i="21"/>
  <c r="K65" i="21"/>
  <c r="AB64" i="21"/>
  <c r="AA64" i="21"/>
  <c r="Z64" i="21"/>
  <c r="W64" i="21"/>
  <c r="Y64" i="21" s="1"/>
  <c r="L64" i="21"/>
  <c r="K64" i="21"/>
  <c r="AB63" i="21"/>
  <c r="AA63" i="21"/>
  <c r="Z63" i="21"/>
  <c r="W63" i="21"/>
  <c r="X63" i="21" s="1"/>
  <c r="L63" i="21"/>
  <c r="K63" i="21"/>
  <c r="AB62" i="21"/>
  <c r="AA62" i="21"/>
  <c r="Z62" i="21"/>
  <c r="W62" i="21"/>
  <c r="Y62" i="21" s="1"/>
  <c r="L62" i="21"/>
  <c r="K62" i="21"/>
  <c r="AB61" i="21"/>
  <c r="AA61" i="21"/>
  <c r="Z61" i="21"/>
  <c r="W61" i="21"/>
  <c r="X61" i="21" s="1"/>
  <c r="L61" i="21"/>
  <c r="K61" i="21"/>
  <c r="AB60" i="21"/>
  <c r="AA60" i="21"/>
  <c r="Z60" i="21"/>
  <c r="W60" i="21"/>
  <c r="Y60" i="21" s="1"/>
  <c r="L60" i="21"/>
  <c r="K60" i="21"/>
  <c r="AB59" i="21"/>
  <c r="AA59" i="21"/>
  <c r="Z59" i="21"/>
  <c r="W59" i="21"/>
  <c r="X59" i="21" s="1"/>
  <c r="L59" i="21"/>
  <c r="K59" i="21"/>
  <c r="AB58" i="21"/>
  <c r="AA58" i="21"/>
  <c r="Z58" i="21"/>
  <c r="W58" i="21"/>
  <c r="Y58" i="21" s="1"/>
  <c r="L58" i="21"/>
  <c r="K58" i="21"/>
  <c r="AB57" i="21"/>
  <c r="AA57" i="21"/>
  <c r="Z57" i="21"/>
  <c r="W57" i="21"/>
  <c r="Y57" i="21" s="1"/>
  <c r="L57" i="21"/>
  <c r="K57" i="21"/>
  <c r="AB56" i="21"/>
  <c r="AA56" i="21"/>
  <c r="Z56" i="21"/>
  <c r="W56" i="21"/>
  <c r="X56" i="21" s="1"/>
  <c r="L56" i="21"/>
  <c r="K56" i="21"/>
  <c r="AB55" i="21"/>
  <c r="AA55" i="21"/>
  <c r="Z55" i="21"/>
  <c r="W55" i="21"/>
  <c r="X55" i="21" s="1"/>
  <c r="L55" i="21"/>
  <c r="K55" i="21"/>
  <c r="AB54" i="21"/>
  <c r="AA54" i="21"/>
  <c r="Z54" i="21"/>
  <c r="W54" i="21"/>
  <c r="Y54" i="21" s="1"/>
  <c r="L54" i="21"/>
  <c r="K54" i="21"/>
  <c r="AB53" i="21"/>
  <c r="AA53" i="21"/>
  <c r="Z53" i="21"/>
  <c r="W53" i="21"/>
  <c r="Y53" i="21" s="1"/>
  <c r="L53" i="21"/>
  <c r="K53" i="21"/>
  <c r="AB52" i="21"/>
  <c r="AA52" i="21"/>
  <c r="Z52" i="21"/>
  <c r="W52" i="21"/>
  <c r="X52" i="21" s="1"/>
  <c r="L52" i="21"/>
  <c r="K52" i="21"/>
  <c r="AB51" i="21"/>
  <c r="AA51" i="21"/>
  <c r="Z51" i="21"/>
  <c r="W51" i="21"/>
  <c r="X51" i="21" s="1"/>
  <c r="L51" i="21"/>
  <c r="K51" i="21"/>
  <c r="AB50" i="21"/>
  <c r="AA50" i="21"/>
  <c r="Z50" i="21"/>
  <c r="W50" i="21"/>
  <c r="Y50" i="21" s="1"/>
  <c r="L50" i="21"/>
  <c r="K50" i="21"/>
  <c r="AB49" i="21"/>
  <c r="AA49" i="21"/>
  <c r="Z49" i="21"/>
  <c r="W49" i="21"/>
  <c r="Y49" i="21" s="1"/>
  <c r="L49" i="21"/>
  <c r="K49" i="21"/>
  <c r="AB48" i="21"/>
  <c r="AA48" i="21"/>
  <c r="Z48" i="21"/>
  <c r="W48" i="21"/>
  <c r="Y48" i="21" s="1"/>
  <c r="L48" i="21"/>
  <c r="K48" i="21"/>
  <c r="AB47" i="21"/>
  <c r="AA47" i="21"/>
  <c r="Z47" i="21"/>
  <c r="W47" i="21"/>
  <c r="X47" i="21" s="1"/>
  <c r="L47" i="21"/>
  <c r="K47" i="21"/>
  <c r="AB46" i="21"/>
  <c r="AA46" i="21"/>
  <c r="Z46" i="21"/>
  <c r="W46" i="21"/>
  <c r="Y46" i="21" s="1"/>
  <c r="L46" i="21"/>
  <c r="K46" i="21"/>
  <c r="AB45" i="21"/>
  <c r="AA45" i="21"/>
  <c r="Z45" i="21"/>
  <c r="W45" i="21"/>
  <c r="X45" i="21" s="1"/>
  <c r="L45" i="21"/>
  <c r="K45" i="21"/>
  <c r="AB44" i="21"/>
  <c r="AA44" i="21"/>
  <c r="Z44" i="21"/>
  <c r="W44" i="21"/>
  <c r="Y44" i="21" s="1"/>
  <c r="L44" i="21"/>
  <c r="K44" i="21"/>
  <c r="AB43" i="21"/>
  <c r="AA43" i="21"/>
  <c r="Z43" i="21"/>
  <c r="W43" i="21"/>
  <c r="X43" i="21" s="1"/>
  <c r="L43" i="21"/>
  <c r="K43" i="21"/>
  <c r="AB42" i="21"/>
  <c r="AA42" i="21"/>
  <c r="Z42" i="21"/>
  <c r="W42" i="21"/>
  <c r="Y42" i="21" s="1"/>
  <c r="L42" i="21"/>
  <c r="K42" i="21"/>
  <c r="AB41" i="21"/>
  <c r="AA41" i="21"/>
  <c r="Z41" i="21"/>
  <c r="W41" i="21"/>
  <c r="Y41" i="21" s="1"/>
  <c r="L41" i="21"/>
  <c r="K41" i="21"/>
  <c r="AB40" i="21"/>
  <c r="AA40" i="21"/>
  <c r="Z40" i="21"/>
  <c r="W40" i="21"/>
  <c r="X40" i="21" s="1"/>
  <c r="L40" i="21"/>
  <c r="K40" i="21"/>
  <c r="AB39" i="21"/>
  <c r="AA39" i="21"/>
  <c r="Z39" i="21"/>
  <c r="W39" i="21"/>
  <c r="X39" i="21" s="1"/>
  <c r="L39" i="21"/>
  <c r="K39" i="21"/>
  <c r="AB38" i="21"/>
  <c r="AA38" i="21"/>
  <c r="Z38" i="21"/>
  <c r="W38" i="21"/>
  <c r="Y38" i="21" s="1"/>
  <c r="L38" i="21"/>
  <c r="K38" i="21"/>
  <c r="AB37" i="21"/>
  <c r="AA37" i="21"/>
  <c r="Z37" i="21"/>
  <c r="W37" i="21"/>
  <c r="Y37" i="21" s="1"/>
  <c r="L37" i="21"/>
  <c r="K37" i="21"/>
  <c r="AB36" i="21"/>
  <c r="AA36" i="21"/>
  <c r="Z36" i="21"/>
  <c r="W36" i="21"/>
  <c r="Y36" i="21" s="1"/>
  <c r="L36" i="21"/>
  <c r="K36" i="21"/>
  <c r="AB35" i="21"/>
  <c r="AA35" i="21"/>
  <c r="Z35" i="21"/>
  <c r="W35" i="21"/>
  <c r="X35" i="21" s="1"/>
  <c r="L35" i="21"/>
  <c r="K35" i="21"/>
  <c r="AB34" i="21"/>
  <c r="AA34" i="21"/>
  <c r="Z34" i="21"/>
  <c r="W34" i="21"/>
  <c r="Y34" i="21" s="1"/>
  <c r="L34" i="21"/>
  <c r="K34" i="21"/>
  <c r="AB33" i="21"/>
  <c r="AA33" i="21"/>
  <c r="Z33" i="21"/>
  <c r="W33" i="21"/>
  <c r="Y33" i="21" s="1"/>
  <c r="L33" i="21"/>
  <c r="K33" i="21"/>
  <c r="AB32" i="21"/>
  <c r="AA32" i="21"/>
  <c r="Z32" i="21"/>
  <c r="W32" i="21"/>
  <c r="X32" i="21" s="1"/>
  <c r="L32" i="21"/>
  <c r="K32" i="21"/>
  <c r="AA31" i="21"/>
  <c r="Z31" i="21"/>
  <c r="L31" i="21"/>
  <c r="K31" i="21"/>
  <c r="AA30" i="21"/>
  <c r="Z30" i="21"/>
  <c r="K30" i="21"/>
  <c r="L30" i="21" s="1"/>
  <c r="AA29" i="21"/>
  <c r="Z29" i="21"/>
  <c r="L29" i="21"/>
  <c r="K29" i="21"/>
  <c r="AA28" i="21"/>
  <c r="Z28" i="21"/>
  <c r="K28" i="21"/>
  <c r="L28" i="21" s="1"/>
  <c r="AA27" i="21"/>
  <c r="Z27" i="21"/>
  <c r="L27" i="21"/>
  <c r="K27" i="21"/>
  <c r="AA26" i="21"/>
  <c r="Z26" i="21"/>
  <c r="L26" i="21"/>
  <c r="K26" i="21"/>
  <c r="Z25" i="21"/>
  <c r="K25" i="21"/>
  <c r="L25" i="21" s="1"/>
  <c r="Z24" i="21"/>
  <c r="K24" i="21"/>
  <c r="AA24" i="21" s="1"/>
  <c r="AB23" i="21"/>
  <c r="AA23" i="21"/>
  <c r="Z23" i="21"/>
  <c r="W23" i="21"/>
  <c r="X23" i="21" s="1"/>
  <c r="K23" i="21"/>
  <c r="L23" i="21" s="1"/>
  <c r="AB22" i="21"/>
  <c r="AA22" i="21"/>
  <c r="Z22" i="21"/>
  <c r="W22" i="21"/>
  <c r="Y22" i="21" s="1"/>
  <c r="K22" i="21"/>
  <c r="L22" i="21" s="1"/>
  <c r="AB21" i="21"/>
  <c r="AA21" i="21"/>
  <c r="Z21" i="21"/>
  <c r="W21" i="21"/>
  <c r="X21" i="21" s="1"/>
  <c r="K21" i="21"/>
  <c r="T18" i="21"/>
  <c r="AE140" i="21" s="1"/>
  <c r="K15" i="21"/>
  <c r="E15" i="21"/>
  <c r="L14" i="21"/>
  <c r="E14" i="21"/>
  <c r="L13" i="21"/>
  <c r="D13" i="21"/>
  <c r="L12" i="21"/>
  <c r="D12" i="21"/>
  <c r="Q83" i="21" s="1"/>
  <c r="A12" i="21"/>
  <c r="K11" i="21"/>
  <c r="D11" i="21"/>
  <c r="A11" i="21"/>
  <c r="L10" i="21"/>
  <c r="A10" i="21"/>
  <c r="L9" i="21"/>
  <c r="D9" i="21"/>
  <c r="K8" i="21"/>
  <c r="D8" i="21"/>
  <c r="Y7" i="21"/>
  <c r="L7" i="21"/>
  <c r="D7" i="21"/>
  <c r="L6" i="21"/>
  <c r="L11" i="21" s="1"/>
  <c r="D6" i="21"/>
  <c r="K5" i="21"/>
  <c r="D5" i="21"/>
  <c r="K4" i="21"/>
  <c r="AF151" i="21" s="1"/>
  <c r="D4" i="21"/>
  <c r="Y3" i="21"/>
  <c r="L3" i="21"/>
  <c r="K3" i="21"/>
  <c r="E3" i="21"/>
  <c r="A2" i="21"/>
  <c r="H10" i="18"/>
  <c r="H51" i="18"/>
  <c r="H54" i="18"/>
  <c r="H23" i="18"/>
  <c r="H7" i="18"/>
  <c r="H47" i="18"/>
  <c r="H52" i="18"/>
  <c r="AU104" i="23" l="1"/>
  <c r="AR113" i="23"/>
  <c r="AR137" i="23" s="1"/>
  <c r="AR114" i="23"/>
  <c r="AR115" i="23" s="1"/>
  <c r="AQ113" i="23"/>
  <c r="AQ136" i="23" s="1"/>
  <c r="AU141" i="23"/>
  <c r="AV141" i="23" s="1"/>
  <c r="AU109" i="23"/>
  <c r="AJ114" i="23"/>
  <c r="AJ115" i="23" s="1"/>
  <c r="AU110" i="23"/>
  <c r="AI113" i="23"/>
  <c r="AI136" i="23" s="1"/>
  <c r="AQ114" i="23"/>
  <c r="AQ115" i="23" s="1"/>
  <c r="AU111" i="23"/>
  <c r="AO114" i="23"/>
  <c r="AO115" i="23" s="1"/>
  <c r="AJ113" i="23"/>
  <c r="AJ135" i="23" s="1"/>
  <c r="AT106" i="23"/>
  <c r="AN138" i="23"/>
  <c r="AN135" i="23"/>
  <c r="AN137" i="23"/>
  <c r="AN133" i="23"/>
  <c r="AN140" i="23"/>
  <c r="AN139" i="23"/>
  <c r="AN136" i="23"/>
  <c r="AN132" i="23"/>
  <c r="AN131" i="23"/>
  <c r="AN134" i="23"/>
  <c r="AL114" i="23"/>
  <c r="AL115" i="23" s="1"/>
  <c r="AM113" i="23"/>
  <c r="AS114" i="23"/>
  <c r="AS115" i="23" s="1"/>
  <c r="K10" i="23"/>
  <c r="AT109" i="23"/>
  <c r="AU112" i="23"/>
  <c r="AT112" i="23"/>
  <c r="AP113" i="23"/>
  <c r="AH114" i="23"/>
  <c r="AT104" i="23"/>
  <c r="AN114" i="23"/>
  <c r="AT105" i="23"/>
  <c r="AT110" i="23"/>
  <c r="AK114" i="23"/>
  <c r="AK115" i="23" s="1"/>
  <c r="AT108" i="23"/>
  <c r="AI114" i="23"/>
  <c r="AI115" i="23" s="1"/>
  <c r="AK113" i="23"/>
  <c r="AL113" i="23"/>
  <c r="AS113" i="23"/>
  <c r="AU103" i="23"/>
  <c r="AI123" i="23"/>
  <c r="AU107" i="23"/>
  <c r="AM114" i="23"/>
  <c r="AM115" i="23" s="1"/>
  <c r="AH113" i="23"/>
  <c r="AT103" i="23"/>
  <c r="AP114" i="23"/>
  <c r="AP115" i="23" s="1"/>
  <c r="AO113" i="23"/>
  <c r="AU105" i="23"/>
  <c r="AU106" i="23"/>
  <c r="I95" i="23"/>
  <c r="H95" i="23"/>
  <c r="AT111" i="23"/>
  <c r="AT107" i="23"/>
  <c r="AU108" i="23"/>
  <c r="Y40" i="21"/>
  <c r="Q82" i="21"/>
  <c r="K20" i="21"/>
  <c r="AB20" i="21"/>
  <c r="Y21" i="21"/>
  <c r="Y52" i="21"/>
  <c r="Y51" i="21"/>
  <c r="X64" i="21"/>
  <c r="X65" i="21"/>
  <c r="X68" i="21"/>
  <c r="Y35" i="21"/>
  <c r="X60" i="21"/>
  <c r="Y23" i="21"/>
  <c r="Y61" i="21"/>
  <c r="X33" i="21"/>
  <c r="X46" i="21"/>
  <c r="Y67" i="21"/>
  <c r="Y32" i="21"/>
  <c r="X36" i="21"/>
  <c r="X44" i="21"/>
  <c r="Y45" i="21"/>
  <c r="X48" i="21"/>
  <c r="X49" i="21"/>
  <c r="Y56" i="21"/>
  <c r="X62" i="21"/>
  <c r="AI123" i="21"/>
  <c r="AJ123" i="21"/>
  <c r="L8" i="21"/>
  <c r="AT146" i="21"/>
  <c r="AT150" i="21"/>
  <c r="AT147" i="21"/>
  <c r="AD116" i="21"/>
  <c r="AD103" i="21"/>
  <c r="E20" i="21"/>
  <c r="AP106" i="21"/>
  <c r="P6" i="21"/>
  <c r="P8" i="21"/>
  <c r="AD143" i="21"/>
  <c r="AD141" i="21"/>
  <c r="AP148" i="21"/>
  <c r="AT152" i="21"/>
  <c r="AF131" i="21"/>
  <c r="Q81" i="21"/>
  <c r="W74" i="21"/>
  <c r="AP147" i="21"/>
  <c r="W75" i="21"/>
  <c r="AA20" i="21"/>
  <c r="L20" i="21"/>
  <c r="AD142" i="21"/>
  <c r="A15" i="21"/>
  <c r="W20" i="21"/>
  <c r="X22" i="21"/>
  <c r="AA25" i="21"/>
  <c r="X37" i="21"/>
  <c r="Y39" i="21"/>
  <c r="X50" i="21"/>
  <c r="X53" i="21"/>
  <c r="X74" i="21"/>
  <c r="X76" i="21" s="1"/>
  <c r="AF132" i="21"/>
  <c r="G11" i="21"/>
  <c r="AR141" i="21"/>
  <c r="AN141" i="21"/>
  <c r="AQ141" i="21"/>
  <c r="X75" i="21"/>
  <c r="AO141" i="21"/>
  <c r="L21" i="21"/>
  <c r="X38" i="21"/>
  <c r="X41" i="21"/>
  <c r="Y43" i="21"/>
  <c r="X57" i="21"/>
  <c r="Y69" i="21"/>
  <c r="AN121" i="21"/>
  <c r="AS102" i="21"/>
  <c r="AN105" i="21"/>
  <c r="AR108" i="21"/>
  <c r="AN108" i="21"/>
  <c r="AJ108" i="21"/>
  <c r="AQ107" i="21"/>
  <c r="AM107" i="21"/>
  <c r="AI107" i="21"/>
  <c r="AQ108" i="21"/>
  <c r="AM108" i="21"/>
  <c r="AM114" i="21" s="1"/>
  <c r="AM115" i="21" s="1"/>
  <c r="AI108" i="21"/>
  <c r="AP107" i="21"/>
  <c r="AL107" i="21"/>
  <c r="AL113" i="21" s="1"/>
  <c r="AH107" i="21"/>
  <c r="AO107" i="21"/>
  <c r="AH108" i="21"/>
  <c r="AP108" i="21"/>
  <c r="AH109" i="21"/>
  <c r="AI110" i="21"/>
  <c r="D20" i="21"/>
  <c r="X34" i="21"/>
  <c r="Y55" i="21"/>
  <c r="X66" i="21"/>
  <c r="AR104" i="21"/>
  <c r="AS110" i="21"/>
  <c r="AO110" i="21"/>
  <c r="AK110" i="21"/>
  <c r="AR109" i="21"/>
  <c r="AN109" i="21"/>
  <c r="AJ109" i="21"/>
  <c r="AR110" i="21"/>
  <c r="AN110" i="21"/>
  <c r="AJ110" i="21"/>
  <c r="AQ109" i="21"/>
  <c r="AQ113" i="21" s="1"/>
  <c r="AM109" i="21"/>
  <c r="AI109" i="21"/>
  <c r="AO109" i="21"/>
  <c r="AH110" i="21"/>
  <c r="AP110" i="21"/>
  <c r="AV146" i="21"/>
  <c r="AV148" i="21" s="1"/>
  <c r="I20" i="21"/>
  <c r="X20" i="21"/>
  <c r="L24" i="21"/>
  <c r="X54" i="21"/>
  <c r="Y59" i="21"/>
  <c r="W76" i="21"/>
  <c r="A14" i="21"/>
  <c r="N14" i="21"/>
  <c r="J20" i="21"/>
  <c r="Y20" i="21"/>
  <c r="X42" i="21"/>
  <c r="Y47" i="21"/>
  <c r="X58" i="21"/>
  <c r="Y63" i="21"/>
  <c r="Q80" i="21"/>
  <c r="AP104" i="21"/>
  <c r="AN104" i="21"/>
  <c r="AJ105" i="21"/>
  <c r="AJ106" i="21"/>
  <c r="AR106" i="21"/>
  <c r="AJ107" i="21"/>
  <c r="AR107" i="21"/>
  <c r="AK108" i="21"/>
  <c r="AS108" i="21"/>
  <c r="AK109" i="21"/>
  <c r="AS109" i="21"/>
  <c r="AL110" i="21"/>
  <c r="AJ112" i="21"/>
  <c r="AR112" i="21"/>
  <c r="M95" i="21"/>
  <c r="AL123" i="21"/>
  <c r="AP102" i="21"/>
  <c r="AJ103" i="21"/>
  <c r="AN103" i="21"/>
  <c r="AR103" i="21"/>
  <c r="AK104" i="21"/>
  <c r="AO104" i="21"/>
  <c r="AS104" i="21"/>
  <c r="AK105" i="21"/>
  <c r="AO105" i="21"/>
  <c r="AS105" i="21"/>
  <c r="AH106" i="21"/>
  <c r="AL106" i="21"/>
  <c r="AJ111" i="21"/>
  <c r="AN111" i="21"/>
  <c r="AR111" i="21"/>
  <c r="AK112" i="21"/>
  <c r="AO112" i="21"/>
  <c r="AS112" i="21"/>
  <c r="C81" i="21"/>
  <c r="F95" i="21"/>
  <c r="AK103" i="21"/>
  <c r="AO103" i="21"/>
  <c r="AS103" i="21"/>
  <c r="AH104" i="21"/>
  <c r="AL104" i="21"/>
  <c r="AI106" i="21"/>
  <c r="AQ106" i="21"/>
  <c r="AK111" i="21"/>
  <c r="AO111" i="21"/>
  <c r="AS111" i="21"/>
  <c r="AH112" i="21"/>
  <c r="AL112" i="21"/>
  <c r="AV150" i="21"/>
  <c r="AV126" i="21"/>
  <c r="AV147" i="21"/>
  <c r="W22" i="19"/>
  <c r="W23" i="19"/>
  <c r="W27" i="19"/>
  <c r="W28" i="19"/>
  <c r="W29" i="19"/>
  <c r="W30" i="19"/>
  <c r="W31" i="19"/>
  <c r="W32" i="19"/>
  <c r="W33" i="19"/>
  <c r="W34" i="19"/>
  <c r="W35" i="19"/>
  <c r="W36" i="19"/>
  <c r="W37" i="19"/>
  <c r="W38" i="19"/>
  <c r="W39" i="19"/>
  <c r="W40" i="19"/>
  <c r="W41" i="19"/>
  <c r="W42" i="19"/>
  <c r="W43" i="19"/>
  <c r="W44" i="19"/>
  <c r="W45" i="19"/>
  <c r="W46" i="19"/>
  <c r="W47" i="19"/>
  <c r="W48" i="19"/>
  <c r="W49" i="19"/>
  <c r="W50" i="19"/>
  <c r="W51" i="19"/>
  <c r="W52" i="19"/>
  <c r="W53" i="19"/>
  <c r="W54" i="19"/>
  <c r="W55" i="19"/>
  <c r="W56" i="19"/>
  <c r="W57" i="19"/>
  <c r="W58" i="19"/>
  <c r="W59" i="19"/>
  <c r="W60" i="19"/>
  <c r="W61" i="19"/>
  <c r="W62" i="19"/>
  <c r="W63" i="19"/>
  <c r="W64" i="19"/>
  <c r="W65" i="19"/>
  <c r="W66" i="19"/>
  <c r="W67" i="19"/>
  <c r="W68" i="19"/>
  <c r="W69" i="19"/>
  <c r="W21" i="19"/>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21" i="8"/>
  <c r="H35" i="18"/>
  <c r="H53" i="18"/>
  <c r="H46" i="18"/>
  <c r="H37" i="18"/>
  <c r="H17" i="18"/>
  <c r="AJ139" i="23" l="1"/>
  <c r="AR139" i="23"/>
  <c r="AV104" i="23"/>
  <c r="AQ137" i="23"/>
  <c r="AQ131" i="23"/>
  <c r="AQ139" i="23"/>
  <c r="AQ134" i="23"/>
  <c r="AQ133" i="23"/>
  <c r="AQ140" i="23"/>
  <c r="AR135" i="23"/>
  <c r="AR140" i="23"/>
  <c r="AR133" i="23"/>
  <c r="AR131" i="23"/>
  <c r="AR138" i="23"/>
  <c r="AR136" i="23"/>
  <c r="AV110" i="23"/>
  <c r="AV109" i="23"/>
  <c r="AQ138" i="23"/>
  <c r="AQ135" i="23"/>
  <c r="AI135" i="23"/>
  <c r="AJ134" i="23"/>
  <c r="AI137" i="23"/>
  <c r="AV107" i="23"/>
  <c r="AV106" i="23"/>
  <c r="AV103" i="23"/>
  <c r="AR134" i="23"/>
  <c r="AR132" i="23"/>
  <c r="AV112" i="23"/>
  <c r="AQ132" i="23"/>
  <c r="AJ133" i="23"/>
  <c r="AI131" i="23"/>
  <c r="AI140" i="23"/>
  <c r="AJ132" i="23"/>
  <c r="AJ138" i="23"/>
  <c r="AI133" i="23"/>
  <c r="AV111" i="23"/>
  <c r="AJ131" i="23"/>
  <c r="AJ140" i="23"/>
  <c r="AJ137" i="23"/>
  <c r="AI138" i="23"/>
  <c r="AI134" i="23"/>
  <c r="AI139" i="23"/>
  <c r="AJ136" i="23"/>
  <c r="AI132" i="23"/>
  <c r="AT114" i="23"/>
  <c r="AH115" i="23"/>
  <c r="AM140" i="23"/>
  <c r="AM139" i="23"/>
  <c r="AM137" i="23"/>
  <c r="AM136" i="23"/>
  <c r="AM135" i="23"/>
  <c r="AM134" i="23"/>
  <c r="AM133" i="23"/>
  <c r="AM132" i="23"/>
  <c r="AM131" i="23"/>
  <c r="AM138" i="23"/>
  <c r="AH138" i="23"/>
  <c r="AH134" i="23"/>
  <c r="AH140" i="23"/>
  <c r="AH139" i="23"/>
  <c r="AH136" i="23"/>
  <c r="AH132" i="23"/>
  <c r="AH131" i="23"/>
  <c r="AT113" i="23"/>
  <c r="AH137" i="23"/>
  <c r="AH133" i="23"/>
  <c r="AH135" i="23"/>
  <c r="AS137" i="23"/>
  <c r="AS136" i="23"/>
  <c r="AS135" i="23"/>
  <c r="AS134" i="23"/>
  <c r="AS133" i="23"/>
  <c r="AS132" i="23"/>
  <c r="AS131" i="23"/>
  <c r="AS140" i="23"/>
  <c r="AS139" i="23"/>
  <c r="AS138" i="23"/>
  <c r="AV108" i="23"/>
  <c r="AV105" i="23"/>
  <c r="AP138" i="23"/>
  <c r="AP134" i="23"/>
  <c r="AP140" i="23"/>
  <c r="AP139" i="23"/>
  <c r="AP136" i="23"/>
  <c r="AP132" i="23"/>
  <c r="AP131" i="23"/>
  <c r="AP135" i="23"/>
  <c r="AP137" i="23"/>
  <c r="AP133" i="23"/>
  <c r="AO137" i="23"/>
  <c r="AO136" i="23"/>
  <c r="AO135" i="23"/>
  <c r="AO134" i="23"/>
  <c r="AO133" i="23"/>
  <c r="AO132" i="23"/>
  <c r="AO131" i="23"/>
  <c r="AO140" i="23"/>
  <c r="AO139" i="23"/>
  <c r="AO138" i="23"/>
  <c r="AL138" i="23"/>
  <c r="AL140" i="23"/>
  <c r="AL139" i="23"/>
  <c r="AL136" i="23"/>
  <c r="AL132" i="23"/>
  <c r="AL131" i="23"/>
  <c r="AL134" i="23"/>
  <c r="AL137" i="23"/>
  <c r="AL133" i="23"/>
  <c r="AL135" i="23"/>
  <c r="AU114" i="23"/>
  <c r="AN115" i="23"/>
  <c r="AK137" i="23"/>
  <c r="AK136" i="23"/>
  <c r="AK135" i="23"/>
  <c r="AK134" i="23"/>
  <c r="AK133" i="23"/>
  <c r="AK132" i="23"/>
  <c r="AK131" i="23"/>
  <c r="AK140" i="23"/>
  <c r="AK139" i="23"/>
  <c r="AK138" i="23"/>
  <c r="AU113" i="23"/>
  <c r="H36" i="18"/>
  <c r="H38" i="18"/>
  <c r="H18" i="18"/>
  <c r="AT105" i="21"/>
  <c r="AH113" i="21"/>
  <c r="AH136" i="21" s="1"/>
  <c r="AI113" i="21"/>
  <c r="AI135" i="21" s="1"/>
  <c r="AQ114" i="21"/>
  <c r="AQ115" i="21" s="1"/>
  <c r="AT110" i="21"/>
  <c r="AI114" i="21"/>
  <c r="AI115" i="21" s="1"/>
  <c r="AT106" i="21"/>
  <c r="AJ114" i="21"/>
  <c r="AJ115" i="21" s="1"/>
  <c r="AQ137" i="21"/>
  <c r="AQ136" i="21"/>
  <c r="AQ135" i="21"/>
  <c r="AQ134" i="21"/>
  <c r="AQ133" i="21"/>
  <c r="AQ132" i="21"/>
  <c r="AQ131" i="21"/>
  <c r="AQ140" i="21"/>
  <c r="AQ139" i="21"/>
  <c r="AQ138" i="21"/>
  <c r="AL140" i="21"/>
  <c r="AL139" i="21"/>
  <c r="AL136" i="21"/>
  <c r="AL134" i="21"/>
  <c r="AL132" i="21"/>
  <c r="AL138" i="21"/>
  <c r="AL137" i="21"/>
  <c r="AL135" i="21"/>
  <c r="AL133" i="21"/>
  <c r="AL131" i="21"/>
  <c r="AH114" i="21"/>
  <c r="AT104" i="21"/>
  <c r="AO114" i="21"/>
  <c r="AO115" i="21" s="1"/>
  <c r="AJ113" i="21"/>
  <c r="AU108" i="21"/>
  <c r="AT103" i="21"/>
  <c r="AO113" i="21"/>
  <c r="AT111" i="21"/>
  <c r="AK114" i="21"/>
  <c r="AK115" i="21" s="1"/>
  <c r="AP105" i="21"/>
  <c r="AU105" i="21" s="1"/>
  <c r="AP111" i="21"/>
  <c r="AU111" i="21" s="1"/>
  <c r="AP103" i="21"/>
  <c r="AU103" i="21" s="1"/>
  <c r="AP112" i="21"/>
  <c r="AU112" i="21" s="1"/>
  <c r="AU110" i="21"/>
  <c r="AP109" i="21"/>
  <c r="AU109" i="21" s="1"/>
  <c r="AM113" i="21"/>
  <c r="AP141" i="21"/>
  <c r="AN113" i="21"/>
  <c r="AT112" i="21"/>
  <c r="AT108" i="21"/>
  <c r="AL114" i="21"/>
  <c r="AL115" i="21" s="1"/>
  <c r="AK113" i="21"/>
  <c r="K10" i="21"/>
  <c r="AR113" i="21"/>
  <c r="AN114" i="21"/>
  <c r="AU104" i="21"/>
  <c r="AR114" i="21"/>
  <c r="AR115" i="21" s="1"/>
  <c r="AT109" i="21"/>
  <c r="AT107" i="21"/>
  <c r="AS121" i="21"/>
  <c r="AS107" i="21"/>
  <c r="AU107" i="21" s="1"/>
  <c r="AS106" i="21"/>
  <c r="AU106" i="21" s="1"/>
  <c r="AV106" i="21" s="1"/>
  <c r="AS141" i="21"/>
  <c r="D8" i="19"/>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21" i="8"/>
  <c r="L20" i="8"/>
  <c r="K20" i="8"/>
  <c r="J20" i="8"/>
  <c r="I20" i="8"/>
  <c r="E20" i="8"/>
  <c r="D20" i="8"/>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K69" i="19"/>
  <c r="K21" i="19"/>
  <c r="Q83" i="8"/>
  <c r="Q81" i="8"/>
  <c r="Y80" i="19"/>
  <c r="Q80" i="8"/>
  <c r="E36" i="18"/>
  <c r="E32" i="18"/>
  <c r="E28" i="18"/>
  <c r="L53" i="8"/>
  <c r="Z53" i="8"/>
  <c r="L54" i="8"/>
  <c r="Z54" i="8"/>
  <c r="L55" i="8"/>
  <c r="Z55" i="8"/>
  <c r="L56" i="8"/>
  <c r="Z56" i="8"/>
  <c r="L57" i="8"/>
  <c r="Z57" i="8"/>
  <c r="L58" i="8"/>
  <c r="Z58" i="8"/>
  <c r="L59" i="8"/>
  <c r="Z59" i="8"/>
  <c r="L60" i="8"/>
  <c r="Z60" i="8"/>
  <c r="L61" i="8"/>
  <c r="Z61" i="8"/>
  <c r="L62" i="8"/>
  <c r="Z62" i="8"/>
  <c r="L63" i="8"/>
  <c r="Z63" i="8"/>
  <c r="L64" i="8"/>
  <c r="Z64" i="8"/>
  <c r="L65" i="8"/>
  <c r="Z65" i="8"/>
  <c r="L66" i="8"/>
  <c r="Z66" i="8"/>
  <c r="L67" i="8"/>
  <c r="Z67" i="8"/>
  <c r="AV150" i="8"/>
  <c r="AV147" i="8"/>
  <c r="AV146" i="8"/>
  <c r="AV148" i="8" s="1"/>
  <c r="E38" i="18"/>
  <c r="E34" i="18"/>
  <c r="E30" i="18"/>
  <c r="E25" i="18"/>
  <c r="B23" i="18"/>
  <c r="Y7" i="19"/>
  <c r="AG35" i="8"/>
  <c r="L50" i="19"/>
  <c r="Z50" i="19"/>
  <c r="Z51" i="19"/>
  <c r="Z52" i="19"/>
  <c r="Z53" i="19"/>
  <c r="L54" i="19"/>
  <c r="Z54" i="19"/>
  <c r="L55" i="19"/>
  <c r="Z55" i="19"/>
  <c r="Z56" i="19"/>
  <c r="Z57" i="19"/>
  <c r="L58" i="19"/>
  <c r="Z58" i="19"/>
  <c r="L59" i="19"/>
  <c r="Z59" i="19"/>
  <c r="L60" i="19"/>
  <c r="Z60" i="19"/>
  <c r="L61" i="19"/>
  <c r="Z61" i="19"/>
  <c r="Z62" i="19"/>
  <c r="L63" i="19"/>
  <c r="Z63" i="19"/>
  <c r="L64" i="19"/>
  <c r="Z64" i="19"/>
  <c r="L65" i="19"/>
  <c r="Z65" i="19"/>
  <c r="L66" i="19"/>
  <c r="Z66" i="19"/>
  <c r="L67" i="19"/>
  <c r="Z67" i="19"/>
  <c r="L68" i="19"/>
  <c r="Z68" i="19"/>
  <c r="I80" i="19"/>
  <c r="X73" i="19"/>
  <c r="L73" i="19"/>
  <c r="H78" i="19"/>
  <c r="H73" i="19"/>
  <c r="C73" i="19"/>
  <c r="Y3" i="19"/>
  <c r="K3" i="19"/>
  <c r="A95" i="8"/>
  <c r="X73" i="8"/>
  <c r="L73" i="8"/>
  <c r="H73" i="8"/>
  <c r="C73" i="8"/>
  <c r="Y3" i="8"/>
  <c r="K3" i="8"/>
  <c r="Y82" i="19"/>
  <c r="Q82" i="8"/>
  <c r="Y83" i="8"/>
  <c r="D12" i="19"/>
  <c r="A12" i="19"/>
  <c r="A11" i="19"/>
  <c r="E87" i="19"/>
  <c r="E88" i="19"/>
  <c r="E89" i="19"/>
  <c r="E90" i="19"/>
  <c r="E86" i="19"/>
  <c r="E87" i="8"/>
  <c r="E88" i="8"/>
  <c r="E89" i="8"/>
  <c r="E90" i="8"/>
  <c r="E86" i="8"/>
  <c r="N95" i="8"/>
  <c r="AE153" i="19"/>
  <c r="AE152" i="19"/>
  <c r="AE151" i="19"/>
  <c r="AE150" i="19"/>
  <c r="AE149" i="19"/>
  <c r="AE148" i="19"/>
  <c r="AE147" i="19"/>
  <c r="AE146" i="19"/>
  <c r="AE147" i="8"/>
  <c r="AE148" i="8"/>
  <c r="AE149" i="8"/>
  <c r="AE150" i="8"/>
  <c r="AE151" i="8"/>
  <c r="AE152" i="8"/>
  <c r="AE153" i="8"/>
  <c r="AE146" i="8"/>
  <c r="AT142" i="19"/>
  <c r="AT141" i="19"/>
  <c r="AG137" i="19"/>
  <c r="AG136" i="19"/>
  <c r="AG135" i="19"/>
  <c r="AG134" i="19"/>
  <c r="AG133" i="19"/>
  <c r="AU127" i="19"/>
  <c r="AU126" i="19"/>
  <c r="AT126" i="19"/>
  <c r="AS123" i="19"/>
  <c r="AR123" i="19"/>
  <c r="AN123" i="19"/>
  <c r="G278" i="14"/>
  <c r="G279" i="14"/>
  <c r="G280" i="14"/>
  <c r="G281" i="14"/>
  <c r="G282" i="14"/>
  <c r="G283" i="14"/>
  <c r="G284" i="14"/>
  <c r="G285" i="14"/>
  <c r="G277" i="14"/>
  <c r="D17" i="20"/>
  <c r="D19" i="20"/>
  <c r="C21" i="20"/>
  <c r="C19" i="20"/>
  <c r="D18" i="20"/>
  <c r="C22" i="20"/>
  <c r="D22" i="20"/>
  <c r="C20" i="20"/>
  <c r="D20" i="20"/>
  <c r="AR149" i="19"/>
  <c r="AM145" i="19"/>
  <c r="AN145" i="19"/>
  <c r="AM146" i="19"/>
  <c r="AM147" i="19"/>
  <c r="AI145" i="19"/>
  <c r="AJ145" i="19"/>
  <c r="AK145" i="19"/>
  <c r="AL145" i="19"/>
  <c r="AI146" i="19"/>
  <c r="AJ146" i="19"/>
  <c r="AK146" i="19"/>
  <c r="AL146" i="19"/>
  <c r="AI147" i="19"/>
  <c r="AJ147" i="19"/>
  <c r="AK147" i="19"/>
  <c r="AL147" i="19"/>
  <c r="AI148" i="19"/>
  <c r="AJ148" i="19"/>
  <c r="AK148" i="19"/>
  <c r="AL148" i="19"/>
  <c r="AH145" i="19"/>
  <c r="AH146" i="19"/>
  <c r="AH147" i="19"/>
  <c r="AH148" i="19"/>
  <c r="AH149" i="19"/>
  <c r="AG145" i="19"/>
  <c r="AG146" i="19"/>
  <c r="N95" i="19" s="1"/>
  <c r="AG147" i="19"/>
  <c r="AG148" i="19"/>
  <c r="K77" i="19" s="1"/>
  <c r="AG149" i="19"/>
  <c r="AG150" i="19"/>
  <c r="AE111" i="19" s="1"/>
  <c r="AF145" i="19"/>
  <c r="AF146" i="19"/>
  <c r="AF147" i="19"/>
  <c r="AF148" i="19"/>
  <c r="AF149" i="19"/>
  <c r="AF150" i="19"/>
  <c r="AD146" i="19"/>
  <c r="AD147" i="19"/>
  <c r="AI102" i="19" s="1"/>
  <c r="AD148" i="19"/>
  <c r="AJ102" i="19" s="1"/>
  <c r="AD149" i="19"/>
  <c r="AK102" i="19" s="1"/>
  <c r="AD150" i="19"/>
  <c r="AL102" i="19" s="1"/>
  <c r="AD151" i="19"/>
  <c r="AD152" i="19"/>
  <c r="AN102" i="19" s="1"/>
  <c r="AD153" i="19"/>
  <c r="AD154" i="19"/>
  <c r="AP102" i="19" s="1"/>
  <c r="AD155" i="19"/>
  <c r="AQ102" i="19" s="1"/>
  <c r="AD156" i="19"/>
  <c r="AR102" i="19" s="1"/>
  <c r="AD157" i="19"/>
  <c r="AS102" i="19" s="1"/>
  <c r="AS121" i="19" s="1"/>
  <c r="AD145" i="19"/>
  <c r="AG137" i="8"/>
  <c r="AG136" i="8"/>
  <c r="AG135" i="8"/>
  <c r="AG134" i="8"/>
  <c r="AG133" i="8"/>
  <c r="I95" i="8"/>
  <c r="I96" i="19" s="1"/>
  <c r="AR149" i="8"/>
  <c r="O125" i="4"/>
  <c r="AR123" i="8"/>
  <c r="AS123" i="8"/>
  <c r="AN123" i="8"/>
  <c r="O119" i="4"/>
  <c r="O120" i="4"/>
  <c r="O121" i="4"/>
  <c r="O122" i="4"/>
  <c r="O123" i="4"/>
  <c r="O124" i="4"/>
  <c r="J95" i="8"/>
  <c r="J96" i="19" s="1"/>
  <c r="H95" i="8"/>
  <c r="H96" i="19" s="1"/>
  <c r="B4" i="20"/>
  <c r="B5" i="20"/>
  <c r="B6" i="20"/>
  <c r="B7" i="20"/>
  <c r="B8" i="20"/>
  <c r="B9" i="20"/>
  <c r="B10" i="20"/>
  <c r="B11" i="20"/>
  <c r="B12" i="20"/>
  <c r="B13" i="20"/>
  <c r="B14" i="20"/>
  <c r="B15" i="20"/>
  <c r="B3" i="20"/>
  <c r="B2" i="20"/>
  <c r="B4" i="18"/>
  <c r="T18" i="19"/>
  <c r="AE140" i="19" s="1"/>
  <c r="AE140" i="8"/>
  <c r="AP148" i="8"/>
  <c r="K5" i="19"/>
  <c r="AT141" i="8"/>
  <c r="AU126" i="8"/>
  <c r="AT126" i="8"/>
  <c r="E37" i="18"/>
  <c r="E33" i="18"/>
  <c r="E29" i="18"/>
  <c r="W76" i="8"/>
  <c r="A14" i="8"/>
  <c r="K11" i="8"/>
  <c r="L95" i="8" s="1"/>
  <c r="AP147" i="8"/>
  <c r="E31" i="18"/>
  <c r="E27" i="18"/>
  <c r="I75" i="19"/>
  <c r="D79" i="19"/>
  <c r="D5" i="19"/>
  <c r="O80" i="8"/>
  <c r="N80" i="8"/>
  <c r="AB20" i="8"/>
  <c r="AA20" i="8"/>
  <c r="K4" i="19"/>
  <c r="AF151" i="8"/>
  <c r="M229" i="4" s="1"/>
  <c r="K8" i="8"/>
  <c r="E11" i="18"/>
  <c r="Y10" i="8"/>
  <c r="A96" i="8"/>
  <c r="Y73" i="8"/>
  <c r="N73" i="8"/>
  <c r="I73" i="8"/>
  <c r="AT152"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68" i="8"/>
  <c r="Z69" i="8"/>
  <c r="Z21" i="8"/>
  <c r="Z22" i="19"/>
  <c r="Z23" i="19"/>
  <c r="Z24" i="19"/>
  <c r="Z25" i="19"/>
  <c r="Z26" i="19"/>
  <c r="Z27" i="19"/>
  <c r="Z28" i="19"/>
  <c r="Z29" i="19"/>
  <c r="Z30" i="19"/>
  <c r="Z31" i="19"/>
  <c r="Z32" i="19"/>
  <c r="Z33" i="19"/>
  <c r="Z34" i="19"/>
  <c r="Z35" i="19"/>
  <c r="Z36" i="19"/>
  <c r="Z37" i="19"/>
  <c r="Z38" i="19"/>
  <c r="Z39" i="19"/>
  <c r="Z40" i="19"/>
  <c r="Z41" i="19"/>
  <c r="Z42" i="19"/>
  <c r="Z43" i="19"/>
  <c r="Z44" i="19"/>
  <c r="Z45" i="19"/>
  <c r="Z46" i="19"/>
  <c r="Z47" i="19"/>
  <c r="Z48" i="19"/>
  <c r="Z49" i="19"/>
  <c r="Z69" i="19"/>
  <c r="Z21" i="19"/>
  <c r="G97" i="8"/>
  <c r="F97" i="8"/>
  <c r="G97" i="19"/>
  <c r="F97" i="19"/>
  <c r="Y96" i="19"/>
  <c r="X96" i="19"/>
  <c r="W96" i="19"/>
  <c r="Q96" i="19"/>
  <c r="P96" i="19"/>
  <c r="O96" i="19"/>
  <c r="I82" i="19"/>
  <c r="I76" i="19"/>
  <c r="I74" i="19"/>
  <c r="K15" i="19"/>
  <c r="L14" i="19"/>
  <c r="L13" i="19"/>
  <c r="L12" i="19"/>
  <c r="L10" i="19"/>
  <c r="L9" i="19"/>
  <c r="L7" i="19"/>
  <c r="L6" i="19"/>
  <c r="E15" i="19"/>
  <c r="E14" i="19"/>
  <c r="D13" i="19"/>
  <c r="N14" i="19" s="1"/>
  <c r="D11" i="19"/>
  <c r="K20" i="19" s="1"/>
  <c r="D9" i="19"/>
  <c r="D7" i="19"/>
  <c r="D6" i="19"/>
  <c r="D4" i="19"/>
  <c r="L69" i="19"/>
  <c r="L47" i="19"/>
  <c r="L46" i="19"/>
  <c r="L45" i="19"/>
  <c r="L44" i="19"/>
  <c r="L42" i="19"/>
  <c r="L37" i="19"/>
  <c r="C15" i="20"/>
  <c r="C12" i="20"/>
  <c r="C11" i="20"/>
  <c r="L31" i="19"/>
  <c r="C9" i="20"/>
  <c r="C8" i="20"/>
  <c r="C7" i="20"/>
  <c r="C5" i="20"/>
  <c r="L25" i="19"/>
  <c r="C4" i="20"/>
  <c r="C3" i="20"/>
  <c r="L22" i="19"/>
  <c r="K11" i="19"/>
  <c r="C81" i="19" s="1"/>
  <c r="K10" i="19" s="1"/>
  <c r="K8" i="19"/>
  <c r="A2" i="19"/>
  <c r="AF131" i="8"/>
  <c r="L50" i="8"/>
  <c r="L52" i="8"/>
  <c r="L69" i="8"/>
  <c r="AF132" i="8"/>
  <c r="AD141" i="8"/>
  <c r="AN147" i="8"/>
  <c r="X39" i="8" s="1"/>
  <c r="AN146" i="8"/>
  <c r="AN146" i="19" s="1"/>
  <c r="AT142" i="8"/>
  <c r="AD116" i="8"/>
  <c r="AD103" i="8"/>
  <c r="AS102" i="8"/>
  <c r="AS105" i="8" s="1"/>
  <c r="AR102" i="8"/>
  <c r="AR107" i="8" s="1"/>
  <c r="AQ102" i="8"/>
  <c r="AQ121" i="8" s="1"/>
  <c r="AP102" i="8"/>
  <c r="AP106" i="8" s="1"/>
  <c r="AO102" i="8"/>
  <c r="AO105" i="8" s="1"/>
  <c r="AN102" i="8"/>
  <c r="AM102" i="8"/>
  <c r="AM121" i="8" s="1"/>
  <c r="AM122" i="8" s="1"/>
  <c r="AM123" i="8" s="1"/>
  <c r="AL102" i="8"/>
  <c r="AL108" i="8" s="1"/>
  <c r="AK102" i="8"/>
  <c r="AK108" i="8" s="1"/>
  <c r="AJ102" i="8"/>
  <c r="AI102" i="8"/>
  <c r="AH102" i="8"/>
  <c r="AH108" i="8" s="1"/>
  <c r="L37" i="8"/>
  <c r="L39" i="8"/>
  <c r="L41" i="8"/>
  <c r="L42" i="8"/>
  <c r="L43" i="8"/>
  <c r="L44" i="8"/>
  <c r="L45" i="8"/>
  <c r="L46" i="8"/>
  <c r="L48" i="8"/>
  <c r="L49" i="8"/>
  <c r="E10" i="18"/>
  <c r="E21" i="18"/>
  <c r="E22" i="18"/>
  <c r="E24" i="18"/>
  <c r="E20" i="18"/>
  <c r="AD143" i="8"/>
  <c r="AD142" i="8"/>
  <c r="E35" i="18"/>
  <c r="B8" i="18"/>
  <c r="B7" i="18"/>
  <c r="B6" i="18"/>
  <c r="B5" i="18"/>
  <c r="A2" i="18"/>
  <c r="K76" i="8"/>
  <c r="K77" i="8"/>
  <c r="M77" i="8" s="1"/>
  <c r="K78" i="8"/>
  <c r="M78" i="8" s="1"/>
  <c r="K79" i="8"/>
  <c r="K75" i="8"/>
  <c r="G11" i="8"/>
  <c r="AT150" i="8"/>
  <c r="AT147" i="8"/>
  <c r="AT146" i="8"/>
  <c r="AE111" i="8"/>
  <c r="AE109" i="8"/>
  <c r="AS109" i="8" s="1"/>
  <c r="AE107" i="8"/>
  <c r="AQ108" i="8" s="1"/>
  <c r="AE105" i="8"/>
  <c r="AE103" i="8"/>
  <c r="Y20" i="8"/>
  <c r="X20" i="8"/>
  <c r="A15" i="8"/>
  <c r="Y79" i="8"/>
  <c r="G197" i="4"/>
  <c r="G200" i="4"/>
  <c r="G201" i="4"/>
  <c r="G196" i="4"/>
  <c r="G181" i="4"/>
  <c r="A2" i="8"/>
  <c r="C80" i="8"/>
  <c r="I196" i="4"/>
  <c r="W74" i="8"/>
  <c r="W20" i="8"/>
  <c r="W75" i="8"/>
  <c r="L40" i="8"/>
  <c r="L47" i="8"/>
  <c r="L51" i="8"/>
  <c r="L68" i="8"/>
  <c r="AR110" i="8"/>
  <c r="Y73" i="19"/>
  <c r="N73" i="19"/>
  <c r="E3" i="19"/>
  <c r="A96" i="19"/>
  <c r="I73" i="19"/>
  <c r="L3" i="19"/>
  <c r="D73" i="19"/>
  <c r="A10" i="8"/>
  <c r="I78" i="19"/>
  <c r="AI109" i="8"/>
  <c r="L36" i="19"/>
  <c r="L39" i="19"/>
  <c r="AI107" i="8"/>
  <c r="AL105" i="8"/>
  <c r="AQ105" i="8"/>
  <c r="AM105" i="8"/>
  <c r="AN105" i="8"/>
  <c r="AQ106" i="8"/>
  <c r="AI106" i="8"/>
  <c r="AU127" i="8"/>
  <c r="L33" i="19"/>
  <c r="A10" i="19"/>
  <c r="A95" i="19"/>
  <c r="AN111" i="8"/>
  <c r="AO108" i="8"/>
  <c r="G182" i="4"/>
  <c r="I182" i="4"/>
  <c r="G185" i="4"/>
  <c r="G186" i="4"/>
  <c r="D21" i="20"/>
  <c r="M79" i="8"/>
  <c r="L38" i="8"/>
  <c r="L35" i="8"/>
  <c r="L36" i="8"/>
  <c r="AB36" i="8"/>
  <c r="L24" i="19"/>
  <c r="L30" i="19"/>
  <c r="L27" i="19"/>
  <c r="L21" i="19"/>
  <c r="L40" i="19"/>
  <c r="L38" i="19"/>
  <c r="L57" i="19"/>
  <c r="L62" i="19"/>
  <c r="L51" i="19"/>
  <c r="L43" i="19"/>
  <c r="L48" i="19"/>
  <c r="L49" i="19"/>
  <c r="L53" i="19"/>
  <c r="L35" i="19"/>
  <c r="L32" i="19"/>
  <c r="L28" i="19"/>
  <c r="L26" i="19"/>
  <c r="L23" i="19"/>
  <c r="L34" i="19"/>
  <c r="L29" i="19"/>
  <c r="L41" i="19"/>
  <c r="L56" i="19"/>
  <c r="X75" i="19"/>
  <c r="L52" i="19"/>
  <c r="D80" i="19"/>
  <c r="K79" i="19"/>
  <c r="F50" i="18"/>
  <c r="G7" i="18"/>
  <c r="F48" i="18"/>
  <c r="G35" i="18"/>
  <c r="F49" i="18"/>
  <c r="G54" i="18"/>
  <c r="F10" i="18"/>
  <c r="F23" i="18"/>
  <c r="G23" i="18"/>
  <c r="F52" i="18"/>
  <c r="F54" i="18"/>
  <c r="F7" i="18"/>
  <c r="G17" i="18"/>
  <c r="G10" i="18"/>
  <c r="AU132" i="23" l="1"/>
  <c r="L71" i="23" s="1"/>
  <c r="AQ119" i="23"/>
  <c r="AM119" i="23"/>
  <c r="AI119" i="23"/>
  <c r="AS119" i="23"/>
  <c r="AO119" i="23"/>
  <c r="AK119" i="23"/>
  <c r="AR119" i="23"/>
  <c r="AJ119" i="23"/>
  <c r="AP119" i="23"/>
  <c r="AH119" i="23"/>
  <c r="AN119" i="23"/>
  <c r="AL119" i="23"/>
  <c r="AU140" i="23"/>
  <c r="T71" i="23" s="1"/>
  <c r="AU139" i="23"/>
  <c r="S71" i="23" s="1"/>
  <c r="AU137" i="23"/>
  <c r="Q71" i="23" s="1"/>
  <c r="AU136" i="23"/>
  <c r="P71" i="23" s="1"/>
  <c r="AU135" i="23"/>
  <c r="O71" i="23" s="1"/>
  <c r="AU134" i="23"/>
  <c r="N71" i="23" s="1"/>
  <c r="AU133" i="23"/>
  <c r="M71" i="23" s="1"/>
  <c r="AU131" i="23"/>
  <c r="K71" i="23" s="1"/>
  <c r="E71" i="23"/>
  <c r="AU138" i="23"/>
  <c r="R71" i="23" s="1"/>
  <c r="AT138" i="23"/>
  <c r="R70" i="23" s="1"/>
  <c r="AT140" i="23"/>
  <c r="T70" i="23" s="1"/>
  <c r="AT139" i="23"/>
  <c r="S70" i="23" s="1"/>
  <c r="AT136" i="23"/>
  <c r="P70" i="23" s="1"/>
  <c r="AT131" i="23"/>
  <c r="K70" i="23" s="1"/>
  <c r="AV113" i="23"/>
  <c r="AT134" i="23"/>
  <c r="N70" i="23" s="1"/>
  <c r="AT135" i="23"/>
  <c r="O70" i="23" s="1"/>
  <c r="AT137" i="23"/>
  <c r="Q70" i="23" s="1"/>
  <c r="AT133" i="23"/>
  <c r="M70" i="23" s="1"/>
  <c r="E70" i="23"/>
  <c r="AU115" i="23"/>
  <c r="AT132" i="23"/>
  <c r="L70" i="23" s="1"/>
  <c r="AV132" i="23"/>
  <c r="AV114" i="23"/>
  <c r="AT115" i="23"/>
  <c r="AI140" i="21"/>
  <c r="AV108" i="21"/>
  <c r="AI132" i="21"/>
  <c r="AH137" i="21"/>
  <c r="AI136" i="21"/>
  <c r="AH138" i="21"/>
  <c r="AH133" i="21"/>
  <c r="AV105" i="21"/>
  <c r="AV110" i="21"/>
  <c r="AH131" i="21"/>
  <c r="AH135" i="21"/>
  <c r="AH139" i="21"/>
  <c r="AH134" i="21"/>
  <c r="AH140" i="21"/>
  <c r="AH132" i="21"/>
  <c r="M95" i="8"/>
  <c r="K13" i="21"/>
  <c r="K14" i="21"/>
  <c r="K12" i="21"/>
  <c r="AI137" i="21"/>
  <c r="AV103" i="21"/>
  <c r="AI138" i="21"/>
  <c r="AI134" i="21"/>
  <c r="AI139" i="21"/>
  <c r="AI133" i="21"/>
  <c r="AI131" i="21"/>
  <c r="AU141" i="21"/>
  <c r="AV141" i="21" s="1"/>
  <c r="AP114" i="21"/>
  <c r="AP115" i="21" s="1"/>
  <c r="AS114" i="21"/>
  <c r="AS115" i="21" s="1"/>
  <c r="L96" i="19"/>
  <c r="L96" i="21"/>
  <c r="O77" i="19"/>
  <c r="O77" i="21"/>
  <c r="O79" i="19"/>
  <c r="O79" i="21"/>
  <c r="N96" i="19"/>
  <c r="N96" i="21"/>
  <c r="O78" i="19"/>
  <c r="O78" i="21"/>
  <c r="M96" i="19"/>
  <c r="M96" i="21"/>
  <c r="AJ138" i="21"/>
  <c r="AJ137" i="21"/>
  <c r="AJ136" i="21"/>
  <c r="AJ135" i="21"/>
  <c r="AJ134" i="21"/>
  <c r="AJ133" i="21"/>
  <c r="AJ132" i="21"/>
  <c r="AJ131" i="21"/>
  <c r="AJ140" i="21"/>
  <c r="AJ139" i="21"/>
  <c r="AR138" i="21"/>
  <c r="AR137" i="21"/>
  <c r="AR135" i="21"/>
  <c r="AR133" i="21"/>
  <c r="AR131" i="21"/>
  <c r="AR139" i="21"/>
  <c r="AR136" i="21"/>
  <c r="AR134" i="21"/>
  <c r="AR132" i="21"/>
  <c r="AR140" i="21"/>
  <c r="AV107" i="21"/>
  <c r="AN115" i="21"/>
  <c r="AN138" i="21"/>
  <c r="AN137" i="21"/>
  <c r="AN136" i="21"/>
  <c r="AN135" i="21"/>
  <c r="AN134" i="21"/>
  <c r="AN133" i="21"/>
  <c r="AN132" i="21"/>
  <c r="AN131" i="21"/>
  <c r="AN140" i="21"/>
  <c r="AN139" i="21"/>
  <c r="AM137" i="21"/>
  <c r="AM136" i="21"/>
  <c r="AM135" i="21"/>
  <c r="AM134" i="21"/>
  <c r="AM133" i="21"/>
  <c r="AM132" i="21"/>
  <c r="AM131" i="21"/>
  <c r="AM138" i="21"/>
  <c r="AM140" i="21"/>
  <c r="AM139" i="21"/>
  <c r="AV104" i="21"/>
  <c r="AK140" i="21"/>
  <c r="AK139" i="21"/>
  <c r="AK138" i="21"/>
  <c r="AK136" i="21"/>
  <c r="AK134" i="21"/>
  <c r="AK132" i="21"/>
  <c r="AK137" i="21"/>
  <c r="AK135" i="21"/>
  <c r="AK131" i="21"/>
  <c r="AK133" i="21"/>
  <c r="AV112" i="21"/>
  <c r="AT113" i="21"/>
  <c r="AV111" i="21"/>
  <c r="AS119" i="21"/>
  <c r="AO119" i="21"/>
  <c r="AK119" i="21"/>
  <c r="AR119" i="21"/>
  <c r="AN119" i="21"/>
  <c r="AJ119" i="21"/>
  <c r="AM119" i="21"/>
  <c r="AL119" i="21"/>
  <c r="AQ119" i="21"/>
  <c r="AP119" i="21"/>
  <c r="AI119" i="21"/>
  <c r="AH119" i="21"/>
  <c r="AV109" i="21"/>
  <c r="AP113" i="21"/>
  <c r="AO140" i="21"/>
  <c r="AO139" i="21"/>
  <c r="AO137" i="21"/>
  <c r="AO136" i="21"/>
  <c r="AO135" i="21"/>
  <c r="AO134" i="21"/>
  <c r="AO133" i="21"/>
  <c r="AO132" i="21"/>
  <c r="AO131" i="21"/>
  <c r="AO138" i="21"/>
  <c r="AS113" i="21"/>
  <c r="AT114" i="21"/>
  <c r="AH115" i="21"/>
  <c r="C81" i="8"/>
  <c r="D81" i="21" s="1"/>
  <c r="F95" i="8"/>
  <c r="F96" i="21" s="1"/>
  <c r="G36" i="18"/>
  <c r="AH35" i="8"/>
  <c r="AK112" i="8"/>
  <c r="AO112" i="8"/>
  <c r="G95" i="8"/>
  <c r="G96" i="21" s="1"/>
  <c r="K95" i="8"/>
  <c r="K96" i="21" s="1"/>
  <c r="AH110" i="8"/>
  <c r="AQ111" i="8"/>
  <c r="AS110" i="8"/>
  <c r="AK105" i="8"/>
  <c r="AP109" i="8"/>
  <c r="AR106" i="8"/>
  <c r="AQ109" i="8"/>
  <c r="AN110" i="8"/>
  <c r="AR103" i="8"/>
  <c r="AP108" i="8"/>
  <c r="AP112" i="8"/>
  <c r="AK106" i="8"/>
  <c r="AJ109" i="8"/>
  <c r="AN109" i="8"/>
  <c r="C6" i="20"/>
  <c r="C10" i="20"/>
  <c r="C13" i="20"/>
  <c r="C14" i="20"/>
  <c r="Q82" i="19"/>
  <c r="AV126" i="19"/>
  <c r="Q83" i="19"/>
  <c r="AD143" i="19"/>
  <c r="AE107" i="19"/>
  <c r="AK108" i="19" s="1"/>
  <c r="A15" i="19"/>
  <c r="Q80" i="19"/>
  <c r="AF131" i="19"/>
  <c r="I20" i="19"/>
  <c r="AF132" i="19"/>
  <c r="X20" i="19"/>
  <c r="AD103" i="19"/>
  <c r="Q81" i="19"/>
  <c r="AR141" i="19"/>
  <c r="AN141" i="19"/>
  <c r="G95" i="19"/>
  <c r="X74" i="19"/>
  <c r="X76" i="19" s="1"/>
  <c r="K14" i="19"/>
  <c r="AR119" i="8"/>
  <c r="AP119" i="19"/>
  <c r="AS112" i="19"/>
  <c r="AL111" i="19"/>
  <c r="AP112" i="19"/>
  <c r="AP141" i="19"/>
  <c r="AP148" i="19"/>
  <c r="AB45" i="8"/>
  <c r="AB37" i="8"/>
  <c r="AA39" i="8"/>
  <c r="AA48" i="8"/>
  <c r="AQ104" i="8"/>
  <c r="AQ112" i="8"/>
  <c r="AK111" i="8"/>
  <c r="AI111" i="8"/>
  <c r="AB26" i="8"/>
  <c r="Y53" i="8"/>
  <c r="L34" i="8"/>
  <c r="AA32" i="8"/>
  <c r="L29" i="8"/>
  <c r="L27" i="8"/>
  <c r="L25" i="8"/>
  <c r="L23" i="8"/>
  <c r="L21" i="8"/>
  <c r="K95" i="19"/>
  <c r="D20" i="19"/>
  <c r="AT147" i="19"/>
  <c r="AB44" i="8"/>
  <c r="AQ107" i="8"/>
  <c r="AI112" i="8"/>
  <c r="AO111" i="8"/>
  <c r="AH112" i="8"/>
  <c r="AB25" i="8"/>
  <c r="AM106" i="8"/>
  <c r="AB52" i="8"/>
  <c r="AO106" i="8"/>
  <c r="AN106" i="8"/>
  <c r="AA56" i="8"/>
  <c r="AP111" i="8"/>
  <c r="AV126" i="8"/>
  <c r="W76" i="19"/>
  <c r="Y39" i="8"/>
  <c r="F95" i="19"/>
  <c r="AS141" i="19"/>
  <c r="AB43" i="8"/>
  <c r="AH106" i="8"/>
  <c r="AM107" i="8"/>
  <c r="AM112" i="8"/>
  <c r="AN112" i="8"/>
  <c r="AM111" i="8"/>
  <c r="AP105" i="8"/>
  <c r="AL112" i="8"/>
  <c r="AT152" i="19"/>
  <c r="L8" i="19"/>
  <c r="AB67" i="8"/>
  <c r="L31" i="8"/>
  <c r="L33" i="8"/>
  <c r="L30" i="8"/>
  <c r="L28" i="8"/>
  <c r="L26" i="8"/>
  <c r="L24" i="8"/>
  <c r="L22" i="8"/>
  <c r="AK119" i="19"/>
  <c r="W74" i="19"/>
  <c r="Y20" i="19"/>
  <c r="AA20" i="19"/>
  <c r="AP147" i="19"/>
  <c r="AD141" i="19"/>
  <c r="J20" i="19"/>
  <c r="K12" i="19"/>
  <c r="H95" i="19" s="1"/>
  <c r="K13" i="19"/>
  <c r="W75" i="19"/>
  <c r="L20" i="19"/>
  <c r="AB20" i="19"/>
  <c r="AD142" i="19"/>
  <c r="W20" i="19"/>
  <c r="M95" i="19"/>
  <c r="AQ119" i="8"/>
  <c r="L95" i="19"/>
  <c r="AN119" i="19"/>
  <c r="AR119" i="19"/>
  <c r="AS111" i="19"/>
  <c r="AR111" i="19"/>
  <c r="AN111" i="19"/>
  <c r="AN112" i="19"/>
  <c r="AK112" i="19"/>
  <c r="AP111" i="19"/>
  <c r="AJ119" i="8"/>
  <c r="AL119" i="19"/>
  <c r="AR112" i="19"/>
  <c r="X53" i="8"/>
  <c r="AS108" i="19"/>
  <c r="AH119" i="8"/>
  <c r="AM119" i="8"/>
  <c r="AN119" i="8"/>
  <c r="AL119" i="8"/>
  <c r="AS119" i="8"/>
  <c r="AO119" i="8"/>
  <c r="AI119" i="8"/>
  <c r="M225" i="4"/>
  <c r="M248" i="4"/>
  <c r="J97" i="23" s="1"/>
  <c r="M227" i="4"/>
  <c r="M245" i="4"/>
  <c r="K97" i="23" s="1"/>
  <c r="M247" i="4"/>
  <c r="H97" i="23" s="1"/>
  <c r="M228" i="4"/>
  <c r="M234" i="4"/>
  <c r="M232" i="4"/>
  <c r="M236" i="4"/>
  <c r="M97" i="23" s="1"/>
  <c r="M233" i="4"/>
  <c r="C77" i="23" s="1"/>
  <c r="M230" i="4"/>
  <c r="M244" i="4"/>
  <c r="E97" i="23" s="1"/>
  <c r="M226" i="4"/>
  <c r="M235" i="4"/>
  <c r="L97" i="23" s="1"/>
  <c r="M246" i="4"/>
  <c r="M231" i="4"/>
  <c r="M249" i="4"/>
  <c r="M243" i="4"/>
  <c r="D97" i="21" s="1"/>
  <c r="AK119" i="8"/>
  <c r="AK111" i="19"/>
  <c r="AS119" i="19"/>
  <c r="AP119" i="8"/>
  <c r="M242" i="4"/>
  <c r="C97" i="23" s="1"/>
  <c r="AN103" i="8"/>
  <c r="AP103" i="8"/>
  <c r="AM104" i="8"/>
  <c r="AO104" i="8"/>
  <c r="AN104" i="8"/>
  <c r="AL104" i="8"/>
  <c r="AQ103" i="8"/>
  <c r="AK104" i="8"/>
  <c r="AI103" i="8"/>
  <c r="AM103" i="8"/>
  <c r="AS103" i="8"/>
  <c r="AI104" i="8"/>
  <c r="AJ104" i="8"/>
  <c r="AH103" i="8"/>
  <c r="AS104" i="8"/>
  <c r="AP104" i="8"/>
  <c r="AO103" i="8"/>
  <c r="AL103" i="8"/>
  <c r="AH104" i="8"/>
  <c r="AJ103" i="8"/>
  <c r="AK103" i="8"/>
  <c r="AR104" i="8"/>
  <c r="AJ112" i="8"/>
  <c r="AJ105" i="8"/>
  <c r="AJ106" i="8"/>
  <c r="AJ111" i="8"/>
  <c r="AB56" i="8"/>
  <c r="AB57" i="8"/>
  <c r="AA60" i="8"/>
  <c r="AA61" i="8"/>
  <c r="AB62" i="8"/>
  <c r="AB63" i="8"/>
  <c r="AA66" i="8"/>
  <c r="AA67" i="8"/>
  <c r="X52" i="8"/>
  <c r="Y44" i="8"/>
  <c r="Y24" i="8"/>
  <c r="AN147" i="19"/>
  <c r="AA38" i="8"/>
  <c r="AA41" i="8"/>
  <c r="AB22" i="8"/>
  <c r="AA69" i="8"/>
  <c r="AB68" i="8"/>
  <c r="AA49" i="8"/>
  <c r="AA22" i="8"/>
  <c r="AA53" i="8"/>
  <c r="AB54" i="8"/>
  <c r="AB55" i="8"/>
  <c r="AA58" i="8"/>
  <c r="AA59" i="8"/>
  <c r="AB64" i="8"/>
  <c r="AB65" i="8"/>
  <c r="X66" i="8"/>
  <c r="X50" i="8"/>
  <c r="Y38" i="8"/>
  <c r="Y30" i="8"/>
  <c r="Y22" i="8"/>
  <c r="AA36" i="8"/>
  <c r="AA37" i="8"/>
  <c r="AA45" i="8"/>
  <c r="AA47" i="8"/>
  <c r="AA23" i="8"/>
  <c r="AA68" i="8"/>
  <c r="AA28" i="8"/>
  <c r="AA27" i="8"/>
  <c r="AB28" i="8"/>
  <c r="AB24" i="8"/>
  <c r="AB30" i="8"/>
  <c r="AA42" i="8"/>
  <c r="AB38" i="8"/>
  <c r="AA55" i="8"/>
  <c r="AB59" i="8"/>
  <c r="AB60" i="8"/>
  <c r="AA62" i="8"/>
  <c r="AA35" i="8"/>
  <c r="AA46" i="8"/>
  <c r="AB21" i="8"/>
  <c r="AB23" i="8"/>
  <c r="AA52" i="8"/>
  <c r="AA50" i="8"/>
  <c r="AA24" i="8"/>
  <c r="AB29" i="8"/>
  <c r="AA43" i="8"/>
  <c r="AB35" i="8"/>
  <c r="AB46" i="8"/>
  <c r="AB49" i="8"/>
  <c r="AB42" i="8"/>
  <c r="AA57" i="8"/>
  <c r="AB58" i="8"/>
  <c r="AB61" i="8"/>
  <c r="X62" i="8"/>
  <c r="AA64" i="8"/>
  <c r="AA40" i="8"/>
  <c r="AB51" i="8"/>
  <c r="AB69" i="8"/>
  <c r="AA21" i="8"/>
  <c r="AA29" i="8"/>
  <c r="AB27" i="8"/>
  <c r="AB53" i="8"/>
  <c r="X54" i="8"/>
  <c r="AA63" i="8"/>
  <c r="AA65" i="8"/>
  <c r="AB66" i="8"/>
  <c r="AA26" i="8"/>
  <c r="AB50" i="8"/>
  <c r="AB39" i="8"/>
  <c r="AB48" i="8"/>
  <c r="AA30" i="8"/>
  <c r="AA51" i="8"/>
  <c r="AA44" i="8"/>
  <c r="AA25" i="8"/>
  <c r="AB40" i="8"/>
  <c r="AB47" i="8"/>
  <c r="AB41" i="8"/>
  <c r="AA54" i="8"/>
  <c r="AI108" i="8"/>
  <c r="AH107" i="8"/>
  <c r="AM108" i="8"/>
  <c r="AJ107" i="8"/>
  <c r="AR108" i="8"/>
  <c r="AN108" i="8"/>
  <c r="AK107" i="8"/>
  <c r="AP107" i="8"/>
  <c r="AO107" i="8"/>
  <c r="AS107" i="8"/>
  <c r="AS108" i="8"/>
  <c r="AJ108" i="8"/>
  <c r="AN107" i="8"/>
  <c r="AL107" i="8"/>
  <c r="AH105" i="8"/>
  <c r="AH109" i="8"/>
  <c r="AH111" i="8"/>
  <c r="AL110" i="8"/>
  <c r="AL111" i="8"/>
  <c r="AL106" i="8"/>
  <c r="AL121" i="8"/>
  <c r="AL122" i="8" s="1"/>
  <c r="AL123" i="8" s="1"/>
  <c r="AR112" i="8"/>
  <c r="AR111" i="8"/>
  <c r="AR121" i="8"/>
  <c r="AO110" i="8"/>
  <c r="AJ110" i="8"/>
  <c r="AO109" i="8"/>
  <c r="AI110" i="8"/>
  <c r="AL109" i="8"/>
  <c r="AP110" i="8"/>
  <c r="AM109" i="8"/>
  <c r="AK109" i="8"/>
  <c r="AM110" i="8"/>
  <c r="AK110" i="8"/>
  <c r="AR109" i="8"/>
  <c r="AQ110" i="8"/>
  <c r="C78" i="19"/>
  <c r="AR105" i="8"/>
  <c r="AI105" i="8"/>
  <c r="AI121" i="8"/>
  <c r="AI122" i="8" s="1"/>
  <c r="AI123" i="8" s="1"/>
  <c r="AS121" i="8"/>
  <c r="AS106" i="8"/>
  <c r="AS112" i="8"/>
  <c r="AS111" i="8"/>
  <c r="L11" i="19"/>
  <c r="AF151" i="19"/>
  <c r="AM102" i="19"/>
  <c r="AV150" i="19"/>
  <c r="AI121" i="19"/>
  <c r="AI122" i="19" s="1"/>
  <c r="AI119" i="19"/>
  <c r="AI111" i="19"/>
  <c r="AE105" i="19"/>
  <c r="K76" i="19"/>
  <c r="AI112" i="19"/>
  <c r="AQ141" i="19"/>
  <c r="AQ112" i="19"/>
  <c r="AQ111" i="19"/>
  <c r="AO102" i="19"/>
  <c r="AV146" i="19"/>
  <c r="AV148" i="19" s="1"/>
  <c r="AH102" i="19"/>
  <c r="AV147" i="19"/>
  <c r="AE109" i="19"/>
  <c r="K78" i="19"/>
  <c r="M78" i="19" s="1"/>
  <c r="AQ119" i="19"/>
  <c r="I97" i="19"/>
  <c r="AD116" i="19"/>
  <c r="AT146" i="19"/>
  <c r="G11" i="19"/>
  <c r="P8" i="19"/>
  <c r="A14" i="19"/>
  <c r="E20" i="19"/>
  <c r="AT150" i="19"/>
  <c r="P6" i="19"/>
  <c r="AL121" i="19"/>
  <c r="AL122" i="19" s="1"/>
  <c r="AL112" i="19"/>
  <c r="AS107" i="19"/>
  <c r="AJ119" i="19"/>
  <c r="AJ111" i="19"/>
  <c r="AJ112" i="19"/>
  <c r="K75" i="19"/>
  <c r="AE103" i="19"/>
  <c r="C78" i="8"/>
  <c r="D78" i="23" s="1"/>
  <c r="G18" i="18"/>
  <c r="F17" i="18"/>
  <c r="G52" i="18"/>
  <c r="G37" i="18"/>
  <c r="H20" i="18"/>
  <c r="F46" i="18"/>
  <c r="G47" i="18"/>
  <c r="F51" i="18"/>
  <c r="G51" i="18"/>
  <c r="F53" i="18"/>
  <c r="F47" i="18"/>
  <c r="G46" i="18"/>
  <c r="G48" i="18"/>
  <c r="G53" i="18"/>
  <c r="AQ117" i="23" l="1"/>
  <c r="AM117" i="23"/>
  <c r="AI117" i="23"/>
  <c r="AS117" i="23"/>
  <c r="AO117" i="23"/>
  <c r="AK117" i="23"/>
  <c r="AR117" i="23"/>
  <c r="AJ117" i="23"/>
  <c r="AP117" i="23"/>
  <c r="AH117" i="23"/>
  <c r="AN117" i="23"/>
  <c r="AL117" i="23"/>
  <c r="AR147" i="23"/>
  <c r="AR148" i="23" s="1"/>
  <c r="AU119" i="23"/>
  <c r="AQ118" i="23"/>
  <c r="AM118" i="23"/>
  <c r="AI118" i="23"/>
  <c r="AS118" i="23"/>
  <c r="AO118" i="23"/>
  <c r="AK118" i="23"/>
  <c r="AR118" i="23"/>
  <c r="AJ118" i="23"/>
  <c r="AP118" i="23"/>
  <c r="AH118" i="23"/>
  <c r="AN118" i="23"/>
  <c r="AL118" i="23"/>
  <c r="AQ116" i="23"/>
  <c r="AM116" i="23"/>
  <c r="AI116" i="23"/>
  <c r="AS116" i="23"/>
  <c r="AO116" i="23"/>
  <c r="AK116" i="23"/>
  <c r="AR116" i="23"/>
  <c r="AJ116" i="23"/>
  <c r="AP116" i="23"/>
  <c r="AH116" i="23"/>
  <c r="AN116" i="23"/>
  <c r="AL116" i="23"/>
  <c r="AM127" i="23"/>
  <c r="AI127" i="23"/>
  <c r="AK127" i="23"/>
  <c r="AP122" i="23"/>
  <c r="AP123" i="23" s="1"/>
  <c r="AV143" i="23"/>
  <c r="AH127" i="23"/>
  <c r="AQ122" i="23"/>
  <c r="AQ123" i="23" s="1"/>
  <c r="AL127" i="23"/>
  <c r="C95" i="23"/>
  <c r="L79" i="23"/>
  <c r="H69" i="23"/>
  <c r="H65" i="23"/>
  <c r="H61" i="23"/>
  <c r="H57" i="23"/>
  <c r="L77" i="23"/>
  <c r="AJ127" i="23"/>
  <c r="D95" i="23"/>
  <c r="L78" i="23"/>
  <c r="L76" i="23"/>
  <c r="H71" i="23"/>
  <c r="X78" i="23" s="1"/>
  <c r="H62" i="23"/>
  <c r="H59" i="23"/>
  <c r="H56" i="23"/>
  <c r="H52" i="23"/>
  <c r="H48" i="23"/>
  <c r="H44" i="23"/>
  <c r="H40" i="23"/>
  <c r="H36" i="23"/>
  <c r="H32" i="23"/>
  <c r="H28" i="23"/>
  <c r="H24" i="23"/>
  <c r="H54" i="23"/>
  <c r="H46" i="23"/>
  <c r="H38" i="23"/>
  <c r="H30" i="23"/>
  <c r="H26" i="23"/>
  <c r="AO122" i="23"/>
  <c r="E95" i="23"/>
  <c r="H66" i="23"/>
  <c r="H53" i="23"/>
  <c r="H45" i="23"/>
  <c r="H33" i="23"/>
  <c r="H21" i="23"/>
  <c r="L75" i="23"/>
  <c r="H70" i="23"/>
  <c r="H68" i="23"/>
  <c r="H58" i="23"/>
  <c r="H55" i="23"/>
  <c r="H51" i="23"/>
  <c r="H47" i="23"/>
  <c r="H43" i="23"/>
  <c r="H39" i="23"/>
  <c r="H35" i="23"/>
  <c r="H31" i="23"/>
  <c r="H27" i="23"/>
  <c r="AO121" i="23" s="1"/>
  <c r="H23" i="23"/>
  <c r="H67" i="23"/>
  <c r="H64" i="23"/>
  <c r="H50" i="23"/>
  <c r="H42" i="23"/>
  <c r="H34" i="23"/>
  <c r="H22" i="23"/>
  <c r="H63" i="23"/>
  <c r="H60" i="23"/>
  <c r="H49" i="23"/>
  <c r="H41" i="23"/>
  <c r="H37" i="23"/>
  <c r="H29" i="23"/>
  <c r="H25" i="23"/>
  <c r="AV115" i="23"/>
  <c r="AT119" i="23"/>
  <c r="I97" i="23"/>
  <c r="AR142" i="23"/>
  <c r="AB28" i="23"/>
  <c r="AB24" i="23"/>
  <c r="AB29" i="23"/>
  <c r="AB25" i="23"/>
  <c r="AN142" i="23"/>
  <c r="AB31" i="23"/>
  <c r="AB27" i="23"/>
  <c r="AB30" i="23"/>
  <c r="AB26" i="23"/>
  <c r="W30" i="23"/>
  <c r="W26" i="23"/>
  <c r="W28" i="23"/>
  <c r="AP142" i="23"/>
  <c r="W31" i="23"/>
  <c r="AS142" i="23"/>
  <c r="W24" i="23"/>
  <c r="AO142" i="23"/>
  <c r="AQ142" i="23"/>
  <c r="W27" i="23"/>
  <c r="W29" i="23"/>
  <c r="W25" i="23"/>
  <c r="AV138" i="23"/>
  <c r="AV135" i="23"/>
  <c r="AV137" i="23"/>
  <c r="AV133" i="23"/>
  <c r="AV134" i="23"/>
  <c r="AV136" i="23"/>
  <c r="AV131" i="23"/>
  <c r="AV139" i="23"/>
  <c r="AV140" i="23"/>
  <c r="J95" i="21"/>
  <c r="AU113" i="21"/>
  <c r="E71" i="21" s="1"/>
  <c r="G38" i="18"/>
  <c r="E97" i="21"/>
  <c r="K97" i="21"/>
  <c r="L97" i="21"/>
  <c r="J97" i="21"/>
  <c r="D78" i="21"/>
  <c r="C97" i="21"/>
  <c r="M97" i="21"/>
  <c r="H97" i="21"/>
  <c r="I95" i="21"/>
  <c r="H95" i="21"/>
  <c r="AT132" i="21"/>
  <c r="L70" i="21" s="1"/>
  <c r="AU114" i="21"/>
  <c r="AV114" i="21" s="1"/>
  <c r="I97" i="8"/>
  <c r="I97" i="21"/>
  <c r="AU119" i="21"/>
  <c r="AS118" i="21"/>
  <c r="AO118" i="21"/>
  <c r="AK118" i="21"/>
  <c r="AR118" i="21"/>
  <c r="AN118" i="21"/>
  <c r="AJ118" i="21"/>
  <c r="AM118" i="21"/>
  <c r="AL118" i="21"/>
  <c r="AQ118" i="21"/>
  <c r="AI118" i="21"/>
  <c r="AP118" i="21"/>
  <c r="AH118" i="21"/>
  <c r="AI116" i="19"/>
  <c r="AS116" i="21"/>
  <c r="AO116" i="21"/>
  <c r="AK116" i="21"/>
  <c r="AR116" i="21"/>
  <c r="AM116" i="21"/>
  <c r="AH116" i="21"/>
  <c r="AQ116" i="21"/>
  <c r="AL116" i="21"/>
  <c r="AJ116" i="21"/>
  <c r="AP116" i="21"/>
  <c r="AI116" i="21"/>
  <c r="AN116" i="21"/>
  <c r="AT115" i="21"/>
  <c r="AT119" i="21"/>
  <c r="AP138" i="21"/>
  <c r="AP140" i="21"/>
  <c r="AP139" i="21"/>
  <c r="AP137" i="21"/>
  <c r="AP135" i="21"/>
  <c r="AP133" i="21"/>
  <c r="AP131" i="21"/>
  <c r="AP132" i="21"/>
  <c r="AP136" i="21"/>
  <c r="AP134" i="21"/>
  <c r="C77" i="21"/>
  <c r="AH117" i="8"/>
  <c r="AS117" i="21"/>
  <c r="AO117" i="21"/>
  <c r="AK117" i="21"/>
  <c r="AR117" i="21"/>
  <c r="AN117" i="21"/>
  <c r="AM117" i="21"/>
  <c r="AH117" i="21"/>
  <c r="AL117" i="21"/>
  <c r="AQ117" i="21"/>
  <c r="AP117" i="21"/>
  <c r="AJ117" i="21"/>
  <c r="AI117" i="21"/>
  <c r="AS140" i="21"/>
  <c r="AS139" i="21"/>
  <c r="AS137" i="21"/>
  <c r="AS136" i="21"/>
  <c r="AS135" i="21"/>
  <c r="AS134" i="21"/>
  <c r="AS133" i="21"/>
  <c r="AS132" i="21"/>
  <c r="AS131" i="21"/>
  <c r="AS138" i="21"/>
  <c r="AT137" i="21"/>
  <c r="Q70" i="21" s="1"/>
  <c r="AT136" i="21"/>
  <c r="P70" i="21" s="1"/>
  <c r="AT135" i="21"/>
  <c r="O70" i="21" s="1"/>
  <c r="AT134" i="21"/>
  <c r="N70" i="21" s="1"/>
  <c r="AT133" i="21"/>
  <c r="M70" i="21" s="1"/>
  <c r="AT131" i="21"/>
  <c r="K70" i="21" s="1"/>
  <c r="AT138" i="21"/>
  <c r="R70" i="21" s="1"/>
  <c r="AT139" i="21"/>
  <c r="S70" i="21" s="1"/>
  <c r="AT140" i="21"/>
  <c r="T70" i="21" s="1"/>
  <c r="E70" i="21"/>
  <c r="F18" i="18"/>
  <c r="D81" i="19"/>
  <c r="C82" i="8"/>
  <c r="D97" i="8"/>
  <c r="D97" i="19"/>
  <c r="AI117" i="8"/>
  <c r="F96" i="19"/>
  <c r="AQ114" i="8"/>
  <c r="AQ115" i="8" s="1"/>
  <c r="AR116" i="19"/>
  <c r="AU106" i="8"/>
  <c r="AU112" i="8"/>
  <c r="K96" i="19"/>
  <c r="AQ113" i="8"/>
  <c r="AQ138" i="8" s="1"/>
  <c r="AL108" i="19"/>
  <c r="G96" i="19"/>
  <c r="AI108" i="19"/>
  <c r="AM113" i="8"/>
  <c r="AM138" i="8" s="1"/>
  <c r="AP113" i="8"/>
  <c r="AP137" i="8" s="1"/>
  <c r="AP107" i="19"/>
  <c r="AN107" i="19"/>
  <c r="AK107" i="19"/>
  <c r="AL107" i="19"/>
  <c r="AQ107" i="19"/>
  <c r="AR107" i="19"/>
  <c r="AJ107" i="19"/>
  <c r="AP108" i="19"/>
  <c r="AN108" i="19"/>
  <c r="AJ108" i="19"/>
  <c r="AQ108" i="19"/>
  <c r="AI107" i="19"/>
  <c r="AM108" i="19"/>
  <c r="AR108" i="19"/>
  <c r="J95" i="19"/>
  <c r="Y66" i="8"/>
  <c r="L32" i="8"/>
  <c r="Y52" i="8"/>
  <c r="AA34" i="8"/>
  <c r="AQ141" i="8"/>
  <c r="AP131" i="8"/>
  <c r="AA33" i="8"/>
  <c r="X22" i="8"/>
  <c r="AA31" i="8"/>
  <c r="AP141" i="8"/>
  <c r="AS141" i="8"/>
  <c r="AQ116" i="19"/>
  <c r="AT110" i="8"/>
  <c r="I95" i="19"/>
  <c r="Y35" i="8"/>
  <c r="X35" i="8"/>
  <c r="AO141" i="8"/>
  <c r="AR141" i="8"/>
  <c r="X75" i="8"/>
  <c r="AN141" i="8"/>
  <c r="AU111" i="8"/>
  <c r="AT105" i="8"/>
  <c r="AT112" i="8"/>
  <c r="AR114" i="8"/>
  <c r="AR115" i="8" s="1"/>
  <c r="AL114" i="8"/>
  <c r="AL115" i="8" s="1"/>
  <c r="X74" i="8"/>
  <c r="AT108" i="8"/>
  <c r="AT106" i="8"/>
  <c r="AO113" i="8"/>
  <c r="AO132" i="8" s="1"/>
  <c r="AI113" i="8"/>
  <c r="AI132" i="8" s="1"/>
  <c r="X24" i="8"/>
  <c r="X38" i="8"/>
  <c r="Y62" i="8"/>
  <c r="X44" i="8"/>
  <c r="AJ116" i="19"/>
  <c r="AR113" i="8"/>
  <c r="AU105" i="8"/>
  <c r="Y43" i="8"/>
  <c r="X43" i="8"/>
  <c r="AA64" i="19"/>
  <c r="AA40" i="19"/>
  <c r="AA53" i="19"/>
  <c r="AB33" i="19"/>
  <c r="AB36" i="19"/>
  <c r="AA69" i="19"/>
  <c r="AA62" i="19"/>
  <c r="AA31" i="19"/>
  <c r="AA37" i="19"/>
  <c r="AB66" i="19"/>
  <c r="AB31" i="19"/>
  <c r="AB30" i="19"/>
  <c r="AB69" i="19"/>
  <c r="AB34" i="19"/>
  <c r="AA67" i="19"/>
  <c r="AA65" i="19"/>
  <c r="AA59" i="19"/>
  <c r="AA41" i="19"/>
  <c r="AA56" i="19"/>
  <c r="AA26" i="19"/>
  <c r="AA29" i="19"/>
  <c r="AA21" i="19"/>
  <c r="AB27" i="19"/>
  <c r="AA55" i="19"/>
  <c r="AA30" i="19"/>
  <c r="AB35" i="19"/>
  <c r="AA57" i="19"/>
  <c r="AA66" i="19"/>
  <c r="AA54" i="19"/>
  <c r="AA50" i="19"/>
  <c r="AA39" i="19"/>
  <c r="AA44" i="19"/>
  <c r="AA24" i="19"/>
  <c r="AA28" i="19"/>
  <c r="AB22" i="19"/>
  <c r="AA23" i="19"/>
  <c r="AA49" i="19"/>
  <c r="AA32" i="19"/>
  <c r="AB29" i="19"/>
  <c r="AA34" i="19"/>
  <c r="AA61" i="19"/>
  <c r="AA25" i="19"/>
  <c r="AB23" i="19"/>
  <c r="AA47" i="19"/>
  <c r="AB21" i="19"/>
  <c r="AB68" i="19"/>
  <c r="AA46" i="19"/>
  <c r="AA33" i="19"/>
  <c r="AB28" i="19"/>
  <c r="AA68" i="19"/>
  <c r="AA43" i="19"/>
  <c r="AA60" i="19"/>
  <c r="AA45" i="19"/>
  <c r="AA27" i="19"/>
  <c r="AA63" i="19"/>
  <c r="AB67" i="19"/>
  <c r="AA22" i="19"/>
  <c r="AA48" i="19"/>
  <c r="AA42" i="19"/>
  <c r="AA58" i="19"/>
  <c r="AA36" i="19"/>
  <c r="AA38" i="19"/>
  <c r="AA52" i="19"/>
  <c r="AA51" i="19"/>
  <c r="AB32" i="19"/>
  <c r="AA35" i="19"/>
  <c r="AP135" i="8"/>
  <c r="AP136" i="8"/>
  <c r="AK117" i="8"/>
  <c r="AL117" i="8"/>
  <c r="AU108" i="8"/>
  <c r="X27" i="8"/>
  <c r="Y27" i="8"/>
  <c r="X37" i="8"/>
  <c r="Y37" i="8"/>
  <c r="Y41" i="8"/>
  <c r="X41" i="8"/>
  <c r="Y69" i="8"/>
  <c r="X69" i="8"/>
  <c r="X57" i="8"/>
  <c r="Y57" i="8"/>
  <c r="AK113" i="8"/>
  <c r="AU104" i="8"/>
  <c r="AN114" i="8"/>
  <c r="AS117" i="8"/>
  <c r="AO117" i="8"/>
  <c r="AI117" i="19"/>
  <c r="AT111" i="8"/>
  <c r="AU107" i="8"/>
  <c r="X47" i="8"/>
  <c r="Y47" i="8"/>
  <c r="Y45" i="8"/>
  <c r="X45" i="8"/>
  <c r="Y49" i="8"/>
  <c r="X49" i="8"/>
  <c r="X42" i="8"/>
  <c r="Y42" i="8"/>
  <c r="Y60" i="8"/>
  <c r="X60" i="8"/>
  <c r="X55" i="8"/>
  <c r="Y55" i="8"/>
  <c r="X28" i="8"/>
  <c r="Y28" i="8"/>
  <c r="X48" i="8"/>
  <c r="Y48" i="8"/>
  <c r="AJ113" i="8"/>
  <c r="AP114" i="8"/>
  <c r="AP115" i="8" s="1"/>
  <c r="AI114" i="8"/>
  <c r="AI115" i="8" s="1"/>
  <c r="AK114" i="8"/>
  <c r="AK115" i="8" s="1"/>
  <c r="AO114" i="8"/>
  <c r="AO115" i="8" s="1"/>
  <c r="C97" i="19"/>
  <c r="C97" i="8"/>
  <c r="E97" i="19"/>
  <c r="E97" i="8"/>
  <c r="K97" i="8"/>
  <c r="K97" i="19"/>
  <c r="AU119" i="8"/>
  <c r="Y25" i="8"/>
  <c r="X25" i="8"/>
  <c r="X29" i="8"/>
  <c r="Y29" i="8"/>
  <c r="Y65" i="8"/>
  <c r="X65" i="8"/>
  <c r="X40" i="8"/>
  <c r="Y40" i="8"/>
  <c r="AL113" i="8"/>
  <c r="AT103" i="8"/>
  <c r="AH113" i="8"/>
  <c r="AM137" i="8"/>
  <c r="AM136" i="8"/>
  <c r="L97" i="8"/>
  <c r="L97" i="19"/>
  <c r="C77" i="8"/>
  <c r="D77" i="23" s="1"/>
  <c r="C77" i="19"/>
  <c r="AS117" i="19"/>
  <c r="AJ117" i="19"/>
  <c r="AL117" i="19"/>
  <c r="AQ117" i="8"/>
  <c r="AM117" i="8"/>
  <c r="AN117" i="8"/>
  <c r="AP117" i="19"/>
  <c r="AN117" i="19"/>
  <c r="AR117" i="19"/>
  <c r="AK117" i="19"/>
  <c r="AR117" i="8"/>
  <c r="J97" i="19"/>
  <c r="J97" i="8"/>
  <c r="AU110" i="8"/>
  <c r="AT107" i="8"/>
  <c r="X61" i="8"/>
  <c r="Y61" i="8"/>
  <c r="AJ114" i="8"/>
  <c r="AJ115" i="8" s="1"/>
  <c r="AI137" i="8"/>
  <c r="AI136" i="8"/>
  <c r="AU103" i="8"/>
  <c r="AN113" i="8"/>
  <c r="AN118" i="8"/>
  <c r="AI118" i="8"/>
  <c r="AR118" i="8"/>
  <c r="AK118" i="8"/>
  <c r="AN118" i="19"/>
  <c r="AP118" i="8"/>
  <c r="AJ118" i="19"/>
  <c r="AL118" i="8"/>
  <c r="AQ118" i="19"/>
  <c r="AH118" i="8"/>
  <c r="AO118" i="8"/>
  <c r="AQ118" i="8"/>
  <c r="AR118" i="19"/>
  <c r="AP118" i="19"/>
  <c r="AM118" i="8"/>
  <c r="AS118" i="19"/>
  <c r="AL118" i="19"/>
  <c r="AK118" i="19"/>
  <c r="AS118" i="8"/>
  <c r="AJ118" i="8"/>
  <c r="M97" i="8"/>
  <c r="M97" i="19"/>
  <c r="H97" i="19"/>
  <c r="H97" i="8"/>
  <c r="AK116" i="8"/>
  <c r="AL116" i="19"/>
  <c r="AN116" i="8"/>
  <c r="AM116" i="8"/>
  <c r="AS116" i="19"/>
  <c r="AI116" i="8"/>
  <c r="AJ116" i="8"/>
  <c r="AL116" i="8"/>
  <c r="AK116" i="19"/>
  <c r="AN116" i="19"/>
  <c r="AH116" i="8"/>
  <c r="AQ116" i="8"/>
  <c r="AP116" i="8"/>
  <c r="AP116" i="19"/>
  <c r="AR116" i="8"/>
  <c r="AS116" i="8"/>
  <c r="AO116" i="8"/>
  <c r="Y50" i="8"/>
  <c r="X30" i="8"/>
  <c r="AQ117" i="19"/>
  <c r="Y54" i="8"/>
  <c r="AP117" i="8"/>
  <c r="AJ117" i="8"/>
  <c r="AP132" i="8"/>
  <c r="AI118" i="19"/>
  <c r="AU109" i="8"/>
  <c r="AT109" i="8"/>
  <c r="Y51" i="8"/>
  <c r="X51" i="8"/>
  <c r="Y23" i="8"/>
  <c r="X23" i="8"/>
  <c r="X67" i="8"/>
  <c r="Y67" i="8"/>
  <c r="Y56" i="8"/>
  <c r="X56" i="8"/>
  <c r="X68" i="8"/>
  <c r="Y68" i="8"/>
  <c r="Y59" i="8"/>
  <c r="X59" i="8"/>
  <c r="X21" i="8"/>
  <c r="Y21" i="8"/>
  <c r="Y64" i="8"/>
  <c r="X64" i="8"/>
  <c r="Y26" i="8"/>
  <c r="X26" i="8"/>
  <c r="X46" i="8"/>
  <c r="Y46" i="8"/>
  <c r="X36" i="8"/>
  <c r="Y36" i="8"/>
  <c r="Y63" i="8"/>
  <c r="X63" i="8"/>
  <c r="X58" i="8"/>
  <c r="Y58" i="8"/>
  <c r="AH114" i="8"/>
  <c r="AT104" i="8"/>
  <c r="AS114" i="8"/>
  <c r="AS115" i="8" s="1"/>
  <c r="AS113" i="8"/>
  <c r="AQ140" i="8"/>
  <c r="AQ137" i="8"/>
  <c r="AM114" i="8"/>
  <c r="AM115" i="8" s="1"/>
  <c r="AT119" i="8"/>
  <c r="AM117" i="19"/>
  <c r="AM112" i="19"/>
  <c r="AM111" i="19"/>
  <c r="AM121" i="19"/>
  <c r="AM122" i="19" s="1"/>
  <c r="AM116" i="19"/>
  <c r="AM107" i="19"/>
  <c r="AM118" i="19"/>
  <c r="AM119" i="19"/>
  <c r="AL123" i="19"/>
  <c r="AI106" i="19"/>
  <c r="AQ105" i="19"/>
  <c r="AS105" i="19"/>
  <c r="AP106" i="19"/>
  <c r="AL105" i="19"/>
  <c r="AO106" i="19"/>
  <c r="AM106" i="19"/>
  <c r="AH106" i="19"/>
  <c r="AM105" i="19"/>
  <c r="AK106" i="19"/>
  <c r="AI105" i="19"/>
  <c r="AJ106" i="19"/>
  <c r="AQ106" i="19"/>
  <c r="AN106" i="19"/>
  <c r="AN105" i="19"/>
  <c r="AJ105" i="19"/>
  <c r="AP105" i="19"/>
  <c r="AK105" i="19"/>
  <c r="AS106" i="19"/>
  <c r="AO105" i="19"/>
  <c r="AR106" i="19"/>
  <c r="AL106" i="19"/>
  <c r="AR105" i="19"/>
  <c r="AH105" i="19"/>
  <c r="AQ109" i="19"/>
  <c r="AJ109" i="19"/>
  <c r="AL110" i="19"/>
  <c r="AM110" i="19"/>
  <c r="AK109" i="19"/>
  <c r="AO109" i="19"/>
  <c r="AJ110" i="19"/>
  <c r="AP109" i="19"/>
  <c r="AM109" i="19"/>
  <c r="AI109" i="19"/>
  <c r="AH110" i="19"/>
  <c r="AI110" i="19"/>
  <c r="AN109" i="19"/>
  <c r="AS110" i="19"/>
  <c r="AR109" i="19"/>
  <c r="AH109" i="19"/>
  <c r="AP110" i="19"/>
  <c r="AR110" i="19"/>
  <c r="AN110" i="19"/>
  <c r="AO110" i="19"/>
  <c r="AS109" i="19"/>
  <c r="AL109" i="19"/>
  <c r="AK110" i="19"/>
  <c r="AQ110" i="19"/>
  <c r="AO141" i="19"/>
  <c r="AU141" i="19" s="1"/>
  <c r="AV141" i="19" s="1"/>
  <c r="AO118" i="19"/>
  <c r="AO112" i="19"/>
  <c r="AU112" i="19" s="1"/>
  <c r="AO111" i="19"/>
  <c r="AU111" i="19" s="1"/>
  <c r="AO108" i="19"/>
  <c r="AO107" i="19"/>
  <c r="AO119" i="19"/>
  <c r="AU119" i="19" s="1"/>
  <c r="AO117" i="19"/>
  <c r="AO116" i="19"/>
  <c r="AQ104" i="19"/>
  <c r="AL103" i="19"/>
  <c r="AK103" i="19"/>
  <c r="AR104" i="19"/>
  <c r="AO104" i="19"/>
  <c r="AQ103" i="19"/>
  <c r="AM103" i="19"/>
  <c r="AI103" i="19"/>
  <c r="AS103" i="19"/>
  <c r="AN104" i="19"/>
  <c r="AL104" i="19"/>
  <c r="AR103" i="19"/>
  <c r="AP104" i="19"/>
  <c r="AS104" i="19"/>
  <c r="AN103" i="19"/>
  <c r="AP103" i="19"/>
  <c r="AH104" i="19"/>
  <c r="AJ103" i="19"/>
  <c r="AO103" i="19"/>
  <c r="AJ104" i="19"/>
  <c r="AK104" i="19"/>
  <c r="AI104" i="19"/>
  <c r="AH103" i="19"/>
  <c r="AM104" i="19"/>
  <c r="AH117" i="19"/>
  <c r="AH111" i="19"/>
  <c r="AH118" i="19"/>
  <c r="AH116" i="19"/>
  <c r="AH108" i="19"/>
  <c r="AH112" i="19"/>
  <c r="AH119" i="19"/>
  <c r="AH107" i="19"/>
  <c r="AI123" i="19"/>
  <c r="D78" i="19"/>
  <c r="H57" i="18"/>
  <c r="G50" i="18"/>
  <c r="F16" i="18"/>
  <c r="H49" i="18"/>
  <c r="H56" i="18"/>
  <c r="H16" i="18"/>
  <c r="G20" i="18"/>
  <c r="H27" i="18"/>
  <c r="H48" i="18"/>
  <c r="H50" i="18"/>
  <c r="G49" i="18"/>
  <c r="G16" i="18"/>
  <c r="F35" i="18"/>
  <c r="AH121" i="23" l="1"/>
  <c r="AH122" i="23" s="1"/>
  <c r="Y25" i="23"/>
  <c r="X25" i="23"/>
  <c r="AU142" i="23"/>
  <c r="AV142" i="23" s="1"/>
  <c r="AQ121" i="23"/>
  <c r="M79" i="23"/>
  <c r="M76" i="23"/>
  <c r="L80" i="23"/>
  <c r="X77" i="23"/>
  <c r="X79" i="23" s="1"/>
  <c r="X81" i="23"/>
  <c r="X83" i="23" s="1"/>
  <c r="AT127" i="23"/>
  <c r="AV127" i="23" s="1"/>
  <c r="AT116" i="23"/>
  <c r="AT118" i="23"/>
  <c r="Y29" i="23"/>
  <c r="X29" i="23"/>
  <c r="X24" i="23"/>
  <c r="Y24" i="23"/>
  <c r="W71" i="23"/>
  <c r="X28" i="23"/>
  <c r="Y28" i="23"/>
  <c r="AV119" i="23"/>
  <c r="M75" i="23"/>
  <c r="AK121" i="23"/>
  <c r="AK122" i="23" s="1"/>
  <c r="AR121" i="23"/>
  <c r="AU117" i="23"/>
  <c r="Y27" i="23"/>
  <c r="X27" i="23"/>
  <c r="X26" i="23"/>
  <c r="Y26" i="23"/>
  <c r="AP121" i="23"/>
  <c r="AT117" i="23"/>
  <c r="Y31" i="23"/>
  <c r="X31" i="23"/>
  <c r="X30" i="23"/>
  <c r="Y30" i="23"/>
  <c r="AO123" i="23"/>
  <c r="AU123" i="23" s="1"/>
  <c r="H81" i="23" s="1"/>
  <c r="AR146" i="23" s="1"/>
  <c r="AU122" i="23"/>
  <c r="AU116" i="23"/>
  <c r="AU118" i="23"/>
  <c r="AV113" i="21"/>
  <c r="AV140" i="21" s="1"/>
  <c r="AV119" i="21"/>
  <c r="AU137" i="21"/>
  <c r="Q71" i="21" s="1"/>
  <c r="AU115" i="21"/>
  <c r="AU131" i="21"/>
  <c r="K71" i="21" s="1"/>
  <c r="AU139" i="21"/>
  <c r="S71" i="21" s="1"/>
  <c r="AU134" i="21"/>
  <c r="N71" i="21" s="1"/>
  <c r="AU140" i="21"/>
  <c r="T71" i="21" s="1"/>
  <c r="AU136" i="21"/>
  <c r="P71" i="21" s="1"/>
  <c r="AU135" i="21"/>
  <c r="O71" i="21" s="1"/>
  <c r="AU138" i="21"/>
  <c r="R71" i="21" s="1"/>
  <c r="D95" i="21"/>
  <c r="E95" i="21"/>
  <c r="H28" i="18"/>
  <c r="F36" i="18"/>
  <c r="D77" i="21"/>
  <c r="H58" i="18"/>
  <c r="AN142" i="21"/>
  <c r="AB31" i="21"/>
  <c r="W28" i="21"/>
  <c r="W29" i="21"/>
  <c r="AB27" i="21"/>
  <c r="W31" i="21"/>
  <c r="AB29" i="21"/>
  <c r="W30" i="21"/>
  <c r="AB28" i="21"/>
  <c r="W27" i="21"/>
  <c r="AB30" i="21"/>
  <c r="AU132" i="21"/>
  <c r="L71" i="21" s="1"/>
  <c r="AU133" i="21"/>
  <c r="M71" i="21" s="1"/>
  <c r="AQ139" i="8"/>
  <c r="AV107" i="8"/>
  <c r="AM140" i="8"/>
  <c r="AQ134" i="8"/>
  <c r="AM131" i="8"/>
  <c r="AV112" i="8"/>
  <c r="AQ131" i="8"/>
  <c r="AM132" i="8"/>
  <c r="X76" i="8"/>
  <c r="Y74" i="21"/>
  <c r="AR142" i="21"/>
  <c r="AB24" i="21"/>
  <c r="AO142" i="21"/>
  <c r="AB26" i="21"/>
  <c r="AS142" i="21"/>
  <c r="AQ142" i="21"/>
  <c r="AB25" i="21"/>
  <c r="AP142" i="21"/>
  <c r="D82" i="19"/>
  <c r="D82" i="21"/>
  <c r="Y75" i="19"/>
  <c r="Y75" i="21"/>
  <c r="AT116" i="21"/>
  <c r="AR147" i="21"/>
  <c r="AR148" i="21" s="1"/>
  <c r="AV143" i="21"/>
  <c r="AP122" i="21"/>
  <c r="AP123" i="21" s="1"/>
  <c r="AQ122" i="21"/>
  <c r="AQ123" i="21" s="1"/>
  <c r="L77" i="21"/>
  <c r="AO122" i="21"/>
  <c r="L78" i="21"/>
  <c r="L75" i="21"/>
  <c r="H71" i="21"/>
  <c r="X78" i="21" s="1"/>
  <c r="H70" i="21"/>
  <c r="H67" i="21"/>
  <c r="H63" i="21"/>
  <c r="H59" i="21"/>
  <c r="H55" i="21"/>
  <c r="H51" i="21"/>
  <c r="H47" i="21"/>
  <c r="H43" i="21"/>
  <c r="H39" i="21"/>
  <c r="H35" i="21"/>
  <c r="H31" i="21"/>
  <c r="H27" i="21"/>
  <c r="AO121" i="21" s="1"/>
  <c r="H23" i="21"/>
  <c r="L76" i="21"/>
  <c r="H64" i="21"/>
  <c r="H61" i="21"/>
  <c r="H58" i="21"/>
  <c r="H48" i="21"/>
  <c r="H45" i="21"/>
  <c r="H42" i="21"/>
  <c r="H32" i="21"/>
  <c r="H29" i="21"/>
  <c r="H26" i="21"/>
  <c r="H25" i="21"/>
  <c r="H38" i="21"/>
  <c r="H28" i="21"/>
  <c r="H69" i="21"/>
  <c r="H66" i="21"/>
  <c r="H56" i="21"/>
  <c r="H50" i="21"/>
  <c r="H68" i="21"/>
  <c r="H65" i="21"/>
  <c r="H49" i="21"/>
  <c r="H46" i="21"/>
  <c r="H36" i="21"/>
  <c r="H33" i="21"/>
  <c r="H30" i="21"/>
  <c r="C95" i="21"/>
  <c r="H60" i="21"/>
  <c r="H57" i="21"/>
  <c r="H54" i="21"/>
  <c r="H44" i="21"/>
  <c r="H41" i="21"/>
  <c r="AV115" i="21"/>
  <c r="L79" i="21"/>
  <c r="H53" i="21"/>
  <c r="H40" i="21"/>
  <c r="H37" i="21"/>
  <c r="H34" i="21"/>
  <c r="H22" i="21"/>
  <c r="H21" i="21"/>
  <c r="H62" i="21"/>
  <c r="H52" i="21"/>
  <c r="H24" i="21"/>
  <c r="AT117" i="21"/>
  <c r="AU116" i="21"/>
  <c r="AU118" i="21"/>
  <c r="W24" i="21"/>
  <c r="W25" i="21"/>
  <c r="AV138" i="21"/>
  <c r="AV139" i="21"/>
  <c r="AV136" i="21"/>
  <c r="AV134" i="21"/>
  <c r="AV133" i="21"/>
  <c r="AV137" i="21"/>
  <c r="AV131" i="21"/>
  <c r="AU117" i="21"/>
  <c r="AV132" i="21"/>
  <c r="AT118" i="21"/>
  <c r="W26" i="21"/>
  <c r="AI139" i="8"/>
  <c r="AV105" i="8"/>
  <c r="AI135" i="8"/>
  <c r="AV106" i="8"/>
  <c r="AI131" i="8"/>
  <c r="AP134" i="8"/>
  <c r="AO134" i="8"/>
  <c r="AP138" i="8"/>
  <c r="Y74" i="19"/>
  <c r="AV110" i="8"/>
  <c r="AQ132" i="8"/>
  <c r="AQ135" i="8"/>
  <c r="AM134" i="8"/>
  <c r="AM139" i="8"/>
  <c r="AO136" i="8"/>
  <c r="AV108" i="8"/>
  <c r="AQ136" i="8"/>
  <c r="AQ133" i="8"/>
  <c r="AM133" i="8"/>
  <c r="AM135" i="8"/>
  <c r="AO131" i="8"/>
  <c r="AO139" i="8"/>
  <c r="AO137" i="8"/>
  <c r="AO133" i="8"/>
  <c r="AO135" i="8"/>
  <c r="AP140" i="8"/>
  <c r="AP139" i="8"/>
  <c r="AU117" i="8"/>
  <c r="AV111" i="8"/>
  <c r="AO138" i="8"/>
  <c r="AO140" i="8"/>
  <c r="AP133" i="8"/>
  <c r="AU108" i="19"/>
  <c r="AT108" i="19"/>
  <c r="AU107" i="19"/>
  <c r="AT112" i="19"/>
  <c r="AV112" i="19" s="1"/>
  <c r="AJ113" i="19"/>
  <c r="AJ132" i="19" s="1"/>
  <c r="AS114" i="19"/>
  <c r="AS115" i="19" s="1"/>
  <c r="AQ113" i="19"/>
  <c r="AQ133" i="19" s="1"/>
  <c r="AU141" i="8"/>
  <c r="AV141" i="8" s="1"/>
  <c r="AH36" i="8"/>
  <c r="AI134" i="8"/>
  <c r="AI133" i="8"/>
  <c r="AI140" i="8"/>
  <c r="AI138" i="8"/>
  <c r="AI114" i="19"/>
  <c r="AI115" i="19" s="1"/>
  <c r="AT111" i="19"/>
  <c r="AV111" i="19" s="1"/>
  <c r="AL113" i="19"/>
  <c r="AL132" i="19" s="1"/>
  <c r="AT107" i="19"/>
  <c r="AM114" i="19"/>
  <c r="AM115" i="19" s="1"/>
  <c r="AJ114" i="19"/>
  <c r="AJ115" i="19" s="1"/>
  <c r="AP113" i="19"/>
  <c r="AP134" i="19" s="1"/>
  <c r="AR113" i="19"/>
  <c r="AR134" i="19" s="1"/>
  <c r="AI113" i="19"/>
  <c r="AI137" i="19" s="1"/>
  <c r="AR114" i="19"/>
  <c r="AR115" i="19" s="1"/>
  <c r="AU118" i="8"/>
  <c r="D77" i="19"/>
  <c r="AJ135" i="8"/>
  <c r="AJ138" i="8"/>
  <c r="AJ136" i="8"/>
  <c r="AJ140" i="8"/>
  <c r="AJ137" i="8"/>
  <c r="AJ139" i="8"/>
  <c r="AJ133" i="8"/>
  <c r="AJ134" i="8"/>
  <c r="AJ132" i="8"/>
  <c r="AJ131" i="8"/>
  <c r="E3" i="20"/>
  <c r="X23" i="19"/>
  <c r="Y23" i="19"/>
  <c r="X51" i="19"/>
  <c r="Y51" i="19"/>
  <c r="Y66" i="19"/>
  <c r="X66" i="19"/>
  <c r="Y30" i="19"/>
  <c r="X30" i="19"/>
  <c r="E10" i="20"/>
  <c r="AT118" i="19"/>
  <c r="AL114" i="19"/>
  <c r="AL115" i="19" s="1"/>
  <c r="AK113" i="19"/>
  <c r="AK137" i="19" s="1"/>
  <c r="AV104" i="8"/>
  <c r="AV109" i="8"/>
  <c r="AT117" i="8"/>
  <c r="AN136" i="8"/>
  <c r="AN135" i="8"/>
  <c r="AN137" i="8"/>
  <c r="AN140" i="8"/>
  <c r="AN134" i="8"/>
  <c r="AN139" i="8"/>
  <c r="AU113" i="8"/>
  <c r="AN138" i="8"/>
  <c r="AN133" i="8"/>
  <c r="AN132" i="8"/>
  <c r="AN131" i="8"/>
  <c r="AH134" i="8"/>
  <c r="AH139" i="8"/>
  <c r="AH137" i="8"/>
  <c r="AH135" i="8"/>
  <c r="AT113" i="8"/>
  <c r="AH133" i="8"/>
  <c r="AH136" i="8"/>
  <c r="AH140" i="8"/>
  <c r="AH138" i="8"/>
  <c r="AH131" i="8"/>
  <c r="AH132" i="8"/>
  <c r="AV119" i="8"/>
  <c r="AK140" i="8"/>
  <c r="AK139" i="8"/>
  <c r="AK133" i="8"/>
  <c r="AK135" i="8"/>
  <c r="AK138" i="8"/>
  <c r="AK136" i="8"/>
  <c r="AK134" i="8"/>
  <c r="AK137" i="8"/>
  <c r="AK132" i="8"/>
  <c r="AK131" i="8"/>
  <c r="X69" i="19"/>
  <c r="Y69" i="19"/>
  <c r="X32" i="19"/>
  <c r="Y32" i="19"/>
  <c r="E12" i="20"/>
  <c r="AR136" i="8"/>
  <c r="AR139" i="8"/>
  <c r="AR135" i="8"/>
  <c r="AR131" i="8"/>
  <c r="AR132" i="8"/>
  <c r="AR137" i="8"/>
  <c r="AR140" i="8"/>
  <c r="AR133" i="8"/>
  <c r="AR134" i="8"/>
  <c r="AR138" i="8"/>
  <c r="AT114" i="8"/>
  <c r="AH115" i="8"/>
  <c r="AT116" i="8"/>
  <c r="AU116" i="8"/>
  <c r="AV103" i="8"/>
  <c r="Y35" i="19"/>
  <c r="E15" i="20"/>
  <c r="X35" i="19"/>
  <c r="Y28" i="19"/>
  <c r="X28" i="19"/>
  <c r="E8" i="20"/>
  <c r="E14" i="20"/>
  <c r="X34" i="19"/>
  <c r="Y34" i="19"/>
  <c r="Y68" i="19"/>
  <c r="X68" i="19"/>
  <c r="X29" i="19"/>
  <c r="Y29" i="19"/>
  <c r="E9" i="20"/>
  <c r="X27" i="19"/>
  <c r="Y27" i="19"/>
  <c r="E7" i="20"/>
  <c r="AK114" i="19"/>
  <c r="AK115" i="19" s="1"/>
  <c r="AP114" i="19"/>
  <c r="AP115" i="19" s="1"/>
  <c r="AU118" i="19"/>
  <c r="AS134" i="8"/>
  <c r="AS139" i="8"/>
  <c r="AS132" i="8"/>
  <c r="AS136" i="8"/>
  <c r="AS135" i="8"/>
  <c r="AS133" i="8"/>
  <c r="AS131" i="8"/>
  <c r="AS140" i="8"/>
  <c r="AS137" i="8"/>
  <c r="AS138" i="8"/>
  <c r="AT118" i="8"/>
  <c r="AL132" i="8"/>
  <c r="AL137" i="8"/>
  <c r="AL140" i="8"/>
  <c r="AL134" i="8"/>
  <c r="AL133" i="8"/>
  <c r="AL135" i="8"/>
  <c r="AL131" i="8"/>
  <c r="AL136" i="8"/>
  <c r="AL138" i="8"/>
  <c r="AL139" i="8"/>
  <c r="AN115" i="8"/>
  <c r="AU114" i="8"/>
  <c r="AU115" i="8" s="1"/>
  <c r="Y31" i="19"/>
  <c r="X31" i="19"/>
  <c r="E11" i="20"/>
  <c r="X21" i="19"/>
  <c r="Y21" i="19"/>
  <c r="X22" i="19"/>
  <c r="Y22" i="19"/>
  <c r="Y33" i="19"/>
  <c r="X33" i="19"/>
  <c r="E13" i="20"/>
  <c r="X67" i="19"/>
  <c r="Y67" i="19"/>
  <c r="X36" i="19"/>
  <c r="Y36" i="19"/>
  <c r="AT109" i="19"/>
  <c r="AU105" i="19"/>
  <c r="AT117" i="19"/>
  <c r="AT103" i="19"/>
  <c r="AH113" i="19"/>
  <c r="AO113" i="19"/>
  <c r="AU103" i="19"/>
  <c r="AN113" i="19"/>
  <c r="AM113" i="19"/>
  <c r="AU110" i="19"/>
  <c r="AT110" i="19"/>
  <c r="AU106" i="19"/>
  <c r="AT116" i="19"/>
  <c r="AU104" i="19"/>
  <c r="AN114" i="19"/>
  <c r="AU116" i="19"/>
  <c r="AM123" i="19"/>
  <c r="AT119" i="19"/>
  <c r="AV119" i="19" s="1"/>
  <c r="AT104" i="19"/>
  <c r="AH114" i="19"/>
  <c r="AS113" i="19"/>
  <c r="AO114" i="19"/>
  <c r="AO115" i="19" s="1"/>
  <c r="AQ114" i="19"/>
  <c r="AQ115" i="19" s="1"/>
  <c r="AU117" i="19"/>
  <c r="AU109" i="19"/>
  <c r="AT105" i="19"/>
  <c r="AT106" i="19"/>
  <c r="H29" i="18"/>
  <c r="H40" i="18"/>
  <c r="H31" i="18"/>
  <c r="F20" i="18"/>
  <c r="H43" i="18"/>
  <c r="H45" i="18"/>
  <c r="F37" i="18"/>
  <c r="H22" i="18"/>
  <c r="H44" i="18"/>
  <c r="AT121" i="23" l="1"/>
  <c r="M80" i="23"/>
  <c r="AU121" i="23"/>
  <c r="AV118" i="23"/>
  <c r="Y76" i="23"/>
  <c r="AR124" i="23"/>
  <c r="AN124" i="23"/>
  <c r="AP124" i="23"/>
  <c r="AS124" i="23"/>
  <c r="AO124" i="23"/>
  <c r="AQ124" i="23"/>
  <c r="AV117" i="23"/>
  <c r="AK123" i="23"/>
  <c r="AT122" i="23"/>
  <c r="AH123" i="23"/>
  <c r="X71" i="23"/>
  <c r="Y71" i="23"/>
  <c r="AV116" i="23"/>
  <c r="AV135" i="21"/>
  <c r="AP121" i="21"/>
  <c r="H30" i="18"/>
  <c r="H32" i="18"/>
  <c r="F38" i="18"/>
  <c r="Y76" i="19"/>
  <c r="H33" i="18"/>
  <c r="H34" i="18" s="1"/>
  <c r="M79" i="21"/>
  <c r="AQ121" i="21"/>
  <c r="X28" i="21"/>
  <c r="Y28" i="21"/>
  <c r="X27" i="21"/>
  <c r="Y27" i="21"/>
  <c r="X31" i="21"/>
  <c r="Y31" i="21"/>
  <c r="Y30" i="21"/>
  <c r="X30" i="21"/>
  <c r="X29" i="21"/>
  <c r="Y29" i="21"/>
  <c r="Y76" i="21"/>
  <c r="AU142" i="21"/>
  <c r="AV142" i="21" s="1"/>
  <c r="M76" i="21"/>
  <c r="AV116" i="21"/>
  <c r="AH121" i="21"/>
  <c r="AH122" i="21" s="1"/>
  <c r="AV118" i="21"/>
  <c r="X77" i="21"/>
  <c r="X79" i="21" s="1"/>
  <c r="Y25" i="21"/>
  <c r="X25" i="21"/>
  <c r="AV117" i="21"/>
  <c r="X81" i="21"/>
  <c r="X83" i="21" s="1"/>
  <c r="L80" i="21"/>
  <c r="AO123" i="21"/>
  <c r="AU123" i="21" s="1"/>
  <c r="H81" i="21" s="1"/>
  <c r="AR146" i="21" s="1"/>
  <c r="AU122" i="21"/>
  <c r="Y26" i="21"/>
  <c r="X26" i="21"/>
  <c r="X24" i="21"/>
  <c r="Y24" i="21"/>
  <c r="W71" i="21"/>
  <c r="AR121" i="21"/>
  <c r="M75" i="21"/>
  <c r="AK121" i="21"/>
  <c r="AK122" i="21" s="1"/>
  <c r="AV118" i="8"/>
  <c r="AV117" i="8"/>
  <c r="AV108" i="19"/>
  <c r="AV107" i="19"/>
  <c r="AR137" i="19"/>
  <c r="AR135" i="19"/>
  <c r="AR133" i="19"/>
  <c r="AL138" i="19"/>
  <c r="AJ131" i="19"/>
  <c r="AQ135" i="19"/>
  <c r="AQ137" i="19"/>
  <c r="AI139" i="19"/>
  <c r="AQ136" i="19"/>
  <c r="AI131" i="19"/>
  <c r="AL133" i="19"/>
  <c r="AL135" i="19"/>
  <c r="AJ136" i="19"/>
  <c r="AP136" i="19"/>
  <c r="AL131" i="19"/>
  <c r="AQ132" i="19"/>
  <c r="AJ133" i="19"/>
  <c r="AI135" i="19"/>
  <c r="AP138" i="19"/>
  <c r="AL134" i="19"/>
  <c r="AL140" i="19"/>
  <c r="AJ138" i="19"/>
  <c r="AP132" i="19"/>
  <c r="AL139" i="19"/>
  <c r="AL137" i="19"/>
  <c r="AJ139" i="19"/>
  <c r="AJ135" i="19"/>
  <c r="AJ140" i="19"/>
  <c r="AP131" i="19"/>
  <c r="AP140" i="19"/>
  <c r="AL136" i="19"/>
  <c r="AQ138" i="19"/>
  <c r="AQ140" i="19"/>
  <c r="AJ137" i="19"/>
  <c r="AJ134" i="19"/>
  <c r="AI134" i="19"/>
  <c r="AP139" i="19"/>
  <c r="AP135" i="19"/>
  <c r="AQ134" i="19"/>
  <c r="AQ139" i="19"/>
  <c r="AK135" i="19"/>
  <c r="AI136" i="19"/>
  <c r="AI132" i="19"/>
  <c r="AQ131" i="19"/>
  <c r="AI140" i="19"/>
  <c r="AI133" i="19"/>
  <c r="AV106" i="19"/>
  <c r="AV104" i="19"/>
  <c r="AK138" i="19"/>
  <c r="AI138" i="19"/>
  <c r="AP133" i="19"/>
  <c r="AP137" i="19"/>
  <c r="AK133" i="19"/>
  <c r="AK140" i="19"/>
  <c r="AR140" i="19"/>
  <c r="AV105" i="19"/>
  <c r="AK136" i="19"/>
  <c r="AR131" i="19"/>
  <c r="AV118" i="19"/>
  <c r="AK132" i="19"/>
  <c r="AK139" i="19"/>
  <c r="AV103" i="19"/>
  <c r="AR138" i="19"/>
  <c r="AR136" i="19"/>
  <c r="AR132" i="19"/>
  <c r="AK134" i="19"/>
  <c r="AK131" i="19"/>
  <c r="AR139" i="19"/>
  <c r="AV116" i="8"/>
  <c r="AV132" i="8"/>
  <c r="AT132" i="8"/>
  <c r="L70" i="8" s="1"/>
  <c r="AU132" i="8"/>
  <c r="L71" i="8" s="1"/>
  <c r="AU139" i="8"/>
  <c r="S71" i="8" s="1"/>
  <c r="E71" i="8"/>
  <c r="AU134" i="8"/>
  <c r="N71" i="8" s="1"/>
  <c r="AU133" i="8"/>
  <c r="M71" i="8" s="1"/>
  <c r="AU138" i="8"/>
  <c r="R71" i="8" s="1"/>
  <c r="AU135" i="8"/>
  <c r="O71" i="8" s="1"/>
  <c r="AU140" i="8"/>
  <c r="T71" i="8" s="1"/>
  <c r="AU136" i="8"/>
  <c r="P71" i="8" s="1"/>
  <c r="AU137" i="8"/>
  <c r="Q71" i="8" s="1"/>
  <c r="AU131" i="8"/>
  <c r="K71" i="8" s="1"/>
  <c r="AT115" i="8"/>
  <c r="AV114" i="8"/>
  <c r="AT136" i="8"/>
  <c r="P70" i="8" s="1"/>
  <c r="AT137" i="8"/>
  <c r="Q70" i="8" s="1"/>
  <c r="AT140" i="8"/>
  <c r="T70" i="8" s="1"/>
  <c r="AV113" i="8"/>
  <c r="AT135" i="8"/>
  <c r="O70" i="8" s="1"/>
  <c r="AT133" i="8"/>
  <c r="M70" i="8" s="1"/>
  <c r="E70" i="8"/>
  <c r="AT139" i="8"/>
  <c r="S70" i="8" s="1"/>
  <c r="AT134" i="8"/>
  <c r="N70" i="8" s="1"/>
  <c r="AT138" i="8"/>
  <c r="R70" i="8" s="1"/>
  <c r="AT131" i="8"/>
  <c r="K70" i="8" s="1"/>
  <c r="AR147" i="8" s="1"/>
  <c r="AR148" i="8" s="1"/>
  <c r="AN115" i="19"/>
  <c r="AU114" i="19"/>
  <c r="AV116" i="19"/>
  <c r="AO137" i="19"/>
  <c r="AO134" i="19"/>
  <c r="AO132" i="19"/>
  <c r="AO138" i="19"/>
  <c r="AO131" i="19"/>
  <c r="AO135" i="19"/>
  <c r="AO133" i="19"/>
  <c r="AO139" i="19"/>
  <c r="AO140" i="19"/>
  <c r="AO136" i="19"/>
  <c r="AV117" i="19"/>
  <c r="AS139" i="19"/>
  <c r="AS136" i="19"/>
  <c r="AS134" i="19"/>
  <c r="AS137" i="19"/>
  <c r="AS140" i="19"/>
  <c r="AS138" i="19"/>
  <c r="AS135" i="19"/>
  <c r="AS131" i="19"/>
  <c r="AS132" i="19"/>
  <c r="AS133" i="19"/>
  <c r="AV110" i="19"/>
  <c r="AM137" i="19"/>
  <c r="AM131" i="19"/>
  <c r="AM134" i="19"/>
  <c r="AM133" i="19"/>
  <c r="AM135" i="19"/>
  <c r="AM140" i="19"/>
  <c r="AM138" i="19"/>
  <c r="AM132" i="19"/>
  <c r="AM136" i="19"/>
  <c r="AM139" i="19"/>
  <c r="AT113" i="19"/>
  <c r="AH135" i="19"/>
  <c r="AH140" i="19"/>
  <c r="AH132" i="19"/>
  <c r="AH133" i="19"/>
  <c r="AH136" i="19"/>
  <c r="AH134" i="19"/>
  <c r="AH139" i="19"/>
  <c r="AH138" i="19"/>
  <c r="AH137" i="19"/>
  <c r="AH131" i="19"/>
  <c r="AV109" i="19"/>
  <c r="AH115" i="19"/>
  <c r="AT114" i="19"/>
  <c r="AN136" i="19"/>
  <c r="AU113" i="19"/>
  <c r="AN138" i="19"/>
  <c r="AN133" i="19"/>
  <c r="AN140" i="19"/>
  <c r="AN131" i="19"/>
  <c r="AN139" i="19"/>
  <c r="AN135" i="19"/>
  <c r="AN132" i="19"/>
  <c r="AN137" i="19"/>
  <c r="AN134" i="19"/>
  <c r="F56" i="18"/>
  <c r="H21" i="18"/>
  <c r="F29" i="18"/>
  <c r="F31" i="18"/>
  <c r="F27" i="18"/>
  <c r="F57" i="18"/>
  <c r="H39" i="18"/>
  <c r="AV121" i="23" l="1"/>
  <c r="AT123" i="23"/>
  <c r="AV123" i="23" s="1"/>
  <c r="AQ125" i="23"/>
  <c r="AQ129" i="23" s="1"/>
  <c r="AQ130" i="23" s="1"/>
  <c r="AQ120" i="23"/>
  <c r="AQ128" i="23" s="1"/>
  <c r="AU124" i="23"/>
  <c r="AN125" i="23"/>
  <c r="AN120" i="23"/>
  <c r="AO125" i="23"/>
  <c r="AO129" i="23" s="1"/>
  <c r="AO130" i="23" s="1"/>
  <c r="AO120" i="23"/>
  <c r="AO128" i="23" s="1"/>
  <c r="AR125" i="23"/>
  <c r="AR129" i="23" s="1"/>
  <c r="AR130" i="23" s="1"/>
  <c r="AR120" i="23"/>
  <c r="AR128" i="23" s="1"/>
  <c r="AS125" i="23"/>
  <c r="AS129" i="23" s="1"/>
  <c r="AS130" i="23" s="1"/>
  <c r="AS120" i="23"/>
  <c r="AS128" i="23" s="1"/>
  <c r="AV122" i="23"/>
  <c r="AP125" i="23"/>
  <c r="AP129" i="23" s="1"/>
  <c r="AP130" i="23" s="1"/>
  <c r="AP120" i="23"/>
  <c r="AP128" i="23" s="1"/>
  <c r="M80" i="21"/>
  <c r="F28" i="18"/>
  <c r="F30" i="18"/>
  <c r="F32" i="18"/>
  <c r="H24" i="18"/>
  <c r="H25" i="18" s="1"/>
  <c r="H41" i="18"/>
  <c r="AU121" i="21"/>
  <c r="Y71" i="21"/>
  <c r="X71" i="21"/>
  <c r="AJ127" i="21"/>
  <c r="AM127" i="21"/>
  <c r="AL127" i="21"/>
  <c r="AI127" i="21"/>
  <c r="AK127" i="21"/>
  <c r="AH127" i="21"/>
  <c r="AK123" i="21"/>
  <c r="AT122" i="21"/>
  <c r="AH123" i="21"/>
  <c r="AP124" i="21"/>
  <c r="AQ124" i="21"/>
  <c r="AO124" i="21"/>
  <c r="AS124" i="21"/>
  <c r="AR124" i="21"/>
  <c r="AN124" i="21"/>
  <c r="AT121" i="21"/>
  <c r="F58" i="18"/>
  <c r="F33" i="18"/>
  <c r="F34" i="18" s="1"/>
  <c r="AB33" i="8"/>
  <c r="AB32" i="8"/>
  <c r="AN142" i="8"/>
  <c r="AP142" i="8"/>
  <c r="AS142" i="8"/>
  <c r="AO142" i="8"/>
  <c r="AR142" i="8"/>
  <c r="AB31" i="8"/>
  <c r="AQ142" i="8"/>
  <c r="AB34" i="8"/>
  <c r="AV134" i="8"/>
  <c r="AV135" i="8"/>
  <c r="AV139" i="8"/>
  <c r="AV133" i="8"/>
  <c r="AV137" i="8"/>
  <c r="L12" i="8" s="1"/>
  <c r="AV136" i="8"/>
  <c r="AV140" i="8"/>
  <c r="AV138" i="8"/>
  <c r="AV131" i="8"/>
  <c r="H57" i="8"/>
  <c r="H56" i="8"/>
  <c r="H59" i="8"/>
  <c r="H62" i="8"/>
  <c r="H52" i="8"/>
  <c r="H47" i="8"/>
  <c r="H33" i="8"/>
  <c r="AO122" i="8"/>
  <c r="C95" i="8"/>
  <c r="C96" i="21" s="1"/>
  <c r="H22" i="8"/>
  <c r="H26" i="8"/>
  <c r="H41" i="8"/>
  <c r="H42" i="8"/>
  <c r="H30" i="8"/>
  <c r="D95" i="8"/>
  <c r="D96" i="21" s="1"/>
  <c r="H53" i="8"/>
  <c r="H60" i="8"/>
  <c r="H67" i="8"/>
  <c r="H32" i="8"/>
  <c r="AO121" i="8" s="1"/>
  <c r="AV143" i="8"/>
  <c r="H51" i="8"/>
  <c r="L76" i="8"/>
  <c r="H43" i="8"/>
  <c r="H69" i="8"/>
  <c r="L78" i="8"/>
  <c r="AP122" i="8"/>
  <c r="AP123" i="8" s="1"/>
  <c r="L77" i="8"/>
  <c r="H24" i="8"/>
  <c r="AK127" i="8"/>
  <c r="H61" i="8"/>
  <c r="H64" i="8"/>
  <c r="H54" i="8"/>
  <c r="H34" i="8"/>
  <c r="H46" i="8"/>
  <c r="H35" i="8"/>
  <c r="H50" i="8"/>
  <c r="H38" i="8"/>
  <c r="H45" i="8"/>
  <c r="H27" i="8"/>
  <c r="H48" i="8"/>
  <c r="H49" i="8"/>
  <c r="AL127" i="8"/>
  <c r="H65" i="8"/>
  <c r="H66" i="8"/>
  <c r="AV115" i="8"/>
  <c r="H71" i="8"/>
  <c r="X78" i="8" s="1"/>
  <c r="H39" i="8"/>
  <c r="H28" i="8"/>
  <c r="H70" i="8"/>
  <c r="H58" i="8"/>
  <c r="H37" i="8"/>
  <c r="E95" i="8"/>
  <c r="E96" i="21" s="1"/>
  <c r="L79" i="8"/>
  <c r="H31" i="8"/>
  <c r="AN121" i="8" s="1"/>
  <c r="AJ127" i="8"/>
  <c r="H55" i="8"/>
  <c r="L75" i="8"/>
  <c r="N75" i="21" s="1"/>
  <c r="H44" i="8"/>
  <c r="H68" i="8"/>
  <c r="H25" i="8"/>
  <c r="H36" i="8"/>
  <c r="AH127" i="8"/>
  <c r="H63" i="8"/>
  <c r="H29" i="8"/>
  <c r="H21" i="8"/>
  <c r="AQ122" i="8"/>
  <c r="AQ123" i="8" s="1"/>
  <c r="H23" i="8"/>
  <c r="H40" i="8"/>
  <c r="AI127" i="8"/>
  <c r="AM127" i="8"/>
  <c r="AU134" i="19"/>
  <c r="N71" i="19" s="1"/>
  <c r="AU139" i="19"/>
  <c r="S71" i="19" s="1"/>
  <c r="AU135" i="19"/>
  <c r="O71" i="19" s="1"/>
  <c r="E71" i="19"/>
  <c r="AU133" i="19"/>
  <c r="M71" i="19" s="1"/>
  <c r="AU137" i="19"/>
  <c r="Q71" i="19" s="1"/>
  <c r="AU138" i="19"/>
  <c r="R71" i="19" s="1"/>
  <c r="AU140" i="19"/>
  <c r="T71" i="19" s="1"/>
  <c r="AU131" i="19"/>
  <c r="K71" i="19" s="1"/>
  <c r="AU136" i="19"/>
  <c r="P71" i="19" s="1"/>
  <c r="AU132" i="19"/>
  <c r="L71" i="19" s="1"/>
  <c r="AT115" i="19"/>
  <c r="AV114" i="19"/>
  <c r="AT132" i="19"/>
  <c r="L70" i="19" s="1"/>
  <c r="AV132" i="19"/>
  <c r="AT137" i="19"/>
  <c r="Q70" i="19" s="1"/>
  <c r="E70" i="19"/>
  <c r="AT138" i="19"/>
  <c r="R70" i="19" s="1"/>
  <c r="AT134" i="19"/>
  <c r="N70" i="19" s="1"/>
  <c r="AT139" i="19"/>
  <c r="S70" i="19" s="1"/>
  <c r="AT133" i="19"/>
  <c r="M70" i="19" s="1"/>
  <c r="AT140" i="19"/>
  <c r="T70" i="19" s="1"/>
  <c r="AV113" i="19"/>
  <c r="AT136" i="19"/>
  <c r="P70" i="19" s="1"/>
  <c r="AT131" i="19"/>
  <c r="K70" i="19" s="1"/>
  <c r="AR147" i="19" s="1"/>
  <c r="AR148" i="19" s="1"/>
  <c r="AT135" i="19"/>
  <c r="O70" i="19" s="1"/>
  <c r="AU115" i="19"/>
  <c r="F43" i="18"/>
  <c r="F44" i="18"/>
  <c r="G56" i="18"/>
  <c r="G29" i="18"/>
  <c r="G27" i="18"/>
  <c r="F22" i="18"/>
  <c r="G31" i="18"/>
  <c r="F40" i="18"/>
  <c r="F45" i="18"/>
  <c r="G57" i="18"/>
  <c r="H79" i="23" l="1"/>
  <c r="AR145" i="23" s="1"/>
  <c r="AK124" i="23" s="1"/>
  <c r="AU125" i="23"/>
  <c r="AN129" i="23"/>
  <c r="AU120" i="23"/>
  <c r="AN128" i="23"/>
  <c r="AU128" i="23" s="1"/>
  <c r="AV121" i="21"/>
  <c r="G32" i="18"/>
  <c r="G28" i="18"/>
  <c r="G30" i="18"/>
  <c r="AT123" i="21"/>
  <c r="AV123" i="21" s="1"/>
  <c r="X81" i="8"/>
  <c r="Y78" i="21"/>
  <c r="Y79" i="21" s="1"/>
  <c r="N76" i="19"/>
  <c r="N76" i="21"/>
  <c r="N79" i="19"/>
  <c r="N79" i="21"/>
  <c r="N78" i="19"/>
  <c r="N78" i="21"/>
  <c r="N80" i="21" s="1"/>
  <c r="AT127" i="21"/>
  <c r="AV127" i="21" s="1"/>
  <c r="N77" i="19"/>
  <c r="N77" i="21"/>
  <c r="AS125" i="21"/>
  <c r="AS129" i="21" s="1"/>
  <c r="AS130" i="21" s="1"/>
  <c r="AS120" i="21"/>
  <c r="AS128" i="21" s="1"/>
  <c r="AO125" i="21"/>
  <c r="AO129" i="21" s="1"/>
  <c r="AO130" i="21" s="1"/>
  <c r="AO120" i="21"/>
  <c r="AO128" i="21" s="1"/>
  <c r="AV122" i="21"/>
  <c r="AU124" i="21"/>
  <c r="AN125" i="21"/>
  <c r="AN120" i="21"/>
  <c r="AQ125" i="21"/>
  <c r="AQ129" i="21" s="1"/>
  <c r="AQ130" i="21" s="1"/>
  <c r="AQ120" i="21"/>
  <c r="AQ128" i="21" s="1"/>
  <c r="AR125" i="21"/>
  <c r="AR129" i="21" s="1"/>
  <c r="AR130" i="21" s="1"/>
  <c r="AR120" i="21"/>
  <c r="AR128" i="21" s="1"/>
  <c r="AP125" i="21"/>
  <c r="AP129" i="21" s="1"/>
  <c r="AP130" i="21" s="1"/>
  <c r="AP120" i="21"/>
  <c r="AP128" i="21" s="1"/>
  <c r="W26" i="19"/>
  <c r="W24" i="19"/>
  <c r="W25" i="19"/>
  <c r="AB25" i="19"/>
  <c r="AB26" i="19"/>
  <c r="AB24" i="19"/>
  <c r="AP121" i="8"/>
  <c r="AU121" i="8" s="1"/>
  <c r="G58" i="18"/>
  <c r="AT127" i="8"/>
  <c r="AV127" i="8" s="1"/>
  <c r="Y78" i="19"/>
  <c r="X77" i="8"/>
  <c r="Y77" i="21" s="1"/>
  <c r="AK121" i="8"/>
  <c r="AK122" i="8" s="1"/>
  <c r="AK123" i="8" s="1"/>
  <c r="E96" i="19"/>
  <c r="AJ121" i="8"/>
  <c r="AJ122" i="8" s="1"/>
  <c r="AJ123" i="8" s="1"/>
  <c r="AO123" i="8"/>
  <c r="AU123" i="8" s="1"/>
  <c r="H81" i="8" s="1"/>
  <c r="I81" i="21" s="1"/>
  <c r="AU122" i="8"/>
  <c r="D96" i="19"/>
  <c r="M76" i="8"/>
  <c r="X34" i="8"/>
  <c r="Y34" i="8"/>
  <c r="X31" i="8"/>
  <c r="Y31" i="8"/>
  <c r="W71" i="8"/>
  <c r="AU142" i="8"/>
  <c r="AV142" i="8" s="1"/>
  <c r="X32" i="8"/>
  <c r="Y32" i="8"/>
  <c r="M75" i="8"/>
  <c r="O75" i="21" s="1"/>
  <c r="AH121" i="8"/>
  <c r="L80" i="8"/>
  <c r="N75" i="19"/>
  <c r="N80" i="19" s="1"/>
  <c r="C96" i="19"/>
  <c r="X33" i="8"/>
  <c r="Y33" i="8"/>
  <c r="G33" i="18"/>
  <c r="G34" i="18" s="1"/>
  <c r="D12" i="20"/>
  <c r="D7" i="20"/>
  <c r="AB56" i="19"/>
  <c r="D4" i="20"/>
  <c r="AB52" i="19"/>
  <c r="AB48" i="19"/>
  <c r="D9" i="20"/>
  <c r="AB40" i="19"/>
  <c r="D6" i="20"/>
  <c r="D10" i="20"/>
  <c r="D13" i="20"/>
  <c r="AP142" i="19"/>
  <c r="AB61" i="19"/>
  <c r="AB37" i="19"/>
  <c r="AB47" i="19"/>
  <c r="D8" i="20"/>
  <c r="AB57" i="19"/>
  <c r="AB42" i="19"/>
  <c r="AB54" i="19"/>
  <c r="AN142" i="19"/>
  <c r="AB50" i="19"/>
  <c r="AB41" i="19"/>
  <c r="AB59" i="19"/>
  <c r="AB46" i="19"/>
  <c r="AB39" i="19"/>
  <c r="AB44" i="19"/>
  <c r="D11" i="20"/>
  <c r="D15" i="20"/>
  <c r="AB63" i="19"/>
  <c r="AB60" i="19"/>
  <c r="AB49" i="19"/>
  <c r="AB55" i="19"/>
  <c r="AB43" i="19"/>
  <c r="AB58" i="19"/>
  <c r="AB53" i="19"/>
  <c r="D14" i="20"/>
  <c r="AR142" i="19"/>
  <c r="AB64" i="19"/>
  <c r="AB51" i="19"/>
  <c r="D3" i="20"/>
  <c r="AB62" i="19"/>
  <c r="AB45" i="19"/>
  <c r="AB38" i="19"/>
  <c r="AS142" i="19"/>
  <c r="D5" i="20"/>
  <c r="AB65" i="19"/>
  <c r="AQ142" i="19"/>
  <c r="AO142" i="19"/>
  <c r="AV137" i="19"/>
  <c r="AV136" i="19"/>
  <c r="AV131" i="19"/>
  <c r="AV133" i="19"/>
  <c r="AV139" i="19"/>
  <c r="AV134" i="19"/>
  <c r="AV138" i="19"/>
  <c r="AV140" i="19"/>
  <c r="AV135" i="19"/>
  <c r="H66" i="19"/>
  <c r="AO122" i="19"/>
  <c r="H22" i="19"/>
  <c r="H21" i="19"/>
  <c r="H35" i="19"/>
  <c r="H62" i="19"/>
  <c r="H68" i="19"/>
  <c r="H30" i="19"/>
  <c r="H67" i="19"/>
  <c r="L78" i="19"/>
  <c r="H43" i="19"/>
  <c r="H26" i="19"/>
  <c r="H51" i="19"/>
  <c r="AV143" i="19"/>
  <c r="H55" i="19"/>
  <c r="H57" i="19"/>
  <c r="H56" i="19"/>
  <c r="H39" i="19"/>
  <c r="H44" i="19"/>
  <c r="H53" i="19"/>
  <c r="H40" i="19"/>
  <c r="H58" i="19"/>
  <c r="L77" i="19"/>
  <c r="H48" i="19"/>
  <c r="AH127" i="19"/>
  <c r="H71" i="19"/>
  <c r="X78" i="19" s="1"/>
  <c r="H63" i="19"/>
  <c r="H27" i="19"/>
  <c r="H52" i="19"/>
  <c r="H42" i="19"/>
  <c r="AL127" i="19"/>
  <c r="H31" i="19"/>
  <c r="AP122" i="19"/>
  <c r="AP123" i="19" s="1"/>
  <c r="AK127" i="19"/>
  <c r="L75" i="19"/>
  <c r="L79" i="19"/>
  <c r="H60" i="19"/>
  <c r="H29" i="19"/>
  <c r="H34" i="19"/>
  <c r="H46" i="19"/>
  <c r="H36" i="19"/>
  <c r="H23" i="19"/>
  <c r="AJ127" i="19"/>
  <c r="H65" i="19"/>
  <c r="AI127" i="19"/>
  <c r="AQ122" i="19"/>
  <c r="AQ123" i="19" s="1"/>
  <c r="H45" i="19"/>
  <c r="H54" i="19"/>
  <c r="H24" i="19"/>
  <c r="H50" i="19"/>
  <c r="H64" i="19"/>
  <c r="AM127" i="19"/>
  <c r="H69" i="19"/>
  <c r="C95" i="19"/>
  <c r="L76" i="19"/>
  <c r="H61" i="19"/>
  <c r="H38" i="19"/>
  <c r="H47" i="19"/>
  <c r="H59" i="19"/>
  <c r="H70" i="19"/>
  <c r="H49" i="19"/>
  <c r="H25" i="19"/>
  <c r="E95" i="19"/>
  <c r="D95" i="19"/>
  <c r="H32" i="19"/>
  <c r="AV115" i="19"/>
  <c r="H28" i="19"/>
  <c r="H33" i="19"/>
  <c r="H37" i="19"/>
  <c r="H41" i="19"/>
  <c r="G40" i="18"/>
  <c r="G22" i="18"/>
  <c r="G44" i="18"/>
  <c r="F39" i="18"/>
  <c r="G43" i="18"/>
  <c r="G45" i="18"/>
  <c r="F21" i="18"/>
  <c r="AL124" i="23" l="1"/>
  <c r="AJ124" i="23"/>
  <c r="AI124" i="23"/>
  <c r="AM124" i="23"/>
  <c r="AH124" i="23"/>
  <c r="AH125" i="23" s="1"/>
  <c r="AK125" i="23"/>
  <c r="AK129" i="23" s="1"/>
  <c r="AK130" i="23" s="1"/>
  <c r="AK120" i="23"/>
  <c r="AK128" i="23" s="1"/>
  <c r="AU129" i="23"/>
  <c r="AU130" i="23" s="1"/>
  <c r="C76" i="23" s="1"/>
  <c r="AV152" i="23" s="1"/>
  <c r="AN130" i="23"/>
  <c r="H79" i="21"/>
  <c r="AR145" i="21" s="1"/>
  <c r="AK124" i="21" s="1"/>
  <c r="AK125" i="21" s="1"/>
  <c r="AK129" i="21" s="1"/>
  <c r="AK130" i="21" s="1"/>
  <c r="Y81" i="21"/>
  <c r="Y83" i="21" s="1"/>
  <c r="O76" i="19"/>
  <c r="O76" i="21"/>
  <c r="O80" i="21" s="1"/>
  <c r="AU125" i="21"/>
  <c r="AN129" i="21"/>
  <c r="AU120" i="21"/>
  <c r="AN128" i="21"/>
  <c r="AU128" i="21" s="1"/>
  <c r="X25" i="19"/>
  <c r="Y25" i="19"/>
  <c r="E5" i="20"/>
  <c r="Y24" i="19"/>
  <c r="X24" i="19"/>
  <c r="E4" i="20"/>
  <c r="E6" i="20"/>
  <c r="Y26" i="19"/>
  <c r="X26" i="19"/>
  <c r="X81" i="19"/>
  <c r="X83" i="19" s="1"/>
  <c r="AK121" i="19"/>
  <c r="AK122" i="19" s="1"/>
  <c r="AK123" i="19" s="1"/>
  <c r="F41" i="18"/>
  <c r="F24" i="18"/>
  <c r="F25" i="18" s="1"/>
  <c r="Y81" i="19"/>
  <c r="Y83" i="19" s="1"/>
  <c r="X83" i="8"/>
  <c r="AR146" i="8"/>
  <c r="AN124" i="8" s="1"/>
  <c r="I81" i="19"/>
  <c r="Y77" i="19"/>
  <c r="Y79" i="19" s="1"/>
  <c r="X79" i="8"/>
  <c r="AT121" i="8"/>
  <c r="AV121" i="8" s="1"/>
  <c r="AH122" i="8"/>
  <c r="AN121" i="19"/>
  <c r="AR121" i="19"/>
  <c r="M80" i="8"/>
  <c r="O75" i="19"/>
  <c r="O80" i="19" s="1"/>
  <c r="Y71" i="8"/>
  <c r="X71" i="8"/>
  <c r="AO124" i="8"/>
  <c r="Y41" i="19"/>
  <c r="X41" i="19"/>
  <c r="AP121" i="19"/>
  <c r="L80" i="19"/>
  <c r="M79" i="19"/>
  <c r="AQ121" i="19"/>
  <c r="AO121" i="19"/>
  <c r="M76" i="19"/>
  <c r="X57" i="19"/>
  <c r="Y57" i="19"/>
  <c r="Y53" i="19"/>
  <c r="X53" i="19"/>
  <c r="Y59" i="19"/>
  <c r="X59" i="19"/>
  <c r="X60" i="19"/>
  <c r="Y60" i="19"/>
  <c r="Y47" i="19"/>
  <c r="X47" i="19"/>
  <c r="Y65" i="19"/>
  <c r="X65" i="19"/>
  <c r="X43" i="19"/>
  <c r="Y43" i="19"/>
  <c r="M77" i="19"/>
  <c r="X77" i="19"/>
  <c r="X79" i="19" s="1"/>
  <c r="AO123" i="19"/>
  <c r="AU123" i="19" s="1"/>
  <c r="H81" i="19" s="1"/>
  <c r="AR146" i="19" s="1"/>
  <c r="AU122" i="19"/>
  <c r="X44" i="19"/>
  <c r="Y44" i="19"/>
  <c r="X56" i="19"/>
  <c r="Y56" i="19"/>
  <c r="X62" i="19"/>
  <c r="Y62" i="19"/>
  <c r="AU142" i="19"/>
  <c r="AV142" i="19" s="1"/>
  <c r="X46" i="19"/>
  <c r="Y46" i="19"/>
  <c r="Y55" i="19"/>
  <c r="X55" i="19"/>
  <c r="Y38" i="19"/>
  <c r="X38" i="19"/>
  <c r="Y49" i="19"/>
  <c r="X49" i="19"/>
  <c r="AT127" i="19"/>
  <c r="AV127" i="19" s="1"/>
  <c r="Y37" i="19"/>
  <c r="X37" i="19"/>
  <c r="W71" i="19"/>
  <c r="Y45" i="19"/>
  <c r="X45" i="19"/>
  <c r="X58" i="19"/>
  <c r="Y58" i="19"/>
  <c r="Y48" i="19"/>
  <c r="X48" i="19"/>
  <c r="Y61" i="19"/>
  <c r="X61" i="19"/>
  <c r="Y52" i="19"/>
  <c r="X52" i="19"/>
  <c r="AJ121" i="19"/>
  <c r="AJ122" i="19" s="1"/>
  <c r="M75" i="19"/>
  <c r="AH121" i="19"/>
  <c r="X40" i="19"/>
  <c r="Y40" i="19"/>
  <c r="X54" i="19"/>
  <c r="Y54" i="19"/>
  <c r="Y42" i="19"/>
  <c r="X42" i="19"/>
  <c r="Y63" i="19"/>
  <c r="X63" i="19"/>
  <c r="X39" i="19"/>
  <c r="Y39" i="19"/>
  <c r="Y64" i="19"/>
  <c r="X64" i="19"/>
  <c r="Y50" i="19"/>
  <c r="X50" i="19"/>
  <c r="G21" i="18"/>
  <c r="G39" i="18"/>
  <c r="AT124" i="23" l="1"/>
  <c r="AV124" i="23" s="1"/>
  <c r="AJ125" i="23"/>
  <c r="AJ129" i="23" s="1"/>
  <c r="AJ130" i="23" s="1"/>
  <c r="AJ120" i="23"/>
  <c r="AJ128" i="23" s="1"/>
  <c r="AL125" i="23"/>
  <c r="AL129" i="23" s="1"/>
  <c r="AL130" i="23" s="1"/>
  <c r="AL120" i="23"/>
  <c r="AL128" i="23" s="1"/>
  <c r="AH120" i="23"/>
  <c r="AM125" i="23"/>
  <c r="AM129" i="23" s="1"/>
  <c r="AM130" i="23" s="1"/>
  <c r="AM120" i="23"/>
  <c r="AM128" i="23" s="1"/>
  <c r="AI125" i="23"/>
  <c r="AI129" i="23" s="1"/>
  <c r="AI130" i="23" s="1"/>
  <c r="AI120" i="23"/>
  <c r="AI128" i="23" s="1"/>
  <c r="AH129" i="23"/>
  <c r="AL124" i="21"/>
  <c r="AL120" i="21" s="1"/>
  <c r="AL128" i="21" s="1"/>
  <c r="AJ124" i="21"/>
  <c r="AJ125" i="21" s="1"/>
  <c r="AJ129" i="21" s="1"/>
  <c r="AJ130" i="21" s="1"/>
  <c r="AK120" i="21"/>
  <c r="AK128" i="21" s="1"/>
  <c r="AI124" i="21"/>
  <c r="AI120" i="21" s="1"/>
  <c r="AI128" i="21" s="1"/>
  <c r="AM124" i="21"/>
  <c r="AH124" i="21"/>
  <c r="AU129" i="21"/>
  <c r="AU130" i="21" s="1"/>
  <c r="C76" i="21" s="1"/>
  <c r="AN130" i="21"/>
  <c r="AQ124" i="8"/>
  <c r="AQ125" i="8" s="1"/>
  <c r="AQ129" i="8" s="1"/>
  <c r="AQ130" i="8" s="1"/>
  <c r="AP124" i="8"/>
  <c r="AP120" i="8" s="1"/>
  <c r="AP128" i="8" s="1"/>
  <c r="AR124" i="8"/>
  <c r="AR125" i="8" s="1"/>
  <c r="AR129" i="8" s="1"/>
  <c r="AR130" i="8" s="1"/>
  <c r="AS124" i="8"/>
  <c r="AS120" i="8" s="1"/>
  <c r="AS128" i="8" s="1"/>
  <c r="AN120" i="8"/>
  <c r="AN125" i="8"/>
  <c r="AT122" i="8"/>
  <c r="AH123" i="8"/>
  <c r="AT123" i="8" s="1"/>
  <c r="AU121" i="19"/>
  <c r="AO125" i="8"/>
  <c r="AO129" i="8" s="1"/>
  <c r="AO130" i="8" s="1"/>
  <c r="AO120" i="8"/>
  <c r="AO128" i="8" s="1"/>
  <c r="G24" i="18"/>
  <c r="G25" i="18" s="1"/>
  <c r="G41" i="18"/>
  <c r="AT121" i="19"/>
  <c r="AH122" i="19"/>
  <c r="M80" i="19"/>
  <c r="X71" i="19"/>
  <c r="Y71" i="19"/>
  <c r="AR124" i="19"/>
  <c r="AS124" i="19"/>
  <c r="AP124" i="19"/>
  <c r="AQ124" i="19"/>
  <c r="AO124" i="19"/>
  <c r="AN124" i="19"/>
  <c r="AJ123" i="19"/>
  <c r="H15" i="18"/>
  <c r="AT125" i="23" l="1"/>
  <c r="AV125" i="23" s="1"/>
  <c r="AT120" i="23"/>
  <c r="AV120" i="23" s="1"/>
  <c r="AH128" i="23"/>
  <c r="AT128" i="23" s="1"/>
  <c r="AV128" i="23" s="1"/>
  <c r="AT129" i="23"/>
  <c r="AH130" i="23"/>
  <c r="AL125" i="21"/>
  <c r="AL129" i="21" s="1"/>
  <c r="AL130" i="21" s="1"/>
  <c r="AJ120" i="21"/>
  <c r="AJ128" i="21" s="1"/>
  <c r="AI125" i="21"/>
  <c r="AI129" i="21" s="1"/>
  <c r="AI130" i="21" s="1"/>
  <c r="AT124" i="21"/>
  <c r="AV124" i="21" s="1"/>
  <c r="AM125" i="21"/>
  <c r="AM129" i="21" s="1"/>
  <c r="AM130" i="21" s="1"/>
  <c r="AM120" i="21"/>
  <c r="AM128" i="21" s="1"/>
  <c r="AH125" i="21"/>
  <c r="AH129" i="21" s="1"/>
  <c r="AH120" i="21"/>
  <c r="AH128" i="21" s="1"/>
  <c r="AV152" i="21"/>
  <c r="AS125" i="8"/>
  <c r="AS129" i="8" s="1"/>
  <c r="AS130" i="8" s="1"/>
  <c r="AQ120" i="8"/>
  <c r="AQ128" i="8" s="1"/>
  <c r="AP125" i="8"/>
  <c r="AP129" i="8" s="1"/>
  <c r="AP130" i="8" s="1"/>
  <c r="AR120" i="8"/>
  <c r="AR128" i="8" s="1"/>
  <c r="AU124" i="8"/>
  <c r="AN128" i="8"/>
  <c r="AV121" i="19"/>
  <c r="AV123" i="8"/>
  <c r="H79" i="8"/>
  <c r="I79" i="21" s="1"/>
  <c r="AN129" i="8"/>
  <c r="AV122" i="8"/>
  <c r="AO125" i="19"/>
  <c r="AO129" i="19" s="1"/>
  <c r="AO130" i="19" s="1"/>
  <c r="AO120" i="19"/>
  <c r="AO128" i="19" s="1"/>
  <c r="AQ125" i="19"/>
  <c r="AQ129" i="19" s="1"/>
  <c r="AQ130" i="19" s="1"/>
  <c r="AQ120" i="19"/>
  <c r="AQ128" i="19" s="1"/>
  <c r="AP120" i="19"/>
  <c r="AP128" i="19" s="1"/>
  <c r="AP125" i="19"/>
  <c r="AP129" i="19" s="1"/>
  <c r="AP130" i="19" s="1"/>
  <c r="AT122" i="19"/>
  <c r="AH123" i="19"/>
  <c r="AT123" i="19" s="1"/>
  <c r="AN125" i="19"/>
  <c r="AU124" i="19"/>
  <c r="AN120" i="19"/>
  <c r="AS125" i="19"/>
  <c r="AS129" i="19" s="1"/>
  <c r="AS130" i="19" s="1"/>
  <c r="AS120" i="19"/>
  <c r="AS128" i="19" s="1"/>
  <c r="AR125" i="19"/>
  <c r="AR129" i="19" s="1"/>
  <c r="AR130" i="19" s="1"/>
  <c r="AR120" i="19"/>
  <c r="AR128" i="19" s="1"/>
  <c r="AV129" i="23" l="1"/>
  <c r="AT130" i="23"/>
  <c r="AT128" i="21"/>
  <c r="AV128" i="21" s="1"/>
  <c r="AT129" i="21"/>
  <c r="AV129" i="21" s="1"/>
  <c r="AH130" i="21"/>
  <c r="AT120" i="21"/>
  <c r="AV120" i="21" s="1"/>
  <c r="AT125" i="21"/>
  <c r="AV125" i="21" s="1"/>
  <c r="AU125" i="8"/>
  <c r="AU128" i="8"/>
  <c r="AU120" i="8"/>
  <c r="AN130" i="8"/>
  <c r="AU129" i="8"/>
  <c r="AU130" i="8" s="1"/>
  <c r="C76" i="8" s="1"/>
  <c r="D76" i="23" s="1"/>
  <c r="AR145" i="8"/>
  <c r="I79" i="19"/>
  <c r="AV122" i="19"/>
  <c r="AU120" i="19"/>
  <c r="AN128" i="19"/>
  <c r="AU128" i="19" s="1"/>
  <c r="H79" i="19"/>
  <c r="AR145" i="19" s="1"/>
  <c r="AL124" i="19" s="1"/>
  <c r="AV123" i="19"/>
  <c r="AN129" i="19"/>
  <c r="AU125" i="19"/>
  <c r="F15" i="18"/>
  <c r="AV130" i="23" l="1"/>
  <c r="AG114" i="23"/>
  <c r="AT130" i="21"/>
  <c r="D76" i="21"/>
  <c r="AV130" i="21"/>
  <c r="AG114" i="21"/>
  <c r="AM124" i="19"/>
  <c r="AM125" i="19" s="1"/>
  <c r="AM129" i="19" s="1"/>
  <c r="AM130" i="19" s="1"/>
  <c r="AV152" i="8"/>
  <c r="D76" i="19"/>
  <c r="AK124" i="19"/>
  <c r="AK125" i="19" s="1"/>
  <c r="AK129" i="19" s="1"/>
  <c r="AK130" i="19" s="1"/>
  <c r="AH124" i="8"/>
  <c r="AI124" i="8"/>
  <c r="AK124" i="8"/>
  <c r="AJ124" i="8"/>
  <c r="AL124" i="8"/>
  <c r="AM124" i="8"/>
  <c r="AL120" i="19"/>
  <c r="AL128" i="19" s="1"/>
  <c r="AL125" i="19"/>
  <c r="AL129" i="19" s="1"/>
  <c r="AL130" i="19" s="1"/>
  <c r="AI124" i="19"/>
  <c r="AN130" i="19"/>
  <c r="AU129" i="19"/>
  <c r="AU130" i="19" s="1"/>
  <c r="C76" i="19" s="1"/>
  <c r="AK120" i="19"/>
  <c r="AK128" i="19" s="1"/>
  <c r="AH124" i="19"/>
  <c r="AJ124" i="19"/>
  <c r="G15" i="18"/>
  <c r="AG113" i="23" l="1"/>
  <c r="AG115" i="23"/>
  <c r="AG113" i="21"/>
  <c r="AG115" i="21"/>
  <c r="AM120" i="19"/>
  <c r="AM128" i="19" s="1"/>
  <c r="AK120" i="8"/>
  <c r="AK128" i="8" s="1"/>
  <c r="AK125" i="8"/>
  <c r="AK129" i="8" s="1"/>
  <c r="AK130" i="8" s="1"/>
  <c r="AM125" i="8"/>
  <c r="AM129" i="8" s="1"/>
  <c r="AM130" i="8" s="1"/>
  <c r="AM120" i="8"/>
  <c r="AM128" i="8" s="1"/>
  <c r="AI125" i="8"/>
  <c r="AI129" i="8" s="1"/>
  <c r="AI130" i="8" s="1"/>
  <c r="AI120" i="8"/>
  <c r="AI128" i="8" s="1"/>
  <c r="AL125" i="8"/>
  <c r="AL129" i="8" s="1"/>
  <c r="AL130" i="8" s="1"/>
  <c r="AL120" i="8"/>
  <c r="AL128" i="8" s="1"/>
  <c r="AH120" i="8"/>
  <c r="AT124" i="8"/>
  <c r="AV124" i="8" s="1"/>
  <c r="AH125" i="8"/>
  <c r="AJ125" i="8"/>
  <c r="AJ129" i="8" s="1"/>
  <c r="AJ130" i="8" s="1"/>
  <c r="AJ120" i="8"/>
  <c r="AJ128" i="8" s="1"/>
  <c r="AI125" i="19"/>
  <c r="AI129" i="19" s="1"/>
  <c r="AI130" i="19" s="1"/>
  <c r="AI120" i="19"/>
  <c r="AI128" i="19" s="1"/>
  <c r="AH120" i="19"/>
  <c r="AH125" i="19"/>
  <c r="AT124" i="19"/>
  <c r="AV124" i="19" s="1"/>
  <c r="AV152" i="19"/>
  <c r="AJ120" i="19"/>
  <c r="AJ128" i="19" s="1"/>
  <c r="AJ125" i="19"/>
  <c r="AJ129" i="19" s="1"/>
  <c r="AJ130" i="19" s="1"/>
  <c r="AG119" i="23" l="1"/>
  <c r="AG118" i="23"/>
  <c r="AG117" i="23"/>
  <c r="AG116" i="23"/>
  <c r="AG119" i="21"/>
  <c r="AG118" i="21"/>
  <c r="AG117" i="21"/>
  <c r="AG116" i="21"/>
  <c r="AT125" i="8"/>
  <c r="AV125" i="8" s="1"/>
  <c r="AH129" i="8"/>
  <c r="AH128" i="8"/>
  <c r="AT128" i="8" s="1"/>
  <c r="AV128" i="8" s="1"/>
  <c r="AR150" i="8" s="1"/>
  <c r="Y4" i="23" s="1"/>
  <c r="AT120" i="8"/>
  <c r="AV120" i="8" s="1"/>
  <c r="AT125" i="19"/>
  <c r="AV125" i="19" s="1"/>
  <c r="AH129" i="19"/>
  <c r="AT120" i="19"/>
  <c r="AV120" i="19" s="1"/>
  <c r="AH128" i="19"/>
  <c r="AT128" i="19" s="1"/>
  <c r="AV128" i="19" s="1"/>
  <c r="AG128" i="23" l="1"/>
  <c r="AG129" i="23"/>
  <c r="AG130" i="23" s="1"/>
  <c r="C75" i="23" s="1"/>
  <c r="Y6" i="23"/>
  <c r="Y5" i="23"/>
  <c r="AG128" i="21"/>
  <c r="Y4" i="21"/>
  <c r="Y6" i="21" s="1"/>
  <c r="AG129" i="21"/>
  <c r="AG130" i="21" s="1"/>
  <c r="C75" i="21" s="1"/>
  <c r="Y4" i="19"/>
  <c r="Y6" i="19" s="1"/>
  <c r="AT129" i="8"/>
  <c r="AH130" i="8"/>
  <c r="AT129" i="19"/>
  <c r="AH130" i="19"/>
  <c r="H14" i="18"/>
  <c r="Y8" i="23" l="1"/>
  <c r="Y14" i="23" s="1"/>
  <c r="Y5" i="21"/>
  <c r="Y8" i="21" s="1"/>
  <c r="Y14" i="21" s="1"/>
  <c r="Y5" i="19"/>
  <c r="Y8" i="19" s="1"/>
  <c r="Y14" i="19" s="1"/>
  <c r="AV129" i="8"/>
  <c r="AT130" i="8"/>
  <c r="AV129" i="19"/>
  <c r="AT130" i="19"/>
  <c r="H11" i="18"/>
  <c r="G11" i="18"/>
  <c r="AG114" i="8" l="1"/>
  <c r="AV130" i="8"/>
  <c r="AV130" i="19"/>
  <c r="AG114" i="19"/>
  <c r="AG113" i="8" l="1"/>
  <c r="AG115" i="8"/>
  <c r="AG113" i="19"/>
  <c r="AG115" i="19"/>
  <c r="AG119" i="8" l="1"/>
  <c r="AG118" i="8"/>
  <c r="AG117" i="8"/>
  <c r="AG116" i="8"/>
  <c r="AG116" i="19"/>
  <c r="AG119" i="19"/>
  <c r="AG117" i="19"/>
  <c r="AG118" i="19"/>
  <c r="AG128" i="19" l="1"/>
  <c r="AG128" i="8"/>
  <c r="AG129" i="8"/>
  <c r="AG130" i="8" s="1"/>
  <c r="C75" i="8" s="1"/>
  <c r="AG129" i="19"/>
  <c r="AG130" i="19" s="1"/>
  <c r="C75" i="19" s="1"/>
  <c r="G14" i="18"/>
  <c r="F14" i="18"/>
  <c r="D75" i="23" l="1"/>
  <c r="C80" i="23"/>
  <c r="D75" i="21"/>
  <c r="C80" i="21"/>
  <c r="D75" i="19"/>
  <c r="C74" i="8"/>
  <c r="D74" i="23" s="1"/>
  <c r="C80" i="19"/>
  <c r="F13" i="18"/>
  <c r="C74" i="23" l="1"/>
  <c r="C82" i="23"/>
  <c r="D74" i="21"/>
  <c r="C74" i="21"/>
  <c r="C82" i="21"/>
  <c r="D74" i="19"/>
  <c r="AH37" i="8"/>
  <c r="AH38" i="8" s="1"/>
  <c r="AH39" i="8" s="1"/>
  <c r="C82" i="19"/>
  <c r="C74" i="19"/>
  <c r="H13" i="18"/>
  <c r="G13" i="18"/>
  <c r="AH40" i="8" l="1"/>
  <c r="AI39" i="8"/>
</calcChain>
</file>

<file path=xl/comments1.xml><?xml version="1.0" encoding="utf-8"?>
<comments xmlns="http://schemas.openxmlformats.org/spreadsheetml/2006/main">
  <authors>
    <author>Rupinder Phougat</author>
  </authors>
  <commentList>
    <comment ref="B79" authorId="0">
      <text>
        <r>
          <rPr>
            <sz val="9"/>
            <color indexed="81"/>
            <rFont val="Tahoma"/>
            <family val="2"/>
          </rPr>
          <t>Strictly for special cases only e.g.
- change in specific heat due to modifications
- Actual impact of BP+HME is too high or too low</t>
        </r>
      </text>
    </comment>
    <comment ref="H79" authorId="0">
      <text>
        <r>
          <rPr>
            <sz val="9"/>
            <color indexed="81"/>
            <rFont val="Tahoma"/>
            <family val="2"/>
          </rPr>
          <t>Calculated increase in O2, compared to std. fuel.</t>
        </r>
      </text>
    </comment>
    <comment ref="H81" authorId="0">
      <text>
        <r>
          <rPr>
            <sz val="9"/>
            <color indexed="81"/>
            <rFont val="Tahoma"/>
            <family val="2"/>
          </rPr>
          <t>Calculated increase in O2, compared to no AF.</t>
        </r>
      </text>
    </comment>
    <comment ref="F92" authorId="0">
      <text>
        <r>
          <rPr>
            <sz val="9"/>
            <color indexed="81"/>
            <rFont val="Tahoma"/>
            <family val="2"/>
          </rPr>
          <t>There is no standard guideline for ash input. Depending upon plant conditions, the user may identify and insert appropriate limits.</t>
        </r>
      </text>
    </comment>
    <comment ref="AF122" authorId="0">
      <text>
        <r>
          <rPr>
            <sz val="9"/>
            <color indexed="81"/>
            <rFont val="Tahoma"/>
            <family val="2"/>
          </rPr>
          <t>Relevant q = %Heat from TFs or %TSR from AFs
Relevant TSR for O2 increase:
In case of ILC/SLC/SF: AF coarse + AF lump
If not ILC/SLC, MB/SF: AF fine</t>
        </r>
      </text>
    </comment>
  </commentList>
</comments>
</file>

<file path=xl/comments2.xml><?xml version="1.0" encoding="utf-8"?>
<comments xmlns="http://schemas.openxmlformats.org/spreadsheetml/2006/main">
  <authors>
    <author>Rupinder Phougat</author>
  </authors>
  <commentList>
    <comment ref="B79" authorId="0">
      <text>
        <r>
          <rPr>
            <sz val="9"/>
            <color indexed="81"/>
            <rFont val="Tahoma"/>
            <family val="2"/>
          </rPr>
          <t>Strictly for special cases only e.g.
- change in specific heat due to modifications
- Actual impact of BP+HME is too high or too low</t>
        </r>
      </text>
    </comment>
    <comment ref="H79" authorId="0">
      <text>
        <r>
          <rPr>
            <sz val="9"/>
            <color indexed="81"/>
            <rFont val="Tahoma"/>
            <family val="2"/>
          </rPr>
          <t>Calculated increase in O2, compared to std. fuel.</t>
        </r>
      </text>
    </comment>
    <comment ref="H81" authorId="0">
      <text>
        <r>
          <rPr>
            <sz val="9"/>
            <color indexed="81"/>
            <rFont val="Tahoma"/>
            <family val="2"/>
          </rPr>
          <t>Calculated increase in O2, compared to no AF.</t>
        </r>
      </text>
    </comment>
    <comment ref="F92" authorId="0">
      <text>
        <r>
          <rPr>
            <sz val="9"/>
            <color indexed="81"/>
            <rFont val="Tahoma"/>
            <family val="2"/>
          </rPr>
          <t>There is no standard guideline for ash input. Depending upon plant conditions, the user may identify and insert appropriate limits.</t>
        </r>
      </text>
    </comment>
  </commentList>
</comments>
</file>

<file path=xl/comments3.xml><?xml version="1.0" encoding="utf-8"?>
<comments xmlns="http://schemas.openxmlformats.org/spreadsheetml/2006/main">
  <authors>
    <author>Rupinder Phougat</author>
  </authors>
  <commentList>
    <comment ref="B79" authorId="0">
      <text>
        <r>
          <rPr>
            <sz val="9"/>
            <color indexed="81"/>
            <rFont val="Tahoma"/>
            <family val="2"/>
          </rPr>
          <t>Strictly for special cases only e.g.
- change in specific heat due to modifications
- Actual impact of BP+HME is too high or too low</t>
        </r>
      </text>
    </comment>
    <comment ref="H79" authorId="0">
      <text>
        <r>
          <rPr>
            <sz val="9"/>
            <color indexed="81"/>
            <rFont val="Tahoma"/>
            <family val="2"/>
          </rPr>
          <t>Calculated increase in O2, compared to std. fuel.</t>
        </r>
      </text>
    </comment>
    <comment ref="H81" authorId="0">
      <text>
        <r>
          <rPr>
            <sz val="9"/>
            <color indexed="81"/>
            <rFont val="Tahoma"/>
            <family val="2"/>
          </rPr>
          <t>Calculated increase in O2, compared to no AF.</t>
        </r>
      </text>
    </comment>
    <comment ref="F92" authorId="0">
      <text>
        <r>
          <rPr>
            <sz val="9"/>
            <color indexed="81"/>
            <rFont val="Tahoma"/>
            <family val="2"/>
          </rPr>
          <t>There is no standard guideline for ash input. Depending upon plant conditions, the user may identify and insert appropriate limits.</t>
        </r>
      </text>
    </comment>
  </commentList>
</comments>
</file>

<file path=xl/comments4.xml><?xml version="1.0" encoding="utf-8"?>
<comments xmlns="http://schemas.openxmlformats.org/spreadsheetml/2006/main">
  <authors>
    <author>Rupinder Phougat</author>
  </authors>
  <commentList>
    <comment ref="B79" authorId="0">
      <text>
        <r>
          <rPr>
            <sz val="9"/>
            <color indexed="81"/>
            <rFont val="Tahoma"/>
            <family val="2"/>
          </rPr>
          <t>Strictly for special cases only e.g.
- change in specific heat due to modifications
- Actual impact of BP+HME is too high or too low</t>
        </r>
      </text>
    </comment>
    <comment ref="H79" authorId="0">
      <text>
        <r>
          <rPr>
            <sz val="9"/>
            <color indexed="81"/>
            <rFont val="Tahoma"/>
            <family val="2"/>
          </rPr>
          <t>Calculated increase in O2, compared to std. fuel.</t>
        </r>
      </text>
    </comment>
    <comment ref="H81" authorId="0">
      <text>
        <r>
          <rPr>
            <sz val="9"/>
            <color indexed="81"/>
            <rFont val="Tahoma"/>
            <family val="2"/>
          </rPr>
          <t>Calculated increase in O2, compared to no AF.</t>
        </r>
      </text>
    </comment>
    <comment ref="F92" authorId="0">
      <text>
        <r>
          <rPr>
            <sz val="9"/>
            <color indexed="81"/>
            <rFont val="Tahoma"/>
            <family val="2"/>
          </rPr>
          <t>There is no standard guideline for ash input. Depending upon plant conditions, the user may identify and insert appropriate limits.</t>
        </r>
      </text>
    </comment>
  </commentList>
</comments>
</file>

<file path=xl/comments5.xml><?xml version="1.0" encoding="utf-8"?>
<comments xmlns="http://schemas.openxmlformats.org/spreadsheetml/2006/main">
  <authors>
    <author>Rupinder Phougat</author>
  </authors>
  <commentList>
    <comment ref="N234" authorId="0">
      <text>
        <r>
          <rPr>
            <sz val="9"/>
            <color indexed="81"/>
            <rFont val="Tahoma"/>
            <family val="2"/>
          </rPr>
          <t>MWT = Manufacturing Workforce Training.</t>
        </r>
      </text>
    </comment>
    <comment ref="N236" authorId="0">
      <text>
        <r>
          <rPr>
            <sz val="9"/>
            <color indexed="81"/>
            <rFont val="Tahoma"/>
            <family val="2"/>
          </rPr>
          <t xml:space="preserve">Depends on composition of ash (assumptions, except Lepol from MPR RF).
</t>
        </r>
      </text>
    </comment>
    <comment ref="N249" authorId="0">
      <text>
        <r>
          <rPr>
            <sz val="9"/>
            <color indexed="81"/>
            <rFont val="Tahoma"/>
            <family val="2"/>
          </rPr>
          <t>CMS-TPT 06/21413 Rev.2</t>
        </r>
      </text>
    </comment>
  </commentList>
</comments>
</file>

<file path=xl/sharedStrings.xml><?xml version="1.0" encoding="utf-8"?>
<sst xmlns="http://schemas.openxmlformats.org/spreadsheetml/2006/main" count="2334" uniqueCount="878">
  <si>
    <t>What does FMO do for you?</t>
  </si>
  <si>
    <t>S</t>
  </si>
  <si>
    <t>Shredded solids*</t>
  </si>
  <si>
    <t>%</t>
  </si>
  <si>
    <t>g/t cli</t>
  </si>
  <si>
    <t>Name</t>
  </si>
  <si>
    <t>H2O</t>
  </si>
  <si>
    <t>Cl</t>
  </si>
  <si>
    <t>Ash</t>
  </si>
  <si>
    <t>d</t>
  </si>
  <si>
    <t>Kiln system</t>
  </si>
  <si>
    <t>PC</t>
  </si>
  <si>
    <t>NCV</t>
  </si>
  <si>
    <t>Liquids</t>
  </si>
  <si>
    <t>Main burner</t>
  </si>
  <si>
    <t>Moisture</t>
  </si>
  <si>
    <t>Hg</t>
  </si>
  <si>
    <t>Tl</t>
  </si>
  <si>
    <t>Cd</t>
  </si>
  <si>
    <t>Cr</t>
  </si>
  <si>
    <t>K2O</t>
  </si>
  <si>
    <t>Na2O</t>
  </si>
  <si>
    <t>% TSR</t>
  </si>
  <si>
    <t>SO3</t>
  </si>
  <si>
    <t>LEPOL</t>
  </si>
  <si>
    <t>SP</t>
  </si>
  <si>
    <t>% in cli</t>
  </si>
  <si>
    <t>Tires</t>
  </si>
  <si>
    <t>Density</t>
  </si>
  <si>
    <t>Chloride</t>
  </si>
  <si>
    <t>Viscosity</t>
  </si>
  <si>
    <t>Solids in suspension</t>
  </si>
  <si>
    <t>PCBs</t>
  </si>
  <si>
    <t>Sulfur</t>
  </si>
  <si>
    <t>Heavy metals</t>
  </si>
  <si>
    <t>Source</t>
  </si>
  <si>
    <t>g</t>
  </si>
  <si>
    <t>Solvents*</t>
  </si>
  <si>
    <t>Emulsions*</t>
  </si>
  <si>
    <t>20- 40</t>
  </si>
  <si>
    <t>Sludge*</t>
  </si>
  <si>
    <t>Animal Meal</t>
  </si>
  <si>
    <t>&lt;0.1</t>
  </si>
  <si>
    <t>13 -17</t>
  </si>
  <si>
    <t>0.1- 0.4</t>
  </si>
  <si>
    <t>3.5</t>
  </si>
  <si>
    <t>Spent pot liners</t>
  </si>
  <si>
    <t>The most important and critical elements are listed below:</t>
  </si>
  <si>
    <t>Kiln feed</t>
  </si>
  <si>
    <t>Mercury (Hg)</t>
  </si>
  <si>
    <t>Only possible if reliable data from drilling campaign (or drill hole sampling) is available.</t>
  </si>
  <si>
    <t>-</t>
  </si>
  <si>
    <t xml:space="preserve">Fuel category "sludge" added, sludge will be considered as lump fuel (direct pumping), in case of sludge atomization &lt; 50 mm resp. &lt; 5 mm has to be chosen </t>
  </si>
  <si>
    <t>Max. Limit for Alk/SO3 and sulfatization degree deleted</t>
  </si>
  <si>
    <t>Limit for "Fuels for hot flame depending on solid AF TSR at main burner</t>
  </si>
  <si>
    <t>"Specific actual cost of fuel" replaced by "specific actual cost of thermal Energy"</t>
  </si>
  <si>
    <t>Inclusion of CO2 emissions</t>
  </si>
  <si>
    <t>Correction in O2 increase calculation in FMO (AE 205) to include also solids &lt; 5 mm at main burner</t>
  </si>
  <si>
    <t>Reference of  Alk/SO3 ratio calculation in FMO cell L174 corrected (S100 -&gt; AJ103)</t>
  </si>
  <si>
    <t>Calculation of Actual Cost of Traditional Thermal Energy per GJ (to be used in "Prescreen" as "Cost of Fuel substituted by AF) in FMO cell AD 16/17</t>
  </si>
  <si>
    <t>Total</t>
  </si>
  <si>
    <t>Production capacity</t>
  </si>
  <si>
    <t>Heat consumption</t>
  </si>
  <si>
    <t>Date:</t>
  </si>
  <si>
    <t>%NCV</t>
  </si>
  <si>
    <t>PVZ</t>
  </si>
  <si>
    <t>O2</t>
  </si>
  <si>
    <t>CO2 emission benefit included in GAV according to HARP, CO2 cost due to increased heat consumption included in NAV</t>
  </si>
  <si>
    <t>GAV &amp; NAV for each AF type included in FMO sheet</t>
  </si>
  <si>
    <t>Date</t>
  </si>
  <si>
    <t>Revision</t>
  </si>
  <si>
    <t>FUEL MIX OPTIMIZER (FMO)</t>
  </si>
  <si>
    <t xml:space="preserve">Version:                                     </t>
  </si>
  <si>
    <t>a</t>
  </si>
  <si>
    <t>b</t>
  </si>
  <si>
    <t>c</t>
  </si>
  <si>
    <t>i</t>
  </si>
  <si>
    <t>ii</t>
  </si>
  <si>
    <t>iii</t>
  </si>
  <si>
    <t>iv</t>
  </si>
  <si>
    <t>Limitations of FMO</t>
  </si>
  <si>
    <t>FMO does not consider:</t>
  </si>
  <si>
    <t>+41 58 858 52 79</t>
  </si>
  <si>
    <t>Revision history</t>
  </si>
  <si>
    <t>Details</t>
  </si>
  <si>
    <t>MHk</t>
  </si>
  <si>
    <t>RPH</t>
  </si>
  <si>
    <t>Adjustment of influence of increased O2 depending on kiln system</t>
  </si>
  <si>
    <t>Possibility to enter manual limits to adapt to specific kiln systems</t>
  </si>
  <si>
    <t>Additional section for plant and project information &amp; KPI's</t>
  </si>
  <si>
    <t>Various elements changed for improved handling</t>
  </si>
  <si>
    <t>Layout considerably revised, cleaned up, and reviewed regarding consistency and appearance</t>
  </si>
  <si>
    <t>Ver.</t>
  </si>
  <si>
    <t>How to use FMO?</t>
  </si>
  <si>
    <t>Plant</t>
  </si>
  <si>
    <t>Project</t>
  </si>
  <si>
    <t>Project Responsible</t>
  </si>
  <si>
    <t>Kiln BDP, t/d</t>
  </si>
  <si>
    <t>Clinker production, t/d</t>
  </si>
  <si>
    <t>Cl from raw materials, g/t cli</t>
  </si>
  <si>
    <t>Average heat consumption, kJ/kg cli</t>
  </si>
  <si>
    <t>Clinker</t>
  </si>
  <si>
    <t>SO3 in clinker, %</t>
  </si>
  <si>
    <t>K2O in clinker, %</t>
  </si>
  <si>
    <t>Na2O in clinker, %</t>
  </si>
  <si>
    <t>BZ</t>
  </si>
  <si>
    <t>MK</t>
  </si>
  <si>
    <t>RM</t>
  </si>
  <si>
    <t>SF</t>
  </si>
  <si>
    <t>Burning zone</t>
  </si>
  <si>
    <t>TSR, %</t>
  </si>
  <si>
    <t>TEE, %</t>
  </si>
  <si>
    <t>MB</t>
  </si>
  <si>
    <t>XYZ</t>
  </si>
  <si>
    <t xml:space="preserve"> </t>
  </si>
  <si>
    <t>Flame temperature</t>
  </si>
  <si>
    <t>Quality</t>
  </si>
  <si>
    <t>H2O in BZ, % in cli</t>
  </si>
  <si>
    <t>Ash in BZ, % in cli</t>
  </si>
  <si>
    <t>Solids &lt; 5 MB, %TSR</t>
  </si>
  <si>
    <t>Solids &lt;50 in SF/MK, %TSR</t>
  </si>
  <si>
    <t>Net Cl input, %TSR</t>
  </si>
  <si>
    <t>Alk/SO3 ratio in cli, -</t>
  </si>
  <si>
    <t>SO3 in Cli, %</t>
  </si>
  <si>
    <t>0.5* LGF factors</t>
  </si>
  <si>
    <t>A/S balance</t>
  </si>
  <si>
    <t>Petcoke guidelines</t>
  </si>
  <si>
    <t>LGF study</t>
  </si>
  <si>
    <t>% TSR per 1% O2 increase</t>
  </si>
  <si>
    <t>Fuel</t>
  </si>
  <si>
    <t>AF</t>
  </si>
  <si>
    <t>Alternative fuel</t>
  </si>
  <si>
    <t>TF</t>
  </si>
  <si>
    <t>Added impact of bypass on heat consumption.</t>
  </si>
  <si>
    <t>Solids</t>
  </si>
  <si>
    <t>pH</t>
  </si>
  <si>
    <t>Flash point</t>
  </si>
  <si>
    <t>Hydrocarbons</t>
  </si>
  <si>
    <t>Be</t>
  </si>
  <si>
    <t>As</t>
  </si>
  <si>
    <t>Sb</t>
  </si>
  <si>
    <t>Sn</t>
  </si>
  <si>
    <t>Co</t>
  </si>
  <si>
    <t>Pb</t>
  </si>
  <si>
    <t>Ni</t>
  </si>
  <si>
    <t>Cu</t>
  </si>
  <si>
    <t>V</t>
  </si>
  <si>
    <t>Metals</t>
  </si>
  <si>
    <t>mg/kg (ppm)</t>
  </si>
  <si>
    <t>Limit/guideline,</t>
  </si>
  <si>
    <t>Thallium (Tl)</t>
  </si>
  <si>
    <t>Cadmium (Cd)</t>
  </si>
  <si>
    <t>5-10</t>
  </si>
  <si>
    <t>Almost all the mercury input is emitted. Therefore the Hg concentration in AFR has to</t>
  </si>
  <si>
    <t>be strictly limited.</t>
  </si>
  <si>
    <t>It is enriched in the outer (as well as inner) dust cycle. The concentration in the direct</t>
  </si>
  <si>
    <t>operation dust (dry SP kiln) can finally become so high (if all the dust is returned to</t>
  </si>
  <si>
    <t>the kiln) that EP trips (for just the handling of the dust) are an environmental and</t>
  </si>
  <si>
    <t>health &amp; safety hazard. Therefore, Tl concentration in AFR has to be strictly limited.</t>
  </si>
  <si>
    <t>Similar as Thallium. Therefore, the Cd concentration in AFR has to be strictly limited.</t>
  </si>
  <si>
    <t>Emission</t>
  </si>
  <si>
    <t>OH&amp;S</t>
  </si>
  <si>
    <t>Chromium (Cr)</t>
  </si>
  <si>
    <t>The Cr concentration in the cement should be as low as possible to prevent health</t>
  </si>
  <si>
    <t>problems by hexavalent chromium when handling wet / fresh concrete. In the European</t>
  </si>
  <si>
    <t>Union almost all cements have to meet the “low-chromate” product specification. The</t>
  </si>
  <si>
    <t xml:space="preserve">limits of 2 ppm hexavalent Cr has to be met. </t>
  </si>
  <si>
    <t>Reasonable limits for Heavy metals in AFRs (applicable only for dry kilns with TSR &lt; 20%):</t>
  </si>
  <si>
    <t xml:space="preserve">Balance.  </t>
  </si>
  <si>
    <t>25-40</t>
  </si>
  <si>
    <t>3-40</t>
  </si>
  <si>
    <t>0.1-1</t>
  </si>
  <si>
    <t>0.02-0.13</t>
  </si>
  <si>
    <t>0.05-0.31</t>
  </si>
  <si>
    <t>0.1-0.3</t>
  </si>
  <si>
    <t>22-30</t>
  </si>
  <si>
    <t>15-20</t>
  </si>
  <si>
    <t>0.25-0.5</t>
  </si>
  <si>
    <t>0.3-2</t>
  </si>
  <si>
    <t>16-25</t>
  </si>
  <si>
    <t>0.2-0.5</t>
  </si>
  <si>
    <t>0-10</t>
  </si>
  <si>
    <t>25-65</t>
  </si>
  <si>
    <t>0.4-0.1</t>
  </si>
  <si>
    <t>15-17</t>
  </si>
  <si>
    <t>20-25</t>
  </si>
  <si>
    <t>0.8-1.5</t>
  </si>
  <si>
    <t>0.5-1</t>
  </si>
  <si>
    <t>0.01-0.05</t>
  </si>
  <si>
    <t>14-21</t>
  </si>
  <si>
    <t>8-35</t>
  </si>
  <si>
    <t>0.1-1.3</t>
  </si>
  <si>
    <t>0.1-0.4</t>
  </si>
  <si>
    <t>0.3-0.9</t>
  </si>
  <si>
    <t>15-25</t>
  </si>
  <si>
    <t>45-65</t>
  </si>
  <si>
    <t>3.5-6.5</t>
  </si>
  <si>
    <t>0.1-0.2</t>
  </si>
  <si>
    <t>24-30</t>
  </si>
  <si>
    <t>30-34</t>
  </si>
  <si>
    <t>60-70</t>
  </si>
  <si>
    <t>0.3-0.4</t>
  </si>
  <si>
    <t>1-6.3</t>
  </si>
  <si>
    <t>1-5</t>
  </si>
  <si>
    <t>1-3.5</t>
  </si>
  <si>
    <t>5-15</t>
  </si>
  <si>
    <t>5-25</t>
  </si>
  <si>
    <t>6-35</t>
  </si>
  <si>
    <t>5-30</t>
  </si>
  <si>
    <t>6-20</t>
  </si>
  <si>
    <t>9-11</t>
  </si>
  <si>
    <t>3- 6</t>
  </si>
  <si>
    <t>1-2</t>
  </si>
  <si>
    <t xml:space="preserve">10-16 </t>
  </si>
  <si>
    <t>Tire chips</t>
  </si>
  <si>
    <t>Tire fluff</t>
  </si>
  <si>
    <t>Drill cuttings (water-based)*</t>
  </si>
  <si>
    <t>Impregnated saw dust*</t>
  </si>
  <si>
    <t xml:space="preserve">Dried sewage sludge </t>
  </si>
  <si>
    <t>Waste oil (low contamin.)*</t>
  </si>
  <si>
    <t>Cl extraction method</t>
  </si>
  <si>
    <t>g Cl/t cli</t>
  </si>
  <si>
    <t>Remarks</t>
  </si>
  <si>
    <t>Any kiln system</t>
  </si>
  <si>
    <t>Without Cl extraction ("closed loop")</t>
  </si>
  <si>
    <t>Discarding intermediate grate dust</t>
  </si>
  <si>
    <t>300-400</t>
  </si>
  <si>
    <t>~100 * % bypass</t>
  </si>
  <si>
    <t>Depends upon duration of direct operation</t>
  </si>
  <si>
    <t>Applicable for 5-10% bypass</t>
  </si>
  <si>
    <t>Filter dust is returns via kiln feed</t>
  </si>
  <si>
    <t>All precalciner and preheater kilns fall in this category.</t>
  </si>
  <si>
    <t>Concentration of Cl in pure raw materials is before mill.</t>
  </si>
  <si>
    <t>Values for dry kilns without bypass typically well below 200 g Cl/t cli.</t>
  </si>
  <si>
    <t>For more hints, please refer to "Alkali, Sulfur &amp; Chlorine Balance Tool" available on iShare.</t>
  </si>
  <si>
    <t>Example of a calculation based on Cl in raw materials</t>
  </si>
  <si>
    <t>Example of a calculation based on Cl in kiln feed</t>
  </si>
  <si>
    <t>Limestone</t>
  </si>
  <si>
    <t>Iron corrective</t>
  </si>
  <si>
    <t>Raw meal</t>
  </si>
  <si>
    <t>Cl, %</t>
  </si>
  <si>
    <t>Proportion in raw meal, %</t>
  </si>
  <si>
    <t>Silica corrective</t>
  </si>
  <si>
    <t>Alumina corrective</t>
  </si>
  <si>
    <t>Raw meal-Clinker factor</t>
  </si>
  <si>
    <t>Cl in clinker, %</t>
  </si>
  <si>
    <t>Cl in clinker, g/t cli</t>
  </si>
  <si>
    <t>Filter dust to kiln</t>
  </si>
  <si>
    <t>Total kiln feed</t>
  </si>
  <si>
    <t>Calculated Cl in raw meal, %</t>
  </si>
  <si>
    <t>This method is more common as it is easier to sample the materials (usually analysis is availble via routine</t>
  </si>
  <si>
    <t>samples). It is important to sample and analyse filter dust only when the kiln is running in direct operation (to</t>
  </si>
  <si>
    <t>avoid contamination from raw meal).</t>
  </si>
  <si>
    <t>where,</t>
  </si>
  <si>
    <t>GCV</t>
  </si>
  <si>
    <t>m</t>
  </si>
  <si>
    <t>H</t>
  </si>
  <si>
    <t>Net calorific value, MJ/kg fuel</t>
  </si>
  <si>
    <t>Gross calorific value, MJ/kg fuel</t>
  </si>
  <si>
    <t>TEE/TSR ratio, -</t>
  </si>
  <si>
    <t>Cl input</t>
  </si>
  <si>
    <t>Ash input</t>
  </si>
  <si>
    <t>Coarse</t>
  </si>
  <si>
    <t>Limit</t>
  </si>
  <si>
    <t>Min</t>
  </si>
  <si>
    <t>Max</t>
  </si>
  <si>
    <t>TSR</t>
  </si>
  <si>
    <t>TEE</t>
  </si>
  <si>
    <t>Coarse ash input, % in cli</t>
  </si>
  <si>
    <t>User should change the font colour to RED for assumed numbers (for easy reference).</t>
  </si>
  <si>
    <t xml:space="preserve">Introduced kiln exhaust gas margin for more realistic production loss calculation. </t>
  </si>
  <si>
    <t xml:space="preserve">Introduced kiln availability margin for more realistic production loss calculation. </t>
  </si>
  <si>
    <t>Removed 'Pre-Screening' sheet from FMO, which shall now be used as a separate file.</t>
  </si>
  <si>
    <t>Introduced 'Summary' sheet.</t>
  </si>
  <si>
    <t>Replaced 'Introduction' sheet with 'Help' sheet and revamped 'Guidelines' sheet.</t>
  </si>
  <si>
    <t>FMO version is now reported as YY.MM (for easy traceability of latest version).</t>
  </si>
  <si>
    <t>Moisture content in fuel, %</t>
  </si>
  <si>
    <t>Hydrogen content in fuel, %</t>
  </si>
  <si>
    <t>GAV</t>
  </si>
  <si>
    <t>Abbreviations</t>
  </si>
  <si>
    <t>Deleted reference of A/S ratio in constraints section (simulation) of FMO sheet restored.</t>
  </si>
  <si>
    <t>Set standard parameters for Solver; field for target TSR in PC/SF/MK added for simulation in FMO sheet.</t>
  </si>
  <si>
    <t>Wrong reference to baseline specific TF cost in simulation of GAV/AF fuel type in FMO sheet corrected.</t>
  </si>
  <si>
    <t>Missing formulas for total cost as fired of TF in simulation of FMO sheet corrected.</t>
  </si>
  <si>
    <t>Calculation of SO3, K2O, an Na2O in clinker in simulation of FMO sheet corrected.</t>
  </si>
  <si>
    <t>Introduced detailed cost structure (from customer gate to burner tip), including Waste-AF yield factor.</t>
  </si>
  <si>
    <t>Corrected an error with the calculation of 'corrected NCV'.</t>
  </si>
  <si>
    <t>Created seaprate 'Project-Info' sheet.</t>
  </si>
  <si>
    <t>Introduced calculations for kiln exhaust gas margin parameters conversion to 'gas flow basis'.</t>
  </si>
  <si>
    <t>Yes</t>
  </si>
  <si>
    <t>No</t>
  </si>
  <si>
    <t>Introduced dust extraction calculation and combined it with bypass calculation.</t>
  </si>
  <si>
    <t>HTEC guide value</t>
  </si>
  <si>
    <t>Override HTEC guide value</t>
  </si>
  <si>
    <t>Used</t>
  </si>
  <si>
    <t>Preheater</t>
  </si>
  <si>
    <t>Calciner</t>
  </si>
  <si>
    <t>LD</t>
  </si>
  <si>
    <t>LW</t>
  </si>
  <si>
    <t>Description</t>
  </si>
  <si>
    <t>Firing</t>
  </si>
  <si>
    <t>location</t>
  </si>
  <si>
    <t>Available</t>
  </si>
  <si>
    <t>(TSR for AFs)</t>
  </si>
  <si>
    <t>Volume for co-processing</t>
  </si>
  <si>
    <t>gate</t>
  </si>
  <si>
    <t>Calculated</t>
  </si>
  <si>
    <t>Location</t>
  </si>
  <si>
    <t>ILC</t>
  </si>
  <si>
    <t>SLC</t>
  </si>
  <si>
    <t>Override</t>
  </si>
  <si>
    <t>At firing point</t>
  </si>
  <si>
    <t>GJ/t</t>
  </si>
  <si>
    <t>emission</t>
  </si>
  <si>
    <t>factor</t>
  </si>
  <si>
    <t>CO2</t>
  </si>
  <si>
    <t>biomass</t>
  </si>
  <si>
    <t>Fraction of</t>
  </si>
  <si>
    <t>week</t>
  </si>
  <si>
    <t>month</t>
  </si>
  <si>
    <t>year</t>
  </si>
  <si>
    <t>Timeframe for calculations</t>
  </si>
  <si>
    <t>Corrected</t>
  </si>
  <si>
    <t>Based on expereince</t>
  </si>
  <si>
    <t>PCC</t>
  </si>
  <si>
    <t>Volume</t>
  </si>
  <si>
    <t>Heat</t>
  </si>
  <si>
    <t>Gross CO2 emissions</t>
  </si>
  <si>
    <t>From TFs, t CO2/GJ</t>
  </si>
  <si>
    <t>Timeframe</t>
  </si>
  <si>
    <t>Na2O eq.</t>
  </si>
  <si>
    <t>Na2O eq. in Cli, %</t>
  </si>
  <si>
    <t>Fuel split</t>
  </si>
  <si>
    <t>Total heat, %</t>
  </si>
  <si>
    <t>Reported</t>
  </si>
  <si>
    <t>Difference</t>
  </si>
  <si>
    <t>Kiln dust extraction</t>
  </si>
  <si>
    <t>All TFs</t>
  </si>
  <si>
    <t>All AFs</t>
  </si>
  <si>
    <t>Baseline</t>
  </si>
  <si>
    <t>Alk/SO3</t>
  </si>
  <si>
    <t>NCV
MJ/kg</t>
  </si>
  <si>
    <t>H2O
%</t>
  </si>
  <si>
    <t>Ash
%</t>
  </si>
  <si>
    <t>SO3
%</t>
  </si>
  <si>
    <t>K2O
%</t>
  </si>
  <si>
    <t>Na2O
%</t>
  </si>
  <si>
    <t>P2O5
%</t>
  </si>
  <si>
    <t>Cl
%</t>
  </si>
  <si>
    <t>Traditional fuels</t>
  </si>
  <si>
    <t>Responsible</t>
  </si>
  <si>
    <t>Net cash benefit</t>
  </si>
  <si>
    <t>Substitution benefit</t>
  </si>
  <si>
    <t>TEE/TSR ratio</t>
  </si>
  <si>
    <t>Fuel Mix Optimizer</t>
  </si>
  <si>
    <t>Simulation1</t>
  </si>
  <si>
    <t>Vmin</t>
  </si>
  <si>
    <t>Nm3/MJ</t>
  </si>
  <si>
    <t>kJ/kg cli</t>
  </si>
  <si>
    <t>Std.TF</t>
  </si>
  <si>
    <t>Vmin (wet), MJ/Nm3</t>
  </si>
  <si>
    <t>Fine solids</t>
  </si>
  <si>
    <t>Coarse solids</t>
  </si>
  <si>
    <t>Sludges</t>
  </si>
  <si>
    <t>Feed point selection for AFs depends primarily upon physical properties.</t>
  </si>
  <si>
    <t>Shredding of solids</t>
  </si>
  <si>
    <t>Typical costs excluding quality control costs:</t>
  </si>
  <si>
    <t>Fully automated feeding (i.e. unloading, storing, feeding, dosing &amp; transport to burner), no preparation.</t>
  </si>
  <si>
    <t>tire chips</t>
  </si>
  <si>
    <r>
      <t>fines (RDF</t>
    </r>
    <r>
      <rPr>
        <vertAlign val="subscript"/>
        <sz val="10"/>
        <rFont val="Calibri"/>
        <family val="2"/>
      </rPr>
      <t>f</t>
    </r>
    <r>
      <rPr>
        <sz val="10"/>
        <rFont val="Calibri"/>
        <family val="2"/>
      </rPr>
      <t>)</t>
    </r>
  </si>
  <si>
    <r>
      <t>coarse (RDF</t>
    </r>
    <r>
      <rPr>
        <vertAlign val="subscript"/>
        <sz val="10"/>
        <rFont val="Calibri"/>
        <family val="2"/>
      </rPr>
      <t>c</t>
    </r>
    <r>
      <rPr>
        <sz val="10"/>
        <rFont val="Calibri"/>
        <family val="2"/>
      </rPr>
      <t>)</t>
    </r>
  </si>
  <si>
    <t>2-5</t>
  </si>
  <si>
    <t>30-40</t>
  </si>
  <si>
    <t>Costs reflect automatic systems with best technology and include only the shredding equipment (feeding to &amp; extraction from shredder, shredding, maintenance &amp; energy for shredder).</t>
  </si>
  <si>
    <t>Type of analysis</t>
  </si>
  <si>
    <t>USD/test</t>
  </si>
  <si>
    <t>Costs of quality control (example of analysis costs):</t>
  </si>
  <si>
    <t>Source:
Price list of analysis for Apaxco platform in 2004. The analysis costs reflect a situation with internal lab and are the global costs (incl. sampling, excl. investments).</t>
  </si>
  <si>
    <t>5-10% bypass</t>
  </si>
  <si>
    <t>Suspension preheater</t>
  </si>
  <si>
    <t>Kiln dust extraction
(during direct operation)</t>
  </si>
  <si>
    <t>Hot meal extraction
(from bottom stage cyclone)</t>
  </si>
  <si>
    <t>MJ/kg</t>
  </si>
  <si>
    <t>Vmin, wet</t>
  </si>
  <si>
    <r>
      <t xml:space="preserve"> </t>
    </r>
    <r>
      <rPr>
        <sz val="10"/>
        <rFont val="Calibri"/>
        <family val="2"/>
      </rPr>
      <t>ΔO2</t>
    </r>
  </si>
  <si>
    <t>Standard TF (coal)</t>
  </si>
  <si>
    <t>(TF)</t>
  </si>
  <si>
    <t>Alternative fuels
(AF)</t>
  </si>
  <si>
    <t>Specific
heat</t>
  </si>
  <si>
    <t>KPIs</t>
  </si>
  <si>
    <t>Process &amp;
quality</t>
  </si>
  <si>
    <t>EUR/t</t>
  </si>
  <si>
    <t>The above is not an official Holcim guideline. More plant specific values should be elaborated with a Heavy Metal</t>
  </si>
  <si>
    <t>* Not defined wastes! Properties for these materials largely depend on the origin and preparation process, the values are</t>
  </si>
  <si>
    <t>examples and should not be taken as boundaries!</t>
  </si>
  <si>
    <t>400-600</t>
  </si>
  <si>
    <t>Few installations worldwide, not yet 100% proven technology within Holcim (reliability)</t>
  </si>
  <si>
    <t>Max. relevant Cl input, g Cl/t cli</t>
  </si>
  <si>
    <t>GCV (gross calorific value) is determined with Bomb Calorimeter. Use the following equation to calculate NCV (net calorific</t>
  </si>
  <si>
    <t>value):</t>
  </si>
  <si>
    <t>all parameters on 'as fired' basis</t>
  </si>
  <si>
    <t>Mass flow
t/h</t>
  </si>
  <si>
    <t>&lt;&lt; for Bituminous coal</t>
  </si>
  <si>
    <t>&lt;&lt; for Petcoke</t>
  </si>
  <si>
    <t>&lt;&lt; for AFs</t>
  </si>
  <si>
    <t>Production target</t>
  </si>
  <si>
    <t>With standard fuel</t>
  </si>
  <si>
    <t>Evaluates technical feasibility and economic impact of fuel mix changes</t>
  </si>
  <si>
    <t>Divided Baseline and Simulation into two separate sheets.</t>
  </si>
  <si>
    <t>Added impact from TF (in comparison to standard fuel).</t>
  </si>
  <si>
    <t>Added Na2O eq as one of the quality parameters.</t>
  </si>
  <si>
    <t>Revised information in 'Help' and 'Guidelines' sheets.</t>
  </si>
  <si>
    <r>
      <rPr>
        <b/>
        <sz val="9"/>
        <rFont val="Calibri"/>
        <family val="2"/>
      </rPr>
      <t>Mandatory</t>
    </r>
    <r>
      <rPr>
        <sz val="9"/>
        <rFont val="Calibri"/>
        <family val="2"/>
      </rPr>
      <t xml:space="preserve"> input data field (information is used in calculations</t>
    </r>
    <r>
      <rPr>
        <sz val="9"/>
        <rFont val="Calibri"/>
        <family val="2"/>
      </rPr>
      <t>).</t>
    </r>
  </si>
  <si>
    <t>Optional input data field (information not directly required for the calculations).</t>
  </si>
  <si>
    <t>Cell with a calculation formula (please do not overwrite cells with 'white' background).</t>
  </si>
  <si>
    <t>Pre-calciner</t>
  </si>
  <si>
    <t>In-line calciner</t>
  </si>
  <si>
    <t>Pre-combustion chamber</t>
  </si>
  <si>
    <t>HTEC</t>
  </si>
  <si>
    <t>Holcim Technology Ltd.</t>
  </si>
  <si>
    <t>Definitions and explanations</t>
  </si>
  <si>
    <t>impacts on raw mix by additional ash input</t>
  </si>
  <si>
    <t>Standard case: PC/SP kiln, grate cooler, 2% O2 at kiln inlet, coal or oil firing</t>
  </si>
  <si>
    <t>impact on flame temperature for non-standard cases (further investigation is required for non-standard cases)</t>
  </si>
  <si>
    <t>Non-standard case: Lepol/Long kiln, planetary cooler, gas firing, dust insufflation, higher O2 at kiln inlet</t>
  </si>
  <si>
    <t>Comments on this tool would be appreciated! Please feel free to contact the tool responsible via:</t>
  </si>
  <si>
    <t>NCV of water</t>
  </si>
  <si>
    <t>FMO: Guidelines for efficient AF utilization</t>
  </si>
  <si>
    <t>LGF</t>
  </si>
  <si>
    <t>A/S</t>
  </si>
  <si>
    <t>Lumps</t>
  </si>
  <si>
    <t>Alkali/Sulfur (as in A/S ratio)</t>
  </si>
  <si>
    <t>Mid-kiln (as in MK firing)</t>
  </si>
  <si>
    <t>GAV (gross added value)</t>
  </si>
  <si>
    <t>HARP defines GAV only at OpCo level, not on kiln or plant level. GAV has three components of value generation viz. Substitution benefit (SB), net cash benefit (NCB) and CO2 emission credits (CEC).</t>
  </si>
  <si>
    <t>HARP defines TSR on kiln level, consolidated on plant/OpCo level.</t>
  </si>
  <si>
    <t>TSR (thermal substitution rate)</t>
  </si>
  <si>
    <t>TEE (thermal economic equivalent)</t>
  </si>
  <si>
    <t xml:space="preserve">TSR corresponds to the relation of thermal energy consumption of alternative fuels to the total amount of thermal energy consumption in the kiln system.
</t>
  </si>
  <si>
    <t xml:space="preserve">TSR should be looked at in relation with SB. Important to compare specific fuel cost ($/GJ) of AF with traditional fuel.
</t>
  </si>
  <si>
    <t xml:space="preserve">TEE corresponds to the economic benefit derived from using AF by showing the relationship between the fuel costs and the theoretical fuel costs (traditional fuels) if no AF were used.
</t>
  </si>
  <si>
    <t xml:space="preserve">Negative cost for thermal energy
Zero cost for thermal energy
Zero fuel cost for AF
AF costs as much as traditional fuels
AF more expensive than traditional fuels - avoid!!
</t>
  </si>
  <si>
    <t>TEE &gt; 100%
TEE = 100%
TEE = TSR
TEE = 0%
TEE &lt; 0%</t>
  </si>
  <si>
    <t>Important to look at TEE! Higher TSR alone does not necessarily mean higher GAV.</t>
  </si>
  <si>
    <t>HARP defines TEE on plant level, consolidated on OpCo level.</t>
  </si>
  <si>
    <t>FMCG</t>
  </si>
  <si>
    <t>Waste water, contaminated soil, FMCG, sludges, filter cake, etc.</t>
  </si>
  <si>
    <t>Impregnated saw dust, RDF?, animal meal, dried sewage sludge, petroleum sludge, etc.</t>
  </si>
  <si>
    <t>RC</t>
  </si>
  <si>
    <r>
      <t>RDF</t>
    </r>
    <r>
      <rPr>
        <vertAlign val="subscript"/>
        <sz val="10"/>
        <rFont val="Calibri"/>
        <family val="2"/>
      </rPr>
      <t>f</t>
    </r>
  </si>
  <si>
    <r>
      <t>RDF</t>
    </r>
    <r>
      <rPr>
        <vertAlign val="subscript"/>
        <sz val="10"/>
        <rFont val="Calibri"/>
        <family val="2"/>
      </rPr>
      <t>c</t>
    </r>
  </si>
  <si>
    <t>For non-standard cases, it is recommended to use Flame Temperature Tool (FTT) to consider all elements in calculating the flame temperature.</t>
  </si>
  <si>
    <t>FMO comprises of minimum two sheets, which are 'Baseline' and 'Simulation1'.</t>
  </si>
  <si>
    <t>Function description and application</t>
  </si>
  <si>
    <t>Benefit and added-value</t>
  </si>
  <si>
    <t>'Simulation1' sheet is used for simulating a future situation (for comparison with current baseline) or current situation (for comparison with past baseline).</t>
  </si>
  <si>
    <t>'Baseline' sheet is used to set the baseline for the calculations, which could be current sitaution or past situation.</t>
  </si>
  <si>
    <t>Margin over kiln exhaust gas handling capacity</t>
  </si>
  <si>
    <t>Example-1 (ID fan speed)</t>
  </si>
  <si>
    <t>Example-2 (ID fan pressure)</t>
  </si>
  <si>
    <t>Example-3 (ID fan power)</t>
  </si>
  <si>
    <t>And so on …</t>
  </si>
  <si>
    <t>Use the following guidelines to fill in data in the main table.</t>
  </si>
  <si>
    <t>Volume available - For each fuel, fill in volumes which are available for co-processing (not what is available in market).</t>
  </si>
  <si>
    <t>Volume used -  Fill in actual volumes for baseline (past or current situation). In case of simulations, 'volume used' can also be manually entered or calculated with the help of 'Solver' function of Excel. It must be ensured that the volume used does not exceed available volume!</t>
  </si>
  <si>
    <t>Secondary firing (usually kiln inlet, can also be used for mid-kiln firing)</t>
  </si>
  <si>
    <t>e</t>
  </si>
  <si>
    <t>f</t>
  </si>
  <si>
    <t>h</t>
  </si>
  <si>
    <t>j</t>
  </si>
  <si>
    <t>Below the main table, fill in information for:</t>
  </si>
  <si>
    <t>k</t>
  </si>
  <si>
    <t>Specific heat consumption</t>
  </si>
  <si>
    <t>Depending upon the requirement, additional 'Simulation' sheets may be generated e.g. Simulation2, Simulation3, etc. Note that all 'Simulation' sheets refer to 'Baseline' sheet for the calculations. In other words, the basis of all simulations remains the same.</t>
  </si>
  <si>
    <t>'Summary' sheet</t>
  </si>
  <si>
    <t>'Guidelines' sheet</t>
  </si>
  <si>
    <t>Fuel properties at firing point</t>
  </si>
  <si>
    <t>Suspension preheater kiln with calciner</t>
  </si>
  <si>
    <t>Suspension preheater kiln without calciner</t>
  </si>
  <si>
    <t>Grate preheater kiln</t>
  </si>
  <si>
    <t>Long dry</t>
  </si>
  <si>
    <t>Long wet</t>
  </si>
  <si>
    <t>Long kiln without preheater (dry process)</t>
  </si>
  <si>
    <t>Long kiln without preheater (wet process)</t>
  </si>
  <si>
    <t>SLC/OLC/MFC</t>
  </si>
  <si>
    <r>
      <t>kg</t>
    </r>
    <r>
      <rPr>
        <vertAlign val="subscript"/>
        <sz val="9"/>
        <color indexed="8"/>
        <rFont val="Calibri"/>
        <family val="2"/>
      </rPr>
      <t>CO2</t>
    </r>
    <r>
      <rPr>
        <sz val="9"/>
        <color indexed="8"/>
        <rFont val="Calibri"/>
        <family val="2"/>
      </rPr>
      <t>/GJ</t>
    </r>
  </si>
  <si>
    <t>Thermal</t>
  </si>
  <si>
    <t>energy</t>
  </si>
  <si>
    <t>Prep.+Hand.</t>
  </si>
  <si>
    <t>GAV contribution/AF type</t>
  </si>
  <si>
    <t>Target</t>
  </si>
  <si>
    <t>Solid &amp; pasty AFs</t>
  </si>
  <si>
    <t>Separate-line-/Offline-/Mitsubishi fluidized- calciner</t>
  </si>
  <si>
    <t>AF (gas)</t>
  </si>
  <si>
    <t>AF (liquid)</t>
  </si>
  <si>
    <t>Bituminous coal</t>
  </si>
  <si>
    <t>Petcoke, anthracite</t>
  </si>
  <si>
    <t>TF (petcoke)</t>
  </si>
  <si>
    <t>AF (v.fine)</t>
  </si>
  <si>
    <t>AF (fine)</t>
  </si>
  <si>
    <t>AF (coarse)</t>
  </si>
  <si>
    <t>AF (lumps)</t>
  </si>
  <si>
    <t>Category</t>
  </si>
  <si>
    <t>Examples</t>
  </si>
  <si>
    <t>Natural gas</t>
  </si>
  <si>
    <t>Heavy fuel oil, diesel</t>
  </si>
  <si>
    <t>TF (lignite)</t>
  </si>
  <si>
    <t>TF (coal)</t>
  </si>
  <si>
    <t>TF (gas)</t>
  </si>
  <si>
    <t>TF (liquid)</t>
  </si>
  <si>
    <r>
      <t>Fluff/RDF</t>
    </r>
    <r>
      <rPr>
        <vertAlign val="subscript"/>
        <sz val="10"/>
        <rFont val="Calibri"/>
        <family val="2"/>
      </rPr>
      <t>f</t>
    </r>
    <r>
      <rPr>
        <sz val="10"/>
        <rFont val="Calibri"/>
        <family val="2"/>
      </rPr>
      <t>, impregnated saw dust, animal meal, rice husk</t>
    </r>
  </si>
  <si>
    <r>
      <t>Tire chips, shredded plastics &amp; textiles, RDF</t>
    </r>
    <r>
      <rPr>
        <vertAlign val="subscript"/>
        <sz val="10"/>
        <rFont val="Calibri"/>
        <family val="2"/>
      </rPr>
      <t>c</t>
    </r>
  </si>
  <si>
    <t>Gaseous</t>
  </si>
  <si>
    <t>Liquid</t>
  </si>
  <si>
    <t>Lignite, brown coal, shale, low-rank coal</t>
  </si>
  <si>
    <t>Impact  from kiln gas bypass</t>
  </si>
  <si>
    <t>Look for following fuels to make an improvement over GAV:</t>
  </si>
  <si>
    <t xml:space="preserve"> Waste oil, solvents, tires, dry biomass (rice husk, saw dust), charcoal, etc.</t>
  </si>
  <si>
    <t>- When traditional fuel is cheaper (RC/GJ), target AFR for NCB.</t>
  </si>
  <si>
    <t>- When traditional fuel is costlier (RC/GJ), target AFR for NCB+SB.</t>
  </si>
  <si>
    <t>Added additional firing points (MB, ILC, SLC/OLD/MFC, PCC, SF).</t>
  </si>
  <si>
    <t>Revised fuel categories and merged all fuels into one column.</t>
  </si>
  <si>
    <t>See 'Help' sheet for explanations about fuel categories</t>
  </si>
  <si>
    <t>Active carbon / sludge co-ground in coal mill</t>
  </si>
  <si>
    <t>Refrigerants</t>
  </si>
  <si>
    <t>Solvents, waste water, emulsions</t>
  </si>
  <si>
    <t>Very fine solid (d)</t>
  </si>
  <si>
    <t>Liquid (l)</t>
  </si>
  <si>
    <t>Gaseous (g)</t>
  </si>
  <si>
    <t>Very fine solid/pasty (d)</t>
  </si>
  <si>
    <t>Fine solid/pasty (5)
(3D solids &lt; 5 mm, 2D foils &lt; 50 mm)</t>
  </si>
  <si>
    <t>Coarse solid/pasty (50)
(3D solids &lt; 50 mm, 2D foils &lt; 200 mm)</t>
  </si>
  <si>
    <t>Solid/pasty lumps
3D solids &gt; 50 mm, 2D foils &gt; 200 mm</t>
  </si>
  <si>
    <r>
      <t>Whole tires, filter cakes, bagged material, petroleum/paint sludge (</t>
    </r>
    <r>
      <rPr>
        <sz val="10"/>
        <color indexed="12"/>
        <rFont val="Calibri"/>
        <family val="2"/>
      </rPr>
      <t>in case sludge is atomized, use fine or coarse category</t>
    </r>
    <r>
      <rPr>
        <sz val="10"/>
        <rFont val="Calibri"/>
        <family val="2"/>
      </rPr>
      <t>)</t>
    </r>
  </si>
  <si>
    <t>Fuel categories</t>
  </si>
  <si>
    <t>TF (other)</t>
  </si>
  <si>
    <t>Total TF</t>
  </si>
  <si>
    <t>Total AF</t>
  </si>
  <si>
    <t>Total TF+AF</t>
  </si>
  <si>
    <t>Production</t>
  </si>
  <si>
    <t>Cost</t>
  </si>
  <si>
    <t>Lumps in SF</t>
  </si>
  <si>
    <t>Yes/No</t>
  </si>
  <si>
    <t>TF/AF</t>
  </si>
  <si>
    <t>User-defined parameters</t>
  </si>
  <si>
    <t>Strategy for AFR selection</t>
  </si>
  <si>
    <t>…</t>
  </si>
  <si>
    <t>Key performance indicators</t>
  </si>
  <si>
    <t>based AFs</t>
  </si>
  <si>
    <t>Fuel mix</t>
  </si>
  <si>
    <t>std. fuel</t>
  </si>
  <si>
    <t>Firing location</t>
  </si>
  <si>
    <t>Feed point selection</t>
  </si>
  <si>
    <t>Preparation and handling costs (European examples)</t>
  </si>
  <si>
    <t>A)</t>
  </si>
  <si>
    <t>B)</t>
  </si>
  <si>
    <t>C)</t>
  </si>
  <si>
    <t>Heavy metal guidelines</t>
  </si>
  <si>
    <t>Properties (as fired) of common fuels</t>
  </si>
  <si>
    <t>D)</t>
  </si>
  <si>
    <t>Chlorine limit</t>
  </si>
  <si>
    <t>E)</t>
  </si>
  <si>
    <t>Cl input from raw materials</t>
  </si>
  <si>
    <t>F)</t>
  </si>
  <si>
    <t>NCV determination</t>
  </si>
  <si>
    <t>G)</t>
  </si>
  <si>
    <t>Impact factors</t>
  </si>
  <si>
    <t>H)</t>
  </si>
  <si>
    <t>Tips to improve GAV</t>
  </si>
  <si>
    <t>I)</t>
  </si>
  <si>
    <t>Contribution to</t>
  </si>
  <si>
    <t>Substitution benefit (SB)</t>
  </si>
  <si>
    <t>Net cash benefit (NCB)</t>
  </si>
  <si>
    <t>Both (SB and NCB)</t>
  </si>
  <si>
    <t>Alternative fuels (some examples, fuels are not limited only to following list)</t>
  </si>
  <si>
    <t>J)</t>
  </si>
  <si>
    <t>Guide values for process and quality constraints</t>
  </si>
  <si>
    <t>Process</t>
  </si>
  <si>
    <r>
      <t>ABC</t>
    </r>
    <r>
      <rPr>
        <sz val="9"/>
        <color indexed="12"/>
        <rFont val="Calibri"/>
        <family val="2"/>
      </rPr>
      <t xml:space="preserve"> </t>
    </r>
    <r>
      <rPr>
        <u/>
        <sz val="9"/>
        <color indexed="20"/>
        <rFont val="Calibri"/>
        <family val="2"/>
      </rPr>
      <t>DEF</t>
    </r>
  </si>
  <si>
    <t>Removed NAV.</t>
  </si>
  <si>
    <t>Introduced 'hyperlinking' for easy access to information in 'Help' and 'Guidelines' sheets.</t>
  </si>
  <si>
    <t>Process and quality constraints</t>
  </si>
  <si>
    <r>
      <t xml:space="preserve">A </t>
    </r>
    <r>
      <rPr>
        <u/>
        <sz val="10"/>
        <color indexed="12"/>
        <rFont val="Calibri"/>
        <family val="2"/>
      </rPr>
      <t>blue-underlined</t>
    </r>
    <r>
      <rPr>
        <sz val="10"/>
        <rFont val="Calibri"/>
        <family val="2"/>
      </rPr>
      <t xml:space="preserve"> or </t>
    </r>
    <r>
      <rPr>
        <u/>
        <sz val="10"/>
        <color indexed="20"/>
        <rFont val="Calibri"/>
        <family val="2"/>
      </rPr>
      <t>purple-underlined</t>
    </r>
    <r>
      <rPr>
        <sz val="10"/>
        <rFont val="Calibri"/>
        <family val="2"/>
      </rPr>
      <t xml:space="preserve"> text means the text is hyperlinked. Hyperlinking makes it easy for the user to access additional information within FMO. For example, if the user wants to know more about 'Fuel categories', clicking on hyperlinked text will bring the user direct to 'Fuel categories' area in the 'Help' sheet. In other words, the user doesn't have to find 'Fuel categories' area in the 'Help' sheet.</t>
    </r>
  </si>
  <si>
    <r>
      <t xml:space="preserve">After the first click over a hyperlinked text, the text colour changes from </t>
    </r>
    <r>
      <rPr>
        <sz val="10"/>
        <color indexed="12"/>
        <rFont val="Calibri"/>
        <family val="2"/>
      </rPr>
      <t>blue</t>
    </r>
    <r>
      <rPr>
        <sz val="10"/>
        <rFont val="Calibri"/>
        <family val="2"/>
      </rPr>
      <t xml:space="preserve"> to </t>
    </r>
    <r>
      <rPr>
        <sz val="10"/>
        <color indexed="20"/>
        <rFont val="Calibri"/>
        <family val="2"/>
      </rPr>
      <t>purple</t>
    </r>
    <r>
      <rPr>
        <sz val="10"/>
        <rFont val="Calibri"/>
        <family val="2"/>
      </rPr>
      <t>. This change is just a visual effect and has no bearing over the functionality of the hyperlink (a default functionality of Excel to indicate that if the hyperlink has been accessed before or not).</t>
    </r>
  </si>
  <si>
    <t>Reported data</t>
  </si>
  <si>
    <t>Reported data is data which has already been reported across other standard reports like ATR, 15A, FinPlan, etc. Although this information is optional (BLUE background), it is recommneded to fill in this information where applicable for reference or plausibility check.</t>
  </si>
  <si>
    <t>Production rate index (planned), %</t>
  </si>
  <si>
    <t>Gross availability index (planned), %</t>
  </si>
  <si>
    <t>GAI</t>
  </si>
  <si>
    <t>PRI</t>
  </si>
  <si>
    <t>Alternative Fuel</t>
  </si>
  <si>
    <t>Burning Zone</t>
  </si>
  <si>
    <t>Fast-moving Consumer Goods (e.g. shampoo)</t>
  </si>
  <si>
    <t>Gross Availability Index</t>
  </si>
  <si>
    <t>Gross Added Value</t>
  </si>
  <si>
    <t>Gross Calorific Value</t>
  </si>
  <si>
    <t>In-line Calciner</t>
  </si>
  <si>
    <t>Low-grade Fuel (as in LGF study)</t>
  </si>
  <si>
    <t>Main Burner</t>
  </si>
  <si>
    <t>Net Calorific Value</t>
  </si>
  <si>
    <t>Pre-combustion Chamber</t>
  </si>
  <si>
    <t>Production Rate Index</t>
  </si>
  <si>
    <t>Reported Currency</t>
  </si>
  <si>
    <t>Refuse-derived Fuel (fine solids)</t>
  </si>
  <si>
    <t>Refuse-derived Fuel (coarse solids)</t>
  </si>
  <si>
    <t>Raw Materials</t>
  </si>
  <si>
    <t>Secondary Firing</t>
  </si>
  <si>
    <t>Separate-line Calciner</t>
  </si>
  <si>
    <t>Thermal Economy Equivalent</t>
  </si>
  <si>
    <t>Traditional Fuel</t>
  </si>
  <si>
    <t>Thermal Substitution Rate</t>
  </si>
  <si>
    <t>OEE</t>
  </si>
  <si>
    <t>Overall Equipement Efficiency</t>
  </si>
  <si>
    <t>e.g. increase capacity of ID fan motor power</t>
  </si>
  <si>
    <t>ID fan flow</t>
  </si>
  <si>
    <t>ID fan pressure</t>
  </si>
  <si>
    <t>ID fan motor power</t>
  </si>
  <si>
    <t>ID fan efficiency</t>
  </si>
  <si>
    <t>Other bottleneck e.g. conditioning tower</t>
  </si>
  <si>
    <t>Other bottleneck e.g. process filter</t>
  </si>
  <si>
    <t>Effective margin</t>
  </si>
  <si>
    <t>Margins available in the kiln exhaust gas capacity (gas flow basis), %</t>
  </si>
  <si>
    <t>Support process costs are costs which are difficult to distribute amongst various AF streams and which have not already been captured. Some of the examples could be,
- administrative expenses of platform staff
- laborytory expenses including cost of tests from external laboratories
- permit and licencing fees
- other lumpsum/overhead expenses</t>
  </si>
  <si>
    <t>Some clarifications and organistional information to manage 'Summary' sheet.</t>
  </si>
  <si>
    <t>Some clarifications and organistional information to manage 'Guidelines' sheet.</t>
  </si>
  <si>
    <t>Other TF</t>
  </si>
  <si>
    <t>In case 'Other TF' is selected as one of TFs in Baseline or subsequent Simulations, the user must ensure to fill in basic properties of 'Other TF' in section D of the 'Guidelines' sheet. This requirement is mandatory to ensure correct calculation of the specific heat consumption.</t>
  </si>
  <si>
    <t>Hyperlinked text is represented by Blue/Purple underline (for easy access to supporting information).</t>
  </si>
  <si>
    <t>Evaluation of fuel mix on yearly basis for Budget, FinPlan, Plant Master Plan and CAPEX projects</t>
  </si>
  <si>
    <t>Evaluation of fuel mix on weekly/monthly basis for operational purposes</t>
  </si>
  <si>
    <t>Evaluation of technical feasibility and economic benefit (thermal energy cost, GAV) of alternative fuels (AFs) and other low-grade fuels (e.g. low rank coal, petcoke) , considering impacts on heat consumption, clinker production rate and CO2 emissions.</t>
  </si>
  <si>
    <t>FMO follows a 3-step approach to evaluate specific heat consumption:</t>
  </si>
  <si>
    <r>
      <rPr>
        <u/>
        <sz val="9"/>
        <color indexed="12"/>
        <rFont val="Calibri"/>
        <family val="2"/>
      </rPr>
      <t>Click</t>
    </r>
    <r>
      <rPr>
        <sz val="9"/>
        <color indexed="12"/>
        <rFont val="Calibri"/>
        <family val="2"/>
      </rPr>
      <t xml:space="preserve"> </t>
    </r>
    <r>
      <rPr>
        <sz val="9"/>
        <color indexed="8"/>
        <rFont val="Calibri"/>
        <family val="2"/>
      </rPr>
      <t>to find the properties of 'standard fuel' (as described in section D of the 'Guidelines' sheet).</t>
    </r>
  </si>
  <si>
    <r>
      <rPr>
        <u/>
        <sz val="10"/>
        <color indexed="8"/>
        <rFont val="Calibri"/>
        <family val="2"/>
      </rPr>
      <t>Impact on heat consumption from traditional fuels (TFs)</t>
    </r>
    <r>
      <rPr>
        <sz val="10"/>
        <color indexed="8"/>
        <rFont val="Calibri"/>
        <family val="2"/>
      </rPr>
      <t xml:space="preserve">
Specific heat consumption is compared to the expected specific heat consumption with 100% 'standard fuel'.</t>
    </r>
  </si>
  <si>
    <t>&gt;&gt;</t>
  </si>
  <si>
    <t>Impact from TFs in the fuel mix</t>
  </si>
  <si>
    <t>Impact from AFs in the fuel mix</t>
  </si>
  <si>
    <r>
      <rPr>
        <u/>
        <sz val="10"/>
        <color indexed="8"/>
        <rFont val="Calibri"/>
        <family val="2"/>
      </rPr>
      <t xml:space="preserve">Impact on heat consumption from alternative fuels (AFs)
</t>
    </r>
    <r>
      <rPr>
        <sz val="10"/>
        <color indexed="8"/>
        <rFont val="Calibri"/>
        <family val="2"/>
      </rPr>
      <t>Specific heat consumption is compared to the expected heat consumption with AFs (with 100% of the current traditional fuel mix).</t>
    </r>
  </si>
  <si>
    <t>l</t>
  </si>
  <si>
    <t>Procedure to fill out information in the</t>
  </si>
  <si>
    <t>Physical characteristics</t>
  </si>
  <si>
    <t>Information about hyperlinked text</t>
  </si>
  <si>
    <t>The information in the 'Baseline' sheet is filled only once (good news!!).</t>
  </si>
  <si>
    <r>
      <t xml:space="preserve">The impact over clinker production from the utilisation of AFs (as well as TFs) can be negated if the margin is available over kiln exhaust gas handling capacity. It is </t>
    </r>
    <r>
      <rPr>
        <u/>
        <sz val="10"/>
        <rFont val="Calibri"/>
        <family val="2"/>
      </rPr>
      <t>important that all margins are entered on 'gas flow' basis (m3)</t>
    </r>
    <r>
      <rPr>
        <sz val="10"/>
        <rFont val="Calibri"/>
        <family val="2"/>
      </rPr>
      <t xml:space="preserve"> which is explained below:</t>
    </r>
  </si>
  <si>
    <t>If the ID fan is operating at 80% of design speed, the available margin on 'gas flow' basis is 20% (as gas flow is directly proportional to fan speed).</t>
  </si>
  <si>
    <t>If the ID fan is operating at 80% of design pressure, the available margin on 'gas flow' basis is 4.5% (as gas flow is proportional to square root of pressure).</t>
  </si>
  <si>
    <t>If the ID fan is operating at 80% of design power, the available margin on 'gas flow' basis is 2.7% (as gas flow is proportional to cube root of power).</t>
  </si>
  <si>
    <t>Once all parameters are entered, FMO takes the smallest of all margins (being the main bottleneck) to offset the impact on clinker production.</t>
  </si>
  <si>
    <r>
      <t xml:space="preserve">Fill in quality and CO2 emission (when applicable) parameters of all fuels.
</t>
    </r>
    <r>
      <rPr>
        <i/>
        <sz val="10"/>
        <rFont val="Calibri"/>
        <family val="2"/>
      </rPr>
      <t>Note: For compact appearance of FMO, some of the quality-related and CO2 emission-related columns are grouped togehter. They must be ungrouped to fill in the respective information.</t>
    </r>
  </si>
  <si>
    <r>
      <rPr>
        <u/>
        <sz val="10"/>
        <color indexed="8"/>
        <rFont val="Calibri"/>
        <family val="2"/>
      </rPr>
      <t xml:space="preserve">Impact on heat consumption from kiln gas bypass (e.g. chlorine removal, low-alkali clinker)
</t>
    </r>
    <r>
      <rPr>
        <sz val="10"/>
        <color indexed="8"/>
        <rFont val="Calibri"/>
        <family val="2"/>
      </rPr>
      <t>Specific heat consumption is compared to the expected heat consumption without kiln gas bypass.</t>
    </r>
  </si>
  <si>
    <t>Fuel name - Inset name of all fuels, traditional fuels followed by alternative fuels. Also fill in kiln heat-up fuel as in some cases it can have noticeable impact over the specific heat consumption.</t>
  </si>
  <si>
    <t>Repeat the above steps to fill information in Simulation1 sheet. The user can create additional 'Simulation' sheets when more than one simulation is needed. As mentioned before, the baseline remains the same for all simulations.</t>
  </si>
  <si>
    <t>Simulation1 sheet contains additional calculations to address the impact from TFs and AFs on clinker production volume. The following additional steps are therefore applicable only to Simulation1 sheet.</t>
  </si>
  <si>
    <t>Gross availability index (GAI) of kiln</t>
  </si>
  <si>
    <t>The production impact from the utilisation of TFs and AFs can be negated if margin is available over kiln GAI e.g. effective GAI of 87% provides 2% margin if the planned GAI is 85%. For information, the standard HTEC guide value for GAI is 90% (at zero idle time of kiln).</t>
  </si>
  <si>
    <t>Additional measures to increase kiln exhaust gas capacity (gas flow basis), %PRI</t>
  </si>
  <si>
    <t>Additional measures to increase kiln exhaust gas capacity</t>
  </si>
  <si>
    <t>If the GAI margin is not sufficient to completely offset the impact on clinker production, additional measures can be implemented to increase the kiln exhaust gas capacity to further reduce or eliminate the production loss. For example, if the ID fan motor power is the bottleneck, the user can find out how much additional power (on gas flow basis) is required to offset the production impact.</t>
  </si>
  <si>
    <t>Introduced calculations to reduce / eliminate clinker production loss.</t>
  </si>
  <si>
    <t>impact of ash on raw mix burnability (coarse quartz from ash in AF)</t>
  </si>
  <si>
    <r>
      <t xml:space="preserve">It is possible to add up to 40 fuels in the FMO (i.e. the main table contains 40 rows for fuels). Some of the rows are hidden to ensure compact appearance of the FMO.
</t>
    </r>
    <r>
      <rPr>
        <i/>
        <sz val="10"/>
        <rFont val="Calibri"/>
        <family val="2"/>
      </rPr>
      <t>In an extreme case where there are more than 40 fuels, the user will have to insert new rows to accommodate additional fuels. However the integrity of calculations can be ensured only if the formulas are also copied over into the newly created rows. The copying of formulas is needed only for the main table i.e. no need to copy formulas elsewhere in the sheet.</t>
    </r>
  </si>
  <si>
    <t>MWT (kiln bypass)</t>
  </si>
  <si>
    <t>Guidelines for AR</t>
  </si>
  <si>
    <t>Summary</t>
  </si>
  <si>
    <t>All fuel-related parameters must be filled in on 'as fired' basis (i.e. properties at firing point when the fuel enters the kiln system).</t>
  </si>
  <si>
    <t>FMO is the tool to quantify the economic and technical impacts of fuel mix changes. Throughout the program, the following conventions have been used for data input and illustration:</t>
  </si>
  <si>
    <t>impacts on emissions</t>
  </si>
  <si>
    <t>Prod. optimisation manual</t>
  </si>
  <si>
    <t>NCB</t>
  </si>
  <si>
    <t>SB</t>
  </si>
  <si>
    <t>Margin over kiln exhaust gas capacity, %PRI</t>
  </si>
  <si>
    <t>At planned GAI</t>
  </si>
  <si>
    <t>PRI with new fuel mix, %</t>
  </si>
  <si>
    <t>Proposed GAI, %</t>
  </si>
  <si>
    <t>At proposed GAI</t>
  </si>
  <si>
    <t>Kiln number</t>
  </si>
  <si>
    <t>Added space for kiln number.</t>
  </si>
  <si>
    <t>adjustment</t>
  </si>
  <si>
    <t>Chlorine removal</t>
  </si>
  <si>
    <t>Oxygen correction</t>
  </si>
  <si>
    <t>H2O, t cli/t H2O</t>
  </si>
  <si>
    <t>Ash, t cli/t ash</t>
  </si>
  <si>
    <t>O2, %loss/%O2</t>
  </si>
  <si>
    <t>H2O, GJ/t H2O</t>
  </si>
  <si>
    <t>Ash, GJ/t ash</t>
  </si>
  <si>
    <t>O2, %heat/%O2</t>
  </si>
  <si>
    <t>Hot meal extraction, kJ/kg cli/%</t>
  </si>
  <si>
    <t>Kiln bypass, kJ/kg cli/%</t>
  </si>
  <si>
    <t>HTEC estimate</t>
  </si>
  <si>
    <t>SACTE</t>
  </si>
  <si>
    <t>Specific Actual Cost of Thermal Energy</t>
  </si>
  <si>
    <t>Impact on clinker volume from TF + AF</t>
  </si>
  <si>
    <t>Hot meal extraction, %</t>
  </si>
  <si>
    <t>Kiln gas bypass, %</t>
  </si>
  <si>
    <t>Hot meal extraction (HME)</t>
  </si>
  <si>
    <t>Kiln gas bypass (BP)</t>
  </si>
  <si>
    <t>Introduced hot meal extraction (for Cl removal).</t>
  </si>
  <si>
    <t>Added SACTE in 'Summary sheet, separately for TFs and AFs.</t>
  </si>
  <si>
    <t>Included SO3 balance in 'Baseline' sheet, to crosscheck plausibility of S/SO3 content in fuels/clinker.</t>
  </si>
  <si>
    <t>Introduced cell for adjustment to specific heat consumption.</t>
  </si>
  <si>
    <t>Select 'Yes' oe 'No'.</t>
  </si>
  <si>
    <t>Kiln dust extraction (KDE)</t>
  </si>
  <si>
    <t>Hot meal extraction takes place at the exit of bottom stage cyclone.
Expressed as mass% (kg hot meal/kg cli x 100) and typically in the range of 1.0-2.5%.</t>
  </si>
  <si>
    <t>Kiln bypass gas extraction takes place in the riser duct, just above the kiln inlet.
Expressed as vol% (Nm3 of gas extraction/Nm3 of gas at kiln inlet x 100) and typically in the rage of 4-12%.</t>
  </si>
  <si>
    <t>HTEC/AFR report 13/0013</t>
  </si>
  <si>
    <t>n</t>
  </si>
  <si>
    <t>Calender days</t>
  </si>
  <si>
    <t>Selection</t>
  </si>
  <si>
    <t>Normal year</t>
  </si>
  <si>
    <t>Leap year</t>
  </si>
  <si>
    <t>In case of Febraury month</t>
  </si>
  <si>
    <t>30 or 31</t>
  </si>
  <si>
    <t>All months except February</t>
  </si>
  <si>
    <t>Comments</t>
  </si>
  <si>
    <t>Production rate index, %</t>
  </si>
  <si>
    <t>Gross availability index, %</t>
  </si>
  <si>
    <t>Removed 'Yield Factor' from costs table.</t>
  </si>
  <si>
    <t>Lump fuel in KI/MK, %TSR</t>
  </si>
  <si>
    <t>OLC</t>
  </si>
  <si>
    <t>MFC</t>
  </si>
  <si>
    <t>Calciner type</t>
  </si>
  <si>
    <t>user defined</t>
  </si>
  <si>
    <t>ACTE</t>
  </si>
  <si>
    <t>Actual Cost of Thermal Energy</t>
  </si>
  <si>
    <t>Mitshubishi Fluidized Calciner</t>
  </si>
  <si>
    <t>In-Line Calciner</t>
  </si>
  <si>
    <t>Separate-Line Calciner</t>
  </si>
  <si>
    <t>Off-Line Calciner</t>
  </si>
  <si>
    <t>Process &amp; quality constraints</t>
  </si>
  <si>
    <t>All important process and quality constraints are calculated and compared with standard HTEC guide values. Provision has been made for the user to define additional parameters specific to local conditions/regulations. The user can (and should) override standard HTEC guide values, wherever applicable.</t>
  </si>
  <si>
    <t>Possible to use AFs (calculated value is well within limits).</t>
  </si>
  <si>
    <t>Possible to use AFs if the kiln system is optimized e.g. high secondary air temperature, high momentum burner, good burnability of raw mix (calculated value is within limit, but closer to upper/lower limit).</t>
  </si>
  <si>
    <t>Strong influence on process and quality expected. Further study required to reveal additional potential (calculated value has breached the limit).</t>
  </si>
  <si>
    <t>of the maximum value (or minimum value where applicable e.g. in case of Alk/SO3 ratio)</t>
  </si>
  <si>
    <t>% of kiln GAI</t>
  </si>
  <si>
    <t>Op. time</t>
  </si>
  <si>
    <t>Heat impact</t>
  </si>
  <si>
    <t>Line 1</t>
  </si>
  <si>
    <t>Line 2</t>
  </si>
  <si>
    <t>Line 3</t>
  </si>
  <si>
    <t>Pneumatic</t>
  </si>
  <si>
    <t>False air, MJ/Nm3</t>
  </si>
  <si>
    <t>RIT calculations</t>
  </si>
  <si>
    <t>Nm3/h</t>
  </si>
  <si>
    <t>Airlock</t>
  </si>
  <si>
    <t>Line 4</t>
  </si>
  <si>
    <t>Line 5</t>
  </si>
  <si>
    <t>Airlock type</t>
  </si>
  <si>
    <t>K)</t>
  </si>
  <si>
    <t>Trpt. equip.</t>
  </si>
  <si>
    <t>Material</t>
  </si>
  <si>
    <t>Transport / Atomization air for AFRs</t>
  </si>
  <si>
    <t>Pipe/Airlock</t>
  </si>
  <si>
    <t>false air</t>
  </si>
  <si>
    <t>TFs</t>
  </si>
  <si>
    <t>AFs</t>
  </si>
  <si>
    <t>BP+HME</t>
  </si>
  <si>
    <t>False air impact</t>
  </si>
  <si>
    <t>Inserted an additional column under 'Fuel properties at firing point' to capture plant-specific parameter.</t>
  </si>
  <si>
    <t>Impact from false air</t>
  </si>
  <si>
    <t>and</t>
  </si>
  <si>
    <t>Δ</t>
  </si>
  <si>
    <t>Relevant q</t>
  </si>
  <si>
    <t>Heat energy</t>
  </si>
  <si>
    <t>Sp. heat, kJ/kg</t>
  </si>
  <si>
    <t>A built-in function of Excel is used for changing the background colour of calculated values, to improve the visibility of how close or far are the actual results from the corresponding limits.</t>
  </si>
  <si>
    <t>Introduced dynamic background colouring for 'Process and quality constraints' for better visualization of calculated values in relation to corresponding limits.</t>
  </si>
  <si>
    <t>Introduced impact from false air (from pneumatic transport and airlocks/flaps) on specific heat consumption.</t>
  </si>
  <si>
    <t>Added impact of AF (fine) via main burner when OLC exists.</t>
  </si>
  <si>
    <t>Introduced impact on specific heat and production from O2 of all fuels.</t>
  </si>
  <si>
    <t>Cut off point for constraints</t>
  </si>
  <si>
    <r>
      <t>&lt; 5mm</t>
    </r>
    <r>
      <rPr>
        <vertAlign val="subscript"/>
        <sz val="9"/>
        <rFont val="Calibri"/>
        <family val="2"/>
      </rPr>
      <t>BZ</t>
    </r>
  </si>
  <si>
    <r>
      <t>&lt; 50mm</t>
    </r>
    <r>
      <rPr>
        <vertAlign val="subscript"/>
        <sz val="9"/>
        <rFont val="Calibri"/>
        <family val="2"/>
      </rPr>
      <t>Others</t>
    </r>
  </si>
  <si>
    <t>Fuel category</t>
  </si>
  <si>
    <t>The user can re-define colouring of the constraints by changing the following cut off point (default value = 70%). The colour changes from shades of Green to shades of Yellow at:</t>
  </si>
  <si>
    <t>Operational GAV</t>
  </si>
  <si>
    <t>SPC (Support Process Costs).</t>
  </si>
  <si>
    <t>Operational GAV  refers to GAV without</t>
  </si>
  <si>
    <t>Note</t>
  </si>
  <si>
    <t>The impact factors can be found in the section J of 'Guidelines' sheet.</t>
  </si>
  <si>
    <t>Introduced impact on specific heat from Vmin of TFs.</t>
  </si>
  <si>
    <t>Introduced a new sheet for graphical representation of NCB, SB and GAV.</t>
  </si>
  <si>
    <t>Mercury</t>
  </si>
  <si>
    <t>Thallium</t>
  </si>
  <si>
    <t>Cadmium</t>
  </si>
  <si>
    <t>Beryllium</t>
  </si>
  <si>
    <t>Cobalt</t>
  </si>
  <si>
    <t>Lead</t>
  </si>
  <si>
    <t>Nickel</t>
  </si>
  <si>
    <t>Copper</t>
  </si>
  <si>
    <t>Vanadium</t>
  </si>
  <si>
    <t>Tin</t>
  </si>
  <si>
    <t>Antimony</t>
  </si>
  <si>
    <t>Arsenic</t>
  </si>
  <si>
    <t>Chromium</t>
  </si>
  <si>
    <t>Rupinder Phougat</t>
  </si>
  <si>
    <t>Fixed an error with 'manual override' for oxygen correction.</t>
  </si>
  <si>
    <t>Helper Line 3 _______</t>
  </si>
  <si>
    <t>Helper Line 1 _______</t>
  </si>
  <si>
    <t>Helper Line 2 _______</t>
  </si>
  <si>
    <t>Modified cells showing #DIV/0! error to show 0 instead.</t>
  </si>
  <si>
    <t>Reference</t>
  </si>
  <si>
    <t>Impacts from</t>
  </si>
  <si>
    <t>STEC</t>
  </si>
  <si>
    <t>Specific heat, kJ/kg cli</t>
  </si>
  <si>
    <t>The impact on specific heat consumption from false air (pneumatic transport, flaps/airlocks) from AFR feeding can be captured by expanding cell range A75:D81 and filling in relevant information.</t>
  </si>
  <si>
    <t>If the NCV &lt;= 0 (pure water has negative NCV of -2.45 MJ/kg), the user should insert 0.001 NCV to avoid division by zero (e.g. contaminated water). FMO then calculates and uses 'corrected NCV' for water-based fuels, based on moisture content of the fuel.</t>
  </si>
  <si>
    <t>Flap valve (old)</t>
  </si>
  <si>
    <t>Flap valve (new)</t>
  </si>
  <si>
    <t>Rotary airlock</t>
  </si>
  <si>
    <t>Pneumatic 4" (100 mm)</t>
  </si>
  <si>
    <t>Pneumatic 5" (125 mm)</t>
  </si>
  <si>
    <t>Pneumatic 6" (150 mm)</t>
  </si>
  <si>
    <t>Pneumatic 7" (175 mm)</t>
  </si>
  <si>
    <t>Pneumatic 8" (200 mm)</t>
  </si>
  <si>
    <t>Pipe dia (pneumatic) /</t>
  </si>
  <si>
    <t>Restructured false air calculation via AFR feeding lines.</t>
  </si>
  <si>
    <t>Fixed an error with feeding systems' availability when estimating false air impact on specific heat consumption.</t>
  </si>
  <si>
    <t>Fixed an error with O2 reference from 'Guidelines' sheet.</t>
  </si>
  <si>
    <t>The following table is compiled from examples and should be used as a rough reference!</t>
  </si>
  <si>
    <t>GJ/t AF</t>
  </si>
  <si>
    <r>
      <t>&lt; 5mm</t>
    </r>
    <r>
      <rPr>
        <vertAlign val="subscript"/>
        <sz val="10"/>
        <rFont val="Calibri"/>
        <family val="2"/>
      </rPr>
      <t>BZ</t>
    </r>
  </si>
  <si>
    <r>
      <t>&lt; 50mm</t>
    </r>
    <r>
      <rPr>
        <vertAlign val="subscript"/>
        <sz val="10"/>
        <rFont val="Calibri"/>
        <family val="2"/>
      </rPr>
      <t>Others</t>
    </r>
  </si>
  <si>
    <t>Total Cl input</t>
  </si>
  <si>
    <t>Impacts</t>
  </si>
  <si>
    <t>Support process costs (SPCs)</t>
  </si>
  <si>
    <t>Added more parameters in 'Summary' sheet.</t>
  </si>
  <si>
    <t>Simulation</t>
  </si>
  <si>
    <t>Included option for O2 correction also for TFs.</t>
  </si>
  <si>
    <t>Oxygen correction refers to change in oxygen demand due to combustion behaviour of various fuels e.g. petcoke requires higher oxygen than coal. In general, utilization of AFRs demand higher oxygen.</t>
  </si>
  <si>
    <t>Oxygen demand is separately calculated for TFs and AFs, based on the factors derived from expereience. In case, the actual oxygen demand is different to calculated one, FMO provides an option to override calculated oxygen demand.</t>
  </si>
  <si>
    <t>Oxygen is referred to the location in kiln / preheater whereafter there is no further fuel addition.</t>
  </si>
  <si>
    <t>O2 correction, %</t>
  </si>
  <si>
    <t>O2 inc. Calc.</t>
  </si>
  <si>
    <t>O2 inc. Overr.</t>
  </si>
  <si>
    <t>ID fan capacity at PRI, t/d</t>
  </si>
  <si>
    <t>rupinder.phougat@geocycle.com</t>
  </si>
  <si>
    <t>Revised calculation for impact on clinker production and associated calculations.</t>
  </si>
  <si>
    <t>CO2 emission benefit</t>
  </si>
  <si>
    <t>kcal/kg cli</t>
  </si>
  <si>
    <t>International currency (e.g. USD)</t>
  </si>
  <si>
    <t>Local currency (e.g. INR)</t>
  </si>
  <si>
    <t>Responsible for updates:</t>
  </si>
  <si>
    <t>Added fuel volumes in 'Summary' sheet.</t>
  </si>
  <si>
    <t>Others</t>
  </si>
  <si>
    <t>Local curr.</t>
  </si>
  <si>
    <t>Intl' curr.</t>
  </si>
  <si>
    <t>t/a</t>
  </si>
  <si>
    <t>Fuels</t>
  </si>
  <si>
    <t>Total TFs</t>
  </si>
  <si>
    <t>Total AFs</t>
  </si>
  <si>
    <t>Grand total</t>
  </si>
  <si>
    <t>Plant / PF</t>
  </si>
  <si>
    <t>&amp; feeding</t>
  </si>
  <si>
    <t>Cost at firing point (+ve: 'we pay', -ve: 'we get paid')</t>
  </si>
  <si>
    <t>Replaced detailed cost structure with simple structure.</t>
  </si>
  <si>
    <t>v15.06</t>
  </si>
  <si>
    <t>Fixed an error with calculation of CO2 emission benefits.</t>
  </si>
  <si>
    <t>Added 2nd currency i.e. one local (e.g. INR) and the other international (e.g. USD) for easier interpretation of financial numbers.</t>
  </si>
  <si>
    <t>'Summary' sheet now shows STEC both in kJ and kcal.</t>
  </si>
  <si>
    <t>GEOCEM</t>
  </si>
  <si>
    <t>Process Engineer</t>
  </si>
  <si>
    <t>USD</t>
  </si>
  <si>
    <t>Fuel oil</t>
  </si>
  <si>
    <t>Coal</t>
  </si>
  <si>
    <t>MTP 2015</t>
  </si>
  <si>
    <t>ATR 2014</t>
  </si>
  <si>
    <t>Contaminated water</t>
  </si>
  <si>
    <t>Emulsion (Cl &lt; 0.4%)</t>
  </si>
  <si>
    <t>Solvents (Cl &lt; 1.5%)</t>
  </si>
  <si>
    <t>Biomass (rice husk)</t>
  </si>
  <si>
    <t>RDFc (direct delivery)</t>
  </si>
  <si>
    <t>SRFc (Geocycle PF, from sorted ISW)</t>
  </si>
  <si>
    <t>Sludge (Geocycle PF)</t>
  </si>
  <si>
    <t>Solids+Liquids</t>
  </si>
  <si>
    <t>CHF</t>
  </si>
  <si>
    <t>Solids+Liquids (CKD Extraction)</t>
  </si>
  <si>
    <t>PPE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</si>
</sst>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3" formatCode="_ * #,##0.00_ ;_ * \-#,##0.00_ ;_ * &quot;-&quot;??_ ;_ @_ "/>
    <numFmt numFmtId="164" formatCode="_ * #,##0.0_ ;_ * \-#,##0.0_ ;_ * &quot;-&quot;??_ ;_ @_ "/>
    <numFmt numFmtId="165" formatCode="_ * #,##0_ ;_ * \-#,##0_ ;_ * &quot;-&quot;??_ ;_ @_ "/>
    <numFmt numFmtId="166" formatCode="0.0000"/>
    <numFmt numFmtId="167" formatCode="0.000"/>
    <numFmt numFmtId="168" formatCode="0.0"/>
    <numFmt numFmtId="169" formatCode="0.00000"/>
    <numFmt numFmtId="170" formatCode="_ * #,##0.0_ ;_ * \-#,##0.0_ ;_ * &quot;-&quot;?_ ;_ @_ "/>
    <numFmt numFmtId="171" formatCode="#,##0.00_ ;\-#,##0.00\ "/>
    <numFmt numFmtId="172" formatCode="#,##0.0"/>
    <numFmt numFmtId="173" formatCode="#,##0_ ;\-#,##0\ "/>
    <numFmt numFmtId="174" formatCode="#,##0.000"/>
    <numFmt numFmtId="175" formatCode="dd/mm/yyyy;@"/>
    <numFmt numFmtId="176" formatCode="#,##0.0_ ;\-#,##0.0\ "/>
    <numFmt numFmtId="177" formatCode="#,##0.0000_ ;\-#,##0.0000\ "/>
    <numFmt numFmtId="178" formatCode="#,##0.0000"/>
    <numFmt numFmtId="179" formatCode="d\ mmm\ yyyy"/>
  </numFmts>
  <fonts count="70">
    <font>
      <sz val="10"/>
      <name val="Arial"/>
    </font>
    <font>
      <sz val="10"/>
      <name val="Arial"/>
      <family val="2"/>
    </font>
    <font>
      <u/>
      <sz val="10"/>
      <color indexed="12"/>
      <name val="Arial"/>
      <family val="2"/>
    </font>
    <font>
      <sz val="10"/>
      <name val="Arial"/>
      <family val="2"/>
    </font>
    <font>
      <sz val="8"/>
      <name val="Arial"/>
      <family val="2"/>
    </font>
    <font>
      <sz val="12"/>
      <name val="Arial MT"/>
    </font>
    <font>
      <sz val="10"/>
      <name val="Calibri"/>
      <family val="2"/>
    </font>
    <font>
      <sz val="9"/>
      <color indexed="81"/>
      <name val="Tahoma"/>
      <family val="2"/>
    </font>
    <font>
      <sz val="9"/>
      <name val="Arial"/>
      <family val="2"/>
    </font>
    <font>
      <sz val="9"/>
      <name val="Calibri"/>
      <family val="2"/>
    </font>
    <font>
      <vertAlign val="subscript"/>
      <sz val="10"/>
      <name val="Calibri"/>
      <family val="2"/>
    </font>
    <font>
      <b/>
      <sz val="9"/>
      <name val="Calibri"/>
      <family val="2"/>
    </font>
    <font>
      <u/>
      <sz val="10"/>
      <name val="Calibri"/>
      <family val="2"/>
    </font>
    <font>
      <i/>
      <sz val="10"/>
      <name val="Calibri"/>
      <family val="2"/>
    </font>
    <font>
      <sz val="9"/>
      <color indexed="8"/>
      <name val="Calibri"/>
      <family val="2"/>
    </font>
    <font>
      <vertAlign val="subscript"/>
      <sz val="9"/>
      <color indexed="8"/>
      <name val="Calibri"/>
      <family val="2"/>
    </font>
    <font>
      <sz val="10"/>
      <color indexed="12"/>
      <name val="Calibri"/>
      <family val="2"/>
    </font>
    <font>
      <sz val="9"/>
      <color indexed="12"/>
      <name val="Calibri"/>
      <family val="2"/>
    </font>
    <font>
      <u/>
      <sz val="9"/>
      <color indexed="20"/>
      <name val="Calibri"/>
      <family val="2"/>
    </font>
    <font>
      <u/>
      <sz val="10"/>
      <color indexed="12"/>
      <name val="Calibri"/>
      <family val="2"/>
    </font>
    <font>
      <sz val="10"/>
      <color indexed="20"/>
      <name val="Calibri"/>
      <family val="2"/>
    </font>
    <font>
      <u/>
      <sz val="10"/>
      <color indexed="20"/>
      <name val="Calibri"/>
      <family val="2"/>
    </font>
    <font>
      <u/>
      <sz val="9"/>
      <color indexed="12"/>
      <name val="Calibri"/>
      <family val="2"/>
    </font>
    <font>
      <sz val="10"/>
      <color indexed="8"/>
      <name val="Calibri"/>
      <family val="2"/>
    </font>
    <font>
      <u/>
      <sz val="10"/>
      <color indexed="8"/>
      <name val="Calibri"/>
      <family val="2"/>
    </font>
    <font>
      <vertAlign val="subscript"/>
      <sz val="9"/>
      <name val="Calibri"/>
      <family val="2"/>
    </font>
    <font>
      <sz val="10"/>
      <name val="Arial"/>
      <family val="2"/>
    </font>
    <font>
      <sz val="11"/>
      <color theme="1"/>
      <name val="Calibri"/>
      <family val="2"/>
      <scheme val="minor"/>
    </font>
    <font>
      <sz val="12"/>
      <name val="Calibri"/>
      <family val="2"/>
      <scheme val="minor"/>
    </font>
    <font>
      <b/>
      <sz val="10"/>
      <name val="Calibri"/>
      <family val="2"/>
      <scheme val="minor"/>
    </font>
    <font>
      <sz val="10"/>
      <name val="Calibri"/>
      <family val="2"/>
      <scheme val="minor"/>
    </font>
    <font>
      <b/>
      <sz val="14"/>
      <name val="Calibri"/>
      <family val="2"/>
      <scheme val="minor"/>
    </font>
    <font>
      <sz val="9"/>
      <name val="Calibri"/>
      <family val="2"/>
      <scheme val="minor"/>
    </font>
    <font>
      <b/>
      <sz val="9"/>
      <name val="Calibri"/>
      <family val="2"/>
      <scheme val="minor"/>
    </font>
    <font>
      <b/>
      <sz val="9"/>
      <color theme="1"/>
      <name val="Calibri"/>
      <family val="2"/>
      <scheme val="minor"/>
    </font>
    <font>
      <b/>
      <sz val="16"/>
      <name val="Calibri"/>
      <family val="2"/>
      <scheme val="minor"/>
    </font>
    <font>
      <sz val="9"/>
      <color theme="1"/>
      <name val="Calibri"/>
      <family val="2"/>
      <scheme val="minor"/>
    </font>
    <font>
      <u/>
      <sz val="10"/>
      <name val="Calibri"/>
      <family val="2"/>
      <scheme val="minor"/>
    </font>
    <font>
      <b/>
      <sz val="10"/>
      <color theme="1"/>
      <name val="Calibri"/>
      <family val="2"/>
      <scheme val="minor"/>
    </font>
    <font>
      <b/>
      <sz val="10"/>
      <color indexed="10"/>
      <name val="Calibri"/>
      <family val="2"/>
      <scheme val="minor"/>
    </font>
    <font>
      <sz val="14"/>
      <color theme="0"/>
      <name val="Calibri"/>
      <family val="2"/>
      <scheme val="minor"/>
    </font>
    <font>
      <sz val="10"/>
      <color theme="0"/>
      <name val="Calibri"/>
      <family val="2"/>
      <scheme val="minor"/>
    </font>
    <font>
      <sz val="10"/>
      <color theme="1"/>
      <name val="Calibri"/>
      <family val="2"/>
      <scheme val="minor"/>
    </font>
    <font>
      <u/>
      <sz val="14"/>
      <color theme="0"/>
      <name val="Calibri"/>
      <family val="2"/>
      <scheme val="minor"/>
    </font>
    <font>
      <b/>
      <u/>
      <sz val="10"/>
      <name val="Calibri"/>
      <family val="2"/>
      <scheme val="minor"/>
    </font>
    <font>
      <b/>
      <sz val="10"/>
      <color theme="0"/>
      <name val="Calibri"/>
      <family val="2"/>
      <scheme val="minor"/>
    </font>
    <font>
      <i/>
      <sz val="10"/>
      <name val="Calibri"/>
      <family val="2"/>
      <scheme val="minor"/>
    </font>
    <font>
      <sz val="9"/>
      <color indexed="22"/>
      <name val="Calibri"/>
      <family val="2"/>
      <scheme val="minor"/>
    </font>
    <font>
      <sz val="9"/>
      <color theme="0"/>
      <name val="Calibri"/>
      <family val="2"/>
      <scheme val="minor"/>
    </font>
    <font>
      <sz val="9"/>
      <color theme="0" tint="-0.499984740745262"/>
      <name val="Calibri"/>
      <family val="2"/>
      <scheme val="minor"/>
    </font>
    <font>
      <sz val="9"/>
      <color theme="1" tint="0.499984740745262"/>
      <name val="Calibri"/>
      <family val="2"/>
      <scheme val="minor"/>
    </font>
    <font>
      <u/>
      <sz val="9"/>
      <color indexed="12"/>
      <name val="Calibri"/>
      <family val="2"/>
      <scheme val="minor"/>
    </font>
    <font>
      <sz val="10"/>
      <color rgb="FF0000FF"/>
      <name val="Calibri"/>
      <family val="2"/>
      <scheme val="minor"/>
    </font>
    <font>
      <u/>
      <sz val="10"/>
      <color indexed="12"/>
      <name val="Calibri"/>
      <family val="2"/>
      <scheme val="minor"/>
    </font>
    <font>
      <sz val="20"/>
      <name val="Calibri"/>
      <family val="2"/>
      <scheme val="minor"/>
    </font>
    <font>
      <sz val="8"/>
      <name val="Calibri"/>
      <family val="2"/>
      <scheme val="minor"/>
    </font>
    <font>
      <sz val="8"/>
      <color theme="1"/>
      <name val="Calibri"/>
      <family val="2"/>
      <scheme val="minor"/>
    </font>
    <font>
      <b/>
      <sz val="8"/>
      <name val="Calibri"/>
      <family val="2"/>
      <scheme val="minor"/>
    </font>
    <font>
      <sz val="8"/>
      <color rgb="FFFF0000"/>
      <name val="Calibri"/>
      <family val="2"/>
      <scheme val="minor"/>
    </font>
    <font>
      <sz val="9"/>
      <color rgb="FF0000FF"/>
      <name val="Calibri"/>
      <family val="2"/>
      <scheme val="minor"/>
    </font>
    <font>
      <sz val="9"/>
      <color theme="1"/>
      <name val="Calibri"/>
      <family val="2"/>
    </font>
    <font>
      <sz val="10"/>
      <color theme="0"/>
      <name val="Arial"/>
      <family val="2"/>
    </font>
    <font>
      <sz val="16"/>
      <name val="Calibri"/>
      <family val="2"/>
      <scheme val="minor"/>
    </font>
    <font>
      <b/>
      <sz val="12"/>
      <color theme="0"/>
      <name val="Calibri"/>
      <family val="2"/>
      <scheme val="minor"/>
    </font>
    <font>
      <sz val="10"/>
      <color theme="1"/>
      <name val="Calibri"/>
      <family val="2"/>
    </font>
    <font>
      <u/>
      <sz val="9"/>
      <color rgb="FF0000FF"/>
      <name val="Calibri"/>
      <family val="2"/>
      <scheme val="minor"/>
    </font>
    <font>
      <sz val="9"/>
      <color rgb="FFFF0000"/>
      <name val="Calibri"/>
      <family val="2"/>
      <scheme val="minor"/>
    </font>
    <font>
      <sz val="10"/>
      <color rgb="FFFF0000"/>
      <name val="Arial"/>
      <family val="2"/>
    </font>
    <font>
      <sz val="10"/>
      <color rgb="FF00B050"/>
      <name val="Arial"/>
      <family val="2"/>
    </font>
    <font>
      <b/>
      <sz val="10"/>
      <name val="Arial"/>
      <family val="2"/>
    </font>
  </fonts>
  <fills count="22">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bgColor indexed="64"/>
      </patternFill>
    </fill>
    <fill>
      <patternFill patternType="solid">
        <fgColor theme="0" tint="-0.34998626667073579"/>
        <bgColor indexed="64"/>
      </patternFill>
    </fill>
    <fill>
      <patternFill patternType="solid">
        <fgColor rgb="FFFFFF99"/>
        <bgColor indexed="64"/>
      </patternFill>
    </fill>
    <fill>
      <patternFill patternType="solid">
        <fgColor rgb="FF99CCFF"/>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1" tint="0.249977111117893"/>
        <bgColor indexed="64"/>
      </patternFill>
    </fill>
    <fill>
      <patternFill patternType="solid">
        <fgColor theme="0"/>
        <bgColor indexed="64"/>
      </patternFill>
    </fill>
    <fill>
      <patternFill patternType="solid">
        <fgColor theme="9" tint="0.39997558519241921"/>
        <bgColor indexed="64"/>
      </patternFill>
    </fill>
    <fill>
      <patternFill patternType="solid">
        <fgColor theme="3"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bottom/>
      <diagonal/>
    </border>
  </borders>
  <cellStyleXfs count="11">
    <xf numFmtId="0" fontId="0" fillId="0" borderId="0"/>
    <xf numFmtId="43" fontId="1" fillId="0" borderId="0" applyFont="0" applyFill="0" applyBorder="0" applyAlignment="0" applyProtection="0"/>
    <xf numFmtId="43" fontId="3" fillId="0" borderId="0" applyFont="0" applyFill="0" applyBorder="0" applyAlignment="0" applyProtection="0"/>
    <xf numFmtId="3" fontId="8" fillId="2" borderId="1" applyNumberFormat="0">
      <alignment horizontal="center" vertical="center" wrapText="1"/>
    </xf>
    <xf numFmtId="0" fontId="2" fillId="0" borderId="0" applyNumberFormat="0" applyFill="0" applyBorder="0" applyAlignment="0" applyProtection="0">
      <alignment vertical="top"/>
      <protection locked="0"/>
    </xf>
    <xf numFmtId="0" fontId="27" fillId="0" borderId="0"/>
    <xf numFmtId="0" fontId="3" fillId="0" borderId="0"/>
    <xf numFmtId="0" fontId="5" fillId="0" borderId="0"/>
    <xf numFmtId="9" fontId="1" fillId="0" borderId="0" applyFont="0" applyFill="0" applyBorder="0" applyAlignment="0" applyProtection="0"/>
    <xf numFmtId="9" fontId="3" fillId="0" borderId="0" applyFont="0" applyFill="0" applyBorder="0" applyAlignment="0" applyProtection="0"/>
    <xf numFmtId="9" fontId="26" fillId="0" borderId="0" applyFont="0" applyFill="0" applyBorder="0" applyAlignment="0" applyProtection="0"/>
  </cellStyleXfs>
  <cellXfs count="1021">
    <xf numFmtId="0" fontId="0" fillId="0" borderId="0" xfId="0"/>
    <xf numFmtId="0" fontId="28" fillId="3" borderId="0" xfId="7" applyFont="1" applyFill="1" applyAlignment="1">
      <alignment vertical="center"/>
    </xf>
    <xf numFmtId="0" fontId="29" fillId="3" borderId="0" xfId="7" applyFont="1" applyFill="1" applyAlignment="1">
      <alignment vertical="center"/>
    </xf>
    <xf numFmtId="0" fontId="30" fillId="0" borderId="0" xfId="0" applyFont="1"/>
    <xf numFmtId="0" fontId="31" fillId="3" borderId="0" xfId="7" applyFont="1" applyFill="1" applyAlignment="1">
      <alignment horizontal="left" vertical="center"/>
    </xf>
    <xf numFmtId="0" fontId="32" fillId="3" borderId="0" xfId="7" applyFont="1" applyFill="1" applyAlignment="1">
      <alignment horizontal="left" vertical="center"/>
    </xf>
    <xf numFmtId="0" fontId="32" fillId="3" borderId="0" xfId="7" quotePrefix="1" applyFont="1" applyFill="1" applyAlignment="1">
      <alignment horizontal="left" vertical="center"/>
    </xf>
    <xf numFmtId="0" fontId="32" fillId="3" borderId="0" xfId="7" applyFont="1" applyFill="1" applyAlignment="1">
      <alignment vertical="center"/>
    </xf>
    <xf numFmtId="0" fontId="30" fillId="3" borderId="0" xfId="7" applyFont="1" applyFill="1" applyAlignment="1">
      <alignment vertical="center"/>
    </xf>
    <xf numFmtId="0" fontId="29" fillId="3" borderId="0" xfId="7" quotePrefix="1" applyFont="1" applyFill="1" applyAlignment="1">
      <alignment horizontal="left" vertical="center"/>
    </xf>
    <xf numFmtId="0" fontId="33" fillId="3" borderId="0" xfId="7" applyFont="1" applyFill="1" applyAlignment="1">
      <alignment horizontal="left" vertical="center"/>
    </xf>
    <xf numFmtId="14" fontId="34" fillId="3" borderId="0" xfId="7" applyNumberFormat="1" applyFont="1" applyFill="1" applyAlignment="1">
      <alignment horizontal="left" vertical="center"/>
    </xf>
    <xf numFmtId="175" fontId="33" fillId="3" borderId="0" xfId="7" applyNumberFormat="1" applyFont="1" applyFill="1" applyAlignment="1">
      <alignment horizontal="left" vertical="center"/>
    </xf>
    <xf numFmtId="49" fontId="29" fillId="3" borderId="0" xfId="7" applyNumberFormat="1" applyFont="1" applyFill="1" applyAlignment="1">
      <alignment horizontal="left" vertical="center"/>
    </xf>
    <xf numFmtId="0" fontId="32" fillId="0" borderId="0" xfId="7" applyFont="1" applyAlignment="1">
      <alignment horizontal="left" vertical="center"/>
    </xf>
    <xf numFmtId="0" fontId="35" fillId="3" borderId="0" xfId="0" quotePrefix="1" applyFont="1" applyFill="1" applyAlignment="1">
      <alignment horizontal="left" vertical="center" wrapText="1"/>
    </xf>
    <xf numFmtId="0" fontId="32" fillId="3" borderId="0" xfId="0" applyFont="1" applyFill="1" applyAlignment="1">
      <alignment vertical="top" wrapText="1"/>
    </xf>
    <xf numFmtId="0" fontId="30" fillId="3" borderId="0" xfId="7" quotePrefix="1" applyFont="1" applyFill="1" applyAlignment="1">
      <alignment horizontal="left" vertical="center"/>
    </xf>
    <xf numFmtId="14" fontId="36" fillId="3" borderId="0" xfId="7" applyNumberFormat="1" applyFont="1" applyFill="1" applyAlignment="1">
      <alignment horizontal="left" vertical="center"/>
    </xf>
    <xf numFmtId="0" fontId="29" fillId="0" borderId="0" xfId="0" applyFont="1" applyFill="1" applyBorder="1" applyAlignment="1">
      <alignment vertical="center"/>
    </xf>
    <xf numFmtId="0" fontId="30" fillId="0" borderId="0" xfId="0" applyFont="1" applyFill="1" applyBorder="1" applyAlignment="1">
      <alignment vertical="center"/>
    </xf>
    <xf numFmtId="0" fontId="30" fillId="0" borderId="0" xfId="0" applyFont="1" applyFill="1" applyBorder="1" applyAlignment="1">
      <alignment horizontal="left" vertical="center"/>
    </xf>
    <xf numFmtId="0" fontId="30" fillId="0" borderId="0" xfId="0" applyFont="1" applyAlignment="1">
      <alignment vertical="center"/>
    </xf>
    <xf numFmtId="0" fontId="30" fillId="0" borderId="0" xfId="0" applyFont="1" applyAlignment="1">
      <alignment horizontal="left" vertical="center"/>
    </xf>
    <xf numFmtId="0" fontId="30" fillId="0" borderId="0" xfId="0" applyFont="1" applyBorder="1" applyAlignment="1">
      <alignment horizontal="center" vertical="center"/>
    </xf>
    <xf numFmtId="0" fontId="30" fillId="0" borderId="0" xfId="0" applyFont="1" applyFill="1" applyAlignment="1">
      <alignment vertical="center"/>
    </xf>
    <xf numFmtId="0" fontId="30" fillId="0" borderId="2" xfId="0" quotePrefix="1" applyFont="1" applyFill="1" applyBorder="1" applyAlignment="1">
      <alignment horizontal="center" vertical="center"/>
    </xf>
    <xf numFmtId="168" fontId="30" fillId="4" borderId="2" xfId="0" applyNumberFormat="1" applyFont="1" applyFill="1" applyBorder="1" applyAlignment="1">
      <alignment horizontal="center" vertical="center"/>
    </xf>
    <xf numFmtId="0" fontId="37" fillId="0" borderId="0" xfId="0" applyFont="1" applyAlignment="1">
      <alignment vertical="center"/>
    </xf>
    <xf numFmtId="0" fontId="29" fillId="3" borderId="0" xfId="7" applyFont="1" applyFill="1" applyAlignment="1">
      <alignment horizontal="left" vertical="center"/>
    </xf>
    <xf numFmtId="14" fontId="38" fillId="3" borderId="0" xfId="7" applyNumberFormat="1" applyFont="1" applyFill="1" applyAlignment="1">
      <alignment horizontal="left" vertical="center"/>
    </xf>
    <xf numFmtId="0" fontId="30" fillId="0" borderId="0" xfId="0" quotePrefix="1" applyFont="1" applyAlignment="1">
      <alignment horizontal="left" vertical="center"/>
    </xf>
    <xf numFmtId="0" fontId="30" fillId="7" borderId="0" xfId="0" applyFont="1" applyFill="1" applyAlignment="1">
      <alignment horizontal="left" vertical="top"/>
    </xf>
    <xf numFmtId="0" fontId="2" fillId="7" borderId="0" xfId="4" applyFill="1" applyAlignment="1" applyProtection="1">
      <alignment horizontal="left" vertical="top"/>
    </xf>
    <xf numFmtId="0" fontId="29" fillId="0" borderId="0" xfId="0" quotePrefix="1" applyFont="1" applyFill="1" applyBorder="1" applyAlignment="1">
      <alignment horizontal="left" vertical="center"/>
    </xf>
    <xf numFmtId="2" fontId="30" fillId="4" borderId="2" xfId="0" applyNumberFormat="1" applyFont="1" applyFill="1" applyBorder="1" applyAlignment="1">
      <alignment horizontal="center" vertical="center"/>
    </xf>
    <xf numFmtId="0" fontId="30" fillId="7" borderId="3" xfId="0" applyFont="1" applyFill="1" applyBorder="1" applyAlignment="1">
      <alignment horizontal="center" vertical="center"/>
    </xf>
    <xf numFmtId="0" fontId="30" fillId="0" borderId="0" xfId="0" applyFont="1" applyFill="1" applyBorder="1" applyAlignment="1" applyProtection="1">
      <alignment vertical="center"/>
    </xf>
    <xf numFmtId="0" fontId="29" fillId="0" borderId="0" xfId="0" applyFont="1" applyFill="1" applyBorder="1" applyAlignment="1" applyProtection="1">
      <alignment vertical="center"/>
    </xf>
    <xf numFmtId="0" fontId="29" fillId="0" borderId="0" xfId="0" quotePrefix="1" applyFont="1" applyFill="1" applyBorder="1" applyAlignment="1" applyProtection="1">
      <alignment horizontal="right" vertical="center"/>
    </xf>
    <xf numFmtId="0" fontId="30" fillId="0" borderId="0" xfId="0" quotePrefix="1" applyFont="1" applyFill="1" applyBorder="1" applyAlignment="1" applyProtection="1">
      <alignment horizontal="left" vertical="center"/>
    </xf>
    <xf numFmtId="0" fontId="30" fillId="0" borderId="0" xfId="0" quotePrefix="1" applyFont="1" applyFill="1" applyBorder="1" applyAlignment="1" applyProtection="1">
      <alignment vertical="center"/>
    </xf>
    <xf numFmtId="0" fontId="30" fillId="0" borderId="0" xfId="0" applyFont="1" applyFill="1" applyBorder="1" applyAlignment="1" applyProtection="1">
      <alignment horizontal="left" vertical="center"/>
    </xf>
    <xf numFmtId="0" fontId="39" fillId="0" borderId="0" xfId="0" applyFont="1" applyFill="1" applyBorder="1" applyAlignment="1">
      <alignment vertical="center"/>
    </xf>
    <xf numFmtId="0" fontId="29" fillId="0" borderId="0" xfId="0" applyFont="1" applyFill="1" applyBorder="1" applyAlignment="1" applyProtection="1">
      <alignment horizontal="left" vertical="center"/>
    </xf>
    <xf numFmtId="0" fontId="30" fillId="0" borderId="0" xfId="0" applyFont="1" applyFill="1" applyBorder="1" applyAlignment="1">
      <alignment horizontal="left" vertical="center"/>
    </xf>
    <xf numFmtId="0" fontId="30" fillId="0" borderId="0" xfId="0" quotePrefix="1" applyFont="1" applyFill="1" applyBorder="1" applyAlignment="1">
      <alignment horizontal="left" vertical="center"/>
    </xf>
    <xf numFmtId="0" fontId="30" fillId="0" borderId="2" xfId="0" applyFont="1" applyFill="1" applyBorder="1" applyAlignment="1">
      <alignment horizontal="center" vertical="center"/>
    </xf>
    <xf numFmtId="0" fontId="40" fillId="8" borderId="0" xfId="0" applyFont="1" applyFill="1" applyBorder="1" applyAlignment="1" applyProtection="1">
      <alignment vertical="center"/>
    </xf>
    <xf numFmtId="0" fontId="41" fillId="8" borderId="0" xfId="0" applyFont="1" applyFill="1" applyBorder="1" applyAlignment="1" applyProtection="1">
      <alignment vertical="center"/>
    </xf>
    <xf numFmtId="0" fontId="40" fillId="8" borderId="0" xfId="0" quotePrefix="1" applyFont="1" applyFill="1" applyBorder="1" applyAlignment="1" applyProtection="1">
      <alignment horizontal="left" vertical="center"/>
    </xf>
    <xf numFmtId="0" fontId="40" fillId="8" borderId="0" xfId="0" applyFont="1" applyFill="1" applyAlignment="1">
      <alignment vertical="center"/>
    </xf>
    <xf numFmtId="0" fontId="40" fillId="8" borderId="0" xfId="0" applyFont="1" applyFill="1" applyBorder="1" applyAlignment="1">
      <alignment vertical="center"/>
    </xf>
    <xf numFmtId="0" fontId="37" fillId="0" borderId="0" xfId="0" applyFont="1" applyFill="1" applyBorder="1" applyAlignment="1">
      <alignment horizontal="left" vertical="center"/>
    </xf>
    <xf numFmtId="0" fontId="41" fillId="8" borderId="0" xfId="0" applyFont="1" applyFill="1" applyBorder="1" applyAlignment="1">
      <alignment vertical="center"/>
    </xf>
    <xf numFmtId="0" fontId="42" fillId="0" borderId="0" xfId="0" applyFont="1" applyFill="1" applyBorder="1" applyAlignment="1">
      <alignment vertical="center"/>
    </xf>
    <xf numFmtId="0" fontId="43" fillId="8" borderId="0" xfId="4" applyFont="1" applyFill="1" applyBorder="1" applyAlignment="1" applyProtection="1">
      <alignment vertical="center"/>
    </xf>
    <xf numFmtId="0" fontId="44" fillId="0" borderId="0" xfId="0" applyFont="1" applyFill="1" applyBorder="1" applyAlignment="1">
      <alignment vertical="center"/>
    </xf>
    <xf numFmtId="1" fontId="30" fillId="0" borderId="0" xfId="0" applyNumberFormat="1" applyFont="1" applyFill="1" applyBorder="1" applyAlignment="1">
      <alignment horizontal="center" vertical="center"/>
    </xf>
    <xf numFmtId="166" fontId="30" fillId="0" borderId="0" xfId="0" applyNumberFormat="1" applyFont="1" applyFill="1" applyBorder="1" applyAlignment="1">
      <alignment horizontal="center" vertical="center"/>
    </xf>
    <xf numFmtId="0" fontId="40" fillId="9" borderId="0" xfId="0" applyFont="1" applyFill="1" applyBorder="1" applyAlignment="1" applyProtection="1">
      <alignment vertical="center"/>
    </xf>
    <xf numFmtId="0" fontId="45" fillId="9" borderId="0" xfId="0" applyFont="1" applyFill="1" applyBorder="1" applyAlignment="1" applyProtection="1">
      <alignment vertical="center"/>
    </xf>
    <xf numFmtId="0" fontId="41" fillId="9" borderId="0" xfId="0" applyFont="1" applyFill="1" applyBorder="1" applyAlignment="1" applyProtection="1">
      <alignment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0" xfId="0" applyFont="1" applyAlignment="1">
      <alignment horizontal="left" vertical="top"/>
    </xf>
    <xf numFmtId="0" fontId="30" fillId="10" borderId="4" xfId="0" applyFont="1" applyFill="1" applyBorder="1" applyAlignment="1">
      <alignment horizontal="center" vertical="center" wrapText="1"/>
    </xf>
    <xf numFmtId="0" fontId="30" fillId="0" borderId="0" xfId="6" applyFont="1" applyAlignment="1">
      <alignment horizontal="center" vertical="center"/>
    </xf>
    <xf numFmtId="0" fontId="30" fillId="0" borderId="0" xfId="6" applyFont="1" applyAlignment="1">
      <alignment vertical="center"/>
    </xf>
    <xf numFmtId="0" fontId="30" fillId="0" borderId="0" xfId="6" applyFont="1" applyAlignment="1">
      <alignment horizontal="right" vertical="center"/>
    </xf>
    <xf numFmtId="0" fontId="30" fillId="0" borderId="5" xfId="6" applyFont="1" applyBorder="1" applyAlignment="1">
      <alignment horizontal="left" vertical="center"/>
    </xf>
    <xf numFmtId="3" fontId="30" fillId="0" borderId="2" xfId="6" applyNumberFormat="1" applyFont="1" applyBorder="1" applyAlignment="1">
      <alignment horizontal="center" vertical="center"/>
    </xf>
    <xf numFmtId="3" fontId="30" fillId="0" borderId="0" xfId="6" applyNumberFormat="1" applyFont="1" applyAlignment="1">
      <alignment horizontal="center" vertical="center"/>
    </xf>
    <xf numFmtId="0" fontId="30" fillId="0" borderId="6" xfId="6" applyFont="1" applyBorder="1" applyAlignment="1">
      <alignment vertical="center"/>
    </xf>
    <xf numFmtId="3" fontId="30" fillId="0" borderId="6" xfId="6" applyNumberFormat="1" applyFont="1" applyFill="1" applyBorder="1" applyAlignment="1">
      <alignment horizontal="center" vertical="center"/>
    </xf>
    <xf numFmtId="0" fontId="30" fillId="0" borderId="3" xfId="6" applyFont="1" applyBorder="1" applyAlignment="1">
      <alignment vertical="center"/>
    </xf>
    <xf numFmtId="4" fontId="30" fillId="0" borderId="2" xfId="6" applyNumberFormat="1" applyFont="1" applyBorder="1" applyAlignment="1">
      <alignment horizontal="center" vertical="center"/>
    </xf>
    <xf numFmtId="172" fontId="30" fillId="0" borderId="2" xfId="6" applyNumberFormat="1" applyFont="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5" xfId="0" applyFont="1" applyBorder="1" applyAlignment="1">
      <alignment vertical="center"/>
    </xf>
    <xf numFmtId="0" fontId="30" fillId="0" borderId="7" xfId="0" applyFont="1" applyBorder="1" applyAlignment="1">
      <alignment horizontal="left" vertical="center"/>
    </xf>
    <xf numFmtId="0" fontId="30" fillId="0" borderId="6" xfId="6" applyFont="1" applyBorder="1" applyAlignment="1">
      <alignment horizontal="left" vertical="center"/>
    </xf>
    <xf numFmtId="168" fontId="30" fillId="0" borderId="2" xfId="0" applyNumberFormat="1" applyFont="1" applyFill="1" applyBorder="1" applyAlignment="1">
      <alignment horizontal="center" vertical="center"/>
    </xf>
    <xf numFmtId="1" fontId="30" fillId="0" borderId="2" xfId="0" applyNumberFormat="1" applyFont="1" applyFill="1" applyBorder="1" applyAlignment="1">
      <alignment horizontal="center" vertical="center"/>
    </xf>
    <xf numFmtId="0" fontId="30" fillId="7" borderId="2" xfId="0" applyFont="1" applyFill="1" applyBorder="1" applyAlignment="1">
      <alignment horizontal="center" vertical="center" wrapText="1"/>
    </xf>
    <xf numFmtId="0" fontId="30" fillId="7" borderId="7" xfId="0" applyFont="1" applyFill="1" applyBorder="1" applyAlignment="1">
      <alignment vertical="center"/>
    </xf>
    <xf numFmtId="0" fontId="30" fillId="7" borderId="3" xfId="0" applyFont="1" applyFill="1" applyBorder="1" applyAlignment="1">
      <alignment vertical="center"/>
    </xf>
    <xf numFmtId="0" fontId="30" fillId="7" borderId="5" xfId="0" applyFont="1" applyFill="1" applyBorder="1" applyAlignment="1">
      <alignment vertical="center"/>
    </xf>
    <xf numFmtId="0" fontId="30" fillId="0" borderId="7" xfId="0" applyFont="1" applyBorder="1" applyAlignment="1">
      <alignment horizontal="center" vertical="center"/>
    </xf>
    <xf numFmtId="0" fontId="30" fillId="0" borderId="7" xfId="0" quotePrefix="1" applyFont="1" applyBorder="1" applyAlignment="1">
      <alignment horizontal="center" vertical="center"/>
    </xf>
    <xf numFmtId="0" fontId="30" fillId="0" borderId="3" xfId="0" applyFont="1" applyBorder="1" applyAlignment="1">
      <alignment vertical="center"/>
    </xf>
    <xf numFmtId="0" fontId="30" fillId="0" borderId="0" xfId="0" applyFont="1" applyFill="1" applyBorder="1" applyAlignment="1">
      <alignment horizontal="left" vertical="center" wrapText="1"/>
    </xf>
    <xf numFmtId="0" fontId="30" fillId="7" borderId="5" xfId="0" applyFont="1" applyFill="1" applyBorder="1" applyAlignment="1">
      <alignment horizontal="left" vertical="center"/>
    </xf>
    <xf numFmtId="2" fontId="30" fillId="7" borderId="2" xfId="0" applyNumberFormat="1" applyFont="1" applyFill="1" applyBorder="1" applyAlignment="1">
      <alignment horizontal="center" vertical="center"/>
    </xf>
    <xf numFmtId="0" fontId="30" fillId="10" borderId="8" xfId="0" applyFont="1" applyFill="1" applyBorder="1" applyAlignment="1">
      <alignment horizontal="center" vertical="center" wrapText="1"/>
    </xf>
    <xf numFmtId="0" fontId="30" fillId="10" borderId="9" xfId="0" applyFont="1" applyFill="1" applyBorder="1" applyAlignment="1">
      <alignment horizontal="center" vertical="center"/>
    </xf>
    <xf numFmtId="0" fontId="30" fillId="10" borderId="10" xfId="0" applyFont="1" applyFill="1" applyBorder="1" applyAlignment="1">
      <alignment horizontal="center" vertical="center"/>
    </xf>
    <xf numFmtId="0" fontId="30" fillId="10" borderId="11" xfId="0" applyFont="1" applyFill="1" applyBorder="1" applyAlignment="1">
      <alignment horizontal="center" vertical="center"/>
    </xf>
    <xf numFmtId="0" fontId="30" fillId="0" borderId="3" xfId="6" applyFont="1" applyBorder="1" applyAlignment="1">
      <alignment horizontal="left"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0" xfId="0" applyFont="1" applyBorder="1" applyAlignment="1">
      <alignment vertical="center"/>
    </xf>
    <xf numFmtId="0" fontId="30" fillId="0" borderId="11" xfId="6" applyFont="1" applyBorder="1" applyAlignment="1">
      <alignment horizontal="left" vertical="center"/>
    </xf>
    <xf numFmtId="3" fontId="30" fillId="0" borderId="3" xfId="6" applyNumberFormat="1" applyFont="1" applyBorder="1" applyAlignment="1">
      <alignment horizontal="center" vertical="center"/>
    </xf>
    <xf numFmtId="0" fontId="30" fillId="0" borderId="0" xfId="6" applyFont="1" applyAlignment="1">
      <alignment horizontal="left" vertical="center"/>
    </xf>
    <xf numFmtId="0" fontId="30" fillId="7" borderId="2" xfId="0" applyFont="1" applyFill="1" applyBorder="1" applyAlignment="1">
      <alignment vertical="center"/>
    </xf>
    <xf numFmtId="0" fontId="30" fillId="7" borderId="12" xfId="0" applyFont="1" applyFill="1" applyBorder="1" applyAlignment="1">
      <alignment vertical="center" wrapText="1"/>
    </xf>
    <xf numFmtId="1" fontId="30" fillId="4" borderId="2" xfId="0" applyNumberFormat="1" applyFont="1" applyFill="1" applyBorder="1" applyAlignment="1">
      <alignment horizontal="center" vertical="center"/>
    </xf>
    <xf numFmtId="1" fontId="42" fillId="4" borderId="2" xfId="0" applyNumberFormat="1" applyFont="1" applyFill="1" applyBorder="1" applyAlignment="1">
      <alignment horizontal="center" vertical="center"/>
    </xf>
    <xf numFmtId="1" fontId="30" fillId="7" borderId="2" xfId="0" applyNumberFormat="1" applyFont="1" applyFill="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0" fontId="37" fillId="0" borderId="0" xfId="0" applyFont="1" applyAlignment="1">
      <alignment horizontal="left" vertical="top"/>
    </xf>
    <xf numFmtId="0" fontId="30" fillId="0" borderId="0" xfId="0" applyFont="1" applyAlignment="1">
      <alignment horizontal="left" vertical="top"/>
    </xf>
    <xf numFmtId="0" fontId="30" fillId="0" borderId="0" xfId="0" applyFont="1" applyAlignment="1">
      <alignment horizontal="left" vertical="top" wrapText="1"/>
    </xf>
    <xf numFmtId="0" fontId="44" fillId="0" borderId="0" xfId="0" applyFont="1" applyAlignment="1">
      <alignment horizontal="left" vertical="top"/>
    </xf>
    <xf numFmtId="0" fontId="30" fillId="0" borderId="0" xfId="0" applyFont="1" applyAlignment="1">
      <alignment horizontal="left" vertical="top" wrapText="1"/>
    </xf>
    <xf numFmtId="0" fontId="30" fillId="0" borderId="0" xfId="0" applyFont="1" applyAlignment="1">
      <alignment horizontal="left" vertical="top"/>
    </xf>
    <xf numFmtId="0" fontId="42" fillId="0" borderId="0" xfId="0" applyFont="1" applyAlignment="1">
      <alignment horizontal="left" vertical="top"/>
    </xf>
    <xf numFmtId="0" fontId="30" fillId="0" borderId="0" xfId="0" quotePrefix="1" applyFont="1" applyAlignment="1">
      <alignment horizontal="left" vertical="top" wrapText="1"/>
    </xf>
    <xf numFmtId="0" fontId="46" fillId="0" borderId="0" xfId="0" applyFont="1" applyAlignment="1">
      <alignment horizontal="left" vertical="top"/>
    </xf>
    <xf numFmtId="0" fontId="30" fillId="0" borderId="0" xfId="0" applyFont="1" applyAlignment="1">
      <alignment horizontal="left" vertical="top" wrapText="1"/>
    </xf>
    <xf numFmtId="0" fontId="32" fillId="0" borderId="0" xfId="0" applyFont="1" applyBorder="1" applyAlignment="1">
      <alignment horizontal="left" vertical="center"/>
    </xf>
    <xf numFmtId="0" fontId="32" fillId="4" borderId="0" xfId="0" applyFont="1" applyFill="1" applyAlignment="1">
      <alignment vertical="center"/>
    </xf>
    <xf numFmtId="0" fontId="32" fillId="4" borderId="0" xfId="0" applyFont="1" applyFill="1" applyAlignment="1">
      <alignment horizontal="center" vertical="center"/>
    </xf>
    <xf numFmtId="0" fontId="32" fillId="0" borderId="0" xfId="0" applyFont="1" applyAlignment="1">
      <alignment horizontal="left" vertical="center"/>
    </xf>
    <xf numFmtId="0" fontId="32" fillId="0" borderId="0" xfId="0" applyFont="1" applyAlignment="1">
      <alignment vertical="center"/>
    </xf>
    <xf numFmtId="0" fontId="33" fillId="0" borderId="0" xfId="0" applyFont="1" applyBorder="1" applyAlignment="1">
      <alignment vertical="center"/>
    </xf>
    <xf numFmtId="49" fontId="47" fillId="0" borderId="0" xfId="0" applyNumberFormat="1" applyFont="1" applyBorder="1" applyAlignment="1">
      <alignment horizontal="right" vertical="center"/>
    </xf>
    <xf numFmtId="0" fontId="32" fillId="0" borderId="0" xfId="0" applyFont="1" applyBorder="1" applyAlignment="1">
      <alignment vertical="center"/>
    </xf>
    <xf numFmtId="0" fontId="48" fillId="8" borderId="2" xfId="0" applyFont="1" applyFill="1" applyBorder="1" applyAlignment="1">
      <alignment horizontal="center" vertical="center"/>
    </xf>
    <xf numFmtId="0" fontId="32" fillId="0" borderId="6" xfId="0" applyFont="1" applyBorder="1" applyAlignment="1">
      <alignment vertical="center"/>
    </xf>
    <xf numFmtId="0" fontId="32" fillId="11" borderId="2" xfId="0" applyFont="1" applyFill="1" applyBorder="1" applyAlignment="1">
      <alignment horizontal="center" vertical="center"/>
    </xf>
    <xf numFmtId="0" fontId="32" fillId="0" borderId="8" xfId="0" applyFont="1" applyBorder="1" applyAlignment="1">
      <alignment vertical="center"/>
    </xf>
    <xf numFmtId="3" fontId="32" fillId="5" borderId="2" xfId="0" applyNumberFormat="1" applyFont="1" applyFill="1" applyBorder="1" applyAlignment="1">
      <alignment horizontal="center" vertical="center"/>
    </xf>
    <xf numFmtId="168" fontId="32" fillId="5" borderId="2" xfId="0" applyNumberFormat="1" applyFont="1" applyFill="1" applyBorder="1" applyAlignment="1">
      <alignment horizontal="center" vertical="center"/>
    </xf>
    <xf numFmtId="3" fontId="32" fillId="4" borderId="2" xfId="0" applyNumberFormat="1" applyFont="1" applyFill="1" applyBorder="1" applyAlignment="1">
      <alignment horizontal="center" vertical="center"/>
    </xf>
    <xf numFmtId="1" fontId="32" fillId="11" borderId="2" xfId="0" applyNumberFormat="1" applyFont="1" applyFill="1" applyBorder="1" applyAlignment="1">
      <alignment horizontal="center" vertical="center"/>
    </xf>
    <xf numFmtId="3" fontId="32" fillId="0" borderId="2" xfId="0" applyNumberFormat="1" applyFont="1" applyFill="1" applyBorder="1" applyAlignment="1">
      <alignment horizontal="center" vertical="center"/>
    </xf>
    <xf numFmtId="0" fontId="32" fillId="0" borderId="8" xfId="0" applyFont="1" applyBorder="1" applyAlignment="1">
      <alignment horizontal="left" vertical="center"/>
    </xf>
    <xf numFmtId="2" fontId="32" fillId="5" borderId="2" xfId="0" applyNumberFormat="1" applyFont="1" applyFill="1" applyBorder="1" applyAlignment="1">
      <alignment horizontal="center" vertical="center"/>
    </xf>
    <xf numFmtId="0" fontId="32" fillId="0" borderId="9" xfId="0" applyFont="1" applyBorder="1" applyAlignment="1">
      <alignment horizontal="left" vertical="center"/>
    </xf>
    <xf numFmtId="0" fontId="32" fillId="0" borderId="10" xfId="0" applyFont="1" applyBorder="1" applyAlignment="1">
      <alignment horizontal="left" vertical="center"/>
    </xf>
    <xf numFmtId="0" fontId="32" fillId="0" borderId="10" xfId="0" applyFont="1" applyBorder="1" applyAlignment="1">
      <alignment vertical="center"/>
    </xf>
    <xf numFmtId="0" fontId="32" fillId="0" borderId="0" xfId="0" applyFont="1" applyFill="1" applyAlignment="1">
      <alignment horizontal="left" vertical="center"/>
    </xf>
    <xf numFmtId="0" fontId="36" fillId="7" borderId="4" xfId="0" applyFont="1" applyFill="1" applyBorder="1" applyAlignment="1">
      <alignment horizontal="center" vertical="center" wrapText="1"/>
    </xf>
    <xf numFmtId="0" fontId="32" fillId="0" borderId="0" xfId="0" applyFont="1" applyFill="1" applyBorder="1" applyAlignment="1">
      <alignment vertical="center"/>
    </xf>
    <xf numFmtId="0" fontId="32" fillId="0" borderId="0" xfId="0" applyFont="1" applyFill="1" applyBorder="1" applyAlignment="1">
      <alignment horizontal="center" vertical="center"/>
    </xf>
    <xf numFmtId="0" fontId="32" fillId="0" borderId="0"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2" fillId="7" borderId="13" xfId="0" applyFont="1" applyFill="1" applyBorder="1" applyAlignment="1">
      <alignment horizontal="center" vertical="center"/>
    </xf>
    <xf numFmtId="0" fontId="36" fillId="7" borderId="14" xfId="0" applyFont="1" applyFill="1" applyBorder="1" applyAlignment="1">
      <alignment horizontal="center" vertical="center" wrapText="1"/>
    </xf>
    <xf numFmtId="0" fontId="36" fillId="7" borderId="14" xfId="0" quotePrefix="1" applyFont="1" applyFill="1" applyBorder="1" applyAlignment="1">
      <alignment horizontal="center" vertical="center" wrapText="1"/>
    </xf>
    <xf numFmtId="0" fontId="32" fillId="7" borderId="14" xfId="0" applyFont="1" applyFill="1" applyBorder="1" applyAlignment="1">
      <alignment horizontal="center" vertical="center"/>
    </xf>
    <xf numFmtId="0" fontId="36" fillId="7" borderId="14" xfId="0" applyFont="1" applyFill="1" applyBorder="1" applyAlignment="1">
      <alignment horizontal="center" vertical="center"/>
    </xf>
    <xf numFmtId="3" fontId="32" fillId="0" borderId="0" xfId="0" applyNumberFormat="1" applyFont="1" applyFill="1" applyBorder="1" applyAlignment="1">
      <alignment horizontal="center" vertical="center"/>
    </xf>
    <xf numFmtId="0" fontId="32" fillId="5" borderId="7" xfId="0" applyFont="1" applyFill="1" applyBorder="1" applyAlignment="1">
      <alignment vertical="center"/>
    </xf>
    <xf numFmtId="0" fontId="32" fillId="5" borderId="5" xfId="0" applyFont="1" applyFill="1" applyBorder="1" applyAlignment="1">
      <alignment vertical="center"/>
    </xf>
    <xf numFmtId="173" fontId="32" fillId="6" borderId="2" xfId="1" applyNumberFormat="1" applyFont="1" applyFill="1" applyBorder="1" applyAlignment="1">
      <alignment horizontal="center" vertical="center"/>
    </xf>
    <xf numFmtId="3" fontId="32" fillId="11" borderId="2" xfId="0" applyNumberFormat="1" applyFont="1" applyFill="1" applyBorder="1" applyAlignment="1">
      <alignment horizontal="center" vertical="center"/>
    </xf>
    <xf numFmtId="0" fontId="32" fillId="5" borderId="2" xfId="0" applyFont="1" applyFill="1" applyBorder="1" applyAlignment="1">
      <alignment horizontal="center" vertical="center"/>
    </xf>
    <xf numFmtId="176" fontId="36" fillId="0" borderId="2" xfId="1" applyNumberFormat="1" applyFont="1" applyFill="1" applyBorder="1" applyAlignment="1">
      <alignment horizontal="center" vertical="center"/>
    </xf>
    <xf numFmtId="172" fontId="32" fillId="11" borderId="2" xfId="0" applyNumberFormat="1" applyFont="1" applyFill="1" applyBorder="1" applyAlignment="1">
      <alignment horizontal="center" vertical="center"/>
    </xf>
    <xf numFmtId="172" fontId="32" fillId="5" borderId="2" xfId="0" applyNumberFormat="1" applyFont="1" applyFill="1" applyBorder="1" applyAlignment="1">
      <alignment horizontal="center" vertical="center"/>
    </xf>
    <xf numFmtId="172" fontId="36" fillId="0" borderId="2" xfId="0" applyNumberFormat="1" applyFont="1" applyFill="1" applyBorder="1" applyAlignment="1">
      <alignment horizontal="center" vertical="center"/>
    </xf>
    <xf numFmtId="167" fontId="32" fillId="5" borderId="2" xfId="0" applyNumberFormat="1" applyFont="1" applyFill="1" applyBorder="1" applyAlignment="1">
      <alignment horizontal="center" vertical="center"/>
    </xf>
    <xf numFmtId="168" fontId="32" fillId="12" borderId="2" xfId="0" applyNumberFormat="1" applyFont="1" applyFill="1" applyBorder="1" applyAlignment="1">
      <alignment horizontal="center" vertical="center"/>
    </xf>
    <xf numFmtId="3" fontId="36" fillId="0" borderId="2" xfId="0" applyNumberFormat="1" applyFont="1" applyBorder="1" applyAlignment="1">
      <alignment horizontal="center" vertical="center"/>
    </xf>
    <xf numFmtId="172" fontId="36" fillId="0" borderId="2" xfId="0" applyNumberFormat="1" applyFont="1" applyBorder="1" applyAlignment="1">
      <alignment horizontal="center" vertical="center"/>
    </xf>
    <xf numFmtId="4" fontId="32" fillId="0" borderId="0" xfId="0" applyNumberFormat="1" applyFont="1" applyFill="1" applyBorder="1" applyAlignment="1">
      <alignment horizontal="center" vertical="center"/>
    </xf>
    <xf numFmtId="0" fontId="32" fillId="13" borderId="7" xfId="0" applyFont="1" applyFill="1" applyBorder="1" applyAlignment="1">
      <alignment vertical="center"/>
    </xf>
    <xf numFmtId="0" fontId="32" fillId="13" borderId="5" xfId="0" applyFont="1" applyFill="1" applyBorder="1" applyAlignment="1">
      <alignment vertical="center"/>
    </xf>
    <xf numFmtId="0" fontId="32" fillId="0" borderId="4" xfId="0" applyFont="1" applyFill="1" applyBorder="1" applyAlignment="1">
      <alignment vertical="center"/>
    </xf>
    <xf numFmtId="3" fontId="32" fillId="13" borderId="2" xfId="0" applyNumberFormat="1" applyFont="1" applyFill="1" applyBorder="1" applyAlignment="1">
      <alignment horizontal="center" vertical="center"/>
    </xf>
    <xf numFmtId="0" fontId="32" fillId="0" borderId="15" xfId="0" applyFont="1" applyFill="1" applyBorder="1" applyAlignment="1">
      <alignment vertical="center"/>
    </xf>
    <xf numFmtId="0" fontId="32" fillId="0" borderId="6" xfId="0" applyFont="1" applyFill="1" applyBorder="1" applyAlignment="1">
      <alignment vertical="center"/>
    </xf>
    <xf numFmtId="0" fontId="32" fillId="0" borderId="12" xfId="0" applyFont="1" applyFill="1" applyBorder="1" applyAlignment="1">
      <alignment vertical="center"/>
    </xf>
    <xf numFmtId="172" fontId="32" fillId="13" borderId="2" xfId="0" applyNumberFormat="1" applyFont="1" applyFill="1" applyBorder="1" applyAlignment="1">
      <alignment horizontal="center" vertical="center"/>
    </xf>
    <xf numFmtId="172" fontId="32" fillId="0" borderId="15" xfId="0" applyNumberFormat="1" applyFont="1" applyFill="1" applyBorder="1" applyAlignment="1">
      <alignment horizontal="center" vertical="center"/>
    </xf>
    <xf numFmtId="174" fontId="32" fillId="13" borderId="2" xfId="0" applyNumberFormat="1" applyFont="1" applyFill="1" applyBorder="1" applyAlignment="1">
      <alignment horizontal="center" vertical="center"/>
    </xf>
    <xf numFmtId="4" fontId="32" fillId="13" borderId="2" xfId="0" applyNumberFormat="1" applyFont="1" applyFill="1" applyBorder="1" applyAlignment="1">
      <alignment horizontal="center" vertical="center"/>
    </xf>
    <xf numFmtId="0" fontId="32" fillId="0" borderId="0" xfId="0" applyFont="1" applyFill="1" applyAlignment="1">
      <alignment vertical="center"/>
    </xf>
    <xf numFmtId="0" fontId="32" fillId="0" borderId="0" xfId="0" applyFont="1" applyFill="1" applyAlignment="1">
      <alignment horizontal="center" vertical="center"/>
    </xf>
    <xf numFmtId="0" fontId="32" fillId="0" borderId="13" xfId="0" applyFont="1" applyFill="1" applyBorder="1" applyAlignment="1">
      <alignment vertical="center"/>
    </xf>
    <xf numFmtId="0" fontId="32" fillId="0" borderId="8" xfId="0" applyFont="1" applyFill="1" applyBorder="1" applyAlignment="1">
      <alignment vertical="center"/>
    </xf>
    <xf numFmtId="0" fontId="32" fillId="0" borderId="16" xfId="0" applyFont="1" applyFill="1" applyBorder="1" applyAlignment="1">
      <alignment vertical="center"/>
    </xf>
    <xf numFmtId="172" fontId="32" fillId="0" borderId="8" xfId="0" applyNumberFormat="1" applyFont="1" applyFill="1" applyBorder="1" applyAlignment="1">
      <alignment horizontal="center" vertical="center"/>
    </xf>
    <xf numFmtId="172" fontId="36" fillId="0" borderId="8" xfId="0" applyNumberFormat="1" applyFont="1" applyFill="1" applyBorder="1" applyAlignment="1">
      <alignment horizontal="center" vertical="center"/>
    </xf>
    <xf numFmtId="176" fontId="32" fillId="0" borderId="0" xfId="1" applyNumberFormat="1" applyFont="1" applyFill="1" applyBorder="1" applyAlignment="1">
      <alignment horizontal="center" vertical="center"/>
    </xf>
    <xf numFmtId="165" fontId="32" fillId="0" borderId="0" xfId="0" applyNumberFormat="1" applyFont="1" applyAlignment="1">
      <alignment vertical="center"/>
    </xf>
    <xf numFmtId="169" fontId="32" fillId="0" borderId="0" xfId="0" applyNumberFormat="1" applyFont="1" applyAlignment="1">
      <alignment vertical="center"/>
    </xf>
    <xf numFmtId="172" fontId="48" fillId="8" borderId="2" xfId="0" applyNumberFormat="1" applyFont="1" applyFill="1" applyBorder="1" applyAlignment="1">
      <alignment horizontal="center" vertical="center"/>
    </xf>
    <xf numFmtId="172" fontId="32" fillId="0" borderId="0" xfId="0" applyNumberFormat="1" applyFont="1" applyFill="1" applyBorder="1" applyAlignment="1">
      <alignment horizontal="center" vertical="center"/>
    </xf>
    <xf numFmtId="3" fontId="32" fillId="0" borderId="0" xfId="0" applyNumberFormat="1" applyFont="1" applyFill="1" applyBorder="1" applyAlignment="1">
      <alignment horizontal="right" vertical="center"/>
    </xf>
    <xf numFmtId="3" fontId="32" fillId="0" borderId="0" xfId="0" applyNumberFormat="1" applyFont="1" applyFill="1" applyBorder="1" applyAlignment="1">
      <alignment horizontal="left" vertical="center"/>
    </xf>
    <xf numFmtId="0" fontId="32" fillId="0" borderId="5" xfId="0" applyFont="1" applyBorder="1" applyAlignment="1">
      <alignment vertical="center"/>
    </xf>
    <xf numFmtId="173" fontId="32" fillId="0" borderId="2" xfId="0" quotePrefix="1" applyNumberFormat="1" applyFont="1" applyFill="1" applyBorder="1" applyAlignment="1">
      <alignment horizontal="center" vertical="center"/>
    </xf>
    <xf numFmtId="173" fontId="32" fillId="0" borderId="2" xfId="0" applyNumberFormat="1" applyFont="1" applyFill="1" applyBorder="1" applyAlignment="1">
      <alignment horizontal="center" vertical="center"/>
    </xf>
    <xf numFmtId="172" fontId="32" fillId="0" borderId="7" xfId="0" applyNumberFormat="1" applyFont="1" applyBorder="1" applyAlignment="1">
      <alignment horizontal="left" vertical="center"/>
    </xf>
    <xf numFmtId="0" fontId="32" fillId="7" borderId="2" xfId="0" applyFont="1" applyFill="1" applyBorder="1" applyAlignment="1">
      <alignment horizontal="center" vertical="center"/>
    </xf>
    <xf numFmtId="172" fontId="32" fillId="0" borderId="2" xfId="0" applyNumberFormat="1" applyFont="1" applyBorder="1" applyAlignment="1">
      <alignment horizontal="center" vertical="center"/>
    </xf>
    <xf numFmtId="172" fontId="36" fillId="12" borderId="2" xfId="0" applyNumberFormat="1" applyFont="1" applyFill="1" applyBorder="1" applyAlignment="1">
      <alignment horizontal="center" vertical="center"/>
    </xf>
    <xf numFmtId="2" fontId="32" fillId="0" borderId="0" xfId="0" applyNumberFormat="1" applyFont="1" applyFill="1" applyBorder="1" applyAlignment="1">
      <alignment vertical="center"/>
    </xf>
    <xf numFmtId="0" fontId="32" fillId="0" borderId="2" xfId="0" applyFont="1" applyBorder="1" applyAlignment="1">
      <alignment horizontal="center" vertical="center"/>
    </xf>
    <xf numFmtId="0" fontId="32" fillId="0" borderId="2" xfId="0" applyFont="1" applyBorder="1" applyAlignment="1">
      <alignment vertical="center"/>
    </xf>
    <xf numFmtId="168" fontId="32" fillId="0" borderId="2" xfId="0" applyNumberFormat="1" applyFont="1" applyBorder="1" applyAlignment="1">
      <alignment horizontal="center" vertical="center"/>
    </xf>
    <xf numFmtId="168" fontId="36" fillId="0" borderId="2" xfId="0" applyNumberFormat="1" applyFont="1" applyFill="1" applyBorder="1" applyAlignment="1">
      <alignment horizontal="center" vertical="center"/>
    </xf>
    <xf numFmtId="168" fontId="36" fillId="12" borderId="2" xfId="0" applyNumberFormat="1" applyFont="1" applyFill="1" applyBorder="1" applyAlignment="1">
      <alignment horizontal="center" vertical="center"/>
    </xf>
    <xf numFmtId="0" fontId="32" fillId="0" borderId="7" xfId="0" applyFont="1" applyBorder="1" applyAlignment="1">
      <alignment vertical="center"/>
    </xf>
    <xf numFmtId="171" fontId="32" fillId="0" borderId="2" xfId="0" quotePrefix="1" applyNumberFormat="1" applyFont="1" applyFill="1" applyBorder="1" applyAlignment="1">
      <alignment horizontal="center" vertical="center"/>
    </xf>
    <xf numFmtId="0" fontId="32" fillId="0" borderId="3" xfId="0" applyFont="1" applyFill="1" applyBorder="1" applyAlignment="1">
      <alignment horizontal="left" vertical="top" wrapText="1"/>
    </xf>
    <xf numFmtId="171" fontId="32" fillId="11" borderId="2" xfId="0" quotePrefix="1" applyNumberFormat="1" applyFont="1" applyFill="1" applyBorder="1" applyAlignment="1">
      <alignment horizontal="center" vertical="center"/>
    </xf>
    <xf numFmtId="4" fontId="32" fillId="0" borderId="2" xfId="0" applyNumberFormat="1" applyFont="1" applyBorder="1" applyAlignment="1">
      <alignment horizontal="center" vertical="center"/>
    </xf>
    <xf numFmtId="4" fontId="36" fillId="0" borderId="2" xfId="0" applyNumberFormat="1" applyFont="1" applyBorder="1" applyAlignment="1">
      <alignment horizontal="center" vertical="center"/>
    </xf>
    <xf numFmtId="0" fontId="32" fillId="0" borderId="3" xfId="0" applyFont="1" applyBorder="1" applyAlignment="1">
      <alignment vertical="center"/>
    </xf>
    <xf numFmtId="173" fontId="32" fillId="12" borderId="2" xfId="0" applyNumberFormat="1" applyFont="1" applyFill="1" applyBorder="1" applyAlignment="1">
      <alignment horizontal="center" vertical="center"/>
    </xf>
    <xf numFmtId="173" fontId="36" fillId="12" borderId="2" xfId="0" applyNumberFormat="1" applyFont="1" applyFill="1" applyBorder="1" applyAlignment="1">
      <alignment horizontal="center" vertical="center"/>
    </xf>
    <xf numFmtId="165" fontId="32" fillId="0" borderId="0" xfId="1" applyNumberFormat="1" applyFont="1" applyAlignment="1">
      <alignment vertical="center"/>
    </xf>
    <xf numFmtId="164" fontId="32" fillId="0" borderId="0" xfId="0" quotePrefix="1" applyNumberFormat="1" applyFont="1" applyAlignment="1">
      <alignment vertical="center"/>
    </xf>
    <xf numFmtId="0" fontId="32" fillId="7" borderId="4" xfId="0" quotePrefix="1" applyFont="1" applyFill="1" applyBorder="1" applyAlignment="1">
      <alignment horizontal="center" vertical="center" wrapText="1"/>
    </xf>
    <xf numFmtId="0" fontId="32" fillId="7" borderId="4" xfId="0" applyFont="1" applyFill="1" applyBorder="1" applyAlignment="1">
      <alignment horizontal="center" vertical="center" wrapText="1"/>
    </xf>
    <xf numFmtId="0" fontId="32" fillId="7" borderId="13" xfId="0" quotePrefix="1"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2" fillId="7" borderId="13" xfId="0" applyFont="1" applyFill="1" applyBorder="1" applyAlignment="1">
      <alignment horizontal="center" vertical="center" wrapText="1"/>
    </xf>
    <xf numFmtId="172" fontId="32" fillId="0" borderId="2" xfId="0" applyNumberFormat="1" applyFont="1" applyFill="1" applyBorder="1" applyAlignment="1">
      <alignment horizontal="center" vertical="center"/>
    </xf>
    <xf numFmtId="4" fontId="32" fillId="0" borderId="2" xfId="0" applyNumberFormat="1" applyFont="1" applyFill="1" applyBorder="1" applyAlignment="1">
      <alignment horizontal="center" vertical="center"/>
    </xf>
    <xf numFmtId="172" fontId="32" fillId="12" borderId="2" xfId="0" applyNumberFormat="1" applyFont="1" applyFill="1" applyBorder="1" applyAlignment="1">
      <alignment horizontal="center" vertical="center"/>
    </xf>
    <xf numFmtId="4" fontId="32" fillId="12" borderId="2" xfId="0" applyNumberFormat="1" applyFont="1" applyFill="1" applyBorder="1" applyAlignment="1">
      <alignment horizontal="center" vertical="center"/>
    </xf>
    <xf numFmtId="3" fontId="32" fillId="12" borderId="2" xfId="0" applyNumberFormat="1" applyFont="1" applyFill="1" applyBorder="1" applyAlignment="1">
      <alignment horizontal="center" vertical="center"/>
    </xf>
    <xf numFmtId="172" fontId="49" fillId="0" borderId="2" xfId="0" applyNumberFormat="1" applyFont="1" applyFill="1" applyBorder="1" applyAlignment="1">
      <alignment horizontal="center" vertical="center"/>
    </xf>
    <xf numFmtId="172" fontId="32" fillId="11" borderId="14" xfId="0" applyNumberFormat="1" applyFont="1" applyFill="1" applyBorder="1" applyAlignment="1">
      <alignment horizontal="center" vertical="center"/>
    </xf>
    <xf numFmtId="4" fontId="32" fillId="11" borderId="14" xfId="0" applyNumberFormat="1" applyFont="1" applyFill="1" applyBorder="1" applyAlignment="1">
      <alignment horizontal="center" vertical="center"/>
    </xf>
    <xf numFmtId="3" fontId="32" fillId="11" borderId="14" xfId="0" applyNumberFormat="1" applyFont="1" applyFill="1" applyBorder="1" applyAlignment="1">
      <alignment horizontal="center" vertical="center"/>
    </xf>
    <xf numFmtId="172" fontId="32" fillId="11" borderId="9" xfId="0" applyNumberFormat="1" applyFont="1" applyFill="1" applyBorder="1" applyAlignment="1">
      <alignment horizontal="center" vertical="center"/>
    </xf>
    <xf numFmtId="0" fontId="32" fillId="0" borderId="0" xfId="0" quotePrefix="1" applyFont="1" applyBorder="1" applyAlignment="1">
      <alignment horizontal="left" vertical="top" wrapText="1"/>
    </xf>
    <xf numFmtId="0" fontId="32" fillId="0" borderId="0" xfId="0" applyFont="1" applyBorder="1" applyAlignment="1">
      <alignment horizontal="left" vertical="top" wrapText="1"/>
    </xf>
    <xf numFmtId="0" fontId="32" fillId="4" borderId="0" xfId="0" applyFont="1" applyFill="1" applyBorder="1" applyAlignment="1">
      <alignment vertical="center"/>
    </xf>
    <xf numFmtId="3" fontId="36" fillId="0" borderId="0" xfId="0" applyNumberFormat="1" applyFont="1" applyFill="1" applyBorder="1" applyAlignment="1">
      <alignment horizontal="left" vertical="center"/>
    </xf>
    <xf numFmtId="3" fontId="36" fillId="0" borderId="0" xfId="0" applyNumberFormat="1" applyFont="1" applyFill="1" applyBorder="1" applyAlignment="1">
      <alignment horizontal="center" vertical="center"/>
    </xf>
    <xf numFmtId="3" fontId="36" fillId="4" borderId="0" xfId="0" applyNumberFormat="1" applyFont="1" applyFill="1" applyAlignment="1">
      <alignment horizontal="center" vertical="center"/>
    </xf>
    <xf numFmtId="3" fontId="36" fillId="0" borderId="2" xfId="0" applyNumberFormat="1" applyFont="1" applyFill="1" applyBorder="1" applyAlignment="1">
      <alignment horizontal="center" vertical="center"/>
    </xf>
    <xf numFmtId="3" fontId="36" fillId="4" borderId="2" xfId="0" applyNumberFormat="1" applyFont="1" applyFill="1" applyBorder="1" applyAlignment="1">
      <alignment horizontal="center" vertical="center"/>
    </xf>
    <xf numFmtId="0" fontId="33" fillId="0" borderId="0" xfId="0" applyFont="1" applyFill="1" applyAlignment="1">
      <alignment vertical="center"/>
    </xf>
    <xf numFmtId="0" fontId="32" fillId="0" borderId="0" xfId="0" applyFont="1" applyFill="1" applyAlignment="1">
      <alignment horizontal="center" vertical="center" wrapText="1"/>
    </xf>
    <xf numFmtId="170" fontId="32" fillId="0" borderId="0" xfId="0" applyNumberFormat="1" applyFont="1" applyFill="1" applyAlignment="1">
      <alignment vertical="center"/>
    </xf>
    <xf numFmtId="0" fontId="48" fillId="14" borderId="2" xfId="0" applyFont="1" applyFill="1" applyBorder="1" applyAlignment="1">
      <alignment horizontal="center" vertical="center"/>
    </xf>
    <xf numFmtId="168" fontId="32" fillId="0" borderId="2" xfId="0" applyNumberFormat="1" applyFont="1" applyFill="1" applyBorder="1" applyAlignment="1">
      <alignment horizontal="center" vertical="center"/>
    </xf>
    <xf numFmtId="1" fontId="32" fillId="0" borderId="2" xfId="0" applyNumberFormat="1" applyFont="1" applyFill="1" applyBorder="1" applyAlignment="1">
      <alignment horizontal="center" vertical="center"/>
    </xf>
    <xf numFmtId="2" fontId="32" fillId="0" borderId="2" xfId="0" applyNumberFormat="1" applyFont="1" applyFill="1" applyBorder="1" applyAlignment="1">
      <alignment horizontal="center" vertical="center"/>
    </xf>
    <xf numFmtId="168" fontId="32" fillId="0" borderId="2" xfId="0" applyNumberFormat="1" applyFont="1" applyFill="1" applyBorder="1" applyAlignment="1" applyProtection="1">
      <alignment horizontal="center" vertical="center"/>
      <protection locked="0"/>
    </xf>
    <xf numFmtId="171" fontId="32" fillId="0" borderId="2" xfId="0" applyNumberFormat="1" applyFont="1" applyFill="1" applyBorder="1" applyAlignment="1">
      <alignment horizontal="center" vertical="center"/>
    </xf>
    <xf numFmtId="0" fontId="30" fillId="0" borderId="7" xfId="0" applyFont="1" applyBorder="1" applyAlignment="1">
      <alignment horizontal="left" vertical="top"/>
    </xf>
    <xf numFmtId="0" fontId="30" fillId="0" borderId="3" xfId="0" applyFont="1" applyBorder="1" applyAlignment="1">
      <alignment horizontal="left" vertical="top"/>
    </xf>
    <xf numFmtId="0" fontId="30" fillId="0" borderId="5" xfId="0" applyFont="1" applyBorder="1" applyAlignment="1">
      <alignment horizontal="left" vertical="top"/>
    </xf>
    <xf numFmtId="0" fontId="30" fillId="0" borderId="3" xfId="0" applyFont="1" applyBorder="1" applyAlignment="1">
      <alignment horizontal="left" vertical="top" wrapText="1"/>
    </xf>
    <xf numFmtId="0" fontId="30" fillId="0" borderId="5" xfId="0" applyFont="1" applyBorder="1" applyAlignment="1">
      <alignment horizontal="left" vertical="top" wrapText="1"/>
    </xf>
    <xf numFmtId="0" fontId="30" fillId="0" borderId="7" xfId="0" quotePrefix="1" applyFont="1" applyBorder="1" applyAlignment="1">
      <alignment horizontal="left" vertical="top"/>
    </xf>
    <xf numFmtId="0" fontId="30" fillId="0" borderId="0" xfId="0" quotePrefix="1" applyFont="1" applyAlignment="1">
      <alignment vertical="center"/>
    </xf>
    <xf numFmtId="0" fontId="32" fillId="7" borderId="13" xfId="0" applyFont="1" applyFill="1" applyBorder="1" applyAlignment="1">
      <alignment horizontal="center" vertical="center" wrapText="1"/>
    </xf>
    <xf numFmtId="0" fontId="32" fillId="7" borderId="4" xfId="0" applyFont="1" applyFill="1" applyBorder="1" applyAlignment="1">
      <alignment horizontal="center" vertical="center"/>
    </xf>
    <xf numFmtId="0" fontId="32" fillId="7" borderId="14" xfId="0" applyFont="1" applyFill="1" applyBorder="1" applyAlignment="1">
      <alignment horizontal="center" vertical="center"/>
    </xf>
    <xf numFmtId="0" fontId="32" fillId="0" borderId="8" xfId="0" applyFont="1" applyBorder="1" applyAlignment="1">
      <alignment vertical="center"/>
    </xf>
    <xf numFmtId="0" fontId="32" fillId="0" borderId="0" xfId="0" applyFont="1" applyBorder="1" applyAlignment="1">
      <alignment vertical="center"/>
    </xf>
    <xf numFmtId="0" fontId="32" fillId="7" borderId="4" xfId="0" applyFont="1" applyFill="1" applyBorder="1" applyAlignment="1">
      <alignment horizontal="center" vertical="center" wrapText="1"/>
    </xf>
    <xf numFmtId="0" fontId="32" fillId="7" borderId="13" xfId="0" applyFont="1" applyFill="1" applyBorder="1" applyAlignment="1">
      <alignment horizontal="center" vertical="center" wrapText="1"/>
    </xf>
    <xf numFmtId="0" fontId="32" fillId="0" borderId="10" xfId="0" applyFont="1" applyBorder="1" applyAlignment="1">
      <alignment vertical="center"/>
    </xf>
    <xf numFmtId="0" fontId="32" fillId="0" borderId="11" xfId="0" applyFont="1" applyBorder="1" applyAlignment="1">
      <alignment vertical="center"/>
    </xf>
    <xf numFmtId="0" fontId="36" fillId="7" borderId="4" xfId="0" applyFont="1" applyFill="1" applyBorder="1" applyAlignment="1">
      <alignment horizontal="center" vertical="center" wrapText="1"/>
    </xf>
    <xf numFmtId="0" fontId="32" fillId="7" borderId="4" xfId="0" applyFont="1" applyFill="1" applyBorder="1" applyAlignment="1">
      <alignment horizontal="center" vertical="center"/>
    </xf>
    <xf numFmtId="0" fontId="32" fillId="7" borderId="14" xfId="0" applyFont="1" applyFill="1" applyBorder="1" applyAlignment="1">
      <alignment horizontal="center" vertical="center"/>
    </xf>
    <xf numFmtId="0" fontId="32" fillId="7" borderId="8"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50" fillId="0" borderId="0" xfId="0" applyFont="1" applyFill="1" applyBorder="1" applyAlignment="1">
      <alignment horizontal="center" vertical="center" wrapText="1"/>
    </xf>
    <xf numFmtId="0" fontId="50" fillId="0" borderId="0" xfId="0" applyFont="1" applyFill="1" applyBorder="1" applyAlignment="1">
      <alignment horizontal="center" vertical="center"/>
    </xf>
    <xf numFmtId="4" fontId="50" fillId="0" borderId="0" xfId="0" applyNumberFormat="1" applyFont="1" applyFill="1" applyBorder="1" applyAlignment="1">
      <alignment horizontal="center" vertical="center"/>
    </xf>
    <xf numFmtId="4" fontId="32" fillId="5" borderId="2" xfId="0" applyNumberFormat="1" applyFont="1" applyFill="1" applyBorder="1" applyAlignment="1">
      <alignment horizontal="center" vertical="center"/>
    </xf>
    <xf numFmtId="3" fontId="36" fillId="4" borderId="0" xfId="0" applyNumberFormat="1" applyFont="1" applyFill="1" applyBorder="1" applyAlignment="1">
      <alignment horizontal="left" vertical="center"/>
    </xf>
    <xf numFmtId="3" fontId="32" fillId="4" borderId="0" xfId="0" applyNumberFormat="1" applyFont="1" applyFill="1" applyBorder="1" applyAlignment="1">
      <alignment horizontal="center" vertical="center"/>
    </xf>
    <xf numFmtId="1" fontId="32" fillId="11" borderId="7" xfId="0" applyNumberFormat="1" applyFont="1" applyFill="1" applyBorder="1" applyAlignment="1">
      <alignment horizontal="center" vertical="center"/>
    </xf>
    <xf numFmtId="168" fontId="32" fillId="11" borderId="7" xfId="0" applyNumberFormat="1" applyFont="1" applyFill="1" applyBorder="1" applyAlignment="1" applyProtection="1">
      <alignment horizontal="center" vertical="center"/>
      <protection locked="0"/>
    </xf>
    <xf numFmtId="0" fontId="32" fillId="7" borderId="13" xfId="0" applyFont="1" applyFill="1" applyBorder="1" applyAlignment="1">
      <alignment horizontal="center" vertical="center" wrapText="1"/>
    </xf>
    <xf numFmtId="173" fontId="36" fillId="0" borderId="2" xfId="0" applyNumberFormat="1" applyFont="1" applyFill="1" applyBorder="1" applyAlignment="1">
      <alignment horizontal="center" vertical="center"/>
    </xf>
    <xf numFmtId="168" fontId="32" fillId="0" borderId="0" xfId="6" applyNumberFormat="1"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2" fillId="0" borderId="7" xfId="0" applyFont="1" applyBorder="1" applyAlignment="1">
      <alignment vertical="center"/>
    </xf>
    <xf numFmtId="0" fontId="32" fillId="0" borderId="5" xfId="0" applyFont="1" applyBorder="1" applyAlignment="1">
      <alignment vertical="center"/>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0" fontId="36" fillId="7" borderId="8" xfId="0" applyFont="1" applyFill="1" applyBorder="1" applyAlignment="1">
      <alignment horizontal="center" vertical="center" wrapText="1"/>
    </xf>
    <xf numFmtId="0" fontId="41" fillId="8" borderId="4" xfId="6" applyFont="1" applyFill="1" applyBorder="1" applyAlignment="1">
      <alignment horizontal="center" vertical="center"/>
    </xf>
    <xf numFmtId="0" fontId="32" fillId="0" borderId="6" xfId="0" applyFont="1" applyFill="1" applyBorder="1" applyAlignment="1">
      <alignment horizontal="left" vertical="top" wrapText="1"/>
    </xf>
    <xf numFmtId="0" fontId="32" fillId="12" borderId="3" xfId="0" applyFont="1" applyFill="1" applyBorder="1" applyAlignment="1">
      <alignment horizontal="left" vertical="center"/>
    </xf>
    <xf numFmtId="0" fontId="37" fillId="0" borderId="0" xfId="0" applyFont="1" applyAlignment="1">
      <alignment horizontal="left" vertical="top" wrapText="1"/>
    </xf>
    <xf numFmtId="0" fontId="51" fillId="7" borderId="13" xfId="4" applyFont="1" applyFill="1" applyBorder="1" applyAlignment="1" applyProtection="1">
      <alignment horizontal="center" vertical="center" wrapText="1"/>
    </xf>
    <xf numFmtId="0" fontId="51" fillId="7" borderId="13" xfId="4" applyFont="1" applyFill="1" applyBorder="1" applyAlignment="1" applyProtection="1">
      <alignment horizontal="center" vertical="center"/>
    </xf>
    <xf numFmtId="0" fontId="51" fillId="7" borderId="8" xfId="4" applyFont="1" applyFill="1" applyBorder="1" applyAlignment="1" applyProtection="1">
      <alignment horizontal="center" vertical="center" wrapText="1"/>
    </xf>
    <xf numFmtId="0" fontId="30" fillId="0" borderId="0" xfId="0" applyFont="1" applyAlignment="1">
      <alignment horizontal="left" vertical="top" wrapText="1"/>
    </xf>
    <xf numFmtId="0" fontId="36" fillId="7" borderId="13" xfId="0" applyFont="1" applyFill="1" applyBorder="1" applyAlignment="1">
      <alignment horizontal="center" vertical="center" wrapText="1"/>
    </xf>
    <xf numFmtId="0" fontId="32" fillId="0" borderId="8" xfId="0" applyFont="1" applyBorder="1" applyAlignment="1">
      <alignment vertical="center"/>
    </xf>
    <xf numFmtId="0" fontId="30" fillId="7" borderId="2" xfId="0" applyFont="1" applyFill="1" applyBorder="1" applyAlignment="1">
      <alignment horizontal="center" vertical="center" wrapText="1"/>
    </xf>
    <xf numFmtId="0" fontId="30" fillId="7" borderId="7" xfId="0" applyFont="1" applyFill="1" applyBorder="1" applyAlignment="1">
      <alignment horizontal="left" vertical="center"/>
    </xf>
    <xf numFmtId="0" fontId="30" fillId="0" borderId="7" xfId="0" applyFont="1" applyBorder="1" applyAlignment="1">
      <alignment horizontal="left" vertical="center"/>
    </xf>
    <xf numFmtId="0" fontId="30" fillId="0" borderId="3" xfId="0" applyFont="1" applyBorder="1" applyAlignment="1">
      <alignment vertical="center"/>
    </xf>
    <xf numFmtId="0" fontId="30" fillId="0" borderId="5" xfId="0" applyFont="1" applyBorder="1" applyAlignment="1">
      <alignment vertical="center"/>
    </xf>
    <xf numFmtId="0" fontId="30" fillId="7" borderId="7" xfId="0" applyFont="1" applyFill="1" applyBorder="1" applyAlignment="1">
      <alignment vertical="center"/>
    </xf>
    <xf numFmtId="0" fontId="30" fillId="7" borderId="3" xfId="0" applyFont="1" applyFill="1" applyBorder="1" applyAlignment="1">
      <alignment vertical="center"/>
    </xf>
    <xf numFmtId="0" fontId="30" fillId="7" borderId="5" xfId="0" applyFont="1" applyFill="1" applyBorder="1" applyAlignment="1">
      <alignment vertical="center"/>
    </xf>
    <xf numFmtId="0" fontId="32" fillId="0" borderId="9" xfId="0" applyFont="1" applyBorder="1" applyAlignment="1">
      <alignment vertical="center"/>
    </xf>
    <xf numFmtId="0" fontId="32" fillId="0" borderId="8" xfId="0" applyFont="1" applyBorder="1" applyAlignment="1">
      <alignment vertical="center"/>
    </xf>
    <xf numFmtId="0" fontId="32" fillId="0" borderId="0" xfId="0" applyFont="1" applyBorder="1" applyAlignment="1">
      <alignment vertical="center"/>
    </xf>
    <xf numFmtId="0" fontId="32" fillId="0" borderId="10" xfId="0" applyFont="1" applyBorder="1" applyAlignment="1">
      <alignment vertical="center"/>
    </xf>
    <xf numFmtId="0" fontId="32" fillId="0" borderId="15" xfId="0" applyFont="1" applyBorder="1" applyAlignment="1">
      <alignment vertical="center"/>
    </xf>
    <xf numFmtId="0" fontId="32" fillId="0" borderId="6" xfId="0" applyFont="1" applyBorder="1" applyAlignment="1">
      <alignment vertical="center"/>
    </xf>
    <xf numFmtId="0" fontId="51" fillId="0" borderId="15" xfId="4" applyFont="1" applyBorder="1" applyAlignment="1" applyProtection="1">
      <alignment vertical="center"/>
    </xf>
    <xf numFmtId="0" fontId="30" fillId="0" borderId="7" xfId="0" applyFont="1" applyBorder="1" applyAlignment="1">
      <alignment vertical="center"/>
    </xf>
    <xf numFmtId="0" fontId="51" fillId="0" borderId="7" xfId="4" applyFont="1" applyBorder="1" applyAlignment="1" applyProtection="1">
      <alignment vertical="center"/>
    </xf>
    <xf numFmtId="172" fontId="51" fillId="7" borderId="2" xfId="4" applyNumberFormat="1" applyFont="1" applyFill="1" applyBorder="1" applyAlignment="1" applyProtection="1">
      <alignment horizontal="center" vertical="center"/>
    </xf>
    <xf numFmtId="0" fontId="30" fillId="0" borderId="0" xfId="0" quotePrefix="1" applyFont="1" applyAlignment="1">
      <alignment horizontal="left" vertical="top" wrapText="1"/>
    </xf>
    <xf numFmtId="0" fontId="37" fillId="0" borderId="0" xfId="0" applyFont="1" applyAlignment="1">
      <alignment horizontal="left" vertical="top"/>
    </xf>
    <xf numFmtId="0" fontId="30" fillId="0" borderId="0" xfId="0" applyFont="1" applyAlignment="1">
      <alignment horizontal="left" vertical="top" wrapText="1"/>
    </xf>
    <xf numFmtId="0" fontId="30" fillId="7" borderId="2" xfId="0" applyFont="1" applyFill="1" applyBorder="1" applyAlignment="1">
      <alignment horizontal="center" vertical="center"/>
    </xf>
    <xf numFmtId="0" fontId="30" fillId="0" borderId="10" xfId="6" applyFont="1" applyBorder="1" applyAlignment="1">
      <alignment horizontal="left" vertical="center"/>
    </xf>
    <xf numFmtId="0" fontId="30" fillId="7" borderId="2" xfId="0" applyFont="1" applyFill="1" applyBorder="1" applyAlignment="1">
      <alignment horizontal="center" vertical="center" wrapText="1"/>
    </xf>
    <xf numFmtId="168" fontId="30" fillId="7" borderId="2" xfId="0" applyNumberFormat="1" applyFont="1" applyFill="1" applyBorder="1" applyAlignment="1">
      <alignment horizontal="center" vertical="center"/>
    </xf>
    <xf numFmtId="2" fontId="30" fillId="7" borderId="2" xfId="0" applyNumberFormat="1" applyFont="1" applyFill="1" applyBorder="1" applyAlignment="1">
      <alignment horizontal="center" vertical="center"/>
    </xf>
    <xf numFmtId="0" fontId="48" fillId="14" borderId="4" xfId="0" applyFont="1" applyFill="1" applyBorder="1" applyAlignment="1">
      <alignment horizontal="center" vertical="center"/>
    </xf>
    <xf numFmtId="0" fontId="32" fillId="0" borderId="3" xfId="6" applyFont="1" applyFill="1" applyBorder="1" applyAlignment="1">
      <alignment horizontal="left" vertical="center"/>
    </xf>
    <xf numFmtId="0" fontId="32" fillId="0" borderId="3" xfId="0" applyFont="1" applyFill="1" applyBorder="1" applyAlignment="1">
      <alignment horizontal="left" vertical="center"/>
    </xf>
    <xf numFmtId="172" fontId="32" fillId="11" borderId="2" xfId="6" applyNumberFormat="1" applyFont="1" applyFill="1" applyBorder="1" applyAlignment="1">
      <alignment horizontal="center" vertical="center" wrapText="1"/>
    </xf>
    <xf numFmtId="172" fontId="32" fillId="0" borderId="2" xfId="6" applyNumberFormat="1" applyFont="1" applyFill="1" applyBorder="1" applyAlignment="1">
      <alignment horizontal="center" vertical="center"/>
    </xf>
    <xf numFmtId="0" fontId="32" fillId="0" borderId="7" xfId="6" applyFont="1" applyBorder="1" applyAlignment="1">
      <alignment horizontal="left" vertical="center"/>
    </xf>
    <xf numFmtId="0" fontId="32" fillId="0" borderId="3" xfId="6" applyFont="1" applyBorder="1" applyAlignment="1">
      <alignment horizontal="left" vertical="center"/>
    </xf>
    <xf numFmtId="0" fontId="32" fillId="12" borderId="3" xfId="6" applyFont="1" applyFill="1" applyBorder="1" applyAlignment="1">
      <alignment horizontal="left" vertical="center"/>
    </xf>
    <xf numFmtId="0" fontId="32" fillId="0" borderId="5" xfId="6" applyFont="1" applyFill="1" applyBorder="1" applyAlignment="1">
      <alignment horizontal="right" vertical="center"/>
    </xf>
    <xf numFmtId="0" fontId="32" fillId="12" borderId="5" xfId="6" applyFont="1" applyFill="1" applyBorder="1" applyAlignment="1">
      <alignment horizontal="right" vertical="center"/>
    </xf>
    <xf numFmtId="168" fontId="32" fillId="11" borderId="2" xfId="6" applyNumberFormat="1" applyFont="1" applyFill="1" applyBorder="1" applyAlignment="1">
      <alignment horizontal="center" vertical="center" wrapText="1"/>
    </xf>
    <xf numFmtId="168" fontId="32" fillId="0" borderId="2" xfId="6" applyNumberFormat="1" applyFont="1" applyBorder="1" applyAlignment="1">
      <alignment horizontal="center" vertical="center" wrapText="1"/>
    </xf>
    <xf numFmtId="0" fontId="32" fillId="0" borderId="0" xfId="6" applyFont="1" applyFill="1" applyBorder="1" applyAlignment="1">
      <alignment horizontal="left" vertical="center"/>
    </xf>
    <xf numFmtId="0" fontId="32" fillId="0" borderId="0" xfId="6" applyFont="1" applyFill="1" applyBorder="1" applyAlignment="1">
      <alignment horizontal="left" vertical="center" wrapText="1"/>
    </xf>
    <xf numFmtId="0" fontId="32" fillId="0" borderId="3" xfId="6" applyFont="1" applyBorder="1" applyAlignment="1">
      <alignment horizontal="left" vertical="center"/>
    </xf>
    <xf numFmtId="0" fontId="41" fillId="8" borderId="2" xfId="6" applyFont="1" applyFill="1" applyBorder="1" applyAlignment="1">
      <alignment horizontal="center" vertical="center"/>
    </xf>
    <xf numFmtId="0" fontId="30" fillId="0" borderId="0" xfId="0" applyFont="1" applyAlignment="1">
      <alignment horizontal="left" vertical="top" wrapText="1"/>
    </xf>
    <xf numFmtId="0" fontId="36" fillId="7" borderId="13" xfId="0" applyFont="1" applyFill="1" applyBorder="1" applyAlignment="1">
      <alignment horizontal="center" vertical="center" wrapText="1"/>
    </xf>
    <xf numFmtId="3" fontId="32" fillId="0" borderId="2" xfId="6" applyNumberFormat="1" applyFont="1" applyFill="1" applyBorder="1" applyAlignment="1">
      <alignment horizontal="center" vertical="center"/>
    </xf>
    <xf numFmtId="0" fontId="42" fillId="0" borderId="0" xfId="0" applyFont="1" applyFill="1" applyBorder="1" applyAlignment="1">
      <alignment horizontal="left" vertical="center"/>
    </xf>
    <xf numFmtId="0" fontId="42" fillId="0" borderId="0" xfId="6" quotePrefix="1" applyFont="1" applyAlignment="1">
      <alignment horizontal="left" vertical="top" wrapText="1"/>
    </xf>
    <xf numFmtId="0" fontId="42" fillId="0" borderId="0" xfId="6" applyFont="1" applyAlignment="1">
      <alignment horizontal="left" vertical="top" wrapText="1"/>
    </xf>
    <xf numFmtId="0" fontId="42" fillId="0" borderId="0" xfId="6" applyFont="1" applyAlignment="1">
      <alignment horizontal="left" vertical="top"/>
    </xf>
    <xf numFmtId="0" fontId="36" fillId="0" borderId="0" xfId="4" applyFont="1" applyAlignment="1" applyProtection="1">
      <alignment horizontal="left" vertical="top"/>
    </xf>
    <xf numFmtId="0" fontId="52" fillId="0" borderId="0" xfId="0" applyFont="1" applyFill="1" applyBorder="1" applyAlignment="1">
      <alignment vertical="center"/>
    </xf>
    <xf numFmtId="0" fontId="30" fillId="0" borderId="0" xfId="6" applyFont="1" applyAlignment="1">
      <alignment horizontal="left" vertical="top" wrapText="1"/>
    </xf>
    <xf numFmtId="0" fontId="37" fillId="0" borderId="0" xfId="6" applyFont="1" applyAlignment="1">
      <alignment horizontal="left" vertical="top"/>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0" fontId="32" fillId="0" borderId="11" xfId="0" applyFont="1" applyBorder="1" applyAlignment="1">
      <alignment vertical="center"/>
    </xf>
    <xf numFmtId="3" fontId="32" fillId="0" borderId="0" xfId="0" applyNumberFormat="1" applyFont="1" applyAlignment="1">
      <alignment horizontal="center" vertical="center"/>
    </xf>
    <xf numFmtId="3" fontId="9" fillId="0" borderId="0" xfId="0" applyNumberFormat="1" applyFont="1" applyAlignment="1">
      <alignment horizontal="center" vertical="center"/>
    </xf>
    <xf numFmtId="0" fontId="32" fillId="0" borderId="3" xfId="6" applyFont="1" applyFill="1" applyBorder="1" applyAlignment="1">
      <alignment horizontal="right" vertical="center"/>
    </xf>
    <xf numFmtId="0" fontId="32" fillId="12" borderId="3" xfId="6" applyFont="1" applyFill="1" applyBorder="1" applyAlignment="1">
      <alignment horizontal="right" vertical="center"/>
    </xf>
    <xf numFmtId="0" fontId="32" fillId="0" borderId="3" xfId="6" quotePrefix="1" applyFont="1" applyBorder="1" applyAlignment="1">
      <alignment horizontal="left" vertical="center" wrapText="1"/>
    </xf>
    <xf numFmtId="0" fontId="32" fillId="0" borderId="12" xfId="0" applyFont="1" applyBorder="1" applyAlignment="1">
      <alignment vertical="center"/>
    </xf>
    <xf numFmtId="0" fontId="32" fillId="0" borderId="16" xfId="0" applyFont="1" applyBorder="1" applyAlignment="1">
      <alignment vertical="center"/>
    </xf>
    <xf numFmtId="0" fontId="30" fillId="0" borderId="0" xfId="0" applyFont="1" applyAlignment="1">
      <alignment horizontal="left" vertical="top" wrapText="1"/>
    </xf>
    <xf numFmtId="0" fontId="37" fillId="0" borderId="0" xfId="0" applyFont="1" applyAlignment="1">
      <alignment horizontal="left" vertical="top" wrapText="1"/>
    </xf>
    <xf numFmtId="1" fontId="30" fillId="0" borderId="2" xfId="0" applyNumberFormat="1" applyFont="1" applyFill="1" applyBorder="1" applyAlignment="1">
      <alignment horizontal="center" vertical="center"/>
    </xf>
    <xf numFmtId="0" fontId="30" fillId="0" borderId="0" xfId="0" applyFont="1" applyAlignment="1">
      <alignment horizontal="left" vertical="top" wrapText="1"/>
    </xf>
    <xf numFmtId="173" fontId="32" fillId="11" borderId="2" xfId="0" quotePrefix="1" applyNumberFormat="1" applyFont="1" applyFill="1" applyBorder="1" applyAlignment="1">
      <alignment horizontal="center" vertical="center"/>
    </xf>
    <xf numFmtId="0" fontId="51" fillId="0" borderId="9" xfId="4" applyFont="1" applyBorder="1" applyAlignment="1" applyProtection="1">
      <alignment horizontal="left" vertical="center" wrapText="1"/>
    </xf>
    <xf numFmtId="0" fontId="53" fillId="0" borderId="10" xfId="4" applyFont="1" applyBorder="1" applyAlignment="1" applyProtection="1">
      <alignment horizontal="left" vertical="center" wrapText="1"/>
    </xf>
    <xf numFmtId="172" fontId="51" fillId="0" borderId="7" xfId="4" applyNumberFormat="1" applyFont="1" applyBorder="1" applyAlignment="1" applyProtection="1">
      <alignment horizontal="left" vertical="center"/>
    </xf>
    <xf numFmtId="1" fontId="42" fillId="0" borderId="2" xfId="0" applyNumberFormat="1" applyFont="1" applyFill="1" applyBorder="1" applyAlignment="1">
      <alignment horizontal="center" vertical="center"/>
    </xf>
    <xf numFmtId="176" fontId="32" fillId="11" borderId="2" xfId="0" applyNumberFormat="1" applyFont="1" applyFill="1" applyBorder="1" applyAlignment="1">
      <alignment horizontal="center" vertical="center"/>
    </xf>
    <xf numFmtId="176" fontId="32" fillId="0" borderId="2" xfId="0" applyNumberFormat="1" applyFont="1" applyFill="1" applyBorder="1" applyAlignment="1">
      <alignment horizontal="center" vertical="center"/>
    </xf>
    <xf numFmtId="0" fontId="2" fillId="0" borderId="0" xfId="4" applyBorder="1" applyAlignment="1" applyProtection="1">
      <alignment vertical="center"/>
    </xf>
    <xf numFmtId="0" fontId="51" fillId="0" borderId="8" xfId="4" applyFont="1" applyBorder="1" applyAlignment="1" applyProtection="1">
      <alignment vertical="center"/>
    </xf>
    <xf numFmtId="3" fontId="36" fillId="12" borderId="2" xfId="0" applyNumberFormat="1" applyFont="1" applyFill="1" applyBorder="1" applyAlignment="1">
      <alignment horizontal="center" vertical="center"/>
    </xf>
    <xf numFmtId="0" fontId="53" fillId="0" borderId="8" xfId="4" applyFont="1" applyBorder="1" applyAlignment="1" applyProtection="1">
      <alignment vertical="center"/>
    </xf>
    <xf numFmtId="0" fontId="54" fillId="0" borderId="0" xfId="6" quotePrefix="1" applyFont="1" applyAlignment="1">
      <alignment horizontal="left" vertical="center"/>
    </xf>
    <xf numFmtId="0" fontId="54" fillId="0" borderId="0" xfId="6" applyFont="1" applyAlignment="1">
      <alignment horizontal="left" vertical="center"/>
    </xf>
    <xf numFmtId="0" fontId="0" fillId="0" borderId="0" xfId="0" applyAlignment="1">
      <alignment vertical="center"/>
    </xf>
    <xf numFmtId="0" fontId="30" fillId="0" borderId="0" xfId="0" applyFont="1" applyAlignment="1">
      <alignment horizontal="left" vertical="top" wrapText="1"/>
    </xf>
    <xf numFmtId="0" fontId="30" fillId="0" borderId="7" xfId="0" applyFont="1" applyBorder="1" applyAlignment="1">
      <alignment horizontal="left" vertical="top"/>
    </xf>
    <xf numFmtId="0" fontId="30" fillId="0" borderId="3" xfId="0" applyFont="1" applyBorder="1" applyAlignment="1">
      <alignment horizontal="left" vertical="top"/>
    </xf>
    <xf numFmtId="0" fontId="30" fillId="0" borderId="5" xfId="0" applyFont="1" applyBorder="1" applyAlignment="1">
      <alignment horizontal="left" vertical="top"/>
    </xf>
    <xf numFmtId="0" fontId="36" fillId="7" borderId="13" xfId="0" applyFont="1" applyFill="1" applyBorder="1" applyAlignment="1">
      <alignment horizontal="center" vertical="center" wrapText="1"/>
    </xf>
    <xf numFmtId="0" fontId="36" fillId="12" borderId="13" xfId="0" applyFont="1" applyFill="1" applyBorder="1" applyAlignment="1">
      <alignment horizontal="center" vertical="center" wrapText="1"/>
    </xf>
    <xf numFmtId="0" fontId="32" fillId="0" borderId="10" xfId="0" applyFont="1" applyFill="1" applyBorder="1" applyAlignment="1">
      <alignment horizontal="left" vertical="top" wrapText="1"/>
    </xf>
    <xf numFmtId="0" fontId="30" fillId="0" borderId="0" xfId="0" applyFont="1" applyAlignment="1">
      <alignment horizontal="left" vertical="top"/>
    </xf>
    <xf numFmtId="0" fontId="30" fillId="0" borderId="0" xfId="0" applyFont="1" applyAlignment="1">
      <alignment horizontal="left" vertical="top" wrapText="1"/>
    </xf>
    <xf numFmtId="0" fontId="30" fillId="4" borderId="3" xfId="0" applyFont="1" applyFill="1" applyBorder="1" applyAlignment="1">
      <alignment horizontal="left" vertical="center"/>
    </xf>
    <xf numFmtId="0" fontId="30" fillId="4" borderId="5" xfId="0" applyFont="1" applyFill="1" applyBorder="1" applyAlignment="1">
      <alignment horizontal="left" vertical="center"/>
    </xf>
    <xf numFmtId="168" fontId="30" fillId="7" borderId="2" xfId="0" applyNumberFormat="1" applyFont="1" applyFill="1" applyBorder="1" applyAlignment="1">
      <alignment horizontal="center" vertical="center"/>
    </xf>
    <xf numFmtId="0" fontId="32" fillId="0" borderId="0" xfId="0" quotePrefix="1" applyFont="1" applyFill="1" applyBorder="1" applyAlignment="1">
      <alignment horizontal="center" vertical="center"/>
    </xf>
    <xf numFmtId="0" fontId="30" fillId="0" borderId="0" xfId="0" applyFont="1" applyBorder="1" applyAlignment="1">
      <alignment horizontal="left" vertical="top"/>
    </xf>
    <xf numFmtId="9" fontId="32" fillId="11" borderId="2" xfId="8" applyNumberFormat="1" applyFont="1" applyFill="1" applyBorder="1" applyAlignment="1">
      <alignment horizontal="center" vertical="center"/>
    </xf>
    <xf numFmtId="176" fontId="32" fillId="0" borderId="2" xfId="0" applyNumberFormat="1" applyFont="1" applyBorder="1" applyAlignment="1">
      <alignment horizontal="center" vertical="center"/>
    </xf>
    <xf numFmtId="0" fontId="32" fillId="0" borderId="7" xfId="0" applyFont="1" applyFill="1" applyBorder="1" applyAlignment="1">
      <alignment horizontal="right" vertical="center"/>
    </xf>
    <xf numFmtId="0" fontId="32" fillId="0" borderId="3" xfId="0" applyFont="1" applyFill="1" applyBorder="1" applyAlignment="1">
      <alignment horizontal="right" vertical="center"/>
    </xf>
    <xf numFmtId="0" fontId="41" fillId="14" borderId="2" xfId="6" applyFont="1" applyFill="1" applyBorder="1" applyAlignment="1">
      <alignment horizontal="center" vertical="center"/>
    </xf>
    <xf numFmtId="2" fontId="49" fillId="0" borderId="2" xfId="0" applyNumberFormat="1" applyFont="1" applyFill="1" applyBorder="1" applyAlignment="1">
      <alignment horizontal="center" vertical="center"/>
    </xf>
    <xf numFmtId="2" fontId="32" fillId="11" borderId="14" xfId="0" applyNumberFormat="1" applyFont="1" applyFill="1" applyBorder="1" applyAlignment="1">
      <alignment horizontal="center" vertical="center"/>
    </xf>
    <xf numFmtId="4" fontId="49" fillId="0" borderId="2" xfId="0" applyNumberFormat="1" applyFont="1" applyFill="1" applyBorder="1" applyAlignment="1">
      <alignment horizontal="center" vertical="center"/>
    </xf>
    <xf numFmtId="0" fontId="30" fillId="0" borderId="3" xfId="0" applyFont="1" applyBorder="1" applyAlignment="1">
      <alignment horizontal="left" vertical="center"/>
    </xf>
    <xf numFmtId="2" fontId="30" fillId="7" borderId="2" xfId="0" applyNumberFormat="1" applyFont="1" applyFill="1" applyBorder="1" applyAlignment="1">
      <alignment horizontal="center" vertical="center"/>
    </xf>
    <xf numFmtId="0" fontId="30" fillId="0" borderId="5" xfId="0" applyFont="1" applyBorder="1" applyAlignment="1">
      <alignment vertical="center"/>
    </xf>
    <xf numFmtId="2" fontId="30" fillId="0" borderId="2" xfId="0" applyNumberFormat="1" applyFont="1" applyFill="1" applyBorder="1" applyAlignment="1">
      <alignment horizontal="center" vertical="center"/>
    </xf>
    <xf numFmtId="168" fontId="32" fillId="4" borderId="0" xfId="0" applyNumberFormat="1" applyFont="1" applyFill="1" applyAlignment="1">
      <alignment horizontal="center" vertical="center"/>
    </xf>
    <xf numFmtId="2" fontId="32" fillId="4" borderId="0" xfId="0" applyNumberFormat="1" applyFont="1" applyFill="1" applyAlignment="1">
      <alignment horizontal="center" vertical="center"/>
    </xf>
    <xf numFmtId="1" fontId="32" fillId="4" borderId="0" xfId="0" applyNumberFormat="1" applyFont="1" applyFill="1" applyAlignment="1">
      <alignment horizontal="center" vertical="center"/>
    </xf>
    <xf numFmtId="0" fontId="55" fillId="0" borderId="0" xfId="0" applyFont="1" applyAlignment="1">
      <alignment vertical="center"/>
    </xf>
    <xf numFmtId="0" fontId="55" fillId="4" borderId="0" xfId="0" applyFont="1" applyFill="1" applyAlignment="1">
      <alignment vertical="center"/>
    </xf>
    <xf numFmtId="0" fontId="55" fillId="4" borderId="0" xfId="0" applyFont="1" applyFill="1" applyAlignment="1">
      <alignment horizontal="center" vertical="center"/>
    </xf>
    <xf numFmtId="0" fontId="55" fillId="0" borderId="0" xfId="0" applyFont="1" applyFill="1" applyAlignment="1">
      <alignment vertical="center"/>
    </xf>
    <xf numFmtId="0" fontId="55" fillId="7" borderId="2" xfId="0" applyFont="1" applyFill="1" applyBorder="1" applyAlignment="1">
      <alignment horizontal="center" vertical="center"/>
    </xf>
    <xf numFmtId="0" fontId="55" fillId="7" borderId="7" xfId="0" applyFont="1" applyFill="1" applyBorder="1" applyAlignment="1">
      <alignment horizontal="center" vertical="center"/>
    </xf>
    <xf numFmtId="0" fontId="55" fillId="13" borderId="3" xfId="0" applyFont="1" applyFill="1" applyBorder="1" applyAlignment="1">
      <alignment vertical="center"/>
    </xf>
    <xf numFmtId="3" fontId="55" fillId="0" borderId="2" xfId="0" applyNumberFormat="1" applyFont="1" applyBorder="1" applyAlignment="1">
      <alignment horizontal="center" vertical="center"/>
    </xf>
    <xf numFmtId="3" fontId="55" fillId="0" borderId="7" xfId="0" applyNumberFormat="1" applyFont="1" applyBorder="1" applyAlignment="1">
      <alignment horizontal="center" vertical="center"/>
    </xf>
    <xf numFmtId="3" fontId="56" fillId="4" borderId="0" xfId="0" applyNumberFormat="1" applyFont="1" applyFill="1" applyAlignment="1">
      <alignment horizontal="center" vertical="center"/>
    </xf>
    <xf numFmtId="0" fontId="57" fillId="0" borderId="0" xfId="0" applyFont="1" applyFill="1" applyAlignment="1">
      <alignment vertical="center"/>
    </xf>
    <xf numFmtId="0" fontId="55" fillId="15" borderId="3" xfId="0" applyFont="1" applyFill="1" applyBorder="1" applyAlignment="1">
      <alignment vertical="center"/>
    </xf>
    <xf numFmtId="3" fontId="55" fillId="4" borderId="2" xfId="0" applyNumberFormat="1" applyFont="1" applyFill="1" applyBorder="1" applyAlignment="1">
      <alignment horizontal="center" vertical="center"/>
    </xf>
    <xf numFmtId="0" fontId="55" fillId="0" borderId="0" xfId="0" applyFont="1" applyFill="1" applyAlignment="1">
      <alignment horizontal="center" vertical="center" wrapText="1"/>
    </xf>
    <xf numFmtId="3" fontId="55" fillId="0" borderId="7" xfId="0" applyNumberFormat="1" applyFont="1" applyFill="1" applyBorder="1" applyAlignment="1">
      <alignment horizontal="center" vertical="center"/>
    </xf>
    <xf numFmtId="3" fontId="55" fillId="0" borderId="2" xfId="0" applyNumberFormat="1" applyFont="1" applyFill="1" applyBorder="1" applyAlignment="1">
      <alignment horizontal="center" vertical="center"/>
    </xf>
    <xf numFmtId="4" fontId="55" fillId="4" borderId="2" xfId="0" applyNumberFormat="1" applyFont="1" applyFill="1" applyBorder="1" applyAlignment="1">
      <alignment horizontal="center" vertical="center"/>
    </xf>
    <xf numFmtId="4" fontId="55" fillId="0" borderId="7" xfId="0" applyNumberFormat="1" applyFont="1" applyBorder="1" applyAlignment="1">
      <alignment horizontal="center" vertical="center"/>
    </xf>
    <xf numFmtId="4" fontId="55" fillId="0" borderId="2" xfId="0" applyNumberFormat="1" applyFont="1" applyBorder="1" applyAlignment="1">
      <alignment horizontal="center" vertical="center"/>
    </xf>
    <xf numFmtId="4" fontId="58" fillId="4" borderId="2" xfId="0" applyNumberFormat="1" applyFont="1" applyFill="1" applyBorder="1" applyAlignment="1">
      <alignment horizontal="center" vertical="center"/>
    </xf>
    <xf numFmtId="4" fontId="55" fillId="0" borderId="2" xfId="0" applyNumberFormat="1" applyFont="1" applyFill="1" applyBorder="1" applyAlignment="1">
      <alignment horizontal="center" vertical="center"/>
    </xf>
    <xf numFmtId="0" fontId="55" fillId="4" borderId="8" xfId="0" applyFont="1" applyFill="1" applyBorder="1" applyAlignment="1">
      <alignment vertical="center"/>
    </xf>
    <xf numFmtId="2" fontId="55" fillId="4" borderId="8" xfId="0" applyNumberFormat="1" applyFont="1" applyFill="1" applyBorder="1" applyAlignment="1">
      <alignment horizontal="center" vertical="center"/>
    </xf>
    <xf numFmtId="0" fontId="55" fillId="4" borderId="0" xfId="0" applyFont="1" applyFill="1" applyBorder="1" applyAlignment="1">
      <alignment vertical="center"/>
    </xf>
    <xf numFmtId="3" fontId="58" fillId="4" borderId="2" xfId="0" applyNumberFormat="1" applyFont="1" applyFill="1" applyBorder="1" applyAlignment="1">
      <alignment horizontal="center" vertical="center"/>
    </xf>
    <xf numFmtId="172" fontId="55" fillId="4" borderId="2" xfId="0" applyNumberFormat="1" applyFont="1" applyFill="1" applyBorder="1" applyAlignment="1">
      <alignment horizontal="center" vertical="center"/>
    </xf>
    <xf numFmtId="0" fontId="55" fillId="0" borderId="0" xfId="0" applyFont="1" applyFill="1" applyBorder="1" applyAlignment="1">
      <alignment horizontal="center" vertical="center"/>
    </xf>
    <xf numFmtId="172" fontId="55" fillId="0" borderId="7" xfId="0" applyNumberFormat="1" applyFont="1" applyBorder="1" applyAlignment="1">
      <alignment horizontal="center" vertical="center"/>
    </xf>
    <xf numFmtId="172" fontId="55" fillId="0" borderId="2" xfId="0" applyNumberFormat="1" applyFont="1" applyBorder="1" applyAlignment="1">
      <alignment horizontal="center" vertical="center"/>
    </xf>
    <xf numFmtId="3" fontId="55" fillId="4" borderId="0" xfId="0" applyNumberFormat="1" applyFont="1" applyFill="1" applyBorder="1" applyAlignment="1">
      <alignment horizontal="center" vertical="center"/>
    </xf>
    <xf numFmtId="174" fontId="55" fillId="4" borderId="2" xfId="0" applyNumberFormat="1" applyFont="1" applyFill="1" applyBorder="1" applyAlignment="1">
      <alignment horizontal="center" vertical="center"/>
    </xf>
    <xf numFmtId="174" fontId="55" fillId="0" borderId="7" xfId="0" applyNumberFormat="1" applyFont="1" applyBorder="1" applyAlignment="1">
      <alignment horizontal="center" vertical="center"/>
    </xf>
    <xf numFmtId="174" fontId="55" fillId="0" borderId="2" xfId="0" applyNumberFormat="1" applyFont="1" applyBorder="1" applyAlignment="1">
      <alignment horizontal="center" vertical="center"/>
    </xf>
    <xf numFmtId="170" fontId="55" fillId="0" borderId="0" xfId="0" applyNumberFormat="1" applyFont="1" applyFill="1" applyAlignment="1">
      <alignment vertical="center"/>
    </xf>
    <xf numFmtId="0" fontId="55" fillId="7" borderId="2" xfId="0" applyFont="1" applyFill="1" applyBorder="1" applyAlignment="1">
      <alignment horizontal="left" vertical="center"/>
    </xf>
    <xf numFmtId="0" fontId="55" fillId="0" borderId="4" xfId="0" applyFont="1" applyBorder="1" applyAlignment="1">
      <alignment horizontal="left" vertical="center"/>
    </xf>
    <xf numFmtId="0" fontId="55" fillId="4" borderId="2" xfId="0" applyFont="1" applyFill="1" applyBorder="1" applyAlignment="1">
      <alignment vertical="center"/>
    </xf>
    <xf numFmtId="0" fontId="55" fillId="0" borderId="13" xfId="0" applyFont="1" applyBorder="1" applyAlignment="1">
      <alignment horizontal="left" vertical="center"/>
    </xf>
    <xf numFmtId="0" fontId="55" fillId="4" borderId="0" xfId="0" applyFont="1" applyFill="1" applyAlignment="1">
      <alignment horizontal="left" vertical="center"/>
    </xf>
    <xf numFmtId="0" fontId="55" fillId="0" borderId="14" xfId="0" applyFont="1" applyBorder="1" applyAlignment="1">
      <alignment horizontal="left" vertical="center"/>
    </xf>
    <xf numFmtId="0" fontId="55" fillId="0" borderId="0" xfId="0" applyFont="1" applyAlignment="1">
      <alignment horizontal="left" vertical="center"/>
    </xf>
    <xf numFmtId="0" fontId="55" fillId="0" borderId="2" xfId="0" applyFont="1" applyBorder="1" applyAlignment="1">
      <alignment horizontal="left" vertical="center"/>
    </xf>
    <xf numFmtId="0" fontId="55" fillId="0" borderId="15" xfId="0" applyFont="1" applyBorder="1" applyAlignment="1">
      <alignment horizontal="left" vertical="center"/>
    </xf>
    <xf numFmtId="0" fontId="55" fillId="4" borderId="6" xfId="0" applyFont="1" applyFill="1" applyBorder="1" applyAlignment="1">
      <alignment vertical="center"/>
    </xf>
    <xf numFmtId="0" fontId="55" fillId="0" borderId="0" xfId="0" applyFont="1" applyBorder="1" applyAlignment="1">
      <alignment horizontal="left" vertical="center"/>
    </xf>
    <xf numFmtId="0" fontId="55" fillId="0" borderId="0" xfId="0" applyFont="1" applyFill="1" applyBorder="1" applyAlignment="1">
      <alignment horizontal="left" vertical="center"/>
    </xf>
    <xf numFmtId="0" fontId="55" fillId="4" borderId="10" xfId="0" applyFont="1" applyFill="1" applyBorder="1" applyAlignment="1">
      <alignment vertical="center"/>
    </xf>
    <xf numFmtId="3" fontId="56" fillId="0" borderId="0" xfId="0" applyNumberFormat="1" applyFont="1" applyFill="1" applyBorder="1" applyAlignment="1">
      <alignment horizontal="center" vertical="center"/>
    </xf>
    <xf numFmtId="0" fontId="55" fillId="0" borderId="0" xfId="0" applyFont="1" applyFill="1" applyBorder="1" applyAlignment="1">
      <alignment horizontal="left" vertical="center" wrapText="1"/>
    </xf>
    <xf numFmtId="0" fontId="55" fillId="4" borderId="7" xfId="0" applyFont="1" applyFill="1" applyBorder="1" applyAlignment="1">
      <alignment horizontal="left" vertical="center"/>
    </xf>
    <xf numFmtId="0" fontId="55" fillId="4" borderId="3" xfId="0" applyFont="1" applyFill="1" applyBorder="1" applyAlignment="1">
      <alignment horizontal="left" vertical="center"/>
    </xf>
    <xf numFmtId="2" fontId="55" fillId="4" borderId="2" xfId="0" applyNumberFormat="1" applyFont="1" applyFill="1" applyBorder="1" applyAlignment="1">
      <alignment horizontal="center" vertical="center"/>
    </xf>
    <xf numFmtId="0" fontId="55" fillId="0" borderId="3" xfId="0" applyFont="1" applyFill="1" applyBorder="1" applyAlignment="1">
      <alignment vertical="center"/>
    </xf>
    <xf numFmtId="0" fontId="55" fillId="0" borderId="7" xfId="0" applyFont="1" applyFill="1" applyBorder="1" applyAlignment="1">
      <alignment horizontal="left" vertical="center"/>
    </xf>
    <xf numFmtId="0" fontId="55" fillId="4" borderId="3" xfId="0" applyFont="1" applyFill="1" applyBorder="1" applyAlignment="1">
      <alignment vertical="center"/>
    </xf>
    <xf numFmtId="168" fontId="55" fillId="0" borderId="2" xfId="0" applyNumberFormat="1" applyFont="1" applyFill="1" applyBorder="1" applyAlignment="1">
      <alignment horizontal="center" vertical="center"/>
    </xf>
    <xf numFmtId="3" fontId="55" fillId="4" borderId="2" xfId="6" applyNumberFormat="1" applyFont="1" applyFill="1" applyBorder="1" applyAlignment="1">
      <alignment horizontal="center" vertical="center"/>
    </xf>
    <xf numFmtId="168" fontId="55" fillId="0" borderId="0" xfId="0" applyNumberFormat="1" applyFont="1" applyFill="1" applyBorder="1" applyAlignment="1">
      <alignment horizontal="center" vertical="center"/>
    </xf>
    <xf numFmtId="3" fontId="55" fillId="4" borderId="0" xfId="0" applyNumberFormat="1" applyFont="1" applyFill="1" applyAlignment="1">
      <alignment horizontal="center" vertical="center"/>
    </xf>
    <xf numFmtId="0" fontId="55" fillId="0" borderId="0" xfId="0" applyFont="1" applyFill="1" applyBorder="1" applyAlignment="1">
      <alignment vertical="center"/>
    </xf>
    <xf numFmtId="0" fontId="55" fillId="0" borderId="0" xfId="0" applyFont="1" applyFill="1" applyAlignment="1">
      <alignment horizontal="center" vertical="center"/>
    </xf>
    <xf numFmtId="9" fontId="55" fillId="4" borderId="2" xfId="0" applyNumberFormat="1" applyFont="1" applyFill="1" applyBorder="1" applyAlignment="1">
      <alignment horizontal="center" vertical="center"/>
    </xf>
    <xf numFmtId="0" fontId="30" fillId="0" borderId="0" xfId="0" applyFont="1" applyAlignment="1">
      <alignment horizontal="left" vertical="top" wrapText="1"/>
    </xf>
    <xf numFmtId="0" fontId="37" fillId="0" borderId="0" xfId="0" applyFont="1" applyAlignment="1">
      <alignment horizontal="left" vertical="top"/>
    </xf>
    <xf numFmtId="0" fontId="30" fillId="0" borderId="0" xfId="0" applyFont="1" applyAlignment="1">
      <alignment horizontal="left" vertical="top"/>
    </xf>
    <xf numFmtId="0" fontId="55" fillId="16" borderId="3" xfId="0" applyFont="1" applyFill="1" applyBorder="1" applyAlignment="1">
      <alignment horizontal="left" vertical="center"/>
    </xf>
    <xf numFmtId="3" fontId="56" fillId="7" borderId="7" xfId="0" applyNumberFormat="1" applyFont="1" applyFill="1" applyBorder="1" applyAlignment="1">
      <alignment vertical="center"/>
    </xf>
    <xf numFmtId="3" fontId="56" fillId="7" borderId="3" xfId="0" applyNumberFormat="1" applyFont="1" applyFill="1" applyBorder="1" applyAlignment="1">
      <alignment vertical="center"/>
    </xf>
    <xf numFmtId="0" fontId="32" fillId="0" borderId="0" xfId="0" applyFont="1" applyFill="1" applyBorder="1" applyAlignment="1">
      <alignment horizontal="center" vertical="center"/>
    </xf>
    <xf numFmtId="172" fontId="55" fillId="0" borderId="2" xfId="0" applyNumberFormat="1" applyFont="1" applyFill="1" applyBorder="1" applyAlignment="1">
      <alignment horizontal="center" vertical="center"/>
    </xf>
    <xf numFmtId="174" fontId="55" fillId="0" borderId="2" xfId="0" applyNumberFormat="1" applyFont="1" applyFill="1" applyBorder="1" applyAlignment="1">
      <alignment horizontal="center" vertical="center"/>
    </xf>
    <xf numFmtId="1" fontId="32" fillId="4" borderId="0" xfId="0" applyNumberFormat="1" applyFont="1" applyFill="1" applyAlignment="1">
      <alignment vertical="center"/>
    </xf>
    <xf numFmtId="3" fontId="58" fillId="0" borderId="2" xfId="0" applyNumberFormat="1" applyFont="1" applyFill="1" applyBorder="1" applyAlignment="1">
      <alignment horizontal="center" vertical="center"/>
    </xf>
    <xf numFmtId="4" fontId="58" fillId="0" borderId="2" xfId="0" applyNumberFormat="1" applyFont="1" applyFill="1" applyBorder="1" applyAlignment="1">
      <alignment horizontal="center" vertical="center"/>
    </xf>
    <xf numFmtId="172" fontId="55" fillId="0" borderId="7" xfId="0" applyNumberFormat="1" applyFont="1" applyFill="1" applyBorder="1" applyAlignment="1">
      <alignment horizontal="center" vertical="center"/>
    </xf>
    <xf numFmtId="176" fontId="32" fillId="0" borderId="0" xfId="0" quotePrefix="1" applyNumberFormat="1" applyFont="1" applyAlignment="1">
      <alignment horizontal="center" vertical="center"/>
    </xf>
    <xf numFmtId="4" fontId="32" fillId="4" borderId="0" xfId="0" applyNumberFormat="1" applyFont="1" applyFill="1" applyAlignment="1">
      <alignment horizontal="center" vertical="center"/>
    </xf>
    <xf numFmtId="4" fontId="59" fillId="4" borderId="0" xfId="0" applyNumberFormat="1" applyFont="1" applyFill="1" applyAlignment="1">
      <alignment horizontal="center" vertical="center"/>
    </xf>
    <xf numFmtId="3" fontId="60" fillId="0" borderId="0" xfId="0" applyNumberFormat="1" applyFont="1" applyFill="1" applyBorder="1" applyAlignment="1">
      <alignment vertical="center"/>
    </xf>
    <xf numFmtId="172" fontId="36" fillId="0" borderId="0" xfId="0" applyNumberFormat="1" applyFont="1" applyFill="1" applyBorder="1" applyAlignment="1">
      <alignment horizontal="center" vertical="center"/>
    </xf>
    <xf numFmtId="3" fontId="36" fillId="0" borderId="0" xfId="0" applyNumberFormat="1" applyFont="1" applyFill="1" applyBorder="1" applyAlignment="1">
      <alignment vertical="center"/>
    </xf>
    <xf numFmtId="4" fontId="36" fillId="0" borderId="0" xfId="0" applyNumberFormat="1" applyFont="1" applyFill="1" applyBorder="1" applyAlignment="1">
      <alignment horizontal="center" vertical="center"/>
    </xf>
    <xf numFmtId="174" fontId="36" fillId="0" borderId="0" xfId="0" applyNumberFormat="1" applyFont="1" applyFill="1" applyBorder="1" applyAlignment="1">
      <alignment horizontal="center" vertical="center"/>
    </xf>
    <xf numFmtId="0" fontId="55" fillId="0" borderId="9" xfId="0" applyFont="1" applyFill="1" applyBorder="1" applyAlignment="1">
      <alignment horizontal="left" vertical="center"/>
    </xf>
    <xf numFmtId="0" fontId="55" fillId="0" borderId="11" xfId="0" applyFont="1" applyFill="1" applyBorder="1" applyAlignment="1">
      <alignment horizontal="center" vertical="center"/>
    </xf>
    <xf numFmtId="168" fontId="55" fillId="0" borderId="14" xfId="0" applyNumberFormat="1" applyFont="1" applyFill="1" applyBorder="1" applyAlignment="1">
      <alignment horizontal="center" vertical="center"/>
    </xf>
    <xf numFmtId="0" fontId="55" fillId="0" borderId="15" xfId="0" applyFont="1" applyFill="1" applyBorder="1" applyAlignment="1">
      <alignment horizontal="left" vertical="center"/>
    </xf>
    <xf numFmtId="0" fontId="55" fillId="0" borderId="12" xfId="0" applyFont="1" applyFill="1" applyBorder="1" applyAlignment="1">
      <alignment horizontal="center" vertical="center"/>
    </xf>
    <xf numFmtId="3" fontId="55" fillId="0" borderId="4" xfId="0" applyNumberFormat="1" applyFont="1" applyFill="1" applyBorder="1" applyAlignment="1">
      <alignment horizontal="center" vertical="center"/>
    </xf>
    <xf numFmtId="0" fontId="55" fillId="0" borderId="5" xfId="0" applyFont="1" applyFill="1" applyBorder="1" applyAlignment="1">
      <alignment horizontal="right" vertical="center"/>
    </xf>
    <xf numFmtId="0" fontId="55" fillId="0" borderId="6" xfId="0" applyFont="1" applyBorder="1" applyAlignment="1">
      <alignment horizontal="left" vertical="center"/>
    </xf>
    <xf numFmtId="0" fontId="55" fillId="0" borderId="0" xfId="0" applyFont="1" applyFill="1" applyBorder="1" applyAlignment="1">
      <alignment horizontal="right" vertical="center"/>
    </xf>
    <xf numFmtId="0" fontId="55" fillId="0" borderId="0" xfId="0" quotePrefix="1" applyFont="1" applyFill="1" applyBorder="1" applyAlignment="1">
      <alignment horizontal="left" vertical="center" wrapText="1"/>
    </xf>
    <xf numFmtId="0" fontId="55" fillId="0" borderId="0" xfId="0" quotePrefix="1" applyFont="1" applyFill="1" applyBorder="1" applyAlignment="1">
      <alignment horizontal="right" vertical="center" wrapText="1"/>
    </xf>
    <xf numFmtId="172" fontId="55" fillId="0" borderId="0" xfId="0" applyNumberFormat="1" applyFont="1" applyFill="1" applyBorder="1" applyAlignment="1">
      <alignment horizontal="center" vertical="center"/>
    </xf>
    <xf numFmtId="0" fontId="55" fillId="0" borderId="0" xfId="0" quotePrefix="1" applyFont="1" applyFill="1" applyBorder="1" applyAlignment="1">
      <alignment horizontal="left" vertical="center"/>
    </xf>
    <xf numFmtId="3" fontId="55" fillId="0" borderId="0" xfId="0" applyNumberFormat="1" applyFont="1" applyFill="1" applyBorder="1" applyAlignment="1">
      <alignment horizontal="center" vertical="center"/>
    </xf>
    <xf numFmtId="3" fontId="56" fillId="4" borderId="0" xfId="0" applyNumberFormat="1" applyFont="1" applyFill="1" applyBorder="1" applyAlignment="1">
      <alignment horizontal="left" vertical="center" wrapText="1"/>
    </xf>
    <xf numFmtId="3" fontId="56" fillId="4" borderId="0" xfId="0" applyNumberFormat="1" applyFont="1" applyFill="1" applyBorder="1" applyAlignment="1">
      <alignment horizontal="left" vertical="center"/>
    </xf>
    <xf numFmtId="3" fontId="55" fillId="4" borderId="0" xfId="0" applyNumberFormat="1" applyFont="1" applyFill="1" applyAlignment="1">
      <alignment horizontal="left" vertical="center"/>
    </xf>
    <xf numFmtId="1" fontId="55" fillId="0" borderId="0" xfId="0" applyNumberFormat="1" applyFont="1" applyFill="1" applyBorder="1" applyAlignment="1">
      <alignment horizontal="left" vertical="center"/>
    </xf>
    <xf numFmtId="2" fontId="55" fillId="0" borderId="0" xfId="0" applyNumberFormat="1" applyFont="1" applyFill="1" applyBorder="1" applyAlignment="1">
      <alignment horizontal="left" vertical="center"/>
    </xf>
    <xf numFmtId="3" fontId="56" fillId="0" borderId="0" xfId="0" applyNumberFormat="1" applyFont="1" applyFill="1" applyBorder="1" applyAlignment="1">
      <alignment horizontal="left" vertical="center"/>
    </xf>
    <xf numFmtId="0" fontId="55" fillId="0" borderId="8" xfId="0" applyFont="1" applyBorder="1" applyAlignment="1">
      <alignment horizontal="left" vertical="center"/>
    </xf>
    <xf numFmtId="0" fontId="55" fillId="4" borderId="2" xfId="0" applyFont="1" applyFill="1" applyBorder="1" applyAlignment="1">
      <alignment horizontal="left" vertical="center"/>
    </xf>
    <xf numFmtId="0" fontId="55" fillId="0" borderId="2" xfId="0" applyFont="1" applyFill="1" applyBorder="1" applyAlignment="1">
      <alignment horizontal="left" vertical="center"/>
    </xf>
    <xf numFmtId="2" fontId="55" fillId="0" borderId="2" xfId="0" applyNumberFormat="1" applyFont="1" applyFill="1" applyBorder="1" applyAlignment="1">
      <alignment horizontal="center" vertical="center"/>
    </xf>
    <xf numFmtId="169" fontId="32" fillId="4" borderId="0" xfId="0" applyNumberFormat="1" applyFont="1" applyFill="1" applyAlignment="1">
      <alignment horizontal="center" vertical="center"/>
    </xf>
    <xf numFmtId="169" fontId="32" fillId="4" borderId="0" xfId="0" applyNumberFormat="1" applyFont="1" applyFill="1" applyBorder="1" applyAlignment="1">
      <alignment horizontal="center" vertical="center"/>
    </xf>
    <xf numFmtId="0" fontId="51" fillId="0" borderId="5" xfId="4" applyFont="1" applyBorder="1" applyAlignment="1" applyProtection="1">
      <alignment vertical="center"/>
    </xf>
    <xf numFmtId="0" fontId="51" fillId="0" borderId="7" xfId="4" applyFont="1" applyBorder="1" applyAlignment="1" applyProtection="1">
      <alignment vertical="center"/>
    </xf>
    <xf numFmtId="1" fontId="0" fillId="0" borderId="2" xfId="0" applyNumberFormat="1" applyBorder="1" applyAlignment="1">
      <alignment horizontal="center" vertical="center"/>
    </xf>
    <xf numFmtId="1" fontId="0" fillId="11" borderId="2" xfId="0" applyNumberFormat="1" applyFill="1" applyBorder="1" applyAlignment="1">
      <alignment horizontal="center" vertical="center"/>
    </xf>
    <xf numFmtId="0" fontId="0" fillId="0" borderId="2" xfId="0" applyBorder="1" applyAlignment="1">
      <alignment vertical="center"/>
    </xf>
    <xf numFmtId="168" fontId="0" fillId="0" borderId="2" xfId="0" applyNumberFormat="1" applyBorder="1" applyAlignment="1">
      <alignment horizontal="center" vertical="center"/>
    </xf>
    <xf numFmtId="0" fontId="61" fillId="14" borderId="2" xfId="0" applyFont="1" applyFill="1" applyBorder="1" applyAlignment="1">
      <alignment vertical="center"/>
    </xf>
    <xf numFmtId="0" fontId="3" fillId="7" borderId="2" xfId="0" applyFont="1" applyFill="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0" fontId="30" fillId="0" borderId="0" xfId="0" applyFont="1" applyBorder="1" applyAlignment="1">
      <alignment horizontal="left" vertical="center" wrapText="1"/>
    </xf>
    <xf numFmtId="0" fontId="30" fillId="0" borderId="6" xfId="0" applyFont="1" applyBorder="1" applyAlignment="1">
      <alignment horizontal="left" vertical="top" wrapText="1"/>
    </xf>
    <xf numFmtId="0" fontId="30" fillId="0" borderId="0" xfId="0" applyFont="1" applyAlignment="1">
      <alignment horizontal="left" vertical="top"/>
    </xf>
    <xf numFmtId="0" fontId="30" fillId="17" borderId="9" xfId="0" applyFont="1" applyFill="1" applyBorder="1" applyAlignment="1">
      <alignment horizontal="center" vertical="center"/>
    </xf>
    <xf numFmtId="0" fontId="30" fillId="17" borderId="10" xfId="0" applyFont="1" applyFill="1" applyBorder="1" applyAlignment="1">
      <alignment horizontal="center" vertical="center"/>
    </xf>
    <xf numFmtId="0" fontId="30" fillId="17" borderId="11" xfId="0" applyFont="1" applyFill="1" applyBorder="1" applyAlignment="1">
      <alignment horizontal="center" vertical="center"/>
    </xf>
    <xf numFmtId="0" fontId="30" fillId="17" borderId="14" xfId="0" applyFont="1" applyFill="1" applyBorder="1" applyAlignment="1">
      <alignment horizontal="center" vertical="center"/>
    </xf>
    <xf numFmtId="0" fontId="30" fillId="17" borderId="4" xfId="0" applyFont="1" applyFill="1" applyBorder="1" applyAlignment="1">
      <alignment horizontal="center" vertical="center" textRotation="90"/>
    </xf>
    <xf numFmtId="173" fontId="32" fillId="4" borderId="0" xfId="0" applyNumberFormat="1" applyFont="1" applyFill="1" applyAlignment="1">
      <alignment vertical="center"/>
    </xf>
    <xf numFmtId="175" fontId="32" fillId="0" borderId="2" xfId="0" applyNumberFormat="1" applyFont="1" applyBorder="1" applyAlignment="1">
      <alignment horizontal="center" vertical="center"/>
    </xf>
    <xf numFmtId="0" fontId="32" fillId="0" borderId="15" xfId="0" quotePrefix="1" applyFont="1" applyBorder="1" applyAlignment="1">
      <alignment horizontal="left" vertical="center" wrapText="1"/>
    </xf>
    <xf numFmtId="0" fontId="32" fillId="0" borderId="3" xfId="0" applyFont="1" applyFill="1" applyBorder="1" applyAlignment="1">
      <alignment horizontal="left" vertical="center"/>
    </xf>
    <xf numFmtId="0" fontId="32" fillId="0" borderId="7" xfId="0" applyFont="1" applyFill="1" applyBorder="1" applyAlignment="1">
      <alignment horizontal="left" vertical="center"/>
    </xf>
    <xf numFmtId="168" fontId="32" fillId="0" borderId="0" xfId="0" applyNumberFormat="1" applyFont="1" applyAlignment="1">
      <alignment horizontal="center" vertical="center"/>
    </xf>
    <xf numFmtId="0" fontId="30" fillId="0" borderId="0" xfId="0" applyFont="1" applyAlignment="1">
      <alignment horizontal="left" vertical="top"/>
    </xf>
    <xf numFmtId="2" fontId="30" fillId="11" borderId="2" xfId="0" applyNumberFormat="1" applyFont="1" applyFill="1" applyBorder="1" applyAlignment="1">
      <alignment horizontal="center" vertical="center"/>
    </xf>
    <xf numFmtId="0" fontId="30" fillId="0" borderId="0" xfId="0" applyFont="1" applyAlignment="1">
      <alignment horizontal="left" vertical="top" wrapText="1"/>
    </xf>
    <xf numFmtId="0" fontId="30" fillId="0" borderId="0" xfId="0" applyFont="1" applyAlignment="1">
      <alignment horizontal="left" vertical="top"/>
    </xf>
    <xf numFmtId="172" fontId="32" fillId="0" borderId="0" xfId="0" applyNumberFormat="1" applyFont="1" applyAlignment="1">
      <alignment horizontal="center" vertical="center"/>
    </xf>
    <xf numFmtId="0" fontId="6" fillId="10" borderId="16" xfId="0" applyFont="1" applyFill="1" applyBorder="1" applyAlignment="1">
      <alignment horizontal="center" vertical="center"/>
    </xf>
    <xf numFmtId="0" fontId="32" fillId="0" borderId="3" xfId="0" applyFont="1" applyFill="1" applyBorder="1" applyAlignment="1">
      <alignment horizontal="left" vertical="center" wrapText="1"/>
    </xf>
    <xf numFmtId="177" fontId="32" fillId="11" borderId="2" xfId="0" applyNumberFormat="1" applyFont="1" applyFill="1" applyBorder="1" applyAlignment="1">
      <alignment horizontal="center" vertical="center"/>
    </xf>
    <xf numFmtId="177" fontId="36" fillId="12" borderId="2" xfId="0" applyNumberFormat="1" applyFont="1" applyFill="1" applyBorder="1" applyAlignment="1">
      <alignment horizontal="center" vertical="center"/>
    </xf>
    <xf numFmtId="177" fontId="36" fillId="0" borderId="2" xfId="0" applyNumberFormat="1" applyFont="1" applyFill="1" applyBorder="1" applyAlignment="1">
      <alignment horizontal="center" vertical="center"/>
    </xf>
    <xf numFmtId="178" fontId="30" fillId="0" borderId="2" xfId="6" applyNumberFormat="1" applyFont="1" applyBorder="1" applyAlignment="1">
      <alignment horizontal="center" vertical="center"/>
    </xf>
    <xf numFmtId="0" fontId="30" fillId="0" borderId="3" xfId="6" applyFont="1" applyFill="1" applyBorder="1" applyAlignment="1">
      <alignment vertical="center"/>
    </xf>
    <xf numFmtId="0" fontId="30" fillId="0" borderId="5" xfId="6" applyFont="1" applyFill="1" applyBorder="1" applyAlignment="1">
      <alignment horizontal="left" vertical="center"/>
    </xf>
    <xf numFmtId="172" fontId="30" fillId="0" borderId="2" xfId="6" applyNumberFormat="1" applyFont="1" applyFill="1" applyBorder="1" applyAlignment="1">
      <alignment horizontal="center" vertical="center"/>
    </xf>
    <xf numFmtId="3" fontId="30" fillId="0" borderId="2" xfId="6" applyNumberFormat="1" applyFont="1" applyFill="1" applyBorder="1" applyAlignment="1">
      <alignment horizontal="center" vertical="center"/>
    </xf>
    <xf numFmtId="0" fontId="62" fillId="0" borderId="0" xfId="0" applyFont="1" applyFill="1" applyBorder="1" applyAlignment="1">
      <alignment horizontal="center" vertical="center"/>
    </xf>
    <xf numFmtId="0" fontId="55" fillId="4" borderId="5" xfId="0" applyFont="1" applyFill="1" applyBorder="1" applyAlignment="1">
      <alignment horizontal="left" vertical="center"/>
    </xf>
    <xf numFmtId="4" fontId="36" fillId="12" borderId="2" xfId="0" applyNumberFormat="1" applyFont="1" applyFill="1" applyBorder="1" applyAlignment="1">
      <alignment horizontal="center" vertical="center"/>
    </xf>
    <xf numFmtId="173" fontId="32" fillId="0" borderId="0" xfId="0" applyNumberFormat="1" applyFont="1" applyAlignment="1">
      <alignment vertical="center"/>
    </xf>
    <xf numFmtId="3" fontId="32" fillId="0" borderId="0" xfId="0" applyNumberFormat="1" applyFont="1" applyFill="1" applyAlignment="1">
      <alignment horizontal="center" vertical="center"/>
    </xf>
    <xf numFmtId="0" fontId="36" fillId="5" borderId="2" xfId="0" applyFont="1" applyFill="1" applyBorder="1" applyAlignment="1">
      <alignment horizontal="center" vertical="center"/>
    </xf>
    <xf numFmtId="168" fontId="32" fillId="0" borderId="0" xfId="0" applyNumberFormat="1" applyFont="1" applyFill="1" applyBorder="1" applyAlignment="1">
      <alignment horizontal="center" vertical="center"/>
    </xf>
    <xf numFmtId="168" fontId="30" fillId="0" borderId="0" xfId="6" applyNumberFormat="1" applyFont="1" applyAlignment="1">
      <alignment horizontal="center" vertical="center"/>
    </xf>
    <xf numFmtId="168" fontId="32" fillId="0" borderId="6" xfId="0" applyNumberFormat="1" applyFont="1" applyFill="1" applyBorder="1" applyAlignment="1">
      <alignment horizontal="center" vertical="center"/>
    </xf>
    <xf numFmtId="2" fontId="32" fillId="0" borderId="0" xfId="0" applyNumberFormat="1" applyFont="1" applyAlignment="1">
      <alignment horizontal="center" vertical="center"/>
    </xf>
    <xf numFmtId="1" fontId="32" fillId="0" borderId="0" xfId="0" applyNumberFormat="1" applyFont="1" applyFill="1" applyBorder="1" applyAlignment="1">
      <alignment horizontal="center" vertical="center" wrapText="1"/>
    </xf>
    <xf numFmtId="173" fontId="36" fillId="6" borderId="2" xfId="1" applyNumberFormat="1" applyFont="1" applyFill="1" applyBorder="1" applyAlignment="1">
      <alignment horizontal="center" vertical="center"/>
    </xf>
    <xf numFmtId="0" fontId="54" fillId="0" borderId="0" xfId="6" applyFont="1" applyAlignment="1">
      <alignment horizontal="left" vertical="center"/>
    </xf>
    <xf numFmtId="0" fontId="30" fillId="0" borderId="6" xfId="6" applyFont="1" applyFill="1" applyBorder="1" applyAlignment="1">
      <alignment horizontal="left" vertical="center"/>
    </xf>
    <xf numFmtId="0" fontId="0" fillId="0" borderId="15"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30" fillId="0" borderId="8" xfId="0" applyFont="1" applyBorder="1" applyAlignment="1">
      <alignment vertical="center"/>
    </xf>
    <xf numFmtId="0" fontId="30" fillId="0" borderId="8" xfId="6" applyFont="1" applyBorder="1" applyAlignment="1">
      <alignment vertical="center"/>
    </xf>
    <xf numFmtId="0" fontId="53" fillId="0" borderId="9" xfId="4" applyFont="1" applyBorder="1" applyAlignment="1" applyProtection="1">
      <alignment horizontal="left" vertical="center" wrapText="1"/>
    </xf>
    <xf numFmtId="0" fontId="30" fillId="7" borderId="5" xfId="6" applyFont="1" applyFill="1" applyBorder="1" applyAlignment="1">
      <alignment horizontal="left" vertical="center"/>
    </xf>
    <xf numFmtId="3" fontId="30" fillId="7" borderId="2" xfId="6" applyNumberFormat="1" applyFont="1" applyFill="1" applyBorder="1" applyAlignment="1">
      <alignment horizontal="center" vertical="center"/>
    </xf>
    <xf numFmtId="0" fontId="30" fillId="7" borderId="10" xfId="6" applyFont="1" applyFill="1" applyBorder="1" applyAlignment="1">
      <alignment horizontal="left" vertical="center"/>
    </xf>
    <xf numFmtId="172" fontId="30" fillId="7" borderId="2" xfId="6" applyNumberFormat="1" applyFont="1" applyFill="1" applyBorder="1" applyAlignment="1">
      <alignment horizontal="center" vertical="center"/>
    </xf>
    <xf numFmtId="0" fontId="30" fillId="7" borderId="3" xfId="6" applyFont="1" applyFill="1" applyBorder="1" applyAlignment="1">
      <alignment vertical="center"/>
    </xf>
    <xf numFmtId="166" fontId="32" fillId="0" borderId="0" xfId="0" applyNumberFormat="1" applyFont="1" applyFill="1" applyBorder="1" applyAlignment="1">
      <alignment vertical="center"/>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0" fontId="30" fillId="0" borderId="3" xfId="6" applyFont="1" applyFill="1" applyBorder="1" applyAlignment="1">
      <alignment horizontal="left" vertical="center"/>
    </xf>
    <xf numFmtId="0" fontId="30" fillId="7" borderId="6" xfId="6" applyFont="1" applyFill="1" applyBorder="1" applyAlignment="1">
      <alignment horizontal="left" vertical="center"/>
    </xf>
    <xf numFmtId="0" fontId="30" fillId="7" borderId="2" xfId="6" applyFont="1" applyFill="1" applyBorder="1" applyAlignment="1">
      <alignment vertical="center"/>
    </xf>
    <xf numFmtId="0" fontId="30" fillId="7" borderId="2" xfId="6" applyFont="1" applyFill="1" applyBorder="1" applyAlignment="1">
      <alignment horizontal="left" vertical="center"/>
    </xf>
    <xf numFmtId="0" fontId="51" fillId="0" borderId="7" xfId="4" applyFont="1" applyBorder="1" applyAlignment="1" applyProtection="1">
      <alignment horizontal="left" vertical="center"/>
    </xf>
    <xf numFmtId="173" fontId="32" fillId="11" borderId="2" xfId="0" applyNumberFormat="1" applyFont="1" applyFill="1" applyBorder="1" applyAlignment="1">
      <alignment horizontal="center" vertical="center"/>
    </xf>
    <xf numFmtId="168" fontId="32" fillId="0" borderId="0" xfId="0" applyNumberFormat="1" applyFont="1" applyFill="1" applyAlignment="1">
      <alignment horizontal="center" vertical="center"/>
    </xf>
    <xf numFmtId="0" fontId="32" fillId="5" borderId="3" xfId="0" applyFont="1" applyFill="1" applyBorder="1" applyAlignment="1">
      <alignment vertical="center"/>
    </xf>
    <xf numFmtId="0" fontId="32" fillId="13" borderId="3" xfId="0" applyFont="1" applyFill="1" applyBorder="1" applyAlignment="1">
      <alignment vertical="center"/>
    </xf>
    <xf numFmtId="0" fontId="30" fillId="0" borderId="0" xfId="0" applyFont="1" applyAlignment="1">
      <alignment horizontal="left" vertical="top"/>
    </xf>
    <xf numFmtId="0" fontId="32" fillId="7" borderId="2" xfId="0" applyFont="1" applyFill="1" applyBorder="1" applyAlignment="1">
      <alignment horizontal="center" vertical="center"/>
    </xf>
    <xf numFmtId="0" fontId="32" fillId="0" borderId="9" xfId="0" applyFont="1" applyBorder="1" applyAlignment="1">
      <alignment horizontal="left" vertical="center"/>
    </xf>
    <xf numFmtId="1" fontId="32" fillId="11" borderId="7" xfId="0" applyNumberFormat="1" applyFont="1" applyFill="1" applyBorder="1" applyAlignment="1">
      <alignment horizontal="center" vertical="center"/>
    </xf>
    <xf numFmtId="0" fontId="36" fillId="7" borderId="8" xfId="0"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6" fillId="7" borderId="4" xfId="0" applyFont="1" applyFill="1" applyBorder="1" applyAlignment="1">
      <alignment horizontal="center" vertical="center" wrapText="1"/>
    </xf>
    <xf numFmtId="168" fontId="32" fillId="11" borderId="7" xfId="0" applyNumberFormat="1" applyFont="1" applyFill="1" applyBorder="1" applyAlignment="1" applyProtection="1">
      <alignment horizontal="center" vertical="center"/>
      <protection locked="0"/>
    </xf>
    <xf numFmtId="0" fontId="32" fillId="0" borderId="15" xfId="0" quotePrefix="1" applyFont="1" applyBorder="1" applyAlignment="1">
      <alignment horizontal="left" vertical="center" wrapText="1"/>
    </xf>
    <xf numFmtId="0" fontId="55" fillId="16" borderId="3" xfId="0" applyFont="1" applyFill="1" applyBorder="1" applyAlignment="1">
      <alignment horizontal="left" vertical="center"/>
    </xf>
    <xf numFmtId="0" fontId="32" fillId="0" borderId="9" xfId="0" applyFont="1" applyBorder="1" applyAlignment="1">
      <alignment vertical="center"/>
    </xf>
    <xf numFmtId="0" fontId="32" fillId="0" borderId="11" xfId="0" applyFont="1" applyBorder="1" applyAlignment="1">
      <alignment vertical="center"/>
    </xf>
    <xf numFmtId="3" fontId="56" fillId="7" borderId="7" xfId="0" applyNumberFormat="1" applyFont="1" applyFill="1" applyBorder="1" applyAlignment="1">
      <alignment vertical="center"/>
    </xf>
    <xf numFmtId="3" fontId="56" fillId="7" borderId="3" xfId="0" applyNumberFormat="1" applyFont="1" applyFill="1" applyBorder="1" applyAlignment="1">
      <alignment vertical="center"/>
    </xf>
    <xf numFmtId="0" fontId="32" fillId="0" borderId="3" xfId="6" quotePrefix="1" applyFont="1" applyBorder="1" applyAlignment="1">
      <alignment horizontal="left" vertical="center" wrapText="1"/>
    </xf>
    <xf numFmtId="0" fontId="32" fillId="0" borderId="0" xfId="0" applyFont="1" applyFill="1" applyBorder="1" applyAlignment="1">
      <alignment horizontal="center" vertical="center"/>
    </xf>
    <xf numFmtId="0" fontId="32" fillId="7" borderId="2" xfId="0" applyFont="1" applyFill="1" applyBorder="1" applyAlignment="1">
      <alignment horizontal="center" vertical="center"/>
    </xf>
    <xf numFmtId="3" fontId="56" fillId="7" borderId="7" xfId="0" applyNumberFormat="1" applyFont="1" applyFill="1" applyBorder="1" applyAlignment="1">
      <alignment vertical="center"/>
    </xf>
    <xf numFmtId="3" fontId="56" fillId="7" borderId="3" xfId="0" applyNumberFormat="1" applyFont="1" applyFill="1" applyBorder="1" applyAlignment="1">
      <alignment vertical="center"/>
    </xf>
    <xf numFmtId="0" fontId="32" fillId="0" borderId="15" xfId="0" quotePrefix="1" applyFont="1" applyBorder="1" applyAlignment="1">
      <alignment horizontal="left" vertical="center" wrapText="1"/>
    </xf>
    <xf numFmtId="0" fontId="55" fillId="16" borderId="3" xfId="0" applyFont="1" applyFill="1" applyBorder="1" applyAlignment="1">
      <alignment horizontal="left" vertical="center"/>
    </xf>
    <xf numFmtId="0" fontId="32" fillId="0" borderId="9" xfId="0" applyFont="1" applyBorder="1" applyAlignment="1">
      <alignment vertical="center"/>
    </xf>
    <xf numFmtId="0" fontId="32" fillId="0" borderId="11" xfId="0" applyFont="1" applyBorder="1" applyAlignment="1">
      <alignment vertical="center"/>
    </xf>
    <xf numFmtId="0" fontId="36" fillId="7" borderId="4" xfId="0" applyFont="1" applyFill="1" applyBorder="1" applyAlignment="1">
      <alignment horizontal="center" vertical="center" wrapText="1"/>
    </xf>
    <xf numFmtId="168" fontId="32" fillId="11" borderId="7" xfId="0" applyNumberFormat="1" applyFont="1" applyFill="1" applyBorder="1" applyAlignment="1" applyProtection="1">
      <alignment horizontal="center" vertical="center"/>
      <protection locked="0"/>
    </xf>
    <xf numFmtId="1" fontId="32" fillId="11" borderId="7" xfId="0" applyNumberFormat="1" applyFont="1" applyFill="1" applyBorder="1" applyAlignment="1">
      <alignment horizontal="center" vertical="center"/>
    </xf>
    <xf numFmtId="0" fontId="36" fillId="7" borderId="8" xfId="0"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2" fillId="0" borderId="9" xfId="0" applyFont="1" applyBorder="1" applyAlignment="1">
      <alignment horizontal="left" vertical="center"/>
    </xf>
    <xf numFmtId="0" fontId="32" fillId="0" borderId="3" xfId="6" quotePrefix="1" applyFont="1" applyBorder="1" applyAlignment="1">
      <alignment horizontal="left" vertical="center" wrapText="1"/>
    </xf>
    <xf numFmtId="0" fontId="32" fillId="0" borderId="0" xfId="0" applyFont="1" applyFill="1" applyBorder="1" applyAlignment="1">
      <alignment horizontal="center" vertical="center"/>
    </xf>
    <xf numFmtId="0" fontId="0" fillId="21" borderId="0" xfId="0" applyFill="1"/>
    <xf numFmtId="0" fontId="69" fillId="0" borderId="0" xfId="0" applyFont="1" applyAlignment="1">
      <alignment horizontal="center" vertical="center" wrapText="1"/>
    </xf>
    <xf numFmtId="0" fontId="0" fillId="0" borderId="0" xfId="0" applyAlignment="1">
      <alignment horizontal="center" vertical="center" wrapText="1"/>
    </xf>
    <xf numFmtId="179" fontId="32" fillId="0" borderId="9" xfId="0" applyNumberFormat="1" applyFont="1" applyBorder="1" applyAlignment="1">
      <alignment horizontal="center" vertical="center"/>
    </xf>
    <xf numFmtId="179" fontId="32" fillId="0" borderId="10" xfId="0" applyNumberFormat="1" applyFont="1" applyBorder="1" applyAlignment="1">
      <alignment horizontal="center" vertical="center"/>
    </xf>
    <xf numFmtId="179" fontId="32" fillId="0" borderId="11" xfId="0" applyNumberFormat="1" applyFont="1" applyBorder="1" applyAlignment="1">
      <alignment horizontal="center" vertical="center"/>
    </xf>
    <xf numFmtId="0" fontId="32" fillId="0" borderId="2" xfId="0" applyFont="1" applyBorder="1" applyAlignment="1">
      <alignment horizontal="left" vertical="center" wrapText="1"/>
    </xf>
    <xf numFmtId="0" fontId="32" fillId="0" borderId="4" xfId="0" applyFont="1" applyBorder="1" applyAlignment="1">
      <alignment horizontal="center" vertical="center"/>
    </xf>
    <xf numFmtId="0" fontId="32" fillId="0" borderId="13" xfId="0" applyFont="1" applyBorder="1" applyAlignment="1">
      <alignment horizontal="center" vertical="center"/>
    </xf>
    <xf numFmtId="0" fontId="32" fillId="0" borderId="14" xfId="0" applyFont="1" applyBorder="1" applyAlignment="1">
      <alignment horizontal="center" vertical="center"/>
    </xf>
    <xf numFmtId="179" fontId="32" fillId="0" borderId="15" xfId="0" applyNumberFormat="1" applyFont="1" applyBorder="1" applyAlignment="1">
      <alignment horizontal="center" vertical="center"/>
    </xf>
    <xf numFmtId="179" fontId="32" fillId="0" borderId="6" xfId="0" applyNumberFormat="1" applyFont="1" applyBorder="1" applyAlignment="1">
      <alignment horizontal="center" vertical="center"/>
    </xf>
    <xf numFmtId="179" fontId="32" fillId="0" borderId="12" xfId="0" applyNumberFormat="1" applyFont="1" applyBorder="1" applyAlignment="1">
      <alignment horizontal="center" vertical="center"/>
    </xf>
    <xf numFmtId="2" fontId="32" fillId="0" borderId="4" xfId="0" applyNumberFormat="1" applyFont="1" applyBorder="1" applyAlignment="1">
      <alignment horizontal="center" vertical="center"/>
    </xf>
    <xf numFmtId="2" fontId="32" fillId="0" borderId="13" xfId="0" applyNumberFormat="1" applyFont="1" applyBorder="1" applyAlignment="1">
      <alignment horizontal="center" vertical="center"/>
    </xf>
    <xf numFmtId="2" fontId="32" fillId="0" borderId="14" xfId="0" applyNumberFormat="1" applyFont="1" applyBorder="1" applyAlignment="1">
      <alignment horizontal="center" vertical="center"/>
    </xf>
    <xf numFmtId="0" fontId="37" fillId="0" borderId="0" xfId="0" quotePrefix="1" applyFont="1" applyAlignment="1">
      <alignment horizontal="left" vertical="top"/>
    </xf>
    <xf numFmtId="2" fontId="32" fillId="0" borderId="2" xfId="0" applyNumberFormat="1" applyFont="1" applyBorder="1" applyAlignment="1">
      <alignment horizontal="center" vertical="center"/>
    </xf>
    <xf numFmtId="179" fontId="32" fillId="0" borderId="2" xfId="0" applyNumberFormat="1" applyFont="1" applyBorder="1" applyAlignment="1">
      <alignment horizontal="center" vertical="center"/>
    </xf>
    <xf numFmtId="0" fontId="32" fillId="0" borderId="2" xfId="0" applyFont="1" applyBorder="1" applyAlignment="1">
      <alignment horizontal="center" vertical="center"/>
    </xf>
    <xf numFmtId="0" fontId="32" fillId="0" borderId="7" xfId="0" applyFont="1" applyBorder="1" applyAlignment="1">
      <alignment horizontal="left" vertical="center" wrapText="1"/>
    </xf>
    <xf numFmtId="0" fontId="32" fillId="0" borderId="3" xfId="0" applyFont="1" applyBorder="1" applyAlignment="1">
      <alignment horizontal="left" vertical="center" wrapText="1"/>
    </xf>
    <xf numFmtId="0" fontId="32" fillId="0" borderId="5" xfId="0" applyFont="1" applyBorder="1" applyAlignment="1">
      <alignment horizontal="left" vertical="center" wrapText="1"/>
    </xf>
    <xf numFmtId="0" fontId="32" fillId="0" borderId="15" xfId="0" applyFont="1" applyBorder="1" applyAlignment="1">
      <alignment horizontal="center" vertical="center"/>
    </xf>
    <xf numFmtId="0" fontId="32" fillId="0" borderId="12" xfId="0" applyFont="1" applyBorder="1" applyAlignment="1">
      <alignment horizontal="center" vertical="center"/>
    </xf>
    <xf numFmtId="0" fontId="32" fillId="0" borderId="8" xfId="0" applyFont="1" applyBorder="1" applyAlignment="1">
      <alignment horizontal="center" vertical="center"/>
    </xf>
    <xf numFmtId="0" fontId="32" fillId="0" borderId="16" xfId="0" applyFont="1" applyBorder="1" applyAlignment="1">
      <alignment horizontal="center" vertical="center"/>
    </xf>
    <xf numFmtId="0" fontId="32" fillId="0" borderId="9" xfId="0" applyFont="1" applyBorder="1" applyAlignment="1">
      <alignment horizontal="center" vertical="center"/>
    </xf>
    <xf numFmtId="0" fontId="32" fillId="0" borderId="11" xfId="0" applyFont="1" applyBorder="1" applyAlignment="1">
      <alignment horizontal="center" vertical="center"/>
    </xf>
    <xf numFmtId="175" fontId="32" fillId="0" borderId="4" xfId="0" applyNumberFormat="1" applyFont="1" applyBorder="1" applyAlignment="1">
      <alignment horizontal="center" vertical="center"/>
    </xf>
    <xf numFmtId="175" fontId="32" fillId="0" borderId="13" xfId="0" applyNumberFormat="1" applyFont="1" applyBorder="1" applyAlignment="1">
      <alignment horizontal="center" vertical="center"/>
    </xf>
    <xf numFmtId="175" fontId="32" fillId="0" borderId="14" xfId="0" applyNumberFormat="1" applyFont="1" applyBorder="1" applyAlignment="1">
      <alignment horizontal="center" vertical="center"/>
    </xf>
    <xf numFmtId="0" fontId="32" fillId="0" borderId="15" xfId="0" applyFont="1" applyBorder="1" applyAlignment="1">
      <alignment horizontal="left" vertical="center" wrapText="1"/>
    </xf>
    <xf numFmtId="0" fontId="32" fillId="0" borderId="6" xfId="0" applyFont="1" applyBorder="1" applyAlignment="1">
      <alignment horizontal="left" vertical="center" wrapText="1"/>
    </xf>
    <xf numFmtId="0" fontId="32" fillId="0" borderId="12" xfId="0" applyFont="1" applyBorder="1" applyAlignment="1">
      <alignment horizontal="left" vertical="center" wrapText="1"/>
    </xf>
    <xf numFmtId="0" fontId="32" fillId="0" borderId="9" xfId="0" applyFont="1" applyBorder="1" applyAlignment="1">
      <alignment horizontal="left" vertical="center" wrapText="1"/>
    </xf>
    <xf numFmtId="0" fontId="32" fillId="0" borderId="10" xfId="0" applyFont="1" applyBorder="1" applyAlignment="1">
      <alignment horizontal="left" vertical="center" wrapText="1"/>
    </xf>
    <xf numFmtId="0" fontId="32" fillId="0" borderId="11" xfId="0" applyFont="1" applyBorder="1" applyAlignment="1">
      <alignment horizontal="left" vertical="center" wrapText="1"/>
    </xf>
    <xf numFmtId="0" fontId="30" fillId="0" borderId="0" xfId="0" applyFont="1" applyAlignment="1">
      <alignment horizontal="left" vertical="top" wrapText="1"/>
    </xf>
    <xf numFmtId="179" fontId="32" fillId="0" borderId="8" xfId="0" applyNumberFormat="1" applyFont="1" applyBorder="1" applyAlignment="1">
      <alignment horizontal="center" vertical="center"/>
    </xf>
    <xf numFmtId="179" fontId="32" fillId="0" borderId="0" xfId="0" applyNumberFormat="1" applyFont="1" applyBorder="1" applyAlignment="1">
      <alignment horizontal="center" vertical="center"/>
    </xf>
    <xf numFmtId="179" fontId="32" fillId="0" borderId="16" xfId="0" applyNumberFormat="1" applyFont="1" applyBorder="1" applyAlignment="1">
      <alignment horizontal="center" vertical="center"/>
    </xf>
    <xf numFmtId="0" fontId="37" fillId="0" borderId="0" xfId="0" applyFont="1" applyAlignment="1">
      <alignment horizontal="left" vertical="top" wrapText="1"/>
    </xf>
    <xf numFmtId="0" fontId="30" fillId="7" borderId="2" xfId="0" applyFont="1" applyFill="1" applyBorder="1" applyAlignment="1">
      <alignment horizontal="center" vertical="top"/>
    </xf>
    <xf numFmtId="0" fontId="30" fillId="0" borderId="7" xfId="0" applyFont="1" applyBorder="1" applyAlignment="1">
      <alignment horizontal="left" vertical="top"/>
    </xf>
    <xf numFmtId="0" fontId="30" fillId="0" borderId="3" xfId="0" applyFont="1" applyBorder="1" applyAlignment="1">
      <alignment horizontal="left" vertical="top"/>
    </xf>
    <xf numFmtId="0" fontId="30" fillId="0" borderId="5" xfId="0" applyFont="1" applyBorder="1" applyAlignment="1">
      <alignment horizontal="left" vertical="top"/>
    </xf>
    <xf numFmtId="0" fontId="30" fillId="0" borderId="2" xfId="0" applyFont="1" applyBorder="1" applyAlignment="1">
      <alignment horizontal="left" vertical="top"/>
    </xf>
    <xf numFmtId="0" fontId="29" fillId="0" borderId="0" xfId="0" applyFont="1" applyAlignment="1">
      <alignment horizontal="left" vertical="top" wrapText="1"/>
    </xf>
    <xf numFmtId="0" fontId="30" fillId="0" borderId="7" xfId="0" applyFont="1" applyFill="1" applyBorder="1" applyAlignment="1">
      <alignment horizontal="left" vertical="top" wrapText="1"/>
    </xf>
    <xf numFmtId="0" fontId="30" fillId="0" borderId="3" xfId="0" applyFont="1" applyFill="1" applyBorder="1" applyAlignment="1">
      <alignment horizontal="left" vertical="top" wrapText="1"/>
    </xf>
    <xf numFmtId="0" fontId="30" fillId="0" borderId="5" xfId="0" applyFont="1" applyFill="1" applyBorder="1" applyAlignment="1">
      <alignment horizontal="left" vertical="top" wrapText="1"/>
    </xf>
    <xf numFmtId="0" fontId="30" fillId="0" borderId="2" xfId="0" applyFont="1" applyFill="1" applyBorder="1" applyAlignment="1">
      <alignment horizontal="left" vertical="top" wrapText="1"/>
    </xf>
    <xf numFmtId="0" fontId="30" fillId="0" borderId="2" xfId="0" applyFont="1" applyFill="1" applyBorder="1" applyAlignment="1">
      <alignment horizontal="left" vertical="top"/>
    </xf>
    <xf numFmtId="0" fontId="30" fillId="0" borderId="0" xfId="0" applyFont="1" applyAlignment="1">
      <alignment horizontal="left" vertical="top"/>
    </xf>
    <xf numFmtId="0" fontId="63" fillId="18" borderId="0" xfId="6" applyFont="1" applyFill="1" applyAlignment="1">
      <alignment horizontal="left" vertical="center"/>
    </xf>
    <xf numFmtId="0" fontId="30" fillId="0" borderId="0" xfId="0" quotePrefix="1" applyFont="1" applyAlignment="1">
      <alignment horizontal="left" vertical="top" wrapText="1"/>
    </xf>
    <xf numFmtId="0" fontId="37" fillId="0" borderId="0" xfId="0" applyFont="1" applyAlignment="1">
      <alignment horizontal="left" vertical="top"/>
    </xf>
    <xf numFmtId="0" fontId="37" fillId="0" borderId="0" xfId="0" quotePrefix="1" applyFont="1" applyAlignment="1">
      <alignment horizontal="left" vertical="top" wrapText="1"/>
    </xf>
    <xf numFmtId="0" fontId="29" fillId="0" borderId="0" xfId="0" quotePrefix="1" applyFont="1" applyAlignment="1">
      <alignment horizontal="left" vertical="top" wrapText="1"/>
    </xf>
    <xf numFmtId="0" fontId="65" fillId="0" borderId="7" xfId="7" applyFont="1" applyFill="1" applyBorder="1" applyAlignment="1">
      <alignment horizontal="center" vertical="center"/>
    </xf>
    <xf numFmtId="0" fontId="65" fillId="0" borderId="3" xfId="7" applyFont="1" applyFill="1" applyBorder="1" applyAlignment="1">
      <alignment horizontal="center" vertical="center"/>
    </xf>
    <xf numFmtId="0" fontId="65" fillId="0" borderId="5" xfId="7" applyFont="1" applyFill="1" applyBorder="1" applyAlignment="1">
      <alignment horizontal="center" vertical="center"/>
    </xf>
    <xf numFmtId="0" fontId="66" fillId="11" borderId="7" xfId="7" applyFont="1" applyFill="1" applyBorder="1" applyAlignment="1">
      <alignment horizontal="center" vertical="center"/>
    </xf>
    <xf numFmtId="0" fontId="66" fillId="11" borderId="3" xfId="7" applyFont="1" applyFill="1" applyBorder="1" applyAlignment="1">
      <alignment horizontal="center" vertical="center"/>
    </xf>
    <xf numFmtId="0" fontId="66" fillId="11" borderId="5" xfId="7" applyFont="1" applyFill="1" applyBorder="1" applyAlignment="1">
      <alignment horizontal="center" vertical="center"/>
    </xf>
    <xf numFmtId="179" fontId="38" fillId="3" borderId="0" xfId="7" applyNumberFormat="1" applyFont="1" applyFill="1" applyAlignment="1">
      <alignment horizontal="left" vertical="center"/>
    </xf>
    <xf numFmtId="0" fontId="42" fillId="0" borderId="0" xfId="0" applyFont="1" applyAlignment="1">
      <alignment horizontal="left" vertical="top" wrapText="1"/>
    </xf>
    <xf numFmtId="0" fontId="42" fillId="0" borderId="0" xfId="6" applyFont="1" applyAlignment="1">
      <alignment horizontal="left" vertical="top" wrapText="1"/>
    </xf>
    <xf numFmtId="0" fontId="64" fillId="0" borderId="0" xfId="6" applyFont="1" applyAlignment="1">
      <alignment horizontal="left" vertical="top" wrapText="1"/>
    </xf>
    <xf numFmtId="0" fontId="35" fillId="3" borderId="0" xfId="0" applyFont="1" applyFill="1" applyAlignment="1">
      <alignment horizontal="left" vertical="center" wrapText="1"/>
    </xf>
    <xf numFmtId="0" fontId="32" fillId="3" borderId="0" xfId="0" applyFont="1" applyFill="1" applyAlignment="1">
      <alignment horizontal="left" vertical="top" wrapText="1"/>
    </xf>
    <xf numFmtId="0" fontId="32" fillId="5" borderId="7" xfId="7" applyFont="1" applyFill="1" applyBorder="1" applyAlignment="1">
      <alignment horizontal="center" vertical="center"/>
    </xf>
    <xf numFmtId="0" fontId="32" fillId="5" borderId="3" xfId="7" applyFont="1" applyFill="1" applyBorder="1" applyAlignment="1">
      <alignment horizontal="center" vertical="center"/>
    </xf>
    <xf numFmtId="0" fontId="32" fillId="5" borderId="5" xfId="7" applyFont="1" applyFill="1" applyBorder="1" applyAlignment="1">
      <alignment horizontal="center" vertical="center"/>
    </xf>
    <xf numFmtId="0" fontId="32" fillId="12" borderId="7" xfId="7" applyFont="1" applyFill="1" applyBorder="1" applyAlignment="1">
      <alignment horizontal="center" vertical="center"/>
    </xf>
    <xf numFmtId="0" fontId="32" fillId="12" borderId="3" xfId="7" applyFont="1" applyFill="1" applyBorder="1" applyAlignment="1">
      <alignment horizontal="center" vertical="center"/>
    </xf>
    <xf numFmtId="0" fontId="32" fillId="12" borderId="5" xfId="7" applyFont="1" applyFill="1" applyBorder="1" applyAlignment="1">
      <alignment horizontal="center" vertical="center"/>
    </xf>
    <xf numFmtId="0" fontId="32" fillId="19" borderId="7" xfId="7" applyFont="1" applyFill="1" applyBorder="1" applyAlignment="1">
      <alignment horizontal="center" vertical="center"/>
    </xf>
    <xf numFmtId="0" fontId="32" fillId="19" borderId="3" xfId="7" applyFont="1" applyFill="1" applyBorder="1" applyAlignment="1">
      <alignment horizontal="center" vertical="center"/>
    </xf>
    <xf numFmtId="0" fontId="32" fillId="19" borderId="5" xfId="7" applyFont="1" applyFill="1" applyBorder="1" applyAlignment="1">
      <alignment horizontal="center" vertical="center"/>
    </xf>
    <xf numFmtId="0" fontId="32" fillId="7" borderId="2" xfId="0" applyFont="1" applyFill="1" applyBorder="1" applyAlignment="1">
      <alignment horizontal="center" vertical="center"/>
    </xf>
    <xf numFmtId="0" fontId="30" fillId="0" borderId="0" xfId="0" applyFont="1" applyAlignment="1">
      <alignment horizontal="left" vertical="top" wrapText="1" indent="1"/>
    </xf>
    <xf numFmtId="0" fontId="41" fillId="8" borderId="7" xfId="0" applyFont="1" applyFill="1" applyBorder="1" applyAlignment="1">
      <alignment horizontal="center" vertical="top"/>
    </xf>
    <xf numFmtId="0" fontId="41" fillId="8" borderId="5" xfId="0" applyFont="1" applyFill="1" applyBorder="1" applyAlignment="1">
      <alignment horizontal="center" vertical="top"/>
    </xf>
    <xf numFmtId="0" fontId="41" fillId="8" borderId="3" xfId="0" applyFont="1" applyFill="1" applyBorder="1" applyAlignment="1">
      <alignment horizontal="center" vertical="top"/>
    </xf>
    <xf numFmtId="0" fontId="30" fillId="0" borderId="7" xfId="0" applyFont="1" applyBorder="1" applyAlignment="1">
      <alignment horizontal="left" vertical="center" wrapText="1"/>
    </xf>
    <xf numFmtId="0" fontId="30" fillId="0" borderId="3" xfId="0" applyFont="1" applyBorder="1" applyAlignment="1">
      <alignment horizontal="left" vertical="center" wrapText="1"/>
    </xf>
    <xf numFmtId="0" fontId="30" fillId="0" borderId="5" xfId="0" applyFont="1" applyBorder="1" applyAlignment="1">
      <alignment horizontal="left" vertical="center" wrapText="1"/>
    </xf>
    <xf numFmtId="0" fontId="30" fillId="0" borderId="2" xfId="0" applyFont="1" applyBorder="1" applyAlignment="1">
      <alignment horizontal="center" vertical="center" wrapText="1"/>
    </xf>
    <xf numFmtId="0" fontId="30" fillId="0" borderId="0" xfId="6" applyFont="1" applyAlignment="1">
      <alignment horizontal="left" vertical="top" wrapText="1"/>
    </xf>
    <xf numFmtId="0" fontId="30" fillId="0" borderId="0" xfId="0" applyFont="1" applyBorder="1" applyAlignment="1">
      <alignment horizontal="left" vertical="center" wrapText="1"/>
    </xf>
    <xf numFmtId="0" fontId="30" fillId="0" borderId="3" xfId="0" applyFont="1" applyFill="1" applyBorder="1" applyAlignment="1">
      <alignment horizontal="left" vertical="top"/>
    </xf>
    <xf numFmtId="0" fontId="30" fillId="0" borderId="5" xfId="0" applyFont="1" applyFill="1" applyBorder="1" applyAlignment="1">
      <alignment horizontal="left" vertical="top"/>
    </xf>
    <xf numFmtId="0" fontId="30" fillId="0" borderId="8" xfId="0" applyFont="1" applyBorder="1" applyAlignment="1">
      <alignment horizontal="left" vertical="center" wrapText="1"/>
    </xf>
    <xf numFmtId="0" fontId="30" fillId="0" borderId="2" xfId="0" applyFont="1" applyBorder="1" applyAlignment="1">
      <alignment horizontal="left" vertical="center"/>
    </xf>
    <xf numFmtId="0" fontId="30" fillId="0" borderId="7" xfId="0" applyFont="1" applyBorder="1" applyAlignment="1">
      <alignment horizontal="left" vertical="center"/>
    </xf>
    <xf numFmtId="0" fontId="30" fillId="0" borderId="3" xfId="0" applyFont="1" applyBorder="1" applyAlignment="1">
      <alignment horizontal="left" vertical="center"/>
    </xf>
    <xf numFmtId="0" fontId="30" fillId="0" borderId="5" xfId="0" applyFont="1" applyBorder="1" applyAlignment="1">
      <alignment horizontal="left" vertical="center"/>
    </xf>
    <xf numFmtId="0" fontId="30" fillId="0" borderId="2" xfId="0" applyFont="1" applyBorder="1" applyAlignment="1">
      <alignment horizontal="center" vertical="center"/>
    </xf>
    <xf numFmtId="0" fontId="30" fillId="7" borderId="2" xfId="0" applyFont="1" applyFill="1" applyBorder="1" applyAlignment="1">
      <alignment horizontal="center" vertical="center" wrapText="1"/>
    </xf>
    <xf numFmtId="0" fontId="41" fillId="14" borderId="7" xfId="0" applyFont="1" applyFill="1" applyBorder="1" applyAlignment="1">
      <alignment horizontal="center" vertical="top"/>
    </xf>
    <xf numFmtId="0" fontId="41" fillId="14" borderId="3" xfId="0" applyFont="1" applyFill="1" applyBorder="1" applyAlignment="1">
      <alignment horizontal="center" vertical="top"/>
    </xf>
    <xf numFmtId="0" fontId="41" fillId="14" borderId="5" xfId="0" applyFont="1" applyFill="1" applyBorder="1" applyAlignment="1">
      <alignment horizontal="center" vertical="top"/>
    </xf>
    <xf numFmtId="0" fontId="53" fillId="0" borderId="0" xfId="4" applyFont="1" applyAlignment="1" applyProtection="1">
      <alignment horizontal="left" vertical="top" wrapText="1"/>
    </xf>
    <xf numFmtId="0" fontId="42" fillId="0" borderId="0" xfId="0" applyFont="1" applyAlignment="1">
      <alignment horizontal="left" vertical="top"/>
    </xf>
    <xf numFmtId="0" fontId="30" fillId="7" borderId="7" xfId="0" applyFont="1" applyFill="1" applyBorder="1" applyAlignment="1">
      <alignment horizontal="left" vertical="center" wrapText="1"/>
    </xf>
    <xf numFmtId="0" fontId="30" fillId="7" borderId="3" xfId="0" applyFont="1" applyFill="1" applyBorder="1" applyAlignment="1">
      <alignment horizontal="left" vertical="center" wrapText="1"/>
    </xf>
    <xf numFmtId="0" fontId="30" fillId="7" borderId="5" xfId="0" applyFont="1" applyFill="1" applyBorder="1" applyAlignment="1">
      <alignment horizontal="left" vertical="center" wrapText="1"/>
    </xf>
    <xf numFmtId="0" fontId="30" fillId="7" borderId="7" xfId="0" applyFont="1" applyFill="1" applyBorder="1" applyAlignment="1">
      <alignment horizontal="left" vertical="center"/>
    </xf>
    <xf numFmtId="0" fontId="30" fillId="7" borderId="3" xfId="0" applyFont="1" applyFill="1" applyBorder="1" applyAlignment="1">
      <alignment horizontal="left" vertical="center"/>
    </xf>
    <xf numFmtId="0" fontId="30" fillId="7" borderId="5" xfId="0" applyFont="1" applyFill="1" applyBorder="1" applyAlignment="1">
      <alignment horizontal="left" vertical="center"/>
    </xf>
    <xf numFmtId="9" fontId="30" fillId="0" borderId="7" xfId="8" applyFont="1" applyBorder="1" applyAlignment="1">
      <alignment horizontal="center" vertical="top" wrapText="1"/>
    </xf>
    <xf numFmtId="9" fontId="30" fillId="0" borderId="5" xfId="8" applyFont="1" applyBorder="1" applyAlignment="1">
      <alignment horizontal="center" vertical="top" wrapText="1"/>
    </xf>
    <xf numFmtId="9" fontId="32" fillId="11" borderId="7" xfId="8" applyNumberFormat="1" applyFont="1" applyFill="1" applyBorder="1" applyAlignment="1">
      <alignment horizontal="center" vertical="center"/>
    </xf>
    <xf numFmtId="9" fontId="32" fillId="11" borderId="5" xfId="8" applyNumberFormat="1" applyFont="1" applyFill="1" applyBorder="1" applyAlignment="1">
      <alignment horizontal="center" vertical="center"/>
    </xf>
    <xf numFmtId="175" fontId="32" fillId="7" borderId="2" xfId="0" applyNumberFormat="1" applyFont="1" applyFill="1" applyBorder="1" applyAlignment="1">
      <alignment horizontal="center" vertical="center"/>
    </xf>
    <xf numFmtId="0" fontId="32" fillId="0" borderId="2" xfId="0" quotePrefix="1" applyFont="1" applyBorder="1" applyAlignment="1">
      <alignment horizontal="left" vertical="center" wrapText="1"/>
    </xf>
    <xf numFmtId="0" fontId="32" fillId="0" borderId="15" xfId="0" applyFont="1" applyBorder="1" applyAlignment="1">
      <alignment horizontal="left" vertical="center"/>
    </xf>
    <xf numFmtId="0" fontId="32" fillId="0" borderId="9" xfId="0" applyFont="1" applyBorder="1" applyAlignment="1">
      <alignment horizontal="left" vertical="center"/>
    </xf>
    <xf numFmtId="0" fontId="55" fillId="4" borderId="15" xfId="0" applyFont="1" applyFill="1" applyBorder="1" applyAlignment="1">
      <alignment horizontal="left" vertical="center" wrapText="1"/>
    </xf>
    <xf numFmtId="0" fontId="55" fillId="4" borderId="9" xfId="0" applyFont="1" applyFill="1" applyBorder="1" applyAlignment="1">
      <alignment horizontal="left" vertical="center" wrapText="1"/>
    </xf>
    <xf numFmtId="164" fontId="32" fillId="11" borderId="7" xfId="0" quotePrefix="1" applyNumberFormat="1" applyFont="1" applyFill="1" applyBorder="1" applyAlignment="1">
      <alignment horizontal="center" vertical="center"/>
    </xf>
    <xf numFmtId="164" fontId="32" fillId="11" borderId="5" xfId="0" quotePrefix="1" applyNumberFormat="1" applyFont="1" applyFill="1" applyBorder="1" applyAlignment="1">
      <alignment horizontal="center" vertical="center"/>
    </xf>
    <xf numFmtId="164" fontId="32" fillId="7" borderId="15" xfId="0" quotePrefix="1" applyNumberFormat="1" applyFont="1" applyFill="1" applyBorder="1" applyAlignment="1">
      <alignment horizontal="center" vertical="center"/>
    </xf>
    <xf numFmtId="164" fontId="32" fillId="7" borderId="12" xfId="0" quotePrefix="1" applyNumberFormat="1" applyFont="1" applyFill="1" applyBorder="1" applyAlignment="1">
      <alignment horizontal="center" vertical="center"/>
    </xf>
    <xf numFmtId="164" fontId="32" fillId="7" borderId="9" xfId="0" quotePrefix="1" applyNumberFormat="1" applyFont="1" applyFill="1" applyBorder="1" applyAlignment="1">
      <alignment horizontal="center" vertical="center"/>
    </xf>
    <xf numFmtId="164" fontId="32" fillId="7" borderId="11" xfId="0" quotePrefix="1" applyNumberFormat="1" applyFont="1" applyFill="1" applyBorder="1" applyAlignment="1">
      <alignment horizontal="center" vertical="center"/>
    </xf>
    <xf numFmtId="0" fontId="55" fillId="16" borderId="6" xfId="0" applyFont="1" applyFill="1" applyBorder="1" applyAlignment="1">
      <alignment horizontal="left" vertical="center"/>
    </xf>
    <xf numFmtId="0" fontId="55" fillId="16" borderId="10" xfId="0" applyFont="1" applyFill="1" applyBorder="1" applyAlignment="1">
      <alignment horizontal="left" vertical="center"/>
    </xf>
    <xf numFmtId="0" fontId="51" fillId="7" borderId="15" xfId="4" applyFont="1" applyFill="1" applyBorder="1" applyAlignment="1" applyProtection="1">
      <alignment horizontal="center" vertical="center" wrapText="1"/>
    </xf>
    <xf numFmtId="0" fontId="51" fillId="7" borderId="12" xfId="4" applyFont="1" applyFill="1" applyBorder="1" applyAlignment="1" applyProtection="1">
      <alignment horizontal="center" vertical="center" wrapText="1"/>
    </xf>
    <xf numFmtId="0" fontId="51" fillId="7" borderId="8" xfId="4" applyFont="1" applyFill="1" applyBorder="1" applyAlignment="1" applyProtection="1">
      <alignment horizontal="center" vertical="center" wrapText="1"/>
    </xf>
    <xf numFmtId="0" fontId="51" fillId="7" borderId="16" xfId="4" applyFont="1" applyFill="1" applyBorder="1" applyAlignment="1" applyProtection="1">
      <alignment horizontal="center" vertical="center" wrapText="1"/>
    </xf>
    <xf numFmtId="0" fontId="51" fillId="7" borderId="4" xfId="4" applyFont="1" applyFill="1" applyBorder="1" applyAlignment="1" applyProtection="1">
      <alignment horizontal="center" vertical="center" wrapText="1"/>
    </xf>
    <xf numFmtId="0" fontId="51" fillId="7" borderId="14" xfId="4" applyFont="1" applyFill="1" applyBorder="1" applyAlignment="1" applyProtection="1">
      <alignment horizontal="center" vertical="center" wrapText="1"/>
    </xf>
    <xf numFmtId="0" fontId="51" fillId="0" borderId="15" xfId="4" applyFont="1" applyBorder="1" applyAlignment="1" applyProtection="1">
      <alignment horizontal="left" vertical="center"/>
    </xf>
    <xf numFmtId="0" fontId="51" fillId="0" borderId="12" xfId="4" applyFont="1" applyBorder="1" applyAlignment="1" applyProtection="1">
      <alignment horizontal="left" vertical="center"/>
    </xf>
    <xf numFmtId="0" fontId="51" fillId="0" borderId="9" xfId="4" applyFont="1" applyBorder="1" applyAlignment="1" applyProtection="1">
      <alignment horizontal="left" vertical="center"/>
    </xf>
    <xf numFmtId="0" fontId="51" fillId="0" borderId="11" xfId="4" applyFont="1" applyBorder="1" applyAlignment="1" applyProtection="1">
      <alignment horizontal="left" vertical="center"/>
    </xf>
    <xf numFmtId="0" fontId="48" fillId="8" borderId="7" xfId="0" applyFont="1" applyFill="1" applyBorder="1" applyAlignment="1">
      <alignment vertical="center"/>
    </xf>
    <xf numFmtId="0" fontId="48" fillId="8" borderId="5" xfId="0" applyFont="1" applyFill="1" applyBorder="1" applyAlignment="1">
      <alignment vertical="center"/>
    </xf>
    <xf numFmtId="0" fontId="32" fillId="7" borderId="15" xfId="0" quotePrefix="1" applyFont="1" applyFill="1" applyBorder="1" applyAlignment="1">
      <alignment horizontal="center" vertical="center" wrapText="1"/>
    </xf>
    <xf numFmtId="0" fontId="32" fillId="7" borderId="12" xfId="0" quotePrefix="1" applyFont="1" applyFill="1" applyBorder="1" applyAlignment="1">
      <alignment horizontal="center" vertical="center" wrapText="1"/>
    </xf>
    <xf numFmtId="0" fontId="32" fillId="12" borderId="7" xfId="0" applyFont="1" applyFill="1" applyBorder="1" applyAlignment="1" applyProtection="1">
      <alignment horizontal="center" vertical="center"/>
      <protection locked="0"/>
    </xf>
    <xf numFmtId="0" fontId="32" fillId="12" borderId="5" xfId="0" applyFont="1" applyFill="1" applyBorder="1" applyAlignment="1" applyProtection="1">
      <alignment horizontal="center" vertical="center"/>
      <protection locked="0"/>
    </xf>
    <xf numFmtId="0" fontId="32" fillId="7" borderId="7" xfId="0" applyFont="1" applyFill="1" applyBorder="1" applyAlignment="1">
      <alignment horizontal="center" vertical="center"/>
    </xf>
    <xf numFmtId="0" fontId="32" fillId="7" borderId="3" xfId="0" applyFont="1" applyFill="1" applyBorder="1" applyAlignment="1">
      <alignment horizontal="center" vertical="center"/>
    </xf>
    <xf numFmtId="2" fontId="66" fillId="0" borderId="8" xfId="6" applyNumberFormat="1" applyFont="1" applyFill="1" applyBorder="1" applyAlignment="1">
      <alignment horizontal="left" vertical="center" wrapText="1"/>
    </xf>
    <xf numFmtId="2" fontId="66" fillId="0" borderId="0" xfId="6" applyNumberFormat="1" applyFont="1" applyFill="1" applyBorder="1" applyAlignment="1">
      <alignment horizontal="left" vertical="center" wrapText="1"/>
    </xf>
    <xf numFmtId="0" fontId="32" fillId="11" borderId="7" xfId="0" applyFont="1" applyFill="1" applyBorder="1" applyAlignment="1">
      <alignment horizontal="center" vertical="center"/>
    </xf>
    <xf numFmtId="0" fontId="32" fillId="11" borderId="5" xfId="0" applyFont="1" applyFill="1" applyBorder="1" applyAlignment="1">
      <alignment horizontal="center" vertical="center"/>
    </xf>
    <xf numFmtId="1" fontId="32" fillId="11" borderId="7" xfId="0" applyNumberFormat="1" applyFont="1" applyFill="1" applyBorder="1" applyAlignment="1">
      <alignment horizontal="center" vertical="center"/>
    </xf>
    <xf numFmtId="1" fontId="32" fillId="11" borderId="5" xfId="0" applyNumberFormat="1" applyFont="1" applyFill="1" applyBorder="1" applyAlignment="1">
      <alignment horizontal="center" vertical="center"/>
    </xf>
    <xf numFmtId="0" fontId="36" fillId="7" borderId="15" xfId="0" applyFont="1" applyFill="1" applyBorder="1" applyAlignment="1">
      <alignment horizontal="center" vertical="center"/>
    </xf>
    <xf numFmtId="0" fontId="36" fillId="7" borderId="6" xfId="0" applyFont="1" applyFill="1" applyBorder="1" applyAlignment="1">
      <alignment horizontal="center" vertical="center"/>
    </xf>
    <xf numFmtId="0" fontId="36" fillId="7" borderId="12" xfId="0" applyFont="1" applyFill="1" applyBorder="1" applyAlignment="1">
      <alignment horizontal="center" vertical="center"/>
    </xf>
    <xf numFmtId="0" fontId="36" fillId="7" borderId="8" xfId="0" applyFont="1" applyFill="1" applyBorder="1" applyAlignment="1">
      <alignment horizontal="center" vertical="center" wrapText="1"/>
    </xf>
    <xf numFmtId="0" fontId="36" fillId="7" borderId="0" xfId="0" applyFont="1" applyFill="1" applyBorder="1" applyAlignment="1">
      <alignment horizontal="center" vertical="center" wrapText="1"/>
    </xf>
    <xf numFmtId="0" fontId="36" fillId="7" borderId="16" xfId="0" applyFont="1" applyFill="1" applyBorder="1" applyAlignment="1">
      <alignment horizontal="center" vertical="center" wrapText="1"/>
    </xf>
    <xf numFmtId="0" fontId="36" fillId="7" borderId="15" xfId="4" applyFont="1" applyFill="1" applyBorder="1" applyAlignment="1" applyProtection="1">
      <alignment horizontal="center" vertical="center" wrapText="1"/>
    </xf>
    <xf numFmtId="0" fontId="36" fillId="7" borderId="6" xfId="4" applyFont="1" applyFill="1" applyBorder="1" applyAlignment="1" applyProtection="1">
      <alignment horizontal="center" vertical="center" wrapText="1"/>
    </xf>
    <xf numFmtId="0" fontId="36" fillId="7" borderId="12" xfId="4" applyFont="1" applyFill="1" applyBorder="1" applyAlignment="1" applyProtection="1">
      <alignment horizontal="center" vertical="center" wrapText="1"/>
    </xf>
    <xf numFmtId="0" fontId="32" fillId="7" borderId="8" xfId="0" applyFont="1" applyFill="1" applyBorder="1" applyAlignment="1">
      <alignment horizontal="center" vertical="center" wrapText="1"/>
    </xf>
    <xf numFmtId="0" fontId="32" fillId="7" borderId="0" xfId="0" applyFont="1" applyFill="1" applyBorder="1" applyAlignment="1">
      <alignment horizontal="center" vertical="center" wrapText="1"/>
    </xf>
    <xf numFmtId="0" fontId="32" fillId="7" borderId="16" xfId="0" applyFont="1" applyFill="1" applyBorder="1" applyAlignment="1">
      <alignment horizontal="center" vertical="center" wrapText="1"/>
    </xf>
    <xf numFmtId="0" fontId="36" fillId="7" borderId="13" xfId="0" applyFont="1" applyFill="1" applyBorder="1" applyAlignment="1">
      <alignment horizontal="center" vertical="center" wrapText="1"/>
    </xf>
    <xf numFmtId="0" fontId="32" fillId="7" borderId="8" xfId="0" applyFont="1" applyFill="1" applyBorder="1" applyAlignment="1">
      <alignment vertical="center"/>
    </xf>
    <xf numFmtId="0" fontId="32" fillId="7" borderId="0" xfId="0" applyFont="1" applyFill="1" applyBorder="1" applyAlignment="1">
      <alignment vertical="center"/>
    </xf>
    <xf numFmtId="0" fontId="32" fillId="7" borderId="16" xfId="0" applyFont="1" applyFill="1" applyBorder="1" applyAlignment="1">
      <alignment vertical="center"/>
    </xf>
    <xf numFmtId="0" fontId="32" fillId="0" borderId="8" xfId="0" quotePrefix="1" applyFont="1" applyBorder="1" applyAlignment="1">
      <alignment horizontal="left" vertical="center" wrapText="1"/>
    </xf>
    <xf numFmtId="0" fontId="32" fillId="0" borderId="9" xfId="0" quotePrefix="1" applyFont="1" applyBorder="1" applyAlignment="1">
      <alignment horizontal="left" vertical="center" wrapText="1"/>
    </xf>
    <xf numFmtId="0" fontId="36" fillId="7" borderId="4" xfId="0" applyFont="1" applyFill="1" applyBorder="1" applyAlignment="1">
      <alignment horizontal="center" vertical="center" wrapText="1"/>
    </xf>
    <xf numFmtId="0" fontId="54" fillId="0" borderId="0" xfId="0" applyFont="1" applyBorder="1" applyAlignment="1">
      <alignment horizontal="left" vertical="center"/>
    </xf>
    <xf numFmtId="0" fontId="32" fillId="7" borderId="10" xfId="0" quotePrefix="1" applyFont="1" applyFill="1" applyBorder="1" applyAlignment="1">
      <alignment horizontal="center" vertical="center"/>
    </xf>
    <xf numFmtId="0" fontId="32" fillId="7" borderId="11" xfId="0" quotePrefix="1" applyFont="1" applyFill="1" applyBorder="1" applyAlignment="1">
      <alignment horizontal="center" vertical="center"/>
    </xf>
    <xf numFmtId="0" fontId="48" fillId="8" borderId="7" xfId="0" applyFont="1" applyFill="1" applyBorder="1" applyAlignment="1">
      <alignment horizontal="center" vertical="center"/>
    </xf>
    <xf numFmtId="0" fontId="48" fillId="8" borderId="5" xfId="0" applyFont="1" applyFill="1" applyBorder="1" applyAlignment="1">
      <alignment horizontal="center" vertical="center"/>
    </xf>
    <xf numFmtId="168" fontId="32" fillId="11" borderId="7" xfId="0" applyNumberFormat="1" applyFont="1" applyFill="1" applyBorder="1" applyAlignment="1" applyProtection="1">
      <alignment horizontal="center" vertical="center"/>
      <protection locked="0"/>
    </xf>
    <xf numFmtId="168" fontId="32" fillId="11" borderId="5" xfId="0" applyNumberFormat="1" applyFont="1" applyFill="1" applyBorder="1" applyAlignment="1" applyProtection="1">
      <alignment horizontal="center" vertical="center"/>
      <protection locked="0"/>
    </xf>
    <xf numFmtId="175" fontId="32" fillId="12" borderId="7" xfId="0" applyNumberFormat="1" applyFont="1" applyFill="1" applyBorder="1" applyAlignment="1" applyProtection="1">
      <alignment horizontal="center" vertical="center"/>
      <protection locked="0"/>
    </xf>
    <xf numFmtId="175" fontId="32" fillId="12" borderId="5" xfId="0" applyNumberFormat="1" applyFont="1" applyFill="1" applyBorder="1" applyAlignment="1" applyProtection="1">
      <alignment horizontal="center" vertical="center"/>
      <protection locked="0"/>
    </xf>
    <xf numFmtId="0" fontId="51" fillId="7" borderId="7" xfId="4" applyFont="1" applyFill="1" applyBorder="1" applyAlignment="1" applyProtection="1">
      <alignment horizontal="center" vertical="center"/>
    </xf>
    <xf numFmtId="0" fontId="51" fillId="7" borderId="3" xfId="4" applyFont="1" applyFill="1" applyBorder="1" applyAlignment="1" applyProtection="1">
      <alignment horizontal="center" vertical="center"/>
    </xf>
    <xf numFmtId="0" fontId="51" fillId="7" borderId="5" xfId="4" applyFont="1" applyFill="1" applyBorder="1" applyAlignment="1" applyProtection="1">
      <alignment horizontal="center" vertical="center"/>
    </xf>
    <xf numFmtId="172" fontId="51" fillId="7" borderId="7" xfId="4" applyNumberFormat="1" applyFont="1" applyFill="1" applyBorder="1" applyAlignment="1" applyProtection="1">
      <alignment horizontal="center" vertical="center"/>
    </xf>
    <xf numFmtId="0" fontId="32" fillId="0" borderId="15" xfId="6" applyFont="1" applyFill="1" applyBorder="1" applyAlignment="1">
      <alignment horizontal="left" vertical="center" wrapText="1"/>
    </xf>
    <xf numFmtId="0" fontId="32" fillId="0" borderId="6" xfId="6" applyFont="1" applyFill="1" applyBorder="1" applyAlignment="1">
      <alignment horizontal="left" vertical="center" wrapText="1"/>
    </xf>
    <xf numFmtId="0" fontId="32" fillId="0" borderId="8" xfId="6" applyFont="1" applyFill="1" applyBorder="1" applyAlignment="1">
      <alignment horizontal="left" vertical="center" wrapText="1"/>
    </xf>
    <xf numFmtId="0" fontId="32" fillId="0" borderId="0" xfId="6" applyFont="1" applyFill="1" applyBorder="1" applyAlignment="1">
      <alignment horizontal="left" vertical="center" wrapText="1"/>
    </xf>
    <xf numFmtId="0" fontId="32" fillId="0" borderId="9" xfId="6" applyFont="1" applyFill="1" applyBorder="1" applyAlignment="1">
      <alignment horizontal="left" vertical="center" wrapText="1"/>
    </xf>
    <xf numFmtId="0" fontId="32" fillId="0" borderId="10" xfId="6" applyFont="1" applyFill="1" applyBorder="1" applyAlignment="1">
      <alignment horizontal="left" vertical="center" wrapText="1"/>
    </xf>
    <xf numFmtId="0" fontId="32" fillId="7" borderId="15" xfId="0" applyFont="1" applyFill="1" applyBorder="1" applyAlignment="1">
      <alignment horizontal="center" vertical="center" wrapText="1"/>
    </xf>
    <xf numFmtId="0" fontId="32" fillId="7" borderId="12" xfId="0" applyFont="1" applyFill="1" applyBorder="1" applyAlignment="1">
      <alignment horizontal="center" vertical="center" wrapText="1"/>
    </xf>
    <xf numFmtId="0" fontId="32" fillId="0" borderId="15" xfId="0" quotePrefix="1" applyFont="1" applyBorder="1" applyAlignment="1">
      <alignment horizontal="left" vertical="center" wrapText="1"/>
    </xf>
    <xf numFmtId="0" fontId="55" fillId="7" borderId="6" xfId="0" applyFont="1" applyFill="1" applyBorder="1" applyAlignment="1">
      <alignment horizontal="left" vertical="center" wrapText="1"/>
    </xf>
    <xf numFmtId="0" fontId="55" fillId="7" borderId="10" xfId="0" applyFont="1" applyFill="1" applyBorder="1" applyAlignment="1">
      <alignment horizontal="left" vertical="center" wrapText="1"/>
    </xf>
    <xf numFmtId="0" fontId="32" fillId="7" borderId="5" xfId="0" applyFont="1" applyFill="1" applyBorder="1" applyAlignment="1">
      <alignment horizontal="center" vertical="center"/>
    </xf>
    <xf numFmtId="0" fontId="55" fillId="20" borderId="15" xfId="0" applyFont="1" applyFill="1" applyBorder="1" applyAlignment="1">
      <alignment horizontal="center" vertical="center" textRotation="90" wrapText="1"/>
    </xf>
    <xf numFmtId="0" fontId="55" fillId="20" borderId="8" xfId="0" applyFont="1" applyFill="1" applyBorder="1" applyAlignment="1">
      <alignment horizontal="center" vertical="center" textRotation="90" wrapText="1"/>
    </xf>
    <xf numFmtId="0" fontId="55" fillId="20" borderId="9" xfId="0" applyFont="1" applyFill="1" applyBorder="1" applyAlignment="1">
      <alignment horizontal="center" vertical="center" textRotation="90" wrapText="1"/>
    </xf>
    <xf numFmtId="0" fontId="55" fillId="16" borderId="3" xfId="0" applyFont="1" applyFill="1" applyBorder="1" applyAlignment="1">
      <alignment horizontal="left" vertical="center"/>
    </xf>
    <xf numFmtId="0" fontId="55" fillId="7" borderId="3" xfId="0" applyFont="1" applyFill="1" applyBorder="1" applyAlignment="1">
      <alignment horizontal="left" vertical="center"/>
    </xf>
    <xf numFmtId="0" fontId="55" fillId="7" borderId="6" xfId="0" applyFont="1" applyFill="1" applyBorder="1" applyAlignment="1">
      <alignment horizontal="left" vertical="center"/>
    </xf>
    <xf numFmtId="0" fontId="55" fillId="7" borderId="10" xfId="0" applyFont="1" applyFill="1" applyBorder="1" applyAlignment="1">
      <alignment horizontal="left" vertical="center"/>
    </xf>
    <xf numFmtId="0" fontId="55" fillId="17" borderId="15" xfId="0" applyFont="1" applyFill="1" applyBorder="1" applyAlignment="1">
      <alignment horizontal="center" vertical="center" textRotation="90" wrapText="1"/>
    </xf>
    <xf numFmtId="0" fontId="55" fillId="17" borderId="8" xfId="0" applyFont="1" applyFill="1" applyBorder="1" applyAlignment="1">
      <alignment horizontal="center" vertical="center" textRotation="90" wrapText="1"/>
    </xf>
    <xf numFmtId="0" fontId="55" fillId="17" borderId="9" xfId="0" applyFont="1" applyFill="1" applyBorder="1" applyAlignment="1">
      <alignment horizontal="center" vertical="center" textRotation="90" wrapText="1"/>
    </xf>
    <xf numFmtId="0" fontId="55" fillId="7" borderId="0" xfId="0" applyFont="1" applyFill="1" applyBorder="1" applyAlignment="1">
      <alignment horizontal="left" vertical="center"/>
    </xf>
    <xf numFmtId="0" fontId="32" fillId="7" borderId="6" xfId="0" applyFont="1" applyFill="1" applyBorder="1" applyAlignment="1">
      <alignment horizontal="center" vertical="center" wrapText="1"/>
    </xf>
    <xf numFmtId="0" fontId="32" fillId="0" borderId="9" xfId="0" applyFont="1" applyBorder="1" applyAlignment="1">
      <alignment vertical="center"/>
    </xf>
    <xf numFmtId="0" fontId="32" fillId="0" borderId="11" xfId="0" applyFont="1" applyBorder="1" applyAlignment="1">
      <alignment vertical="center"/>
    </xf>
    <xf numFmtId="172" fontId="51" fillId="0" borderId="7" xfId="4" applyNumberFormat="1" applyFont="1" applyFill="1" applyBorder="1" applyAlignment="1" applyProtection="1">
      <alignment horizontal="left" vertical="center"/>
    </xf>
    <xf numFmtId="0" fontId="51" fillId="0" borderId="5" xfId="4" applyFont="1" applyFill="1" applyBorder="1" applyAlignment="1" applyProtection="1">
      <alignment horizontal="left" vertical="center"/>
    </xf>
    <xf numFmtId="3" fontId="56" fillId="4" borderId="7" xfId="6" applyNumberFormat="1" applyFont="1" applyFill="1" applyBorder="1" applyAlignment="1">
      <alignment horizontal="left" vertical="center"/>
    </xf>
    <xf numFmtId="3" fontId="56" fillId="4" borderId="5" xfId="6" applyNumberFormat="1" applyFont="1" applyFill="1" applyBorder="1" applyAlignment="1">
      <alignment horizontal="left" vertical="center"/>
    </xf>
    <xf numFmtId="3" fontId="56" fillId="7" borderId="7" xfId="0" applyNumberFormat="1" applyFont="1" applyFill="1" applyBorder="1" applyAlignment="1">
      <alignment vertical="center"/>
    </xf>
    <xf numFmtId="3" fontId="56" fillId="7" borderId="3" xfId="0" applyNumberFormat="1" applyFont="1" applyFill="1" applyBorder="1" applyAlignment="1">
      <alignment vertical="center"/>
    </xf>
    <xf numFmtId="3" fontId="56" fillId="7" borderId="5" xfId="0" applyNumberFormat="1" applyFont="1" applyFill="1" applyBorder="1" applyAlignment="1">
      <alignment vertical="center"/>
    </xf>
    <xf numFmtId="0" fontId="55" fillId="7" borderId="15" xfId="0" applyFont="1" applyFill="1" applyBorder="1" applyAlignment="1">
      <alignment horizontal="center" vertical="center"/>
    </xf>
    <xf numFmtId="0" fontId="55" fillId="7" borderId="6" xfId="0" applyFont="1" applyFill="1" applyBorder="1" applyAlignment="1">
      <alignment horizontal="center" vertical="center"/>
    </xf>
    <xf numFmtId="0" fontId="55" fillId="7" borderId="12" xfId="0" applyFont="1" applyFill="1" applyBorder="1" applyAlignment="1">
      <alignment horizontal="center" vertical="center"/>
    </xf>
    <xf numFmtId="0" fontId="55" fillId="16" borderId="0" xfId="0" applyFont="1" applyFill="1" applyBorder="1" applyAlignment="1">
      <alignment horizontal="left" vertical="center"/>
    </xf>
    <xf numFmtId="172" fontId="48" fillId="8" borderId="7" xfId="0" applyNumberFormat="1" applyFont="1" applyFill="1" applyBorder="1" applyAlignment="1">
      <alignment vertical="center"/>
    </xf>
    <xf numFmtId="172" fontId="48" fillId="8" borderId="5" xfId="0" applyNumberFormat="1" applyFont="1" applyFill="1" applyBorder="1" applyAlignment="1">
      <alignment vertical="center"/>
    </xf>
    <xf numFmtId="0" fontId="48" fillId="14" borderId="7" xfId="0" applyFont="1" applyFill="1" applyBorder="1" applyAlignment="1">
      <alignment vertical="center"/>
    </xf>
    <xf numFmtId="0" fontId="48" fillId="14" borderId="5" xfId="0" applyFont="1" applyFill="1" applyBorder="1" applyAlignment="1">
      <alignment vertical="center"/>
    </xf>
    <xf numFmtId="0" fontId="32" fillId="7" borderId="7" xfId="0" quotePrefix="1" applyFont="1" applyFill="1" applyBorder="1" applyAlignment="1">
      <alignment horizontal="center" vertical="center"/>
    </xf>
    <xf numFmtId="0" fontId="32" fillId="7" borderId="3" xfId="0" quotePrefix="1" applyFont="1" applyFill="1" applyBorder="1" applyAlignment="1">
      <alignment horizontal="center" vertical="center"/>
    </xf>
    <xf numFmtId="0" fontId="32" fillId="7" borderId="5" xfId="0" quotePrefix="1" applyFont="1" applyFill="1" applyBorder="1" applyAlignment="1">
      <alignment horizontal="center" vertical="center"/>
    </xf>
    <xf numFmtId="0" fontId="48" fillId="14" borderId="7" xfId="0" applyFont="1" applyFill="1" applyBorder="1" applyAlignment="1">
      <alignment horizontal="center" vertical="center"/>
    </xf>
    <xf numFmtId="0" fontId="48" fillId="14" borderId="5" xfId="0" applyFont="1" applyFill="1" applyBorder="1" applyAlignment="1">
      <alignment horizontal="center" vertical="center"/>
    </xf>
    <xf numFmtId="0" fontId="32" fillId="0" borderId="7" xfId="6" quotePrefix="1" applyFont="1" applyBorder="1" applyAlignment="1">
      <alignment horizontal="left" vertical="center" wrapText="1"/>
    </xf>
    <xf numFmtId="0" fontId="32" fillId="0" borderId="3" xfId="6" quotePrefix="1" applyFont="1" applyBorder="1" applyAlignment="1">
      <alignment horizontal="left" vertical="center" wrapText="1"/>
    </xf>
    <xf numFmtId="175" fontId="32" fillId="0" borderId="7" xfId="0" applyNumberFormat="1" applyFont="1" applyFill="1" applyBorder="1" applyAlignment="1" applyProtection="1">
      <alignment horizontal="center" vertical="center"/>
      <protection locked="0"/>
    </xf>
    <xf numFmtId="175" fontId="32" fillId="0" borderId="5" xfId="0" applyNumberFormat="1" applyFont="1" applyFill="1" applyBorder="1" applyAlignment="1" applyProtection="1">
      <alignment horizontal="center" vertical="center"/>
      <protection locked="0"/>
    </xf>
    <xf numFmtId="0" fontId="32" fillId="0" borderId="7" xfId="0" applyFont="1" applyFill="1" applyBorder="1" applyAlignment="1" applyProtection="1">
      <alignment horizontal="center" vertical="center"/>
      <protection locked="0"/>
    </xf>
    <xf numFmtId="0" fontId="32" fillId="0" borderId="5" xfId="0" applyFont="1" applyFill="1" applyBorder="1" applyAlignment="1" applyProtection="1">
      <alignment horizontal="center" vertical="center"/>
      <protection locked="0"/>
    </xf>
    <xf numFmtId="0" fontId="32" fillId="0" borderId="7" xfId="0" applyFont="1" applyFill="1" applyBorder="1" applyAlignment="1">
      <alignment horizontal="center" vertical="center"/>
    </xf>
    <xf numFmtId="0" fontId="32" fillId="0" borderId="5" xfId="0" applyFont="1" applyFill="1" applyBorder="1" applyAlignment="1">
      <alignment horizontal="center" vertical="center"/>
    </xf>
    <xf numFmtId="172" fontId="48" fillId="8" borderId="7" xfId="0" applyNumberFormat="1" applyFont="1" applyFill="1" applyBorder="1" applyAlignment="1">
      <alignment horizontal="center" vertical="center"/>
    </xf>
    <xf numFmtId="0" fontId="30" fillId="7" borderId="4" xfId="6" applyFont="1" applyFill="1" applyBorder="1" applyAlignment="1">
      <alignment horizontal="left" vertical="center" wrapText="1"/>
    </xf>
    <xf numFmtId="0" fontId="30" fillId="7" borderId="13" xfId="6" applyFont="1" applyFill="1" applyBorder="1" applyAlignment="1">
      <alignment horizontal="left" vertical="center" wrapText="1"/>
    </xf>
    <xf numFmtId="0" fontId="30" fillId="7" borderId="14" xfId="6" applyFont="1" applyFill="1" applyBorder="1" applyAlignment="1">
      <alignment horizontal="left" vertical="center" wrapText="1"/>
    </xf>
    <xf numFmtId="0" fontId="30" fillId="0" borderId="15" xfId="6" applyFont="1" applyFill="1" applyBorder="1" applyAlignment="1">
      <alignment horizontal="left" vertical="center" wrapText="1"/>
    </xf>
    <xf numFmtId="0" fontId="30" fillId="0" borderId="6" xfId="6" applyFont="1" applyFill="1" applyBorder="1" applyAlignment="1">
      <alignment horizontal="left" vertical="center" wrapText="1"/>
    </xf>
    <xf numFmtId="0" fontId="30" fillId="0" borderId="7" xfId="6" applyFont="1" applyFill="1" applyBorder="1" applyAlignment="1">
      <alignment horizontal="left" vertical="center"/>
    </xf>
    <xf numFmtId="0" fontId="30" fillId="0" borderId="3" xfId="6" applyFont="1" applyFill="1" applyBorder="1" applyAlignment="1">
      <alignment horizontal="left" vertical="center"/>
    </xf>
    <xf numFmtId="0" fontId="30" fillId="0" borderId="7" xfId="6" applyFont="1" applyFill="1" applyBorder="1" applyAlignment="1">
      <alignment horizontal="left" vertical="center" wrapText="1"/>
    </xf>
    <xf numFmtId="0" fontId="30" fillId="0" borderId="3" xfId="6" applyFont="1" applyFill="1" applyBorder="1" applyAlignment="1">
      <alignment horizontal="left" vertical="center" wrapText="1"/>
    </xf>
    <xf numFmtId="0" fontId="30" fillId="7" borderId="4" xfId="6" applyFont="1" applyFill="1" applyBorder="1" applyAlignment="1">
      <alignment horizontal="left" vertical="center"/>
    </xf>
    <xf numFmtId="0" fontId="30" fillId="7" borderId="13" xfId="6" applyFont="1" applyFill="1" applyBorder="1" applyAlignment="1">
      <alignment horizontal="left" vertical="center"/>
    </xf>
    <xf numFmtId="0" fontId="30" fillId="7" borderId="14" xfId="6" applyFont="1" applyFill="1" applyBorder="1" applyAlignment="1">
      <alignment horizontal="left" vertical="center"/>
    </xf>
    <xf numFmtId="0" fontId="30" fillId="0" borderId="15" xfId="6" applyFont="1" applyBorder="1" applyAlignment="1">
      <alignment horizontal="left" vertical="center" wrapText="1"/>
    </xf>
    <xf numFmtId="0" fontId="30" fillId="0" borderId="6" xfId="6" applyFont="1" applyBorder="1" applyAlignment="1">
      <alignment horizontal="left" vertical="center" wrapText="1"/>
    </xf>
    <xf numFmtId="0" fontId="30" fillId="0" borderId="9" xfId="6" applyFont="1" applyBorder="1" applyAlignment="1">
      <alignment horizontal="left" vertical="center" wrapText="1"/>
    </xf>
    <xf numFmtId="0" fontId="30" fillId="0" borderId="10" xfId="6" applyFont="1" applyBorder="1" applyAlignment="1">
      <alignment horizontal="left" vertical="center" wrapText="1"/>
    </xf>
    <xf numFmtId="0" fontId="30" fillId="0" borderId="7" xfId="6" applyFont="1" applyBorder="1" applyAlignment="1">
      <alignment horizontal="left" vertical="center" wrapText="1"/>
    </xf>
    <xf numFmtId="0" fontId="30" fillId="0" borderId="3" xfId="6" applyFont="1" applyBorder="1" applyAlignment="1">
      <alignment horizontal="left" vertical="center" wrapText="1"/>
    </xf>
    <xf numFmtId="0" fontId="30" fillId="0" borderId="8" xfId="6" applyFont="1" applyBorder="1" applyAlignment="1">
      <alignment horizontal="left" vertical="center" wrapText="1"/>
    </xf>
    <xf numFmtId="0" fontId="30" fillId="0" borderId="0" xfId="6" applyFont="1" applyBorder="1" applyAlignment="1">
      <alignment horizontal="left" vertical="center" wrapText="1"/>
    </xf>
    <xf numFmtId="0" fontId="51" fillId="0" borderId="10" xfId="4" applyFont="1" applyBorder="1" applyAlignment="1" applyProtection="1">
      <alignment horizontal="left" vertical="center"/>
    </xf>
    <xf numFmtId="0" fontId="30" fillId="7" borderId="15" xfId="6" applyFont="1" applyFill="1" applyBorder="1" applyAlignment="1">
      <alignment vertical="center"/>
    </xf>
    <xf numFmtId="0" fontId="30" fillId="7" borderId="6" xfId="6" applyFont="1" applyFill="1" applyBorder="1" applyAlignment="1">
      <alignment vertical="center"/>
    </xf>
    <xf numFmtId="0" fontId="30" fillId="7" borderId="9" xfId="6" applyFont="1" applyFill="1" applyBorder="1" applyAlignment="1">
      <alignment vertical="center"/>
    </xf>
    <xf numFmtId="0" fontId="30" fillId="7" borderId="10" xfId="6" applyFont="1" applyFill="1" applyBorder="1" applyAlignment="1">
      <alignment vertical="center"/>
    </xf>
    <xf numFmtId="0" fontId="30" fillId="0" borderId="15" xfId="6" applyFont="1" applyBorder="1" applyAlignment="1">
      <alignment horizontal="left" vertical="center"/>
    </xf>
    <xf numFmtId="0" fontId="30" fillId="0" borderId="6" xfId="6" applyFont="1" applyBorder="1" applyAlignment="1">
      <alignment horizontal="left" vertical="center"/>
    </xf>
    <xf numFmtId="0" fontId="30" fillId="0" borderId="8" xfId="6" applyFont="1" applyBorder="1" applyAlignment="1">
      <alignment horizontal="left" vertical="center"/>
    </xf>
    <xf numFmtId="0" fontId="30" fillId="0" borderId="0" xfId="6" applyFont="1" applyBorder="1" applyAlignment="1">
      <alignment horizontal="left" vertical="center"/>
    </xf>
    <xf numFmtId="0" fontId="30" fillId="7" borderId="15" xfId="6" applyFont="1" applyFill="1" applyBorder="1" applyAlignment="1">
      <alignment horizontal="left" vertical="center"/>
    </xf>
    <xf numFmtId="0" fontId="30" fillId="7" borderId="6" xfId="6" applyFont="1" applyFill="1" applyBorder="1" applyAlignment="1">
      <alignment horizontal="left" vertical="center"/>
    </xf>
    <xf numFmtId="0" fontId="30" fillId="7" borderId="9" xfId="6" applyFont="1" applyFill="1" applyBorder="1" applyAlignment="1">
      <alignment horizontal="left" vertical="center"/>
    </xf>
    <xf numFmtId="0" fontId="30" fillId="7" borderId="10" xfId="6" applyFont="1" applyFill="1" applyBorder="1" applyAlignment="1">
      <alignment horizontal="left" vertical="center"/>
    </xf>
    <xf numFmtId="0" fontId="30" fillId="11" borderId="4" xfId="6" applyFont="1" applyFill="1" applyBorder="1" applyAlignment="1">
      <alignment horizontal="center" vertical="center" wrapText="1"/>
    </xf>
    <xf numFmtId="0" fontId="30" fillId="11" borderId="14" xfId="6" applyFont="1" applyFill="1" applyBorder="1" applyAlignment="1">
      <alignment horizontal="center" vertical="center" wrapText="1"/>
    </xf>
    <xf numFmtId="3" fontId="30" fillId="0" borderId="4" xfId="6" applyNumberFormat="1" applyFont="1" applyFill="1" applyBorder="1" applyAlignment="1">
      <alignment horizontal="center" vertical="center" wrapText="1"/>
    </xf>
    <xf numFmtId="3" fontId="30" fillId="0" borderId="14" xfId="6" applyNumberFormat="1" applyFont="1" applyFill="1" applyBorder="1" applyAlignment="1">
      <alignment horizontal="center" vertical="center" wrapText="1"/>
    </xf>
    <xf numFmtId="0" fontId="30" fillId="0" borderId="0" xfId="6" applyFont="1" applyAlignment="1">
      <alignment horizontal="left" vertical="center"/>
    </xf>
    <xf numFmtId="0" fontId="54" fillId="0" borderId="0" xfId="6" applyFont="1" applyAlignment="1">
      <alignment horizontal="left" vertical="center"/>
    </xf>
    <xf numFmtId="0" fontId="42" fillId="11" borderId="4" xfId="6" applyFont="1" applyFill="1" applyBorder="1" applyAlignment="1">
      <alignment horizontal="center" vertical="center" wrapText="1"/>
    </xf>
    <xf numFmtId="0" fontId="42" fillId="11" borderId="14" xfId="6" applyFont="1" applyFill="1" applyBorder="1" applyAlignment="1">
      <alignment horizontal="center" vertical="center" wrapText="1"/>
    </xf>
    <xf numFmtId="0" fontId="30" fillId="4" borderId="7" xfId="6" applyFont="1" applyFill="1" applyBorder="1" applyAlignment="1" applyProtection="1">
      <alignment horizontal="left" vertical="center"/>
      <protection locked="0"/>
    </xf>
    <xf numFmtId="0" fontId="30" fillId="4" borderId="3" xfId="6" applyFont="1" applyFill="1" applyBorder="1" applyAlignment="1" applyProtection="1">
      <alignment horizontal="left" vertical="center"/>
      <protection locked="0"/>
    </xf>
    <xf numFmtId="0" fontId="30" fillId="4" borderId="5" xfId="6" applyFont="1" applyFill="1" applyBorder="1" applyAlignment="1" applyProtection="1">
      <alignment horizontal="left" vertical="center"/>
      <protection locked="0"/>
    </xf>
    <xf numFmtId="175" fontId="30" fillId="4" borderId="7" xfId="6" applyNumberFormat="1" applyFont="1" applyFill="1" applyBorder="1" applyAlignment="1" applyProtection="1">
      <alignment horizontal="left" vertical="center"/>
      <protection locked="0"/>
    </xf>
    <xf numFmtId="175" fontId="30" fillId="4" borderId="3" xfId="6" applyNumberFormat="1" applyFont="1" applyFill="1" applyBorder="1" applyAlignment="1" applyProtection="1">
      <alignment horizontal="left" vertical="center"/>
      <protection locked="0"/>
    </xf>
    <xf numFmtId="175" fontId="30" fillId="4" borderId="5" xfId="6" applyNumberFormat="1" applyFont="1" applyFill="1" applyBorder="1" applyAlignment="1" applyProtection="1">
      <alignment horizontal="left" vertical="center"/>
      <protection locked="0"/>
    </xf>
    <xf numFmtId="0" fontId="30" fillId="7" borderId="7" xfId="0" applyFont="1" applyFill="1" applyBorder="1" applyAlignment="1">
      <alignment vertical="center"/>
    </xf>
    <xf numFmtId="0" fontId="30" fillId="7" borderId="3" xfId="0" applyFont="1" applyFill="1" applyBorder="1" applyAlignment="1">
      <alignment vertical="center"/>
    </xf>
    <xf numFmtId="0" fontId="30" fillId="7" borderId="5" xfId="0" applyFont="1" applyFill="1" applyBorder="1" applyAlignment="1">
      <alignment vertical="center"/>
    </xf>
    <xf numFmtId="0" fontId="30" fillId="0" borderId="7" xfId="0" applyFont="1" applyFill="1" applyBorder="1" applyAlignment="1">
      <alignment vertical="center"/>
    </xf>
    <xf numFmtId="0" fontId="30" fillId="0" borderId="3" xfId="0" applyFont="1" applyFill="1" applyBorder="1" applyAlignment="1">
      <alignment vertical="center"/>
    </xf>
    <xf numFmtId="0" fontId="30" fillId="0" borderId="5" xfId="0" applyFont="1" applyFill="1" applyBorder="1" applyAlignment="1">
      <alignment vertical="center"/>
    </xf>
    <xf numFmtId="168" fontId="30" fillId="0" borderId="2" xfId="0" applyNumberFormat="1" applyFont="1" applyFill="1" applyBorder="1" applyAlignment="1">
      <alignment horizontal="center" vertical="center"/>
    </xf>
    <xf numFmtId="0" fontId="30" fillId="7" borderId="15" xfId="0" applyFont="1" applyFill="1" applyBorder="1" applyAlignment="1">
      <alignment horizontal="center" vertical="center" wrapText="1"/>
    </xf>
    <xf numFmtId="0" fontId="30" fillId="7" borderId="6" xfId="0" applyFont="1" applyFill="1" applyBorder="1" applyAlignment="1">
      <alignment horizontal="center" vertical="center" wrapText="1"/>
    </xf>
    <xf numFmtId="0" fontId="30" fillId="7" borderId="12" xfId="0" applyFont="1" applyFill="1" applyBorder="1" applyAlignment="1">
      <alignment horizontal="center" vertical="center" wrapText="1"/>
    </xf>
    <xf numFmtId="0" fontId="30" fillId="0" borderId="2" xfId="0" applyFont="1" applyFill="1" applyBorder="1" applyAlignment="1">
      <alignment horizontal="left" vertical="center"/>
    </xf>
    <xf numFmtId="0" fontId="30" fillId="0" borderId="15" xfId="0" applyFont="1" applyFill="1" applyBorder="1" applyAlignment="1">
      <alignment horizontal="left" vertical="center" wrapText="1"/>
    </xf>
    <xf numFmtId="0" fontId="30" fillId="0" borderId="6" xfId="0" applyFont="1" applyFill="1" applyBorder="1" applyAlignment="1">
      <alignment horizontal="left" vertical="center" wrapText="1"/>
    </xf>
    <xf numFmtId="0" fontId="30" fillId="0" borderId="12" xfId="0" applyFont="1" applyFill="1" applyBorder="1" applyAlignment="1">
      <alignment horizontal="left" vertical="center" wrapText="1"/>
    </xf>
    <xf numFmtId="0" fontId="30" fillId="0" borderId="9"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30" fillId="0" borderId="11" xfId="0" applyFont="1" applyFill="1" applyBorder="1" applyAlignment="1">
      <alignment horizontal="left" vertical="center" wrapText="1"/>
    </xf>
    <xf numFmtId="0" fontId="30" fillId="0" borderId="7" xfId="0" applyFont="1" applyFill="1" applyBorder="1" applyAlignment="1">
      <alignment horizontal="left" vertical="center"/>
    </xf>
    <xf numFmtId="0" fontId="30" fillId="0" borderId="3" xfId="0" applyFont="1" applyFill="1" applyBorder="1" applyAlignment="1">
      <alignment horizontal="left" vertical="center"/>
    </xf>
    <xf numFmtId="0" fontId="30" fillId="0" borderId="5" xfId="0" applyFont="1" applyFill="1" applyBorder="1" applyAlignment="1">
      <alignment horizontal="left" vertical="center"/>
    </xf>
    <xf numFmtId="0" fontId="30" fillId="17" borderId="15" xfId="0" applyFont="1" applyFill="1" applyBorder="1" applyAlignment="1">
      <alignment horizontal="center" vertical="center"/>
    </xf>
    <xf numFmtId="0" fontId="30" fillId="17" borderId="6" xfId="0" applyFont="1" applyFill="1" applyBorder="1" applyAlignment="1">
      <alignment horizontal="center" vertical="center"/>
    </xf>
    <xf numFmtId="0" fontId="30" fillId="17" borderId="12" xfId="0" applyFont="1" applyFill="1" applyBorder="1" applyAlignment="1">
      <alignment horizontal="center" vertical="center"/>
    </xf>
    <xf numFmtId="0" fontId="30" fillId="0" borderId="0" xfId="0" applyFont="1" applyFill="1" applyBorder="1" applyAlignment="1">
      <alignment horizontal="left" vertical="center" wrapText="1"/>
    </xf>
    <xf numFmtId="0" fontId="30" fillId="0" borderId="2" xfId="0" applyFont="1" applyFill="1" applyBorder="1" applyAlignment="1">
      <alignment horizontal="center" vertical="center" wrapText="1"/>
    </xf>
    <xf numFmtId="0" fontId="42" fillId="0" borderId="15" xfId="0" applyFont="1" applyFill="1" applyBorder="1" applyAlignment="1">
      <alignment horizontal="center" vertical="center" wrapText="1"/>
    </xf>
    <xf numFmtId="0" fontId="42" fillId="0" borderId="6" xfId="0" applyFont="1" applyFill="1" applyBorder="1" applyAlignment="1">
      <alignment horizontal="center" vertical="center" wrapText="1"/>
    </xf>
    <xf numFmtId="0" fontId="42" fillId="0" borderId="12" xfId="0" applyFont="1" applyFill="1" applyBorder="1" applyAlignment="1">
      <alignment horizontal="center" vertical="center" wrapText="1"/>
    </xf>
    <xf numFmtId="0" fontId="42" fillId="0" borderId="9" xfId="0" applyFont="1" applyFill="1" applyBorder="1" applyAlignment="1">
      <alignment horizontal="center" vertical="center" wrapText="1"/>
    </xf>
    <xf numFmtId="0" fontId="42" fillId="0" borderId="10" xfId="0" applyFont="1" applyFill="1" applyBorder="1" applyAlignment="1">
      <alignment horizontal="center" vertical="center" wrapText="1"/>
    </xf>
    <xf numFmtId="0" fontId="42" fillId="0" borderId="11" xfId="0" applyFont="1" applyFill="1" applyBorder="1" applyAlignment="1">
      <alignment horizontal="center" vertical="center" wrapText="1"/>
    </xf>
    <xf numFmtId="0" fontId="30" fillId="0" borderId="15" xfId="0" applyFont="1" applyFill="1" applyBorder="1" applyAlignment="1">
      <alignment horizontal="center" vertical="center" wrapText="1"/>
    </xf>
    <xf numFmtId="0" fontId="30" fillId="0" borderId="6"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9"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11" xfId="0" applyFont="1" applyFill="1" applyBorder="1" applyAlignment="1">
      <alignment horizontal="center" vertical="center" wrapText="1"/>
    </xf>
    <xf numFmtId="0" fontId="30" fillId="10" borderId="4" xfId="0" applyFont="1" applyFill="1" applyBorder="1" applyAlignment="1">
      <alignment horizontal="center" vertical="center" wrapText="1"/>
    </xf>
    <xf numFmtId="0" fontId="30" fillId="0" borderId="2" xfId="0" applyFont="1" applyFill="1" applyBorder="1" applyAlignment="1">
      <alignment horizontal="center" vertical="center"/>
    </xf>
    <xf numFmtId="168" fontId="30" fillId="7" borderId="2" xfId="0" applyNumberFormat="1" applyFont="1" applyFill="1" applyBorder="1" applyAlignment="1">
      <alignment horizontal="center" vertical="center"/>
    </xf>
    <xf numFmtId="0" fontId="30" fillId="7" borderId="3" xfId="0" applyFont="1" applyFill="1" applyBorder="1" applyAlignment="1">
      <alignment horizontal="center" vertical="center"/>
    </xf>
    <xf numFmtId="0" fontId="30" fillId="0" borderId="15" xfId="0" applyFont="1" applyBorder="1" applyAlignment="1">
      <alignment horizontal="center" vertical="center"/>
    </xf>
    <xf numFmtId="0" fontId="30" fillId="0" borderId="9" xfId="0" applyFont="1" applyBorder="1" applyAlignment="1">
      <alignment horizontal="center" vertical="center"/>
    </xf>
    <xf numFmtId="16" fontId="30" fillId="0" borderId="15" xfId="0" quotePrefix="1" applyNumberFormat="1" applyFont="1" applyBorder="1" applyAlignment="1">
      <alignment horizontal="center" vertical="center"/>
    </xf>
    <xf numFmtId="0" fontId="30" fillId="0" borderId="9" xfId="0" quotePrefix="1" applyFont="1" applyBorder="1" applyAlignment="1">
      <alignment horizontal="center" vertical="center"/>
    </xf>
    <xf numFmtId="0" fontId="30" fillId="0" borderId="3" xfId="0" applyFont="1" applyBorder="1" applyAlignment="1">
      <alignment vertical="center"/>
    </xf>
    <xf numFmtId="0" fontId="30" fillId="0" borderId="5" xfId="0" applyFont="1" applyBorder="1" applyAlignment="1">
      <alignment vertical="center"/>
    </xf>
    <xf numFmtId="0" fontId="30" fillId="0" borderId="7" xfId="0" applyFont="1" applyFill="1" applyBorder="1" applyAlignment="1">
      <alignment vertical="center" wrapText="1"/>
    </xf>
    <xf numFmtId="0" fontId="30" fillId="0" borderId="3" xfId="0" applyFont="1" applyFill="1" applyBorder="1" applyAlignment="1">
      <alignment vertical="center" wrapText="1"/>
    </xf>
    <xf numFmtId="0" fontId="30" fillId="0" borderId="5" xfId="0" applyFont="1" applyFill="1" applyBorder="1" applyAlignment="1">
      <alignment vertical="center" wrapText="1"/>
    </xf>
    <xf numFmtId="0" fontId="30" fillId="4" borderId="7" xfId="0" applyFont="1" applyFill="1" applyBorder="1" applyAlignment="1">
      <alignment vertical="center" wrapText="1"/>
    </xf>
    <xf numFmtId="0" fontId="30" fillId="4" borderId="3" xfId="0" applyFont="1" applyFill="1" applyBorder="1" applyAlignment="1">
      <alignment vertical="center" wrapText="1"/>
    </xf>
    <xf numFmtId="0" fontId="30" fillId="4" borderId="5" xfId="0" applyFont="1" applyFill="1" applyBorder="1" applyAlignment="1">
      <alignment vertical="center" wrapText="1"/>
    </xf>
    <xf numFmtId="0" fontId="30" fillId="4" borderId="3" xfId="0" applyFont="1" applyFill="1" applyBorder="1" applyAlignment="1">
      <alignment horizontal="left" vertical="center"/>
    </xf>
    <xf numFmtId="0" fontId="30" fillId="4" borderId="5" xfId="0" applyFont="1" applyFill="1" applyBorder="1" applyAlignment="1">
      <alignment horizontal="left" vertical="center"/>
    </xf>
    <xf numFmtId="1" fontId="30" fillId="5" borderId="2" xfId="0" applyNumberFormat="1" applyFont="1" applyFill="1" applyBorder="1" applyAlignment="1">
      <alignment horizontal="center" vertical="center"/>
    </xf>
    <xf numFmtId="0" fontId="30" fillId="0" borderId="8" xfId="0" applyFont="1" applyFill="1" applyBorder="1" applyAlignment="1">
      <alignment horizontal="left" vertical="center" wrapText="1"/>
    </xf>
    <xf numFmtId="1" fontId="30" fillId="0" borderId="2" xfId="0" applyNumberFormat="1" applyFont="1" applyFill="1" applyBorder="1" applyAlignment="1">
      <alignment horizontal="center" vertical="center"/>
    </xf>
    <xf numFmtId="168" fontId="30" fillId="5" borderId="2" xfId="0" applyNumberFormat="1" applyFont="1" applyFill="1" applyBorder="1" applyAlignment="1">
      <alignment horizontal="center" vertical="center"/>
    </xf>
    <xf numFmtId="0" fontId="30" fillId="0" borderId="16" xfId="0" applyFont="1" applyFill="1" applyBorder="1" applyAlignment="1">
      <alignment horizontal="left" vertical="center" wrapText="1"/>
    </xf>
    <xf numFmtId="0" fontId="30" fillId="10" borderId="13" xfId="0" applyFont="1" applyFill="1" applyBorder="1" applyAlignment="1">
      <alignment horizontal="center" vertical="center" wrapText="1"/>
    </xf>
    <xf numFmtId="2" fontId="30" fillId="11" borderId="2" xfId="0" applyNumberFormat="1" applyFont="1" applyFill="1" applyBorder="1" applyAlignment="1">
      <alignment horizontal="center" vertical="center"/>
    </xf>
    <xf numFmtId="166" fontId="30" fillId="0" borderId="2" xfId="0" applyNumberFormat="1" applyFont="1" applyFill="1" applyBorder="1" applyAlignment="1">
      <alignment horizontal="center" vertical="center"/>
    </xf>
    <xf numFmtId="167" fontId="30" fillId="5" borderId="2" xfId="0" applyNumberFormat="1" applyFont="1" applyFill="1" applyBorder="1" applyAlignment="1">
      <alignment horizontal="center" vertical="center"/>
    </xf>
    <xf numFmtId="0" fontId="30" fillId="7" borderId="5" xfId="0" applyFont="1" applyFill="1" applyBorder="1" applyAlignment="1">
      <alignment horizontal="center" vertical="center"/>
    </xf>
    <xf numFmtId="0" fontId="30" fillId="7" borderId="4" xfId="0" applyFont="1" applyFill="1" applyBorder="1" applyAlignment="1">
      <alignment horizontal="center" vertical="center" wrapText="1"/>
    </xf>
    <xf numFmtId="0" fontId="30" fillId="7" borderId="2" xfId="0" applyFont="1" applyFill="1" applyBorder="1" applyAlignment="1">
      <alignment horizontal="center" vertical="center"/>
    </xf>
    <xf numFmtId="0" fontId="30" fillId="10" borderId="4" xfId="0" applyFont="1" applyFill="1" applyBorder="1" applyAlignment="1">
      <alignment horizontal="center" vertical="center"/>
    </xf>
    <xf numFmtId="0" fontId="30" fillId="0" borderId="2" xfId="0" quotePrefix="1" applyFont="1" applyFill="1" applyBorder="1" applyAlignment="1">
      <alignment horizontal="center" vertical="center"/>
    </xf>
    <xf numFmtId="0" fontId="30" fillId="10" borderId="14" xfId="0" applyFont="1" applyFill="1" applyBorder="1" applyAlignment="1">
      <alignment horizontal="center" vertical="center" wrapText="1"/>
    </xf>
    <xf numFmtId="167" fontId="30" fillId="0" borderId="2" xfId="0" applyNumberFormat="1" applyFont="1" applyFill="1" applyBorder="1" applyAlignment="1">
      <alignment horizontal="center" vertical="center"/>
    </xf>
    <xf numFmtId="0" fontId="30" fillId="10" borderId="7" xfId="0" applyFont="1" applyFill="1" applyBorder="1" applyAlignment="1">
      <alignment horizontal="center" vertical="center" wrapText="1"/>
    </xf>
    <xf numFmtId="0" fontId="30" fillId="10" borderId="3" xfId="0" applyFont="1" applyFill="1" applyBorder="1" applyAlignment="1">
      <alignment horizontal="center" vertical="center"/>
    </xf>
    <xf numFmtId="0" fontId="30" fillId="10" borderId="5" xfId="0" applyFont="1" applyFill="1" applyBorder="1" applyAlignment="1">
      <alignment horizontal="center" vertical="center"/>
    </xf>
    <xf numFmtId="168" fontId="30" fillId="11" borderId="2" xfId="0" applyNumberFormat="1" applyFont="1" applyFill="1" applyBorder="1" applyAlignment="1">
      <alignment horizontal="center" vertical="center"/>
    </xf>
    <xf numFmtId="167" fontId="30" fillId="7" borderId="2" xfId="0" applyNumberFormat="1" applyFont="1" applyFill="1" applyBorder="1" applyAlignment="1">
      <alignment horizontal="center" vertical="center"/>
    </xf>
    <xf numFmtId="0" fontId="30" fillId="0" borderId="0" xfId="0" applyFont="1" applyFill="1" applyBorder="1" applyAlignment="1">
      <alignment horizontal="left" vertical="center" indent="1"/>
    </xf>
    <xf numFmtId="0" fontId="30" fillId="0" borderId="4" xfId="0" applyFont="1" applyFill="1" applyBorder="1" applyAlignment="1">
      <alignment vertical="center"/>
    </xf>
    <xf numFmtId="0" fontId="30" fillId="0" borderId="14" xfId="0" applyFont="1" applyFill="1" applyBorder="1" applyAlignment="1">
      <alignment vertical="center"/>
    </xf>
    <xf numFmtId="0" fontId="30" fillId="10" borderId="15" xfId="0" applyFont="1" applyFill="1" applyBorder="1" applyAlignment="1">
      <alignment horizontal="center" vertical="center"/>
    </xf>
    <xf numFmtId="0" fontId="30" fillId="10" borderId="6" xfId="0" applyFont="1" applyFill="1" applyBorder="1" applyAlignment="1">
      <alignment horizontal="center" vertical="center"/>
    </xf>
    <xf numFmtId="0" fontId="30" fillId="10" borderId="12" xfId="0" applyFont="1" applyFill="1" applyBorder="1" applyAlignment="1">
      <alignment horizontal="center" vertical="center"/>
    </xf>
    <xf numFmtId="0" fontId="30" fillId="10" borderId="8" xfId="0" applyFont="1" applyFill="1" applyBorder="1" applyAlignment="1">
      <alignment horizontal="center" vertical="center"/>
    </xf>
    <xf numFmtId="0" fontId="30" fillId="10" borderId="0" xfId="0" applyFont="1" applyFill="1" applyBorder="1" applyAlignment="1">
      <alignment horizontal="center" vertical="center"/>
    </xf>
    <xf numFmtId="0" fontId="30" fillId="10" borderId="16" xfId="0" applyFont="1" applyFill="1" applyBorder="1" applyAlignment="1">
      <alignment horizontal="center" vertical="center"/>
    </xf>
    <xf numFmtId="0" fontId="30" fillId="0" borderId="7"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30" fillId="7" borderId="7" xfId="0" applyFont="1" applyFill="1" applyBorder="1" applyAlignment="1">
      <alignment horizontal="center" vertical="center" wrapText="1"/>
    </xf>
    <xf numFmtId="0" fontId="30" fillId="7" borderId="3" xfId="0" applyFont="1" applyFill="1" applyBorder="1" applyAlignment="1">
      <alignment horizontal="center" vertical="center" wrapText="1"/>
    </xf>
    <xf numFmtId="0" fontId="30" fillId="7" borderId="5" xfId="0" applyFont="1" applyFill="1" applyBorder="1" applyAlignment="1">
      <alignment horizontal="center" vertical="center" wrapText="1"/>
    </xf>
    <xf numFmtId="0" fontId="30" fillId="4" borderId="7" xfId="0" applyFont="1" applyFill="1" applyBorder="1" applyAlignment="1">
      <alignment horizontal="left" vertical="center" wrapText="1"/>
    </xf>
    <xf numFmtId="0" fontId="30" fillId="4" borderId="3" xfId="0" applyFont="1" applyFill="1" applyBorder="1" applyAlignment="1">
      <alignment horizontal="left" vertical="center" wrapText="1"/>
    </xf>
    <xf numFmtId="0" fontId="30" fillId="4" borderId="5" xfId="0" applyFont="1" applyFill="1" applyBorder="1" applyAlignment="1">
      <alignment horizontal="left" vertical="center" wrapText="1"/>
    </xf>
    <xf numFmtId="0" fontId="32" fillId="0" borderId="0" xfId="0" applyFont="1" applyFill="1" applyBorder="1" applyAlignment="1">
      <alignment horizontal="center" vertical="center"/>
    </xf>
    <xf numFmtId="167" fontId="30" fillId="11" borderId="2" xfId="0" applyNumberFormat="1" applyFont="1" applyFill="1" applyBorder="1" applyAlignment="1">
      <alignment horizontal="center" vertical="center"/>
    </xf>
    <xf numFmtId="0" fontId="30" fillId="10" borderId="13" xfId="0" applyFont="1" applyFill="1" applyBorder="1" applyAlignment="1">
      <alignment horizontal="center" vertical="center"/>
    </xf>
    <xf numFmtId="0" fontId="67" fillId="0" borderId="4" xfId="0" applyFont="1" applyBorder="1" applyAlignment="1">
      <alignment horizontal="left" vertical="center"/>
    </xf>
    <xf numFmtId="0" fontId="67" fillId="0" borderId="14" xfId="0" applyFont="1" applyBorder="1" applyAlignment="1">
      <alignment horizontal="left" vertical="center"/>
    </xf>
    <xf numFmtId="0" fontId="68" fillId="0" borderId="4" xfId="0" applyFont="1" applyBorder="1" applyAlignment="1">
      <alignment horizontal="left" vertical="center"/>
    </xf>
    <xf numFmtId="0" fontId="68" fillId="0" borderId="14" xfId="0" applyFont="1" applyBorder="1" applyAlignment="1">
      <alignment horizontal="left" vertical="center"/>
    </xf>
  </cellXfs>
  <cellStyles count="11">
    <cellStyle name="Comma" xfId="1" builtinId="3"/>
    <cellStyle name="Comma 2" xfId="2"/>
    <cellStyle name="FormulaString" xfId="3"/>
    <cellStyle name="Hyperlink" xfId="4" builtinId="8"/>
    <cellStyle name="Normal" xfId="0" builtinId="0"/>
    <cellStyle name="Normal 2" xfId="5"/>
    <cellStyle name="Normal 4" xfId="6"/>
    <cellStyle name="Normal_Pre-blending System Calculation" xfId="7"/>
    <cellStyle name="Percent" xfId="8" builtinId="5"/>
    <cellStyle name="Percent 2" xfId="9"/>
    <cellStyle name="Percent 3" xfId="10"/>
  </cellStyles>
  <dxfs count="120">
    <dxf>
      <font>
        <condense val="0"/>
        <extend val="0"/>
        <color indexed="10"/>
      </font>
    </dxf>
    <dxf>
      <font>
        <b val="0"/>
        <i val="0"/>
        <condense val="0"/>
        <extend val="0"/>
        <color indexed="22"/>
      </font>
    </dxf>
    <dxf>
      <font>
        <strike/>
        <color rgb="FFFF0000"/>
      </font>
    </dxf>
    <dxf>
      <font>
        <strike/>
        <color rgb="FFFF0000"/>
      </font>
    </dxf>
    <dxf>
      <font>
        <strike/>
        <color rgb="FFFF0000"/>
      </font>
    </dxf>
    <dxf>
      <font>
        <color theme="0" tint="-0.24994659260841701"/>
      </font>
      <fill>
        <patternFill patternType="none">
          <bgColor indexed="65"/>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indexed="43"/>
        </patternFill>
      </fill>
    </dxf>
    <dxf>
      <font>
        <color theme="0" tint="-0.24994659260841701"/>
      </font>
    </dxf>
    <dxf>
      <font>
        <color theme="0" tint="-0.24994659260841701"/>
      </font>
    </dxf>
    <dxf>
      <font>
        <color theme="0" tint="-0.24994659260841701"/>
      </font>
    </dxf>
    <dxf>
      <font>
        <color theme="0" tint="-0.24994659260841701"/>
      </font>
    </dxf>
    <dxf>
      <font>
        <color theme="1"/>
        <name val="Cambria"/>
        <scheme val="none"/>
      </font>
      <fill>
        <patternFill>
          <bgColor rgb="FFFF5050"/>
        </patternFill>
      </fill>
    </dxf>
    <dxf>
      <font>
        <color theme="0" tint="-0.24994659260841701"/>
      </font>
    </dxf>
    <dxf>
      <font>
        <color theme="1"/>
        <name val="Cambria"/>
        <scheme val="none"/>
      </font>
      <fill>
        <patternFill>
          <bgColor rgb="FFFF7C80"/>
        </patternFill>
      </fill>
    </dxf>
    <dxf>
      <font>
        <strike/>
        <color rgb="FFFF0000"/>
      </font>
    </dxf>
    <dxf>
      <font>
        <strike/>
        <color rgb="FFFF0000"/>
      </font>
    </dxf>
    <dxf>
      <font>
        <strike/>
        <color rgb="FFFF0000"/>
      </font>
    </dxf>
    <dxf>
      <font>
        <color theme="0" tint="-0.24994659260841701"/>
      </font>
      <fill>
        <patternFill patternType="none">
          <bgColor indexed="65"/>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indexed="43"/>
        </patternFill>
      </fill>
    </dxf>
    <dxf>
      <font>
        <color theme="0" tint="-0.24994659260841701"/>
      </font>
    </dxf>
    <dxf>
      <font>
        <color theme="0" tint="-0.24994659260841701"/>
      </font>
    </dxf>
    <dxf>
      <font>
        <color theme="0" tint="-0.24994659260841701"/>
      </font>
    </dxf>
    <dxf>
      <font>
        <color theme="0" tint="-0.24994659260841701"/>
      </font>
    </dxf>
    <dxf>
      <font>
        <color theme="1"/>
        <name val="Cambria"/>
        <scheme val="none"/>
      </font>
      <fill>
        <patternFill>
          <bgColor rgb="FFFF5050"/>
        </patternFill>
      </fill>
    </dxf>
    <dxf>
      <font>
        <color theme="0" tint="-0.24994659260841701"/>
      </font>
    </dxf>
    <dxf>
      <font>
        <color theme="1"/>
        <name val="Cambria"/>
        <scheme val="none"/>
      </font>
      <fill>
        <patternFill>
          <bgColor rgb="FFFF7C80"/>
        </patternFill>
      </fill>
    </dxf>
    <dxf>
      <font>
        <strike/>
        <color rgb="FFFF0000"/>
      </font>
    </dxf>
    <dxf>
      <font>
        <strike/>
        <color rgb="FFFF0000"/>
      </font>
    </dxf>
    <dxf>
      <font>
        <strike/>
        <color rgb="FFFF0000"/>
      </font>
    </dxf>
    <dxf>
      <font>
        <color theme="0" tint="-0.24994659260841701"/>
      </font>
      <fill>
        <patternFill patternType="none">
          <bgColor indexed="65"/>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indexed="43"/>
        </patternFill>
      </fill>
    </dxf>
    <dxf>
      <font>
        <color theme="0" tint="-0.24994659260841701"/>
      </font>
    </dxf>
    <dxf>
      <font>
        <color theme="0" tint="-0.24994659260841701"/>
      </font>
    </dxf>
    <dxf>
      <font>
        <color theme="0" tint="-0.24994659260841701"/>
      </font>
    </dxf>
    <dxf>
      <font>
        <color theme="0" tint="-0.24994659260841701"/>
      </font>
    </dxf>
    <dxf>
      <font>
        <color theme="1"/>
        <name val="Cambria"/>
        <scheme val="none"/>
      </font>
      <fill>
        <patternFill>
          <bgColor rgb="FFFF5050"/>
        </patternFill>
      </fill>
    </dxf>
    <dxf>
      <font>
        <color theme="0" tint="-0.24994659260841701"/>
      </font>
    </dxf>
    <dxf>
      <font>
        <color theme="1"/>
        <name val="Cambria"/>
        <scheme val="none"/>
      </font>
      <fill>
        <patternFill>
          <bgColor rgb="FFFF7C80"/>
        </patternFill>
      </fill>
    </dxf>
    <dxf>
      <font>
        <strike/>
        <color rgb="FFFF0000"/>
      </font>
    </dxf>
    <dxf>
      <font>
        <strike/>
        <color rgb="FFFF0000"/>
      </font>
    </dxf>
    <dxf>
      <font>
        <strike/>
        <color rgb="FFFF0000"/>
      </font>
    </dxf>
    <dxf>
      <font>
        <color theme="0" tint="-0.24994659260841701"/>
      </font>
      <fill>
        <patternFill patternType="none">
          <bgColor indexed="65"/>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indexed="43"/>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1"/>
        <name val="Cambria"/>
        <scheme val="none"/>
      </font>
      <fill>
        <patternFill>
          <bgColor rgb="FFFF5050"/>
        </patternFill>
      </fill>
    </dxf>
    <dxf>
      <font>
        <color theme="0" tint="-0.24994659260841701"/>
      </font>
    </dxf>
    <dxf>
      <font>
        <color theme="1"/>
        <name val="Cambria"/>
        <scheme val="none"/>
      </font>
      <fill>
        <patternFill>
          <bgColor rgb="FFFF7C8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5638260061242344E-2"/>
          <c:y val="0.11353110272980584"/>
          <c:w val="0.71591918197725279"/>
          <c:h val="0.74171787350110652"/>
        </c:manualLayout>
      </c:layout>
      <c:bubbleChart>
        <c:varyColors val="0"/>
        <c:ser>
          <c:idx val="0"/>
          <c:order val="0"/>
          <c:tx>
            <c:strRef>
              <c:f>'NCB-SB-GAV'!$B$3</c:f>
              <c:strCache>
                <c:ptCount val="1"/>
                <c:pt idx="0">
                  <c:v>Coal</c:v>
                </c:pt>
              </c:strCache>
            </c:strRef>
          </c:tx>
          <c:spPr>
            <a:ln w="25400">
              <a:solidFill>
                <a:schemeClr val="bg1"/>
              </a:solidFill>
            </a:ln>
          </c:spPr>
          <c:invertIfNegative val="0"/>
          <c:xVal>
            <c:numRef>
              <c:f>'NCB-SB-GAV'!$C$3</c:f>
              <c:numCache>
                <c:formatCode>0.0</c:formatCode>
                <c:ptCount val="1"/>
                <c:pt idx="0">
                  <c:v>-138</c:v>
                </c:pt>
              </c:numCache>
            </c:numRef>
          </c:xVal>
          <c:yVal>
            <c:numRef>
              <c:f>'NCB-SB-GAV'!$D$3</c:f>
              <c:numCache>
                <c:formatCode>0.0</c:formatCode>
                <c:ptCount val="1"/>
                <c:pt idx="0">
                  <c:v>140.8294823501206</c:v>
                </c:pt>
              </c:numCache>
            </c:numRef>
          </c:yVal>
          <c:bubbleSize>
            <c:numRef>
              <c:f>'NCB-SB-GAV'!$E$3</c:f>
              <c:numCache>
                <c:formatCode>0.0</c:formatCode>
                <c:ptCount val="1"/>
                <c:pt idx="0">
                  <c:v>0</c:v>
                </c:pt>
              </c:numCache>
            </c:numRef>
          </c:bubbleSize>
          <c:bubble3D val="0"/>
        </c:ser>
        <c:ser>
          <c:idx val="1"/>
          <c:order val="1"/>
          <c:tx>
            <c:strRef>
              <c:f>'NCB-SB-GAV'!$B$4</c:f>
              <c:strCache>
                <c:ptCount val="1"/>
                <c:pt idx="0">
                  <c:v>Contaminated water</c:v>
                </c:pt>
              </c:strCache>
            </c:strRef>
          </c:tx>
          <c:spPr>
            <a:ln w="25400">
              <a:solidFill>
                <a:schemeClr val="bg1"/>
              </a:solidFill>
            </a:ln>
          </c:spPr>
          <c:invertIfNegative val="0"/>
          <c:xVal>
            <c:numRef>
              <c:f>'NCB-SB-GAV'!$C$4</c:f>
              <c:numCache>
                <c:formatCode>0.0</c:formatCode>
                <c:ptCount val="1"/>
                <c:pt idx="0">
                  <c:v>67</c:v>
                </c:pt>
              </c:numCache>
            </c:numRef>
          </c:xVal>
          <c:yVal>
            <c:numRef>
              <c:f>'NCB-SB-GAV'!$D$4</c:f>
              <c:numCache>
                <c:formatCode>0.0</c:formatCode>
                <c:ptCount val="1"/>
                <c:pt idx="0">
                  <c:v>5.5227247980439452E-2</c:v>
                </c:pt>
              </c:numCache>
            </c:numRef>
          </c:yVal>
          <c:bubbleSize>
            <c:numRef>
              <c:f>'NCB-SB-GAV'!$E$4</c:f>
              <c:numCache>
                <c:formatCode>0.0</c:formatCode>
                <c:ptCount val="1"/>
                <c:pt idx="0">
                  <c:v>0.67055227247980431</c:v>
                </c:pt>
              </c:numCache>
            </c:numRef>
          </c:bubbleSize>
          <c:bubble3D val="0"/>
        </c:ser>
        <c:ser>
          <c:idx val="2"/>
          <c:order val="2"/>
          <c:tx>
            <c:strRef>
              <c:f>'NCB-SB-GAV'!$B$5</c:f>
              <c:strCache>
                <c:ptCount val="1"/>
                <c:pt idx="0">
                  <c:v>Emulsion (Cl &lt; 0.4%)</c:v>
                </c:pt>
              </c:strCache>
            </c:strRef>
          </c:tx>
          <c:spPr>
            <a:ln w="25400">
              <a:solidFill>
                <a:schemeClr val="bg1"/>
              </a:solidFill>
            </a:ln>
          </c:spPr>
          <c:invertIfNegative val="0"/>
          <c:xVal>
            <c:numRef>
              <c:f>'NCB-SB-GAV'!$C$5</c:f>
              <c:numCache>
                <c:formatCode>0.0</c:formatCode>
                <c:ptCount val="1"/>
                <c:pt idx="0">
                  <c:v>-65</c:v>
                </c:pt>
              </c:numCache>
            </c:numRef>
          </c:xVal>
          <c:yVal>
            <c:numRef>
              <c:f>'NCB-SB-GAV'!$D$5</c:f>
              <c:numCache>
                <c:formatCode>0.0</c:formatCode>
                <c:ptCount val="1"/>
                <c:pt idx="0">
                  <c:v>115.97722075892284</c:v>
                </c:pt>
              </c:numCache>
            </c:numRef>
          </c:yVal>
          <c:bubbleSize>
            <c:numRef>
              <c:f>'NCB-SB-GAV'!$E$5</c:f>
              <c:numCache>
                <c:formatCode>0.0</c:formatCode>
                <c:ptCount val="1"/>
                <c:pt idx="0">
                  <c:v>0.50977220758922837</c:v>
                </c:pt>
              </c:numCache>
            </c:numRef>
          </c:bubbleSize>
          <c:bubble3D val="0"/>
        </c:ser>
        <c:ser>
          <c:idx val="3"/>
          <c:order val="3"/>
          <c:tx>
            <c:strRef>
              <c:f>'NCB-SB-GAV'!$B$6</c:f>
              <c:strCache>
                <c:ptCount val="1"/>
                <c:pt idx="0">
                  <c:v>Solvents (Cl &lt; 1.5%)</c:v>
                </c:pt>
              </c:strCache>
            </c:strRef>
          </c:tx>
          <c:spPr>
            <a:ln w="25400">
              <a:solidFill>
                <a:schemeClr val="bg1"/>
              </a:solidFill>
            </a:ln>
          </c:spPr>
          <c:invertIfNegative val="0"/>
          <c:xVal>
            <c:numRef>
              <c:f>'NCB-SB-GAV'!$C$6</c:f>
              <c:numCache>
                <c:formatCode>0.0</c:formatCode>
                <c:ptCount val="1"/>
                <c:pt idx="0">
                  <c:v>-45</c:v>
                </c:pt>
              </c:numCache>
            </c:numRef>
          </c:xVal>
          <c:yVal>
            <c:numRef>
              <c:f>'NCB-SB-GAV'!$D$6</c:f>
              <c:numCache>
                <c:formatCode>0.0</c:formatCode>
                <c:ptCount val="1"/>
                <c:pt idx="0">
                  <c:v>127.02267035501073</c:v>
                </c:pt>
              </c:numCache>
            </c:numRef>
          </c:yVal>
          <c:bubbleSize>
            <c:numRef>
              <c:f>'NCB-SB-GAV'!$E$6</c:f>
              <c:numCache>
                <c:formatCode>0.0</c:formatCode>
                <c:ptCount val="1"/>
                <c:pt idx="0">
                  <c:v>0.82022670355010729</c:v>
                </c:pt>
              </c:numCache>
            </c:numRef>
          </c:bubbleSize>
          <c:bubble3D val="0"/>
        </c:ser>
        <c:ser>
          <c:idx val="4"/>
          <c:order val="4"/>
          <c:tx>
            <c:strRef>
              <c:f>'NCB-SB-GAV'!$B$7</c:f>
              <c:strCache>
                <c:ptCount val="1"/>
                <c:pt idx="0">
                  <c:v>0</c:v>
                </c:pt>
              </c:strCache>
            </c:strRef>
          </c:tx>
          <c:spPr>
            <a:ln w="25400">
              <a:solidFill>
                <a:schemeClr val="bg1"/>
              </a:solidFill>
            </a:ln>
          </c:spPr>
          <c:invertIfNegative val="0"/>
          <c:xVal>
            <c:numRef>
              <c:f>'NCB-SB-GAV'!$C$7</c:f>
              <c:numCache>
                <c:formatCode>0.0</c:formatCode>
                <c:ptCount val="1"/>
                <c:pt idx="0">
                  <c:v>0</c:v>
                </c:pt>
              </c:numCache>
            </c:numRef>
          </c:xVal>
          <c:yVal>
            <c:numRef>
              <c:f>'NCB-SB-GAV'!$D$7</c:f>
              <c:numCache>
                <c:formatCode>0.0</c:formatCode>
                <c:ptCount val="1"/>
                <c:pt idx="0">
                  <c:v>0</c:v>
                </c:pt>
              </c:numCache>
            </c:numRef>
          </c:yVal>
          <c:bubbleSize>
            <c:numRef>
              <c:f>'NCB-SB-GAV'!$E$7</c:f>
              <c:numCache>
                <c:formatCode>0.0</c:formatCode>
                <c:ptCount val="1"/>
                <c:pt idx="0">
                  <c:v>0</c:v>
                </c:pt>
              </c:numCache>
            </c:numRef>
          </c:bubbleSize>
          <c:bubble3D val="0"/>
        </c:ser>
        <c:ser>
          <c:idx val="5"/>
          <c:order val="5"/>
          <c:tx>
            <c:strRef>
              <c:f>'NCB-SB-GAV'!$B$8</c:f>
              <c:strCache>
                <c:ptCount val="1"/>
                <c:pt idx="0">
                  <c:v>0</c:v>
                </c:pt>
              </c:strCache>
            </c:strRef>
          </c:tx>
          <c:spPr>
            <a:ln w="25400">
              <a:solidFill>
                <a:schemeClr val="bg1"/>
              </a:solidFill>
            </a:ln>
          </c:spPr>
          <c:invertIfNegative val="0"/>
          <c:xVal>
            <c:numRef>
              <c:f>'NCB-SB-GAV'!$C$8</c:f>
              <c:numCache>
                <c:formatCode>0.0</c:formatCode>
                <c:ptCount val="1"/>
                <c:pt idx="0">
                  <c:v>0</c:v>
                </c:pt>
              </c:numCache>
            </c:numRef>
          </c:xVal>
          <c:yVal>
            <c:numRef>
              <c:f>'NCB-SB-GAV'!$D$8</c:f>
              <c:numCache>
                <c:formatCode>0.0</c:formatCode>
                <c:ptCount val="1"/>
                <c:pt idx="0">
                  <c:v>0</c:v>
                </c:pt>
              </c:numCache>
            </c:numRef>
          </c:yVal>
          <c:bubbleSize>
            <c:numRef>
              <c:f>'NCB-SB-GAV'!$E$8</c:f>
              <c:numCache>
                <c:formatCode>0.0</c:formatCode>
                <c:ptCount val="1"/>
                <c:pt idx="0">
                  <c:v>0</c:v>
                </c:pt>
              </c:numCache>
            </c:numRef>
          </c:bubbleSize>
          <c:bubble3D val="0"/>
        </c:ser>
        <c:ser>
          <c:idx val="6"/>
          <c:order val="6"/>
          <c:tx>
            <c:strRef>
              <c:f>'NCB-SB-GAV'!$B$9</c:f>
              <c:strCache>
                <c:ptCount val="1"/>
                <c:pt idx="0">
                  <c:v>0</c:v>
                </c:pt>
              </c:strCache>
            </c:strRef>
          </c:tx>
          <c:spPr>
            <a:ln w="25400">
              <a:solidFill>
                <a:schemeClr val="bg1"/>
              </a:solidFill>
            </a:ln>
          </c:spPr>
          <c:invertIfNegative val="0"/>
          <c:xVal>
            <c:numRef>
              <c:f>'NCB-SB-GAV'!$C$9</c:f>
              <c:numCache>
                <c:formatCode>0.0</c:formatCode>
                <c:ptCount val="1"/>
                <c:pt idx="0">
                  <c:v>0</c:v>
                </c:pt>
              </c:numCache>
            </c:numRef>
          </c:xVal>
          <c:yVal>
            <c:numRef>
              <c:f>'NCB-SB-GAV'!$D$9</c:f>
              <c:numCache>
                <c:formatCode>0.0</c:formatCode>
                <c:ptCount val="1"/>
                <c:pt idx="0">
                  <c:v>0</c:v>
                </c:pt>
              </c:numCache>
            </c:numRef>
          </c:yVal>
          <c:bubbleSize>
            <c:numRef>
              <c:f>'NCB-SB-GAV'!$E$9</c:f>
              <c:numCache>
                <c:formatCode>0.0</c:formatCode>
                <c:ptCount val="1"/>
                <c:pt idx="0">
                  <c:v>0</c:v>
                </c:pt>
              </c:numCache>
            </c:numRef>
          </c:bubbleSize>
          <c:bubble3D val="0"/>
        </c:ser>
        <c:ser>
          <c:idx val="7"/>
          <c:order val="7"/>
          <c:tx>
            <c:strRef>
              <c:f>'NCB-SB-GAV'!$B$10</c:f>
              <c:strCache>
                <c:ptCount val="1"/>
                <c:pt idx="0">
                  <c:v>0</c:v>
                </c:pt>
              </c:strCache>
            </c:strRef>
          </c:tx>
          <c:spPr>
            <a:ln w="25400">
              <a:solidFill>
                <a:schemeClr val="bg1"/>
              </a:solidFill>
            </a:ln>
          </c:spPr>
          <c:invertIfNegative val="0"/>
          <c:xVal>
            <c:numRef>
              <c:f>'NCB-SB-GAV'!$C$10</c:f>
              <c:numCache>
                <c:formatCode>0.0</c:formatCode>
                <c:ptCount val="1"/>
                <c:pt idx="0">
                  <c:v>0</c:v>
                </c:pt>
              </c:numCache>
            </c:numRef>
          </c:xVal>
          <c:yVal>
            <c:numRef>
              <c:f>'NCB-SB-GAV'!$D$10</c:f>
              <c:numCache>
                <c:formatCode>0.0</c:formatCode>
                <c:ptCount val="1"/>
                <c:pt idx="0">
                  <c:v>0</c:v>
                </c:pt>
              </c:numCache>
            </c:numRef>
          </c:yVal>
          <c:bubbleSize>
            <c:numRef>
              <c:f>'NCB-SB-GAV'!$E$10</c:f>
              <c:numCache>
                <c:formatCode>0.0</c:formatCode>
                <c:ptCount val="1"/>
                <c:pt idx="0">
                  <c:v>0</c:v>
                </c:pt>
              </c:numCache>
            </c:numRef>
          </c:bubbleSize>
          <c:bubble3D val="0"/>
        </c:ser>
        <c:ser>
          <c:idx val="8"/>
          <c:order val="8"/>
          <c:tx>
            <c:strRef>
              <c:f>'NCB-SB-GAV'!$B$11</c:f>
              <c:strCache>
                <c:ptCount val="1"/>
                <c:pt idx="0">
                  <c:v>0</c:v>
                </c:pt>
              </c:strCache>
            </c:strRef>
          </c:tx>
          <c:spPr>
            <a:ln w="25400">
              <a:solidFill>
                <a:schemeClr val="bg1"/>
              </a:solidFill>
            </a:ln>
          </c:spPr>
          <c:invertIfNegative val="0"/>
          <c:xVal>
            <c:numRef>
              <c:f>'NCB-SB-GAV'!$C$11</c:f>
              <c:numCache>
                <c:formatCode>0.0</c:formatCode>
                <c:ptCount val="1"/>
                <c:pt idx="0">
                  <c:v>0</c:v>
                </c:pt>
              </c:numCache>
            </c:numRef>
          </c:xVal>
          <c:yVal>
            <c:numRef>
              <c:f>'NCB-SB-GAV'!$D$11</c:f>
              <c:numCache>
                <c:formatCode>0.0</c:formatCode>
                <c:ptCount val="1"/>
                <c:pt idx="0">
                  <c:v>0</c:v>
                </c:pt>
              </c:numCache>
            </c:numRef>
          </c:yVal>
          <c:bubbleSize>
            <c:numRef>
              <c:f>'NCB-SB-GAV'!$E$11</c:f>
              <c:numCache>
                <c:formatCode>0.0</c:formatCode>
                <c:ptCount val="1"/>
                <c:pt idx="0">
                  <c:v>0</c:v>
                </c:pt>
              </c:numCache>
            </c:numRef>
          </c:bubbleSize>
          <c:bubble3D val="0"/>
        </c:ser>
        <c:ser>
          <c:idx val="9"/>
          <c:order val="9"/>
          <c:tx>
            <c:strRef>
              <c:f>'NCB-SB-GAV'!$B$12</c:f>
              <c:strCache>
                <c:ptCount val="1"/>
                <c:pt idx="0">
                  <c:v>0</c:v>
                </c:pt>
              </c:strCache>
            </c:strRef>
          </c:tx>
          <c:spPr>
            <a:ln w="25400">
              <a:solidFill>
                <a:schemeClr val="bg1"/>
              </a:solidFill>
            </a:ln>
          </c:spPr>
          <c:invertIfNegative val="0"/>
          <c:xVal>
            <c:numRef>
              <c:f>'NCB-SB-GAV'!$C$12</c:f>
              <c:numCache>
                <c:formatCode>0.0</c:formatCode>
                <c:ptCount val="1"/>
                <c:pt idx="0">
                  <c:v>0</c:v>
                </c:pt>
              </c:numCache>
            </c:numRef>
          </c:xVal>
          <c:yVal>
            <c:numRef>
              <c:f>'NCB-SB-GAV'!$D$12</c:f>
              <c:numCache>
                <c:formatCode>0.0</c:formatCode>
                <c:ptCount val="1"/>
                <c:pt idx="0">
                  <c:v>0</c:v>
                </c:pt>
              </c:numCache>
            </c:numRef>
          </c:yVal>
          <c:bubbleSize>
            <c:numRef>
              <c:f>'NCB-SB-GAV'!$E$12</c:f>
              <c:numCache>
                <c:formatCode>0.0</c:formatCode>
                <c:ptCount val="1"/>
                <c:pt idx="0">
                  <c:v>0</c:v>
                </c:pt>
              </c:numCache>
            </c:numRef>
          </c:bubbleSize>
          <c:bubble3D val="0"/>
        </c:ser>
        <c:ser>
          <c:idx val="10"/>
          <c:order val="10"/>
          <c:tx>
            <c:strRef>
              <c:f>'NCB-SB-GAV'!$B$13</c:f>
              <c:strCache>
                <c:ptCount val="1"/>
                <c:pt idx="0">
                  <c:v>0</c:v>
                </c:pt>
              </c:strCache>
            </c:strRef>
          </c:tx>
          <c:spPr>
            <a:ln w="25400">
              <a:solidFill>
                <a:schemeClr val="bg1"/>
              </a:solidFill>
            </a:ln>
          </c:spPr>
          <c:invertIfNegative val="0"/>
          <c:xVal>
            <c:numRef>
              <c:f>'NCB-SB-GAV'!$C$13</c:f>
              <c:numCache>
                <c:formatCode>0.0</c:formatCode>
                <c:ptCount val="1"/>
                <c:pt idx="0">
                  <c:v>0</c:v>
                </c:pt>
              </c:numCache>
            </c:numRef>
          </c:xVal>
          <c:yVal>
            <c:numRef>
              <c:f>'NCB-SB-GAV'!$D$13</c:f>
              <c:numCache>
                <c:formatCode>0.0</c:formatCode>
                <c:ptCount val="1"/>
                <c:pt idx="0">
                  <c:v>0</c:v>
                </c:pt>
              </c:numCache>
            </c:numRef>
          </c:yVal>
          <c:bubbleSize>
            <c:numRef>
              <c:f>'NCB-SB-GAV'!$E$13</c:f>
              <c:numCache>
                <c:formatCode>0.0</c:formatCode>
                <c:ptCount val="1"/>
                <c:pt idx="0">
                  <c:v>0</c:v>
                </c:pt>
              </c:numCache>
            </c:numRef>
          </c:bubbleSize>
          <c:bubble3D val="0"/>
        </c:ser>
        <c:ser>
          <c:idx val="11"/>
          <c:order val="11"/>
          <c:tx>
            <c:strRef>
              <c:f>'NCB-SB-GAV'!$B$14</c:f>
              <c:strCache>
                <c:ptCount val="1"/>
                <c:pt idx="0">
                  <c:v>0</c:v>
                </c:pt>
              </c:strCache>
            </c:strRef>
          </c:tx>
          <c:spPr>
            <a:ln w="25400">
              <a:solidFill>
                <a:schemeClr val="bg1"/>
              </a:solidFill>
            </a:ln>
          </c:spPr>
          <c:invertIfNegative val="0"/>
          <c:xVal>
            <c:numRef>
              <c:f>'NCB-SB-GAV'!$C$14</c:f>
              <c:numCache>
                <c:formatCode>0.0</c:formatCode>
                <c:ptCount val="1"/>
                <c:pt idx="0">
                  <c:v>0</c:v>
                </c:pt>
              </c:numCache>
            </c:numRef>
          </c:xVal>
          <c:yVal>
            <c:numRef>
              <c:f>'NCB-SB-GAV'!$D$14</c:f>
              <c:numCache>
                <c:formatCode>0.0</c:formatCode>
                <c:ptCount val="1"/>
                <c:pt idx="0">
                  <c:v>0</c:v>
                </c:pt>
              </c:numCache>
            </c:numRef>
          </c:yVal>
          <c:bubbleSize>
            <c:numRef>
              <c:f>'NCB-SB-GAV'!$E$14</c:f>
              <c:numCache>
                <c:formatCode>0.0</c:formatCode>
                <c:ptCount val="1"/>
                <c:pt idx="0">
                  <c:v>0</c:v>
                </c:pt>
              </c:numCache>
            </c:numRef>
          </c:bubbleSize>
          <c:bubble3D val="0"/>
        </c:ser>
        <c:ser>
          <c:idx val="12"/>
          <c:order val="12"/>
          <c:tx>
            <c:strRef>
              <c:f>'NCB-SB-GAV'!$B$15</c:f>
              <c:strCache>
                <c:ptCount val="1"/>
                <c:pt idx="0">
                  <c:v>0</c:v>
                </c:pt>
              </c:strCache>
            </c:strRef>
          </c:tx>
          <c:spPr>
            <a:ln w="25400">
              <a:solidFill>
                <a:schemeClr val="bg1"/>
              </a:solidFill>
            </a:ln>
          </c:spPr>
          <c:invertIfNegative val="0"/>
          <c:xVal>
            <c:numRef>
              <c:f>'NCB-SB-GAV'!$C$15</c:f>
              <c:numCache>
                <c:formatCode>0.0</c:formatCode>
                <c:ptCount val="1"/>
                <c:pt idx="0">
                  <c:v>0</c:v>
                </c:pt>
              </c:numCache>
            </c:numRef>
          </c:xVal>
          <c:yVal>
            <c:numRef>
              <c:f>'NCB-SB-GAV'!$D$15</c:f>
              <c:numCache>
                <c:formatCode>0.0</c:formatCode>
                <c:ptCount val="1"/>
                <c:pt idx="0">
                  <c:v>0</c:v>
                </c:pt>
              </c:numCache>
            </c:numRef>
          </c:yVal>
          <c:bubbleSize>
            <c:numRef>
              <c:f>'NCB-SB-GAV'!$E$15</c:f>
              <c:numCache>
                <c:formatCode>0.0</c:formatCode>
                <c:ptCount val="1"/>
                <c:pt idx="0">
                  <c:v>0</c:v>
                </c:pt>
              </c:numCache>
            </c:numRef>
          </c:bubbleSize>
          <c:bubble3D val="0"/>
        </c:ser>
        <c:ser>
          <c:idx val="13"/>
          <c:order val="13"/>
          <c:tx>
            <c:strRef>
              <c:f>'NCB-SB-GAV'!$B$17:$B$18</c:f>
              <c:strCache>
                <c:ptCount val="1"/>
                <c:pt idx="0">
                  <c:v>Helper Line 1 _______</c:v>
                </c:pt>
              </c:strCache>
            </c:strRef>
          </c:tx>
          <c:spPr>
            <a:noFill/>
            <a:ln w="25400">
              <a:noFill/>
            </a:ln>
          </c:spPr>
          <c:invertIfNegative val="0"/>
          <c:trendline>
            <c:spPr>
              <a:ln>
                <a:solidFill>
                  <a:srgbClr val="FF0000"/>
                </a:solidFill>
              </a:ln>
            </c:spPr>
            <c:trendlineType val="linear"/>
            <c:dispRSqr val="0"/>
            <c:dispEq val="0"/>
          </c:trendline>
          <c:xVal>
            <c:numRef>
              <c:f>'NCB-SB-GAV'!$C$17:$C$18</c:f>
              <c:numCache>
                <c:formatCode>0</c:formatCode>
                <c:ptCount val="2"/>
                <c:pt idx="0">
                  <c:v>0</c:v>
                </c:pt>
                <c:pt idx="1">
                  <c:v>-200</c:v>
                </c:pt>
              </c:numCache>
            </c:numRef>
          </c:xVal>
          <c:yVal>
            <c:numRef>
              <c:f>'NCB-SB-GAV'!$D$17:$D$18</c:f>
              <c:numCache>
                <c:formatCode>0</c:formatCode>
                <c:ptCount val="2"/>
                <c:pt idx="0">
                  <c:v>0</c:v>
                </c:pt>
                <c:pt idx="1">
                  <c:v>200</c:v>
                </c:pt>
              </c:numCache>
            </c:numRef>
          </c:yVal>
          <c:bubbleSize>
            <c:numRef>
              <c:f>'NCB-SB-GAV'!$E$17:$E$18</c:f>
              <c:numCache>
                <c:formatCode>0</c:formatCode>
                <c:ptCount val="2"/>
                <c:pt idx="0">
                  <c:v>1</c:v>
                </c:pt>
                <c:pt idx="1">
                  <c:v>1</c:v>
                </c:pt>
              </c:numCache>
            </c:numRef>
          </c:bubbleSize>
          <c:bubble3D val="0"/>
        </c:ser>
        <c:ser>
          <c:idx val="14"/>
          <c:order val="14"/>
          <c:tx>
            <c:strRef>
              <c:f>'NCB-SB-GAV'!$B$19:$B$20</c:f>
              <c:strCache>
                <c:ptCount val="1"/>
                <c:pt idx="0">
                  <c:v>Helper Line 2 _______</c:v>
                </c:pt>
              </c:strCache>
            </c:strRef>
          </c:tx>
          <c:spPr>
            <a:noFill/>
            <a:ln w="25400">
              <a:noFill/>
            </a:ln>
          </c:spPr>
          <c:invertIfNegative val="0"/>
          <c:trendline>
            <c:spPr>
              <a:ln>
                <a:solidFill>
                  <a:srgbClr val="00B050"/>
                </a:solidFill>
                <a:prstDash val="solid"/>
              </a:ln>
            </c:spPr>
            <c:trendlineType val="linear"/>
            <c:dispRSqr val="0"/>
            <c:dispEq val="0"/>
          </c:trendline>
          <c:xVal>
            <c:numRef>
              <c:f>'NCB-SB-GAV'!$C$19:$C$20</c:f>
              <c:numCache>
                <c:formatCode>0</c:formatCode>
                <c:ptCount val="2"/>
                <c:pt idx="0">
                  <c:v>0</c:v>
                </c:pt>
                <c:pt idx="1">
                  <c:v>200</c:v>
                </c:pt>
              </c:numCache>
            </c:numRef>
          </c:xVal>
          <c:yVal>
            <c:numRef>
              <c:f>'NCB-SB-GAV'!$D$19:$D$20</c:f>
              <c:numCache>
                <c:formatCode>0</c:formatCode>
                <c:ptCount val="2"/>
                <c:pt idx="0">
                  <c:v>0</c:v>
                </c:pt>
                <c:pt idx="1">
                  <c:v>300</c:v>
                </c:pt>
              </c:numCache>
            </c:numRef>
          </c:yVal>
          <c:bubbleSize>
            <c:numRef>
              <c:f>'NCB-SB-GAV'!$E$19:$E$20</c:f>
              <c:numCache>
                <c:formatCode>0</c:formatCode>
                <c:ptCount val="2"/>
                <c:pt idx="0">
                  <c:v>1</c:v>
                </c:pt>
                <c:pt idx="1">
                  <c:v>1</c:v>
                </c:pt>
              </c:numCache>
            </c:numRef>
          </c:bubbleSize>
          <c:bubble3D val="0"/>
        </c:ser>
        <c:ser>
          <c:idx val="15"/>
          <c:order val="15"/>
          <c:tx>
            <c:strRef>
              <c:f>'NCB-SB-GAV'!$B$21:$B$22</c:f>
              <c:strCache>
                <c:ptCount val="1"/>
                <c:pt idx="0">
                  <c:v>Helper Line 3 _______</c:v>
                </c:pt>
              </c:strCache>
            </c:strRef>
          </c:tx>
          <c:spPr>
            <a:noFill/>
            <a:ln w="25400">
              <a:noFill/>
            </a:ln>
          </c:spPr>
          <c:invertIfNegative val="0"/>
          <c:trendline>
            <c:spPr>
              <a:ln>
                <a:solidFill>
                  <a:srgbClr val="00B050"/>
                </a:solidFill>
              </a:ln>
            </c:spPr>
            <c:trendlineType val="linear"/>
            <c:dispRSqr val="0"/>
            <c:dispEq val="0"/>
          </c:trendline>
          <c:xVal>
            <c:numRef>
              <c:f>'NCB-SB-GAV'!$C$21:$C$22</c:f>
              <c:numCache>
                <c:formatCode>0</c:formatCode>
                <c:ptCount val="2"/>
                <c:pt idx="0">
                  <c:v>0</c:v>
                </c:pt>
                <c:pt idx="1">
                  <c:v>200</c:v>
                </c:pt>
              </c:numCache>
            </c:numRef>
          </c:xVal>
          <c:yVal>
            <c:numRef>
              <c:f>'NCB-SB-GAV'!$D$21:$D$22</c:f>
              <c:numCache>
                <c:formatCode>0</c:formatCode>
                <c:ptCount val="2"/>
                <c:pt idx="0">
                  <c:v>0</c:v>
                </c:pt>
                <c:pt idx="1">
                  <c:v>100</c:v>
                </c:pt>
              </c:numCache>
            </c:numRef>
          </c:yVal>
          <c:bubbleSize>
            <c:numRef>
              <c:f>'NCB-SB-GAV'!$E$21:$E$22</c:f>
              <c:numCache>
                <c:formatCode>0</c:formatCode>
                <c:ptCount val="2"/>
                <c:pt idx="0">
                  <c:v>1</c:v>
                </c:pt>
                <c:pt idx="1">
                  <c:v>1</c:v>
                </c:pt>
              </c:numCache>
            </c:numRef>
          </c:bubbleSize>
          <c:bubble3D val="0"/>
        </c:ser>
        <c:dLbls>
          <c:showLegendKey val="0"/>
          <c:showVal val="0"/>
          <c:showCatName val="0"/>
          <c:showSerName val="0"/>
          <c:showPercent val="0"/>
          <c:showBubbleSize val="0"/>
        </c:dLbls>
        <c:bubbleScale val="100"/>
        <c:showNegBubbles val="0"/>
        <c:axId val="342901888"/>
        <c:axId val="342903808"/>
      </c:bubbleChart>
      <c:valAx>
        <c:axId val="342901888"/>
        <c:scaling>
          <c:orientation val="minMax"/>
          <c:max val="200"/>
          <c:min val="-200"/>
        </c:scaling>
        <c:delete val="0"/>
        <c:axPos val="b"/>
        <c:title>
          <c:tx>
            <c:rich>
              <a:bodyPr/>
              <a:lstStyle/>
              <a:p>
                <a:pPr>
                  <a:defRPr sz="1100" b="0" i="0" u="none" strike="noStrike" baseline="0">
                    <a:solidFill>
                      <a:srgbClr val="000000"/>
                    </a:solidFill>
                    <a:latin typeface="Calibri"/>
                    <a:ea typeface="Calibri"/>
                    <a:cs typeface="Calibri"/>
                  </a:defRPr>
                </a:pPr>
                <a:r>
                  <a:rPr lang="de-CH" sz="1000" b="0" i="0" u="none" strike="noStrike" baseline="0">
                    <a:solidFill>
                      <a:srgbClr val="000000"/>
                    </a:solidFill>
                    <a:latin typeface="Calibri"/>
                  </a:rPr>
                  <a:t>"-": we pay    </a:t>
                </a:r>
                <a:r>
                  <a:rPr lang="de-CH" sz="1000" b="1" i="0" u="none" strike="noStrike" baseline="0">
                    <a:solidFill>
                      <a:srgbClr val="000000"/>
                    </a:solidFill>
                    <a:latin typeface="Calibri"/>
                  </a:rPr>
                  <a:t>NCB [$/t AF]</a:t>
                </a:r>
                <a:r>
                  <a:rPr lang="de-CH" sz="1000" b="0" i="0" u="none" strike="noStrike" baseline="0">
                    <a:solidFill>
                      <a:srgbClr val="000000"/>
                    </a:solidFill>
                    <a:latin typeface="Calibri"/>
                  </a:rPr>
                  <a:t>    "+": we get paid</a:t>
                </a:r>
              </a:p>
            </c:rich>
          </c:tx>
          <c:layout>
            <c:manualLayout>
              <c:xMode val="edge"/>
              <c:yMode val="edge"/>
              <c:x val="0.22055254811898511"/>
              <c:y val="0.92615455873445685"/>
            </c:manualLayout>
          </c:layout>
          <c:overlay val="0"/>
          <c:spPr>
            <a:solidFill>
              <a:schemeClr val="bg1"/>
            </a:solidFill>
            <a:ln>
              <a:solidFill>
                <a:schemeClr val="bg1">
                  <a:lumMod val="50000"/>
                </a:schemeClr>
              </a:solidFill>
            </a:ln>
          </c:spPr>
        </c:title>
        <c:numFmt formatCode="0" sourceLinked="0"/>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n-US"/>
          </a:p>
        </c:txPr>
        <c:crossAx val="342903808"/>
        <c:crosses val="autoZero"/>
        <c:crossBetween val="midCat"/>
      </c:valAx>
      <c:valAx>
        <c:axId val="342903808"/>
        <c:scaling>
          <c:orientation val="minMax"/>
          <c:max val="200"/>
          <c:min val="0"/>
        </c:scaling>
        <c:delete val="0"/>
        <c:axPos val="l"/>
        <c:title>
          <c:tx>
            <c:rich>
              <a:bodyPr rot="0" vert="horz"/>
              <a:lstStyle/>
              <a:p>
                <a:pPr algn="ctr">
                  <a:defRPr sz="1000" b="1" i="0" u="none" strike="noStrike" baseline="0">
                    <a:solidFill>
                      <a:srgbClr val="000000"/>
                    </a:solidFill>
                    <a:latin typeface="Calibri"/>
                    <a:ea typeface="Calibri"/>
                    <a:cs typeface="Calibri"/>
                  </a:defRPr>
                </a:pPr>
                <a:r>
                  <a:rPr lang="de-CH"/>
                  <a:t>SB [$/t AF]</a:t>
                </a:r>
              </a:p>
            </c:rich>
          </c:tx>
          <c:layout>
            <c:manualLayout>
              <c:xMode val="edge"/>
              <c:yMode val="edge"/>
              <c:x val="0.34190630468066491"/>
              <c:y val="2.6149333143311835E-2"/>
            </c:manualLayout>
          </c:layout>
          <c:overlay val="0"/>
          <c:spPr>
            <a:solidFill>
              <a:schemeClr val="bg1"/>
            </a:solidFill>
            <a:ln>
              <a:solidFill>
                <a:schemeClr val="bg1">
                  <a:lumMod val="50000"/>
                </a:schemeClr>
              </a:solidFill>
            </a:ln>
          </c:spPr>
        </c:title>
        <c:numFmt formatCode="0" sourceLinked="0"/>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n-US"/>
          </a:p>
        </c:txPr>
        <c:crossAx val="342901888"/>
        <c:crosses val="autoZero"/>
        <c:crossBetween val="midCat"/>
        <c:majorUnit val="50"/>
      </c:valAx>
      <c:spPr>
        <a:ln>
          <a:solidFill>
            <a:schemeClr val="bg1">
              <a:lumMod val="50000"/>
            </a:schemeClr>
          </a:solidFill>
        </a:ln>
      </c:spPr>
    </c:plotArea>
    <c:legend>
      <c:legendPos val="r"/>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overlay val="0"/>
      <c:spPr>
        <a:solidFill>
          <a:schemeClr val="bg1"/>
        </a:solidFill>
      </c:spPr>
      <c:txPr>
        <a:bodyPr/>
        <a:lstStyle/>
        <a:p>
          <a:pPr>
            <a:defRPr sz="240" b="0" i="0" u="none" strike="noStrike" baseline="0">
              <a:solidFill>
                <a:srgbClr val="000000"/>
              </a:solidFill>
              <a:latin typeface="Calibri"/>
              <a:ea typeface="Calibri"/>
              <a:cs typeface="Calibri"/>
            </a:defRPr>
          </a:pPr>
          <a:endParaRPr lang="en-US"/>
        </a:p>
      </c:txPr>
    </c:legend>
    <c:plotVisOnly val="1"/>
    <c:dispBlanksAs val="gap"/>
    <c:showDLblsOverMax val="0"/>
  </c:chart>
  <c:spPr>
    <a:gradFill>
      <a:gsLst>
        <a:gs pos="62000">
          <a:schemeClr val="bg1"/>
        </a:gs>
        <a:gs pos="50000">
          <a:schemeClr val="bg1"/>
        </a:gs>
        <a:gs pos="100000">
          <a:srgbClr val="FF0000"/>
        </a:gs>
        <a:gs pos="0">
          <a:srgbClr val="00B050"/>
        </a:gs>
        <a:gs pos="100000">
          <a:schemeClr val="accent1">
            <a:tint val="23500"/>
            <a:satMod val="160000"/>
          </a:schemeClr>
        </a:gs>
      </a:gsLst>
      <a:lin ang="8100000" scaled="0"/>
    </a:gra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emf"/></Relationships>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0</xdr:colOff>
      <xdr:row>19</xdr:row>
      <xdr:rowOff>0</xdr:rowOff>
    </xdr:to>
    <xdr:sp macro="" textlink="">
      <xdr:nvSpPr>
        <xdr:cNvPr id="1644750" name="Rectangle 1"/>
        <xdr:cNvSpPr>
          <a:spLocks noChangeArrowheads="1"/>
        </xdr:cNvSpPr>
      </xdr:nvSpPr>
      <xdr:spPr bwMode="auto">
        <a:xfrm>
          <a:off x="180975" y="161925"/>
          <a:ext cx="6305550" cy="32480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808080" mc:Ignorable="a14" a14:legacySpreadsheetColorIndex="23">
                  <a:alpha val="50195"/>
                </a:srgbClr>
              </a:solidFill>
            </a14:hiddenFill>
          </a:ext>
          <a:ext uri="{53640926-AAD7-44D8-BBD7-CCE9431645EC}">
            <a14:shadowObscured xmlns:a14="http://schemas.microsoft.com/office/drawing/2010/main" val="1"/>
          </a:ext>
        </a:extLst>
      </xdr:spPr>
    </xdr:sp>
    <xdr:clientData/>
  </xdr:twoCellAnchor>
  <xdr:twoCellAnchor editAs="oneCell">
    <xdr:from>
      <xdr:col>2</xdr:col>
      <xdr:colOff>9525</xdr:colOff>
      <xdr:row>69</xdr:row>
      <xdr:rowOff>95250</xdr:rowOff>
    </xdr:from>
    <xdr:to>
      <xdr:col>13</xdr:col>
      <xdr:colOff>400050</xdr:colOff>
      <xdr:row>90</xdr:row>
      <xdr:rowOff>66675</xdr:rowOff>
    </xdr:to>
    <xdr:pic>
      <xdr:nvPicPr>
        <xdr:cNvPr id="1644751" name="Picture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9575" y="11753850"/>
          <a:ext cx="5581650" cy="3371850"/>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oneCellAnchor>
    <xdr:from>
      <xdr:col>2</xdr:col>
      <xdr:colOff>0</xdr:colOff>
      <xdr:row>98</xdr:row>
      <xdr:rowOff>137788</xdr:rowOff>
    </xdr:from>
    <xdr:ext cx="3924000" cy="540000"/>
    <mc:AlternateContent xmlns:mc="http://schemas.openxmlformats.org/markup-compatibility/2006" xmlns:a14="http://schemas.microsoft.com/office/drawing/2010/main">
      <mc:Choice Requires="a14">
        <xdr:sp macro="" textlink="">
          <xdr:nvSpPr>
            <xdr:cNvPr id="2" name="TextBox 1"/>
            <xdr:cNvSpPr txBox="1"/>
          </xdr:nvSpPr>
          <xdr:spPr bwMode="auto">
            <a:xfrm>
              <a:off x="400050" y="14025238"/>
              <a:ext cx="3924000" cy="540000"/>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000" b="0" i="1">
                        <a:latin typeface="Cambria Math"/>
                        <a:cs typeface="Arial" pitchFamily="34" charset="0"/>
                      </a:rPr>
                      <m:t>𝑇𝑆𝑅</m:t>
                    </m:r>
                    <m:r>
                      <a:rPr lang="de-DE" sz="1000" b="0" i="1">
                        <a:latin typeface="Cambria Math"/>
                        <a:cs typeface="Arial" pitchFamily="34" charset="0"/>
                      </a:rPr>
                      <m:t>, %= </m:t>
                    </m:r>
                    <m:f>
                      <m:fPr>
                        <m:ctrlPr>
                          <a:rPr lang="de-DE" sz="1000" b="0" i="1">
                            <a:latin typeface="Cambria Math"/>
                            <a:cs typeface="Arial" pitchFamily="34" charset="0"/>
                          </a:rPr>
                        </m:ctrlPr>
                      </m:fPr>
                      <m:num>
                        <m:r>
                          <a:rPr lang="de-DE" sz="1000" b="0" i="1">
                            <a:latin typeface="Cambria Math"/>
                            <a:cs typeface="Arial" pitchFamily="34" charset="0"/>
                          </a:rPr>
                          <m:t>𝐸𝑛𝑒𝑟𝑔𝑦</m:t>
                        </m:r>
                        <m:r>
                          <a:rPr lang="de-DE" sz="1000" b="0" i="1">
                            <a:latin typeface="Cambria Math"/>
                            <a:cs typeface="Arial" pitchFamily="34" charset="0"/>
                          </a:rPr>
                          <m:t> </m:t>
                        </m:r>
                        <m:r>
                          <a:rPr lang="de-DE" sz="1000" b="0" i="1">
                            <a:latin typeface="Cambria Math"/>
                            <a:cs typeface="Arial" pitchFamily="34" charset="0"/>
                          </a:rPr>
                          <m:t>𝑓𝑟𝑜𝑚</m:t>
                        </m:r>
                        <m:r>
                          <a:rPr lang="de-DE" sz="1000" b="0" i="1">
                            <a:latin typeface="Cambria Math"/>
                            <a:cs typeface="Arial" pitchFamily="34" charset="0"/>
                          </a:rPr>
                          <m:t> </m:t>
                        </m:r>
                        <m:r>
                          <a:rPr lang="de-DE" sz="1000" b="0" i="1">
                            <a:latin typeface="Cambria Math"/>
                            <a:cs typeface="Arial" pitchFamily="34" charset="0"/>
                          </a:rPr>
                          <m:t>𝑎𝑙𝑡𝑒𝑟𝑛𝑎𝑡𝑖𝑣𝑒</m:t>
                        </m:r>
                        <m:r>
                          <a:rPr lang="de-DE" sz="1000" b="0" i="1">
                            <a:latin typeface="Cambria Math"/>
                            <a:cs typeface="Arial" pitchFamily="34" charset="0"/>
                          </a:rPr>
                          <m:t> </m:t>
                        </m:r>
                        <m:r>
                          <a:rPr lang="de-DE" sz="1000" b="0" i="1">
                            <a:latin typeface="Cambria Math"/>
                            <a:cs typeface="Arial" pitchFamily="34" charset="0"/>
                          </a:rPr>
                          <m:t>𝑓𝑢𝑒𝑙𝑠</m:t>
                        </m:r>
                        <m:r>
                          <a:rPr lang="de-DE" sz="1000" b="0" i="1">
                            <a:latin typeface="Cambria Math"/>
                            <a:cs typeface="Arial" pitchFamily="34" charset="0"/>
                          </a:rPr>
                          <m:t> </m:t>
                        </m:r>
                        <m:r>
                          <a:rPr lang="de-DE" sz="1000" b="0" i="1">
                            <a:latin typeface="Cambria Math"/>
                            <a:cs typeface="Arial" pitchFamily="34" charset="0"/>
                          </a:rPr>
                          <m:t>𝑓𝑜𝑟</m:t>
                        </m:r>
                        <m:r>
                          <a:rPr lang="de-DE" sz="1000" b="0" i="1">
                            <a:latin typeface="Cambria Math"/>
                            <a:cs typeface="Arial" pitchFamily="34" charset="0"/>
                          </a:rPr>
                          <m:t> </m:t>
                        </m:r>
                        <m:r>
                          <a:rPr lang="de-DE" sz="1000" b="0" i="1">
                            <a:latin typeface="Cambria Math"/>
                            <a:cs typeface="Arial" pitchFamily="34" charset="0"/>
                          </a:rPr>
                          <m:t>𝑘𝑖𝑙𝑛</m:t>
                        </m:r>
                        <m:r>
                          <a:rPr lang="de-DE" sz="1000" b="0" i="1">
                            <a:latin typeface="Cambria Math"/>
                            <a:cs typeface="Arial" pitchFamily="34" charset="0"/>
                          </a:rPr>
                          <m:t> </m:t>
                        </m:r>
                        <m:r>
                          <a:rPr lang="de-DE" sz="1000" b="0" i="1">
                            <a:latin typeface="Cambria Math"/>
                            <a:cs typeface="Arial" pitchFamily="34" charset="0"/>
                          </a:rPr>
                          <m:t>𝑠𝑦𝑠𝑡𝑒𝑚</m:t>
                        </m:r>
                      </m:num>
                      <m:den>
                        <m:r>
                          <a:rPr lang="de-DE" sz="1000" b="0" i="1">
                            <a:latin typeface="Cambria Math"/>
                            <a:cs typeface="Arial" pitchFamily="34" charset="0"/>
                          </a:rPr>
                          <m:t>𝑇𝑜𝑡𝑎𝑙</m:t>
                        </m:r>
                        <m:r>
                          <a:rPr lang="de-DE" sz="1000" b="0" i="1">
                            <a:latin typeface="Cambria Math"/>
                            <a:cs typeface="Arial" pitchFamily="34" charset="0"/>
                          </a:rPr>
                          <m:t> </m:t>
                        </m:r>
                        <m:r>
                          <a:rPr lang="de-DE" sz="1000" b="0" i="1">
                            <a:latin typeface="Cambria Math"/>
                            <a:cs typeface="Arial" pitchFamily="34" charset="0"/>
                          </a:rPr>
                          <m:t>𝑡h𝑒𝑟𝑚𝑎𝑙</m:t>
                        </m:r>
                        <m:r>
                          <a:rPr lang="de-DE" sz="1000" b="0" i="1">
                            <a:latin typeface="Cambria Math"/>
                            <a:cs typeface="Arial" pitchFamily="34" charset="0"/>
                          </a:rPr>
                          <m:t> </m:t>
                        </m:r>
                        <m:r>
                          <a:rPr lang="de-DE" sz="1000" b="0" i="1">
                            <a:latin typeface="Cambria Math"/>
                            <a:cs typeface="Arial" pitchFamily="34" charset="0"/>
                          </a:rPr>
                          <m:t>𝑒𝑛𝑒𝑟𝑔𝑦</m:t>
                        </m:r>
                        <m:r>
                          <a:rPr lang="de-DE" sz="1000" b="0" i="1">
                            <a:latin typeface="Cambria Math"/>
                            <a:cs typeface="Arial" pitchFamily="34" charset="0"/>
                          </a:rPr>
                          <m:t> </m:t>
                        </m:r>
                        <m:r>
                          <a:rPr lang="de-DE" sz="1000" b="0" i="1">
                            <a:latin typeface="Cambria Math"/>
                            <a:cs typeface="Arial" pitchFamily="34" charset="0"/>
                          </a:rPr>
                          <m:t>𝑐𝑜𝑛𝑠𝑢𝑚𝑝𝑡𝑖𝑜𝑛</m:t>
                        </m:r>
                        <m:r>
                          <a:rPr lang="de-DE" sz="1000" b="0" i="1">
                            <a:latin typeface="Cambria Math"/>
                            <a:cs typeface="Arial" pitchFamily="34" charset="0"/>
                          </a:rPr>
                          <m:t> </m:t>
                        </m:r>
                        <m:r>
                          <a:rPr lang="de-DE" sz="1000" b="0" i="1">
                            <a:latin typeface="Cambria Math"/>
                            <a:cs typeface="Arial" pitchFamily="34" charset="0"/>
                          </a:rPr>
                          <m:t>𝑜𝑓</m:t>
                        </m:r>
                        <m:r>
                          <a:rPr lang="de-DE" sz="1000" b="0" i="1">
                            <a:latin typeface="Cambria Math"/>
                            <a:cs typeface="Arial" pitchFamily="34" charset="0"/>
                          </a:rPr>
                          <m:t> </m:t>
                        </m:r>
                        <m:r>
                          <a:rPr lang="de-DE" sz="1000" b="0" i="1">
                            <a:latin typeface="Cambria Math"/>
                            <a:cs typeface="Arial" pitchFamily="34" charset="0"/>
                          </a:rPr>
                          <m:t>𝑘𝑖𝑙𝑛</m:t>
                        </m:r>
                        <m:r>
                          <a:rPr lang="de-DE" sz="1000" b="0" i="1">
                            <a:latin typeface="Cambria Math"/>
                            <a:cs typeface="Arial" pitchFamily="34" charset="0"/>
                          </a:rPr>
                          <m:t> </m:t>
                        </m:r>
                        <m:r>
                          <a:rPr lang="de-DE" sz="1000" b="0" i="1">
                            <a:latin typeface="Cambria Math"/>
                            <a:cs typeface="Arial" pitchFamily="34" charset="0"/>
                          </a:rPr>
                          <m:t>𝑠𝑦𝑠𝑡𝑒𝑚</m:t>
                        </m:r>
                      </m:den>
                    </m:f>
                    <m:r>
                      <a:rPr lang="de-DE" sz="1000" b="0" i="1">
                        <a:latin typeface="Cambria Math"/>
                        <a:ea typeface="Cambria Math"/>
                        <a:cs typeface="Arial" pitchFamily="34" charset="0"/>
                      </a:rPr>
                      <m:t>∙100</m:t>
                    </m:r>
                  </m:oMath>
                </m:oMathPara>
              </a14:m>
              <a:endParaRPr lang="de-CH" sz="1000">
                <a:latin typeface="Arial" pitchFamily="34" charset="0"/>
                <a:cs typeface="Arial" pitchFamily="34" charset="0"/>
              </a:endParaRPr>
            </a:p>
          </xdr:txBody>
        </xdr:sp>
      </mc:Choice>
      <mc:Fallback xmlns="">
        <xdr:sp macro="" textlink="">
          <xdr:nvSpPr>
            <xdr:cNvPr id="2" name="TextBox 1"/>
            <xdr:cNvSpPr txBox="1"/>
          </xdr:nvSpPr>
          <xdr:spPr bwMode="auto">
            <a:xfrm>
              <a:off x="400050" y="14025238"/>
              <a:ext cx="3924000" cy="540000"/>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r>
                <a:rPr lang="de-DE" sz="1000" b="0" i="0">
                  <a:latin typeface="Cambria Math"/>
                  <a:cs typeface="Arial" pitchFamily="34" charset="0"/>
                </a:rPr>
                <a:t>𝑇𝑆𝑅, %=  (𝐸𝑛𝑒𝑟𝑔𝑦 𝑓𝑟𝑜𝑚 𝑎𝑙𝑡𝑒𝑟𝑛𝑎𝑡𝑖𝑣𝑒 𝑓𝑢𝑒𝑙𝑠 𝑓𝑜𝑟 𝑘𝑖𝑙𝑛 𝑠𝑦𝑠𝑡𝑒𝑚)/(𝑇𝑜𝑡𝑎𝑙 𝑡ℎ𝑒𝑟𝑚𝑎𝑙 𝑒𝑛𝑒𝑟𝑔𝑦 𝑐𝑜𝑛𝑠𝑢𝑚𝑝𝑡𝑖𝑜𝑛 𝑜𝑓 𝑘𝑖𝑙𝑛 𝑠𝑦𝑠𝑡𝑒𝑚)</a:t>
              </a:r>
              <a:r>
                <a:rPr lang="de-DE" sz="1000" b="0" i="0">
                  <a:latin typeface="Cambria Math"/>
                  <a:ea typeface="Cambria Math"/>
                  <a:cs typeface="Arial" pitchFamily="34" charset="0"/>
                </a:rPr>
                <a:t>∙100</a:t>
              </a:r>
              <a:endParaRPr lang="de-CH" sz="1000">
                <a:latin typeface="Arial" pitchFamily="34" charset="0"/>
                <a:cs typeface="Arial" pitchFamily="34" charset="0"/>
              </a:endParaRPr>
            </a:p>
          </xdr:txBody>
        </xdr:sp>
      </mc:Fallback>
    </mc:AlternateContent>
    <xdr:clientData/>
  </xdr:oneCellAnchor>
  <xdr:twoCellAnchor editAs="oneCell">
    <xdr:from>
      <xdr:col>10</xdr:col>
      <xdr:colOff>323850</xdr:colOff>
      <xdr:row>114</xdr:row>
      <xdr:rowOff>38100</xdr:rowOff>
    </xdr:from>
    <xdr:to>
      <xdr:col>14</xdr:col>
      <xdr:colOff>276225</xdr:colOff>
      <xdr:row>128</xdr:row>
      <xdr:rowOff>66675</xdr:rowOff>
    </xdr:to>
    <xdr:pic>
      <xdr:nvPicPr>
        <xdr:cNvPr id="1644753"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10887" b="13765"/>
        <a:stretch>
          <a:fillRect/>
        </a:stretch>
      </xdr:blipFill>
      <xdr:spPr bwMode="auto">
        <a:xfrm>
          <a:off x="4038600" y="18983325"/>
          <a:ext cx="2438400" cy="2295525"/>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twoCellAnchor>
    <xdr:from>
      <xdr:col>2</xdr:col>
      <xdr:colOff>0</xdr:colOff>
      <xdr:row>111</xdr:row>
      <xdr:rowOff>31175</xdr:rowOff>
    </xdr:from>
    <xdr:to>
      <xdr:col>11</xdr:col>
      <xdr:colOff>152400</xdr:colOff>
      <xdr:row>113</xdr:row>
      <xdr:rowOff>127825</xdr:rowOff>
    </xdr:to>
    <mc:AlternateContent xmlns:mc="http://schemas.openxmlformats.org/markup-compatibility/2006" xmlns:a14="http://schemas.microsoft.com/office/drawing/2010/main">
      <mc:Choice Requires="a14">
        <xdr:sp macro="" textlink="">
          <xdr:nvSpPr>
            <xdr:cNvPr id="12" name="TextBox 10"/>
            <xdr:cNvSpPr txBox="1"/>
          </xdr:nvSpPr>
          <xdr:spPr bwMode="auto">
            <a:xfrm>
              <a:off x="400050" y="18166775"/>
              <a:ext cx="4076700" cy="420500"/>
            </a:xfrm>
            <a:prstGeom prst="rect">
              <a:avLst/>
            </a:prstGeom>
            <a:solidFill>
              <a:srgbClr val="FFFF99"/>
            </a:solidFill>
            <a:ln w="12700">
              <a:solidFill>
                <a:srgbClr val="FF0000"/>
              </a:solidFill>
            </a:ln>
            <a:effectLst/>
            <a:extLst/>
          </xdr:spPr>
          <xdr:txBody>
            <a:bodyPr wrap="square" lIns="18288" tIns="0" rIns="0" bIns="0" rtlCol="0" anchor="ctr" upright="1">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rtl="0"/>
              <a14:m>
                <m:oMathPara xmlns:m="http://schemas.openxmlformats.org/officeDocument/2006/math">
                  <m:oMathParaPr>
                    <m:jc m:val="center"/>
                  </m:oMathParaPr>
                  <m:oMath xmlns:m="http://schemas.openxmlformats.org/officeDocument/2006/math">
                    <m:r>
                      <a:rPr lang="de-DE" sz="1000" b="0" i="1">
                        <a:latin typeface="Cambria Math"/>
                        <a:cs typeface="Arial" pitchFamily="34" charset="0"/>
                      </a:rPr>
                      <m:t>𝑇𝐸𝐸</m:t>
                    </m:r>
                    <m:r>
                      <a:rPr lang="de-DE" sz="1000" b="0" i="1">
                        <a:latin typeface="Cambria Math"/>
                        <a:cs typeface="Arial" pitchFamily="34" charset="0"/>
                      </a:rPr>
                      <m:t>, %=</m:t>
                    </m:r>
                    <m:d>
                      <m:dPr>
                        <m:begChr m:val="["/>
                        <m:endChr m:val="]"/>
                        <m:ctrlPr>
                          <a:rPr lang="de-DE" sz="1000" b="0" i="1">
                            <a:latin typeface="Cambria Math"/>
                            <a:cs typeface="Arial" pitchFamily="34" charset="0"/>
                          </a:rPr>
                        </m:ctrlPr>
                      </m:dPr>
                      <m:e>
                        <m:r>
                          <a:rPr lang="de-DE" sz="1000" b="0" i="1">
                            <a:latin typeface="Cambria Math"/>
                            <a:cs typeface="Arial" pitchFamily="34" charset="0"/>
                          </a:rPr>
                          <m:t>1−</m:t>
                        </m:r>
                        <m:f>
                          <m:fPr>
                            <m:ctrlPr>
                              <a:rPr lang="de-DE" sz="1000" b="0" i="1">
                                <a:latin typeface="Cambria Math"/>
                                <a:cs typeface="Arial" pitchFamily="34" charset="0"/>
                              </a:rPr>
                            </m:ctrlPr>
                          </m:fPr>
                          <m:num>
                            <m:r>
                              <a:rPr lang="de-DE" sz="1000" b="0" i="1">
                                <a:latin typeface="Cambria Math"/>
                                <a:cs typeface="Arial" pitchFamily="34" charset="0"/>
                              </a:rPr>
                              <m:t>𝐴𝑐𝑡𝑢𝑎𝑙</m:t>
                            </m:r>
                            <m:r>
                              <a:rPr lang="de-DE" sz="1000" b="0" i="1">
                                <a:latin typeface="Cambria Math"/>
                                <a:cs typeface="Arial" pitchFamily="34" charset="0"/>
                              </a:rPr>
                              <m:t> </m:t>
                            </m:r>
                            <m:r>
                              <a:rPr lang="de-DE" sz="1000" b="0" i="1">
                                <a:latin typeface="Cambria Math"/>
                                <a:cs typeface="Arial" pitchFamily="34" charset="0"/>
                              </a:rPr>
                              <m:t>𝑐𝑜𝑠𝑡</m:t>
                            </m:r>
                            <m:r>
                              <a:rPr lang="de-DE" sz="1000" b="0" i="1">
                                <a:latin typeface="Cambria Math"/>
                                <a:cs typeface="Arial" pitchFamily="34" charset="0"/>
                              </a:rPr>
                              <m:t> </m:t>
                            </m:r>
                            <m:r>
                              <a:rPr lang="de-DE" sz="1000" b="0" i="1">
                                <a:latin typeface="Cambria Math"/>
                                <a:cs typeface="Arial" pitchFamily="34" charset="0"/>
                              </a:rPr>
                              <m:t>𝑜𝑓</m:t>
                            </m:r>
                            <m:r>
                              <a:rPr lang="de-DE" sz="1000" b="0" i="1">
                                <a:latin typeface="Cambria Math"/>
                                <a:cs typeface="Arial" pitchFamily="34" charset="0"/>
                              </a:rPr>
                              <m:t> </m:t>
                            </m:r>
                            <m:r>
                              <a:rPr lang="de-DE" sz="1000" b="0" i="1">
                                <a:latin typeface="Cambria Math"/>
                                <a:cs typeface="Arial" pitchFamily="34" charset="0"/>
                              </a:rPr>
                              <m:t>𝑡𝑜𝑡𝑎𝑙</m:t>
                            </m:r>
                            <m:r>
                              <a:rPr lang="de-DE" sz="1000" b="0" i="1">
                                <a:latin typeface="Cambria Math"/>
                                <a:cs typeface="Arial" pitchFamily="34" charset="0"/>
                              </a:rPr>
                              <m:t> </m:t>
                            </m:r>
                            <m:r>
                              <a:rPr lang="de-DE" sz="1000" b="0" i="1">
                                <a:latin typeface="Cambria Math"/>
                                <a:cs typeface="Arial" pitchFamily="34" charset="0"/>
                              </a:rPr>
                              <m:t>𝑒𝑛𝑒𝑟𝑔𝑦</m:t>
                            </m:r>
                            <m:r>
                              <a:rPr lang="de-DE" sz="1000" b="0" i="1">
                                <a:latin typeface="Cambria Math"/>
                                <a:ea typeface="Cambria Math"/>
                                <a:cs typeface="Arial" pitchFamily="34" charset="0"/>
                              </a:rPr>
                              <m:t>×</m:t>
                            </m:r>
                            <m:d>
                              <m:dPr>
                                <m:ctrlPr>
                                  <a:rPr lang="de-DE" sz="1000" b="0" i="1">
                                    <a:latin typeface="Cambria Math"/>
                                    <a:ea typeface="Cambria Math"/>
                                    <a:cs typeface="Arial" pitchFamily="34" charset="0"/>
                                  </a:rPr>
                                </m:ctrlPr>
                              </m:dPr>
                              <m:e>
                                <m:r>
                                  <a:rPr lang="de-DE" sz="1000" b="0" i="1">
                                    <a:latin typeface="Cambria Math"/>
                                    <a:ea typeface="Cambria Math"/>
                                    <a:cs typeface="Arial" pitchFamily="34" charset="0"/>
                                  </a:rPr>
                                  <m:t>1−</m:t>
                                </m:r>
                                <m:f>
                                  <m:fPr>
                                    <m:ctrlPr>
                                      <a:rPr lang="de-DE" sz="1000" b="0" i="1">
                                        <a:latin typeface="Cambria Math"/>
                                        <a:ea typeface="Cambria Math"/>
                                        <a:cs typeface="Arial" pitchFamily="34" charset="0"/>
                                      </a:rPr>
                                    </m:ctrlPr>
                                  </m:fPr>
                                  <m:num>
                                    <m:r>
                                      <a:rPr lang="de-DE" sz="1000" b="0" i="1">
                                        <a:latin typeface="Cambria Math"/>
                                        <a:ea typeface="Cambria Math"/>
                                        <a:cs typeface="Arial" pitchFamily="34" charset="0"/>
                                      </a:rPr>
                                      <m:t>𝑇𝑆𝑅</m:t>
                                    </m:r>
                                    <m:r>
                                      <a:rPr lang="de-DE" sz="1000" b="0" i="1">
                                        <a:latin typeface="Cambria Math"/>
                                        <a:ea typeface="Cambria Math"/>
                                        <a:cs typeface="Arial" pitchFamily="34" charset="0"/>
                                      </a:rPr>
                                      <m:t>, %</m:t>
                                    </m:r>
                                  </m:num>
                                  <m:den>
                                    <m:r>
                                      <a:rPr lang="de-DE" sz="1000" b="0" i="1">
                                        <a:latin typeface="Cambria Math"/>
                                        <a:ea typeface="Cambria Math"/>
                                        <a:cs typeface="Arial" pitchFamily="34" charset="0"/>
                                      </a:rPr>
                                      <m:t>100</m:t>
                                    </m:r>
                                  </m:den>
                                </m:f>
                              </m:e>
                            </m:d>
                          </m:num>
                          <m:den>
                            <m:r>
                              <a:rPr lang="de-DE" sz="1000" b="0" i="1">
                                <a:latin typeface="Cambria Math"/>
                                <a:cs typeface="Arial" pitchFamily="34" charset="0"/>
                              </a:rPr>
                              <m:t>𝐴𝑐𝑡𝑢𝑎𝑙</m:t>
                            </m:r>
                            <m:r>
                              <a:rPr lang="de-DE" sz="1000" b="0" i="1">
                                <a:latin typeface="Cambria Math"/>
                                <a:cs typeface="Arial" pitchFamily="34" charset="0"/>
                              </a:rPr>
                              <m:t> </m:t>
                            </m:r>
                            <m:r>
                              <a:rPr lang="de-DE" sz="1000" b="0" i="1">
                                <a:latin typeface="Cambria Math"/>
                                <a:cs typeface="Arial" pitchFamily="34" charset="0"/>
                              </a:rPr>
                              <m:t>𝑐𝑜𝑠𝑡</m:t>
                            </m:r>
                            <m:r>
                              <a:rPr lang="de-DE" sz="1000" b="0" i="1">
                                <a:latin typeface="Cambria Math"/>
                                <a:cs typeface="Arial" pitchFamily="34" charset="0"/>
                              </a:rPr>
                              <m:t> </m:t>
                            </m:r>
                            <m:r>
                              <a:rPr lang="de-DE" sz="1000" b="0" i="1">
                                <a:latin typeface="Cambria Math"/>
                                <a:cs typeface="Arial" pitchFamily="34" charset="0"/>
                              </a:rPr>
                              <m:t>𝑜𝑓</m:t>
                            </m:r>
                            <m:r>
                              <a:rPr lang="de-DE" sz="1000" b="0" i="1">
                                <a:latin typeface="Cambria Math"/>
                                <a:cs typeface="Arial" pitchFamily="34" charset="0"/>
                              </a:rPr>
                              <m:t> </m:t>
                            </m:r>
                            <m:r>
                              <a:rPr lang="de-DE" sz="1000" b="0" i="1">
                                <a:latin typeface="Cambria Math"/>
                                <a:cs typeface="Arial" pitchFamily="34" charset="0"/>
                              </a:rPr>
                              <m:t>𝑒𝑛𝑒𝑟𝑔𝑦</m:t>
                            </m:r>
                            <m:r>
                              <a:rPr lang="de-DE" sz="1000" b="0" i="1">
                                <a:latin typeface="Cambria Math"/>
                                <a:cs typeface="Arial" pitchFamily="34" charset="0"/>
                              </a:rPr>
                              <m:t> </m:t>
                            </m:r>
                            <m:r>
                              <a:rPr lang="de-DE" sz="1000" b="0" i="1">
                                <a:latin typeface="Cambria Math"/>
                                <a:cs typeface="Arial" pitchFamily="34" charset="0"/>
                              </a:rPr>
                              <m:t>𝑓𝑟𝑜𝑚</m:t>
                            </m:r>
                            <m:r>
                              <a:rPr lang="de-DE" sz="1000" b="0" i="1">
                                <a:latin typeface="Cambria Math"/>
                                <a:cs typeface="Arial" pitchFamily="34" charset="0"/>
                              </a:rPr>
                              <m:t> </m:t>
                            </m:r>
                            <m:r>
                              <a:rPr lang="de-DE" sz="1000" b="0" i="1">
                                <a:latin typeface="Cambria Math"/>
                                <a:cs typeface="Arial" pitchFamily="34" charset="0"/>
                              </a:rPr>
                              <m:t>𝑡𝑟𝑎𝑑𝑖𝑡𝑖𝑜𝑛𝑎𝑙</m:t>
                            </m:r>
                            <m:r>
                              <a:rPr lang="de-DE" sz="1000" b="0" i="1">
                                <a:latin typeface="Cambria Math"/>
                                <a:cs typeface="Arial" pitchFamily="34" charset="0"/>
                              </a:rPr>
                              <m:t> </m:t>
                            </m:r>
                            <m:r>
                              <a:rPr lang="de-DE" sz="1000" b="0" i="1">
                                <a:latin typeface="Cambria Math"/>
                                <a:cs typeface="Arial" pitchFamily="34" charset="0"/>
                              </a:rPr>
                              <m:t>𝑓𝑢𝑒𝑙𝑠</m:t>
                            </m:r>
                          </m:den>
                        </m:f>
                      </m:e>
                    </m:d>
                    <m:r>
                      <a:rPr lang="de-DE" sz="1000" b="0" i="1">
                        <a:latin typeface="Cambria Math"/>
                        <a:ea typeface="Cambria Math"/>
                        <a:cs typeface="Arial" pitchFamily="34" charset="0"/>
                      </a:rPr>
                      <m:t>×100</m:t>
                    </m:r>
                  </m:oMath>
                </m:oMathPara>
              </a14:m>
              <a:endParaRPr lang="de-CH" sz="1000">
                <a:latin typeface="Arial" pitchFamily="34" charset="0"/>
                <a:cs typeface="Arial" pitchFamily="34" charset="0"/>
              </a:endParaRPr>
            </a:p>
          </xdr:txBody>
        </xdr:sp>
      </mc:Choice>
      <mc:Fallback xmlns="">
        <xdr:sp macro="" textlink="">
          <xdr:nvSpPr>
            <xdr:cNvPr id="12" name="TextBox 10"/>
            <xdr:cNvSpPr txBox="1"/>
          </xdr:nvSpPr>
          <xdr:spPr bwMode="auto">
            <a:xfrm>
              <a:off x="400050" y="18166775"/>
              <a:ext cx="4076700" cy="420500"/>
            </a:xfrm>
            <a:prstGeom prst="rect">
              <a:avLst/>
            </a:prstGeom>
            <a:solidFill>
              <a:srgbClr val="FFFF99"/>
            </a:solidFill>
            <a:ln w="12700">
              <a:solidFill>
                <a:srgbClr val="FF0000"/>
              </a:solidFill>
            </a:ln>
            <a:effectLst/>
            <a:extLst/>
          </xdr:spPr>
          <xdr:txBody>
            <a:bodyPr wrap="square" lIns="18288" tIns="0" rIns="0" bIns="0" rtlCol="0" anchor="ctr" upright="1">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rtl="0"/>
              <a:r>
                <a:rPr lang="de-DE" sz="1000" b="0" i="0">
                  <a:latin typeface="Cambria Math"/>
                  <a:cs typeface="Arial" pitchFamily="34" charset="0"/>
                </a:rPr>
                <a:t>𝑇𝐸𝐸, %=[1−(𝐴𝑐𝑡𝑢𝑎𝑙 𝑐𝑜𝑠𝑡 𝑜𝑓 𝑡𝑜𝑡𝑎𝑙 𝑒𝑛𝑒𝑟𝑔𝑦</a:t>
              </a:r>
              <a:r>
                <a:rPr lang="de-DE" sz="1000" b="0" i="0">
                  <a:latin typeface="Cambria Math"/>
                  <a:ea typeface="Cambria Math"/>
                  <a:cs typeface="Arial" pitchFamily="34" charset="0"/>
                </a:rPr>
                <a:t>×(1−(𝑇𝑆𝑅, %)/100))/(</a:t>
              </a:r>
              <a:r>
                <a:rPr lang="de-DE" sz="1000" b="0" i="0">
                  <a:latin typeface="Cambria Math"/>
                  <a:cs typeface="Arial" pitchFamily="34" charset="0"/>
                </a:rPr>
                <a:t>𝐴𝑐𝑡𝑢𝑎𝑙 𝑐𝑜𝑠𝑡 𝑜𝑓 𝑒𝑛𝑒𝑟𝑔𝑦 𝑓𝑟𝑜𝑚 𝑡𝑟𝑎𝑑𝑖𝑡𝑖𝑜𝑛𝑎𝑙 𝑓𝑢𝑒𝑙𝑠)]</a:t>
              </a:r>
              <a:r>
                <a:rPr lang="de-DE" sz="1000" b="0" i="0">
                  <a:latin typeface="Cambria Math"/>
                  <a:ea typeface="Cambria Math"/>
                  <a:cs typeface="Arial" pitchFamily="34" charset="0"/>
                </a:rPr>
                <a:t>×100</a:t>
              </a:r>
              <a:endParaRPr lang="de-CH" sz="1000">
                <a:latin typeface="Arial" pitchFamily="34" charset="0"/>
                <a:cs typeface="Arial" pitchFamily="34" charset="0"/>
              </a:endParaRPr>
            </a:p>
          </xdr:txBody>
        </xdr:sp>
      </mc:Fallback>
    </mc:AlternateContent>
    <xdr:clientData/>
  </xdr:twoCellAnchor>
  <xdr:oneCellAnchor>
    <xdr:from>
      <xdr:col>2</xdr:col>
      <xdr:colOff>9524</xdr:colOff>
      <xdr:row>93</xdr:row>
      <xdr:rowOff>74625</xdr:rowOff>
    </xdr:from>
    <xdr:ext cx="1924051" cy="239699"/>
    <mc:AlternateContent xmlns:mc="http://schemas.openxmlformats.org/markup-compatibility/2006" xmlns:a14="http://schemas.microsoft.com/office/drawing/2010/main">
      <mc:Choice Requires="a14">
        <xdr:sp macro="" textlink="">
          <xdr:nvSpPr>
            <xdr:cNvPr id="3" name="TextBox 2"/>
            <xdr:cNvSpPr txBox="1"/>
          </xdr:nvSpPr>
          <xdr:spPr bwMode="auto">
            <a:xfrm>
              <a:off x="409574" y="16105200"/>
              <a:ext cx="1924051" cy="239699"/>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000" b="0" i="1">
                        <a:latin typeface="Cambria Math"/>
                        <a:cs typeface="Arial" pitchFamily="34" charset="0"/>
                      </a:rPr>
                      <m:t>𝑂𝑝𝑒𝑟𝑎𝑡𝑖𝑜𝑛𝑎𝑙</m:t>
                    </m:r>
                    <m:r>
                      <a:rPr lang="de-DE" sz="1000" b="0" i="1">
                        <a:latin typeface="Cambria Math"/>
                        <a:cs typeface="Arial" pitchFamily="34" charset="0"/>
                      </a:rPr>
                      <m:t> </m:t>
                    </m:r>
                    <m:r>
                      <a:rPr lang="de-DE" sz="1000" b="0" i="1">
                        <a:latin typeface="Cambria Math"/>
                        <a:cs typeface="Arial" pitchFamily="34" charset="0"/>
                      </a:rPr>
                      <m:t>𝐺𝐴𝑉</m:t>
                    </m:r>
                    <m:r>
                      <a:rPr lang="de-DE" sz="1000" b="0" i="1">
                        <a:latin typeface="Cambria Math"/>
                        <a:cs typeface="Arial" pitchFamily="34" charset="0"/>
                      </a:rPr>
                      <m:t>=</m:t>
                    </m:r>
                    <m:r>
                      <a:rPr lang="de-DE" sz="1000" b="0" i="1">
                        <a:latin typeface="Cambria Math"/>
                        <a:cs typeface="Arial" pitchFamily="34" charset="0"/>
                      </a:rPr>
                      <m:t>𝐺𝐴𝑉</m:t>
                    </m:r>
                    <m:r>
                      <a:rPr lang="de-DE" sz="1000" b="0" i="1">
                        <a:latin typeface="Cambria Math"/>
                        <a:cs typeface="Arial" pitchFamily="34" charset="0"/>
                      </a:rPr>
                      <m:t> −</m:t>
                    </m:r>
                    <m:r>
                      <a:rPr lang="de-DE" sz="1000" b="0" i="1">
                        <a:latin typeface="Cambria Math"/>
                        <a:cs typeface="Arial" pitchFamily="34" charset="0"/>
                      </a:rPr>
                      <m:t>𝑆𝑃𝐶</m:t>
                    </m:r>
                  </m:oMath>
                </m:oMathPara>
              </a14:m>
              <a:endParaRPr lang="de-CH" sz="1000">
                <a:latin typeface="Arial" pitchFamily="34" charset="0"/>
                <a:cs typeface="Arial" pitchFamily="34" charset="0"/>
              </a:endParaRPr>
            </a:p>
          </xdr:txBody>
        </xdr:sp>
      </mc:Choice>
      <mc:Fallback xmlns="">
        <xdr:sp macro="" textlink="">
          <xdr:nvSpPr>
            <xdr:cNvPr id="3" name="TextBox 2"/>
            <xdr:cNvSpPr txBox="1"/>
          </xdr:nvSpPr>
          <xdr:spPr bwMode="auto">
            <a:xfrm xmlns:a="http://schemas.openxmlformats.org/drawingml/2006/main">
              <a:off x="409574" y="16105200"/>
              <a:ext cx="1924051" cy="239699"/>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000" b="0" i="0">
                  <a:latin typeface="Cambria Math"/>
                  <a:cs typeface="Arial" pitchFamily="34" charset="0"/>
                </a:rPr>
                <a:t>𝑂𝑝𝑒𝑟𝑎𝑡𝑖𝑜𝑛𝑎𝑙 𝐺𝐴𝑉=𝐺𝐴𝑉 −𝑆𝑃𝐶</a:t>
              </a:r>
              <a:endParaRPr lang="de-CH" sz="1000">
                <a:latin typeface="Arial" pitchFamily="34" charset="0"/>
                <a:cs typeface="Arial" pitchFamily="34" charset="0"/>
              </a:endParaRPr>
            </a:p>
          </xdr:txBody>
        </xdr:sp>
      </mc:Fallback>
    </mc:AlternateContent>
    <xdr:clientData/>
  </xdr:oneCellAnchor>
  <xdr:twoCellAnchor editAs="absolute">
    <xdr:from>
      <xdr:col>2</xdr:col>
      <xdr:colOff>38100</xdr:colOff>
      <xdr:row>2</xdr:row>
      <xdr:rowOff>19050</xdr:rowOff>
    </xdr:from>
    <xdr:to>
      <xdr:col>9</xdr:col>
      <xdr:colOff>180975</xdr:colOff>
      <xdr:row>4</xdr:row>
      <xdr:rowOff>133350</xdr:rowOff>
    </xdr:to>
    <xdr:grpSp>
      <xdr:nvGrpSpPr>
        <xdr:cNvPr id="1644756" name="Group 5"/>
        <xdr:cNvGrpSpPr>
          <a:grpSpLocks/>
        </xdr:cNvGrpSpPr>
      </xdr:nvGrpSpPr>
      <xdr:grpSpPr bwMode="auto">
        <a:xfrm>
          <a:off x="438150" y="381000"/>
          <a:ext cx="2847975" cy="590550"/>
          <a:chOff x="438150" y="381000"/>
          <a:chExt cx="2847975" cy="590550"/>
        </a:xfrm>
      </xdr:grpSpPr>
      <xdr:sp macro="" textlink="">
        <xdr:nvSpPr>
          <xdr:cNvPr id="1644757" name="AutoShape 4"/>
          <xdr:cNvSpPr>
            <a:spLocks noChangeAspect="1" noChangeArrowheads="1" noTextEdit="1"/>
          </xdr:cNvSpPr>
        </xdr:nvSpPr>
        <xdr:spPr bwMode="auto">
          <a:xfrm>
            <a:off x="438150" y="381000"/>
            <a:ext cx="2838449" cy="5905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 name="Rectangle 5"/>
          <xdr:cNvSpPr>
            <a:spLocks noChangeArrowheads="1"/>
          </xdr:cNvSpPr>
        </xdr:nvSpPr>
        <xdr:spPr bwMode="auto">
          <a:xfrm>
            <a:off x="1552575" y="447675"/>
            <a:ext cx="17335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1644759"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3474" t="26923" r="4758" b="27885"/>
          <a:stretch>
            <a:fillRect/>
          </a:stretch>
        </xdr:blipFill>
        <xdr:spPr bwMode="auto">
          <a:xfrm>
            <a:off x="476249" y="500807"/>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15</xdr:col>
      <xdr:colOff>685800</xdr:colOff>
      <xdr:row>0</xdr:row>
      <xdr:rowOff>85725</xdr:rowOff>
    </xdr:from>
    <xdr:to>
      <xdr:col>24</xdr:col>
      <xdr:colOff>523875</xdr:colOff>
      <xdr:row>2</xdr:row>
      <xdr:rowOff>28575</xdr:rowOff>
    </xdr:to>
    <xdr:grpSp>
      <xdr:nvGrpSpPr>
        <xdr:cNvPr id="1529206" name="Group 3"/>
        <xdr:cNvGrpSpPr>
          <a:grpSpLocks/>
        </xdr:cNvGrpSpPr>
      </xdr:nvGrpSpPr>
      <xdr:grpSpPr bwMode="auto">
        <a:xfrm>
          <a:off x="11401425" y="85725"/>
          <a:ext cx="2814638" cy="454819"/>
          <a:chOff x="15039974" y="1485900"/>
          <a:chExt cx="2809876" cy="457200"/>
        </a:xfrm>
      </xdr:grpSpPr>
      <xdr:sp macro="" textlink="">
        <xdr:nvSpPr>
          <xdr:cNvPr id="14" name="Rectangle 5"/>
          <xdr:cNvSpPr>
            <a:spLocks noChangeArrowheads="1"/>
          </xdr:cNvSpPr>
        </xdr:nvSpPr>
        <xdr:spPr bwMode="auto">
          <a:xfrm>
            <a:off x="16116299" y="1485900"/>
            <a:ext cx="17335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1529208"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74" t="26923" r="4758" b="27885"/>
          <a:stretch>
            <a:fillRect/>
          </a:stretch>
        </xdr:blipFill>
        <xdr:spPr bwMode="auto">
          <a:xfrm>
            <a:off x="15039974" y="1539032"/>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15</xdr:col>
      <xdr:colOff>685800</xdr:colOff>
      <xdr:row>0</xdr:row>
      <xdr:rowOff>85725</xdr:rowOff>
    </xdr:from>
    <xdr:to>
      <xdr:col>24</xdr:col>
      <xdr:colOff>638175</xdr:colOff>
      <xdr:row>2</xdr:row>
      <xdr:rowOff>28575</xdr:rowOff>
    </xdr:to>
    <xdr:grpSp>
      <xdr:nvGrpSpPr>
        <xdr:cNvPr id="1545544" name="Group 4"/>
        <xdr:cNvGrpSpPr>
          <a:grpSpLocks/>
        </xdr:cNvGrpSpPr>
      </xdr:nvGrpSpPr>
      <xdr:grpSpPr bwMode="auto">
        <a:xfrm>
          <a:off x="11401425" y="85725"/>
          <a:ext cx="2809875" cy="454819"/>
          <a:chOff x="15039974" y="1485900"/>
          <a:chExt cx="2809876" cy="457200"/>
        </a:xfrm>
      </xdr:grpSpPr>
      <xdr:sp macro="" textlink="">
        <xdr:nvSpPr>
          <xdr:cNvPr id="6" name="Rectangle 5"/>
          <xdr:cNvSpPr>
            <a:spLocks noChangeArrowheads="1"/>
          </xdr:cNvSpPr>
        </xdr:nvSpPr>
        <xdr:spPr bwMode="auto">
          <a:xfrm>
            <a:off x="16116299" y="1485900"/>
            <a:ext cx="17335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1545546"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74" t="26923" r="4758" b="27885"/>
          <a:stretch>
            <a:fillRect/>
          </a:stretch>
        </xdr:blipFill>
        <xdr:spPr bwMode="auto">
          <a:xfrm>
            <a:off x="15039974" y="1539032"/>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15</xdr:col>
      <xdr:colOff>685800</xdr:colOff>
      <xdr:row>0</xdr:row>
      <xdr:rowOff>85725</xdr:rowOff>
    </xdr:from>
    <xdr:to>
      <xdr:col>24</xdr:col>
      <xdr:colOff>638175</xdr:colOff>
      <xdr:row>2</xdr:row>
      <xdr:rowOff>28575</xdr:rowOff>
    </xdr:to>
    <xdr:grpSp>
      <xdr:nvGrpSpPr>
        <xdr:cNvPr id="2" name="Group 4"/>
        <xdr:cNvGrpSpPr>
          <a:grpSpLocks/>
        </xdr:cNvGrpSpPr>
      </xdr:nvGrpSpPr>
      <xdr:grpSpPr bwMode="auto">
        <a:xfrm>
          <a:off x="11401425" y="85725"/>
          <a:ext cx="2809875" cy="454819"/>
          <a:chOff x="15039974" y="1485900"/>
          <a:chExt cx="2809876" cy="457200"/>
        </a:xfrm>
      </xdr:grpSpPr>
      <xdr:sp macro="" textlink="">
        <xdr:nvSpPr>
          <xdr:cNvPr id="3" name="Rectangle 2"/>
          <xdr:cNvSpPr>
            <a:spLocks noChangeArrowheads="1"/>
          </xdr:cNvSpPr>
        </xdr:nvSpPr>
        <xdr:spPr bwMode="auto">
          <a:xfrm>
            <a:off x="16116299" y="1485900"/>
            <a:ext cx="17335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4"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74" t="26923" r="4758" b="27885"/>
          <a:stretch>
            <a:fillRect/>
          </a:stretch>
        </xdr:blipFill>
        <xdr:spPr bwMode="auto">
          <a:xfrm>
            <a:off x="15039974" y="1539032"/>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15</xdr:col>
      <xdr:colOff>685800</xdr:colOff>
      <xdr:row>0</xdr:row>
      <xdr:rowOff>85725</xdr:rowOff>
    </xdr:from>
    <xdr:to>
      <xdr:col>24</xdr:col>
      <xdr:colOff>638175</xdr:colOff>
      <xdr:row>2</xdr:row>
      <xdr:rowOff>28575</xdr:rowOff>
    </xdr:to>
    <xdr:grpSp>
      <xdr:nvGrpSpPr>
        <xdr:cNvPr id="2" name="Group 4"/>
        <xdr:cNvGrpSpPr>
          <a:grpSpLocks/>
        </xdr:cNvGrpSpPr>
      </xdr:nvGrpSpPr>
      <xdr:grpSpPr bwMode="auto">
        <a:xfrm>
          <a:off x="11401425" y="85725"/>
          <a:ext cx="2809875" cy="454819"/>
          <a:chOff x="15039974" y="1485900"/>
          <a:chExt cx="2809876" cy="457200"/>
        </a:xfrm>
      </xdr:grpSpPr>
      <xdr:sp macro="" textlink="">
        <xdr:nvSpPr>
          <xdr:cNvPr id="3" name="Rectangle 2"/>
          <xdr:cNvSpPr>
            <a:spLocks noChangeArrowheads="1"/>
          </xdr:cNvSpPr>
        </xdr:nvSpPr>
        <xdr:spPr bwMode="auto">
          <a:xfrm>
            <a:off x="16116299" y="1485900"/>
            <a:ext cx="17335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de-CH" sz="1000" b="0" i="0" u="none" strike="noStrike" baseline="0">
                <a:solidFill>
                  <a:srgbClr val="000000"/>
                </a:solidFill>
                <a:latin typeface="+mn-lt"/>
                <a:cs typeface="Arial"/>
              </a:rPr>
              <a:t>Holcim Technology Ltd</a:t>
            </a:r>
          </a:p>
          <a:p>
            <a:pPr algn="l" rtl="0">
              <a:defRPr sz="1000"/>
            </a:pPr>
            <a:r>
              <a:rPr lang="de-CH" sz="1000" b="0" i="0" u="none" strike="noStrike" baseline="0">
                <a:solidFill>
                  <a:srgbClr val="000000"/>
                </a:solidFill>
                <a:latin typeface="+mn-lt"/>
                <a:cs typeface="Arial"/>
              </a:rPr>
              <a:t>Geocycle</a:t>
            </a:r>
          </a:p>
          <a:p>
            <a:pPr algn="l" rtl="0">
              <a:defRPr sz="1000"/>
            </a:pPr>
            <a:r>
              <a:rPr lang="de-CH" sz="1000" b="0" i="0" u="none" strike="noStrike" baseline="0">
                <a:solidFill>
                  <a:srgbClr val="000000"/>
                </a:solidFill>
                <a:latin typeface="+mn-lt"/>
                <a:cs typeface="Arial"/>
              </a:rPr>
              <a:t>Co-processing </a:t>
            </a:r>
          </a:p>
        </xdr:txBody>
      </xdr:sp>
      <xdr:pic>
        <xdr:nvPicPr>
          <xdr:cNvPr id="4"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74" t="26923" r="4758" b="27885"/>
          <a:stretch>
            <a:fillRect/>
          </a:stretch>
        </xdr:blipFill>
        <xdr:spPr bwMode="auto">
          <a:xfrm>
            <a:off x="15039974" y="1539032"/>
            <a:ext cx="1008000" cy="350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42</xdr:row>
      <xdr:rowOff>9525</xdr:rowOff>
    </xdr:from>
    <xdr:to>
      <xdr:col>17</xdr:col>
      <xdr:colOff>0</xdr:colOff>
      <xdr:row>65</xdr:row>
      <xdr:rowOff>0</xdr:rowOff>
    </xdr:to>
    <xdr:pic>
      <xdr:nvPicPr>
        <xdr:cNvPr id="1531618"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0525" y="7048500"/>
          <a:ext cx="6086475" cy="3714750"/>
        </a:xfrm>
        <a:prstGeom prst="rect">
          <a:avLst/>
        </a:prstGeom>
        <a:noFill/>
        <a:ln w="3175">
          <a:solidFill>
            <a:srgbClr val="BFBFBF"/>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oneCellAnchor>
    <xdr:from>
      <xdr:col>0</xdr:col>
      <xdr:colOff>76199</xdr:colOff>
      <xdr:row>206</xdr:row>
      <xdr:rowOff>121633</xdr:rowOff>
    </xdr:from>
    <xdr:ext cx="2412000" cy="249841"/>
    <mc:AlternateContent xmlns:mc="http://schemas.openxmlformats.org/markup-compatibility/2006" xmlns:a14="http://schemas.microsoft.com/office/drawing/2010/main">
      <mc:Choice Requires="a14">
        <xdr:sp macro="" textlink="">
          <xdr:nvSpPr>
            <xdr:cNvPr id="3" name="TextBox 2"/>
            <xdr:cNvSpPr txBox="1"/>
          </xdr:nvSpPr>
          <xdr:spPr bwMode="auto">
            <a:xfrm>
              <a:off x="76199" y="35745133"/>
              <a:ext cx="2412000" cy="249841"/>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200" b="0" i="1">
                        <a:latin typeface="Cambria Math"/>
                        <a:cs typeface="Arial" pitchFamily="34" charset="0"/>
                      </a:rPr>
                      <m:t>𝑁𝐶𝑉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𝐺𝐶𝑉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𝑚</m:t>
                    </m:r>
                    <m:r>
                      <a:rPr lang="de-DE" sz="1200" b="0" i="1">
                        <a:latin typeface="Cambria Math"/>
                        <a:ea typeface="Cambria Math"/>
                        <a:cs typeface="Arial" pitchFamily="34" charset="0"/>
                      </a:rPr>
                      <m:t>+9∙</m:t>
                    </m:r>
                    <m:r>
                      <a:rPr lang="de-DE" sz="1200" b="0" i="1">
                        <a:latin typeface="Cambria Math"/>
                        <a:ea typeface="Cambria Math"/>
                        <a:cs typeface="Arial" pitchFamily="34" charset="0"/>
                      </a:rPr>
                      <m:t>𝐻</m:t>
                    </m:r>
                    <m:r>
                      <a:rPr lang="de-DE" sz="1200" b="0" i="1">
                        <a:latin typeface="Cambria Math"/>
                        <a:ea typeface="Cambria Math"/>
                        <a:cs typeface="Arial" pitchFamily="34" charset="0"/>
                      </a:rPr>
                      <m:t>)∙2.45</m:t>
                    </m:r>
                  </m:oMath>
                </m:oMathPara>
              </a14:m>
              <a:endParaRPr lang="de-CH" sz="1200">
                <a:latin typeface="Arial" pitchFamily="34" charset="0"/>
                <a:cs typeface="Arial" pitchFamily="34" charset="0"/>
              </a:endParaRPr>
            </a:p>
          </xdr:txBody>
        </xdr:sp>
      </mc:Choice>
      <mc:Fallback xmlns="">
        <xdr:sp macro="" textlink="">
          <xdr:nvSpPr>
            <xdr:cNvPr id="3" name="TextBox 2"/>
            <xdr:cNvSpPr txBox="1"/>
          </xdr:nvSpPr>
          <xdr:spPr bwMode="auto">
            <a:xfrm xmlns:a="http://schemas.openxmlformats.org/drawingml/2006/main">
              <a:off x="76199" y="35745133"/>
              <a:ext cx="2412000" cy="249841"/>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200" b="0" i="0">
                  <a:latin typeface="Cambria Math"/>
                  <a:cs typeface="Arial" pitchFamily="34" charset="0"/>
                </a:rPr>
                <a:t>𝑁𝐶𝑉</a:t>
              </a:r>
              <a:r>
                <a:rPr lang="de-DE" sz="1200" b="0" i="0">
                  <a:latin typeface="Cambria Math"/>
                  <a:ea typeface="Cambria Math"/>
                  <a:cs typeface="Arial" pitchFamily="34" charset="0"/>
                </a:rPr>
                <a:t>=𝐺𝐶𝑉−(𝑚+9∙𝐻)∙2.45</a:t>
              </a:r>
              <a:endParaRPr lang="de-CH" sz="1200">
                <a:latin typeface="Arial" pitchFamily="34" charset="0"/>
                <a:cs typeface="Arial" pitchFamily="34" charset="0"/>
              </a:endParaRPr>
            </a:p>
          </xdr:txBody>
        </xdr:sp>
      </mc:Fallback>
    </mc:AlternateContent>
    <xdr:clientData/>
  </xdr:oneCellAnchor>
  <xdr:oneCellAnchor>
    <xdr:from>
      <xdr:col>0</xdr:col>
      <xdr:colOff>76199</xdr:colOff>
      <xdr:row>212</xdr:row>
      <xdr:rowOff>121633</xdr:rowOff>
    </xdr:from>
    <xdr:ext cx="2412000" cy="249841"/>
    <mc:AlternateContent xmlns:mc="http://schemas.openxmlformats.org/markup-compatibility/2006" xmlns:a14="http://schemas.microsoft.com/office/drawing/2010/main">
      <mc:Choice Requires="a14">
        <xdr:sp macro="" textlink="">
          <xdr:nvSpPr>
            <xdr:cNvPr id="46" name="TextBox 45"/>
            <xdr:cNvSpPr txBox="1"/>
          </xdr:nvSpPr>
          <xdr:spPr bwMode="auto">
            <a:xfrm>
              <a:off x="76199" y="36716683"/>
              <a:ext cx="2412000" cy="249841"/>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200" b="0" i="1">
                        <a:latin typeface="Cambria Math"/>
                        <a:cs typeface="Arial" pitchFamily="34" charset="0"/>
                      </a:rPr>
                      <m:t>𝑁𝐶𝑉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𝐺𝐶𝑉</m:t>
                    </m:r>
                    <m:r>
                      <a:rPr lang="de-DE" sz="1200" b="0" i="1">
                        <a:latin typeface="Cambria Math"/>
                        <a:ea typeface="Cambria Math"/>
                        <a:cs typeface="Arial" pitchFamily="34" charset="0"/>
                      </a:rPr>
                      <m:t>∙0.93−24∙</m:t>
                    </m:r>
                    <m:r>
                      <a:rPr lang="de-DE" sz="1200" b="0" i="1">
                        <a:latin typeface="Cambria Math"/>
                        <a:ea typeface="Cambria Math"/>
                        <a:cs typeface="Arial" pitchFamily="34" charset="0"/>
                      </a:rPr>
                      <m:t>𝑚</m:t>
                    </m:r>
                  </m:oMath>
                </m:oMathPara>
              </a14:m>
              <a:endParaRPr lang="de-CH" sz="1200">
                <a:latin typeface="Arial" pitchFamily="34" charset="0"/>
                <a:cs typeface="Arial" pitchFamily="34" charset="0"/>
              </a:endParaRPr>
            </a:p>
          </xdr:txBody>
        </xdr:sp>
      </mc:Choice>
      <mc:Fallback xmlns="">
        <xdr:sp macro="" textlink="">
          <xdr:nvSpPr>
            <xdr:cNvPr id="46" name="TextBox 45"/>
            <xdr:cNvSpPr txBox="1"/>
          </xdr:nvSpPr>
          <xdr:spPr bwMode="auto">
            <a:xfrm xmlns:a="http://schemas.openxmlformats.org/drawingml/2006/main">
              <a:off x="76199" y="36716683"/>
              <a:ext cx="2412000" cy="249841"/>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200" b="0" i="0">
                  <a:latin typeface="Cambria Math"/>
                  <a:cs typeface="Arial" pitchFamily="34" charset="0"/>
                </a:rPr>
                <a:t>𝑁𝐶𝑉</a:t>
              </a:r>
              <a:r>
                <a:rPr lang="de-DE" sz="1200" b="0" i="0">
                  <a:latin typeface="Cambria Math"/>
                  <a:ea typeface="Cambria Math"/>
                  <a:cs typeface="Arial" pitchFamily="34" charset="0"/>
                </a:rPr>
                <a:t>=𝐺𝐶𝑉∙0.93−24∙𝑚</a:t>
              </a:r>
              <a:endParaRPr lang="de-CH" sz="1200">
                <a:latin typeface="Arial" pitchFamily="34" charset="0"/>
                <a:cs typeface="Arial" pitchFamily="34" charset="0"/>
              </a:endParaRPr>
            </a:p>
          </xdr:txBody>
        </xdr:sp>
      </mc:Fallback>
    </mc:AlternateContent>
    <xdr:clientData/>
  </xdr:oneCellAnchor>
  <xdr:twoCellAnchor editAs="oneCell">
    <xdr:from>
      <xdr:col>1</xdr:col>
      <xdr:colOff>9525</xdr:colOff>
      <xdr:row>7</xdr:row>
      <xdr:rowOff>9525</xdr:rowOff>
    </xdr:from>
    <xdr:to>
      <xdr:col>14</xdr:col>
      <xdr:colOff>95250</xdr:colOff>
      <xdr:row>25</xdr:row>
      <xdr:rowOff>152400</xdr:rowOff>
    </xdr:to>
    <xdr:pic>
      <xdr:nvPicPr>
        <xdr:cNvPr id="1531621"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0525" y="1285875"/>
          <a:ext cx="5038725" cy="3057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285750</xdr:colOff>
      <xdr:row>216</xdr:row>
      <xdr:rowOff>9525</xdr:rowOff>
    </xdr:from>
    <xdr:to>
      <xdr:col>7</xdr:col>
      <xdr:colOff>47625</xdr:colOff>
      <xdr:row>220</xdr:row>
      <xdr:rowOff>9525</xdr:rowOff>
    </xdr:to>
    <xdr:sp macro="" textlink="">
      <xdr:nvSpPr>
        <xdr:cNvPr id="1531622" name="Right Brace 1"/>
        <xdr:cNvSpPr>
          <a:spLocks/>
        </xdr:cNvSpPr>
      </xdr:nvSpPr>
      <xdr:spPr bwMode="auto">
        <a:xfrm>
          <a:off x="2571750" y="36518850"/>
          <a:ext cx="142875" cy="647700"/>
        </a:xfrm>
        <a:prstGeom prst="rightBrace">
          <a:avLst>
            <a:gd name="adj1" fmla="val 18784"/>
            <a:gd name="adj2" fmla="val 50000"/>
          </a:avLst>
        </a:prstGeom>
        <a:solidFill>
          <a:srgbClr xmlns:mc="http://schemas.openxmlformats.org/markup-compatibility/2006" xmlns:a14="http://schemas.microsoft.com/office/drawing/2010/main" val="FFFFFF" mc:Ignorable="a14" a14:legacySpreadsheetColorIndex="9"/>
        </a:solidFill>
        <a:ln w="9525" algn="ctr">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0</xdr:col>
      <xdr:colOff>76199</xdr:colOff>
      <xdr:row>209</xdr:row>
      <xdr:rowOff>121633</xdr:rowOff>
    </xdr:from>
    <xdr:ext cx="2412000" cy="249841"/>
    <mc:AlternateContent xmlns:mc="http://schemas.openxmlformats.org/markup-compatibility/2006" xmlns:a14="http://schemas.microsoft.com/office/drawing/2010/main">
      <mc:Choice Requires="a14">
        <xdr:sp macro="" textlink="">
          <xdr:nvSpPr>
            <xdr:cNvPr id="9" name="TextBox 8"/>
            <xdr:cNvSpPr txBox="1"/>
          </xdr:nvSpPr>
          <xdr:spPr bwMode="auto">
            <a:xfrm>
              <a:off x="76199" y="36230908"/>
              <a:ext cx="2412000" cy="249841"/>
            </a:xfrm>
            <a:prstGeom prst="rect">
              <a:avLst/>
            </a:prstGeom>
            <a:solidFill>
              <a:srgbClr val="FFFF99"/>
            </a:solidFill>
            <a:ln>
              <a:solidFill>
                <a:srgbClr val="FF0000"/>
              </a:solidFill>
            </a:ln>
            <a:effectLst/>
            <a:extLst/>
          </xdr:spPr>
          <xdr:txBody>
            <a:bodyPr vertOverflow="clip" horzOverflow="clip" wrap="square" lIns="18288" tIns="0" rIns="0" bIns="0" rtlCol="0" anchor="ctr" upright="1">
              <a:noAutofit/>
            </a:bodyPr>
            <a:lstStyle/>
            <a:p>
              <a:pPr algn="l" rtl="0"/>
              <a14:m>
                <m:oMathPara xmlns:m="http://schemas.openxmlformats.org/officeDocument/2006/math">
                  <m:oMathParaPr>
                    <m:jc m:val="centerGroup"/>
                  </m:oMathParaPr>
                  <m:oMath xmlns:m="http://schemas.openxmlformats.org/officeDocument/2006/math">
                    <m:r>
                      <a:rPr lang="de-DE" sz="1200" b="0" i="1">
                        <a:latin typeface="Cambria Math"/>
                        <a:cs typeface="Arial" pitchFamily="34" charset="0"/>
                      </a:rPr>
                      <m:t>𝑁𝐶𝑉</m:t>
                    </m:r>
                    <m:r>
                      <a:rPr lang="de-DE" sz="1200" b="0" i="1">
                        <a:latin typeface="Cambria Math"/>
                        <a:ea typeface="Cambria Math"/>
                        <a:cs typeface="Arial" pitchFamily="34" charset="0"/>
                      </a:rPr>
                      <m:t>=</m:t>
                    </m:r>
                    <m:r>
                      <a:rPr lang="de-DE" sz="1200" b="0" i="1">
                        <a:latin typeface="Cambria Math"/>
                        <a:ea typeface="Cambria Math"/>
                        <a:cs typeface="Arial" pitchFamily="34" charset="0"/>
                      </a:rPr>
                      <m:t>𝐺𝐶𝑉</m:t>
                    </m:r>
                    <m:r>
                      <a:rPr lang="de-DE" sz="1200" b="0" i="1">
                        <a:latin typeface="Cambria Math"/>
                        <a:ea typeface="Cambria Math"/>
                        <a:cs typeface="Arial" pitchFamily="34" charset="0"/>
                      </a:rPr>
                      <m:t>∙0.981</m:t>
                    </m:r>
                  </m:oMath>
                </m:oMathPara>
              </a14:m>
              <a:endParaRPr lang="de-CH" sz="1200">
                <a:latin typeface="Arial" pitchFamily="34" charset="0"/>
                <a:cs typeface="Arial" pitchFamily="34" charset="0"/>
              </a:endParaRPr>
            </a:p>
          </xdr:txBody>
        </xdr:sp>
      </mc:Choice>
      <mc:Fallback xmlns="">
        <xdr:sp macro="" textlink="">
          <xdr:nvSpPr>
            <xdr:cNvPr id="9" name="TextBox 8"/>
            <xdr:cNvSpPr txBox="1"/>
          </xdr:nvSpPr>
          <xdr:spPr bwMode="auto">
            <a:xfrm xmlns:a="http://schemas.openxmlformats.org/drawingml/2006/main">
              <a:off x="76199" y="36230908"/>
              <a:ext cx="2412000" cy="249841"/>
            </a:xfrm>
            <a:prstGeom xmlns:a="http://schemas.openxmlformats.org/drawingml/2006/main" prst="rect">
              <a:avLst/>
            </a:prstGeom>
            <a:solidFill xmlns:a="http://schemas.openxmlformats.org/drawingml/2006/main">
              <a:srgbClr val="FFFF99"/>
            </a:solidFill>
            <a:ln xmlns:a="http://schemas.openxmlformats.org/drawingml/2006/main">
              <a:solidFill>
                <a:srgbClr val="FF0000"/>
              </a:solidFill>
            </a:ln>
            <a:effectLst xmlns:a="http://schemas.openxmlformats.org/drawingml/2006/main"/>
            <a:extLst xmlns:a="http://schemas.openxmlformats.org/drawingml/2006/main"/>
          </xdr:spPr>
          <xdr:txBody>
            <a:bodyPr xmlns:a="http://schemas.openxmlformats.org/drawingml/2006/main" vertOverflow="clip" horzOverflow="clip" wrap="square" lIns="18288" tIns="0" rIns="0" bIns="0" rtlCol="0" anchor="ctr" upright="1">
              <a:noAutofit/>
            </a:bodyPr>
            <a:lstStyle xmlns:a="http://schemas.openxmlformats.org/drawingml/2006/main"/>
            <a:p xmlns:a="http://schemas.openxmlformats.org/drawingml/2006/main">
              <a:pPr algn="l" rtl="0"/>
              <a:r>
                <a:rPr lang="de-DE" sz="1200" b="0" i="0">
                  <a:latin typeface="Cambria Math"/>
                  <a:cs typeface="Arial" pitchFamily="34" charset="0"/>
                </a:rPr>
                <a:t>𝑁𝐶𝑉</a:t>
              </a:r>
              <a:r>
                <a:rPr lang="de-DE" sz="1200" b="0" i="0">
                  <a:latin typeface="Cambria Math"/>
                  <a:ea typeface="Cambria Math"/>
                  <a:cs typeface="Arial" pitchFamily="34" charset="0"/>
                </a:rPr>
                <a:t>=𝐺𝐶𝑉∙0.981</a:t>
              </a:r>
              <a:endParaRPr lang="de-CH" sz="1200">
                <a:latin typeface="Arial" pitchFamily="34" charset="0"/>
                <a:cs typeface="Arial" pitchFamily="34" charset="0"/>
              </a:endParaRPr>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6</xdr:col>
      <xdr:colOff>0</xdr:colOff>
      <xdr:row>0</xdr:row>
      <xdr:rowOff>161925</xdr:rowOff>
    </xdr:from>
    <xdr:to>
      <xdr:col>18</xdr:col>
      <xdr:colOff>0</xdr:colOff>
      <xdr:row>27</xdr:row>
      <xdr:rowOff>0</xdr:rowOff>
    </xdr:to>
    <xdr:graphicFrame macro="">
      <xdr:nvGraphicFramePr>
        <xdr:cNvPr id="97540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absSizeAnchor xmlns:cdr="http://schemas.openxmlformats.org/drawingml/2006/chartDrawing">
    <cdr:from>
      <cdr:x>0.03194</cdr:x>
      <cdr:y>0.64867</cdr:y>
    </cdr:from>
    <cdr:ext cx="651588" cy="117916"/>
    <cdr:sp macro="" textlink="">
      <cdr:nvSpPr>
        <cdr:cNvPr id="2" name="TextBox 1"/>
        <cdr:cNvSpPr txBox="1"/>
      </cdr:nvSpPr>
      <cdr:spPr bwMode="auto">
        <a:xfrm xmlns:a="http://schemas.openxmlformats.org/drawingml/2006/main">
          <a:off x="233657" y="2730954"/>
          <a:ext cx="651588" cy="11791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horzOverflow="overflow" wrap="none" lIns="18288" tIns="0" rIns="0" bIns="0" rtlCol="0" anchor="ctr" upright="1">
          <a:spAutoFit/>
        </a:bodyPr>
        <a:lstStyle xmlns:a="http://schemas.openxmlformats.org/drawingml/2006/main"/>
        <a:p xmlns:a="http://schemas.openxmlformats.org/drawingml/2006/main">
          <a:pPr algn="l" rtl="0"/>
          <a:r>
            <a:rPr lang="de-CH" sz="800">
              <a:latin typeface="Arial" pitchFamily="34" charset="0"/>
              <a:cs typeface="Arial" pitchFamily="34" charset="0"/>
            </a:rPr>
            <a:t>negative GAV</a:t>
          </a:r>
        </a:p>
      </cdr:txBody>
    </cdr:sp>
  </cdr:absSizeAnchor>
  <cdr:relSizeAnchor xmlns:cdr="http://schemas.openxmlformats.org/drawingml/2006/chartDrawing">
    <cdr:from>
      <cdr:x>0.09958</cdr:x>
      <cdr:y>0.13601</cdr:y>
    </cdr:from>
    <cdr:to>
      <cdr:x>0.22764</cdr:x>
      <cdr:y>0.19203</cdr:y>
    </cdr:to>
    <cdr:sp macro="" textlink="">
      <cdr:nvSpPr>
        <cdr:cNvPr id="3" name="TextBox 1"/>
        <cdr:cNvSpPr txBox="1"/>
      </cdr:nvSpPr>
      <cdr:spPr bwMode="auto">
        <a:xfrm xmlns:a="http://schemas.openxmlformats.org/drawingml/2006/main">
          <a:off x="728472" y="572614"/>
          <a:ext cx="936795" cy="23583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r>
            <a:rPr lang="de-CH" sz="800">
              <a:latin typeface="Arial" pitchFamily="34" charset="0"/>
              <a:cs typeface="Arial" pitchFamily="34" charset="0"/>
            </a:rPr>
            <a:t>negative NCB</a:t>
          </a:r>
        </a:p>
        <a:p xmlns:a="http://schemas.openxmlformats.org/drawingml/2006/main">
          <a:pPr algn="l" rtl="0"/>
          <a:r>
            <a:rPr lang="de-CH" sz="800">
              <a:latin typeface="Arial" pitchFamily="34" charset="0"/>
              <a:cs typeface="Arial" pitchFamily="34" charset="0"/>
            </a:rPr>
            <a:t>compensated by SB</a:t>
          </a:r>
        </a:p>
      </cdr:txBody>
    </cdr:sp>
  </cdr:relSizeAnchor>
  <cdr:relSizeAnchor xmlns:cdr="http://schemas.openxmlformats.org/drawingml/2006/chartDrawing">
    <cdr:from>
      <cdr:x>0.62189</cdr:x>
      <cdr:y>0.75245</cdr:y>
    </cdr:from>
    <cdr:to>
      <cdr:x>0.73197</cdr:x>
      <cdr:y>0.78046</cdr:y>
    </cdr:to>
    <cdr:sp macro="" textlink="">
      <cdr:nvSpPr>
        <cdr:cNvPr id="4" name="TextBox 1"/>
        <cdr:cNvSpPr txBox="1"/>
      </cdr:nvSpPr>
      <cdr:spPr bwMode="auto">
        <a:xfrm xmlns:a="http://schemas.openxmlformats.org/drawingml/2006/main">
          <a:off x="4549220" y="3167851"/>
          <a:ext cx="805284"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rtl="0"/>
          <a:r>
            <a:rPr lang="de-CH" sz="800">
              <a:latin typeface="Arial" pitchFamily="34" charset="0"/>
              <a:cs typeface="Arial" pitchFamily="34" charset="0"/>
            </a:rPr>
            <a:t>more NCB driven</a:t>
          </a:r>
        </a:p>
      </cdr:txBody>
    </cdr:sp>
  </cdr:relSizeAnchor>
  <cdr:relSizeAnchor xmlns:cdr="http://schemas.openxmlformats.org/drawingml/2006/chartDrawing">
    <cdr:from>
      <cdr:x>0.46948</cdr:x>
      <cdr:y>0.13216</cdr:y>
    </cdr:from>
    <cdr:to>
      <cdr:x>0.56866</cdr:x>
      <cdr:y>0.16017</cdr:y>
    </cdr:to>
    <cdr:sp macro="" textlink="">
      <cdr:nvSpPr>
        <cdr:cNvPr id="5" name="TextBox 1"/>
        <cdr:cNvSpPr txBox="1"/>
      </cdr:nvSpPr>
      <cdr:spPr bwMode="auto">
        <a:xfrm xmlns:a="http://schemas.openxmlformats.org/drawingml/2006/main">
          <a:off x="3434306" y="556413"/>
          <a:ext cx="725583"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rtl="0"/>
          <a:r>
            <a:rPr lang="de-CH" sz="800">
              <a:latin typeface="Arial" pitchFamily="34" charset="0"/>
              <a:cs typeface="Arial" pitchFamily="34" charset="0"/>
            </a:rPr>
            <a:t>more SB</a:t>
          </a:r>
          <a:r>
            <a:rPr lang="de-CH" sz="800" baseline="0">
              <a:latin typeface="Arial" pitchFamily="34" charset="0"/>
              <a:cs typeface="Arial" pitchFamily="34" charset="0"/>
            </a:rPr>
            <a:t> driven</a:t>
          </a:r>
          <a:endParaRPr lang="de-CH" sz="800">
            <a:latin typeface="Arial" pitchFamily="34" charset="0"/>
            <a:cs typeface="Arial" pitchFamily="34" charset="0"/>
          </a:endParaRPr>
        </a:p>
      </cdr:txBody>
    </cdr:sp>
  </cdr:relSizeAnchor>
  <cdr:relSizeAnchor xmlns:cdr="http://schemas.openxmlformats.org/drawingml/2006/chartDrawing">
    <cdr:from>
      <cdr:x>0.62189</cdr:x>
      <cdr:y>0.44714</cdr:y>
    </cdr:from>
    <cdr:to>
      <cdr:x>0.73197</cdr:x>
      <cdr:y>0.47515</cdr:y>
    </cdr:to>
    <cdr:sp macro="" textlink="">
      <cdr:nvSpPr>
        <cdr:cNvPr id="6" name="TextBox 1"/>
        <cdr:cNvSpPr txBox="1"/>
      </cdr:nvSpPr>
      <cdr:spPr bwMode="auto">
        <a:xfrm xmlns:a="http://schemas.openxmlformats.org/drawingml/2006/main">
          <a:off x="4549220" y="1882476"/>
          <a:ext cx="805284"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rtl="0"/>
          <a:r>
            <a:rPr lang="de-CH" sz="800">
              <a:latin typeface="Arial" pitchFamily="34" charset="0"/>
              <a:cs typeface="Arial" pitchFamily="34" charset="0"/>
            </a:rPr>
            <a:t>SB &amp; NCB driven</a:t>
          </a:r>
        </a:p>
      </cdr:txBody>
    </cdr:sp>
  </cdr:relSizeAnchor>
  <cdr:relSizeAnchor xmlns:cdr="http://schemas.openxmlformats.org/drawingml/2006/chartDrawing">
    <cdr:from>
      <cdr:x>0.00896</cdr:x>
      <cdr:y>0.01502</cdr:y>
    </cdr:from>
    <cdr:to>
      <cdr:x>0.09412</cdr:x>
      <cdr:y>0.04303</cdr:y>
    </cdr:to>
    <cdr:sp macro="" textlink="">
      <cdr:nvSpPr>
        <cdr:cNvPr id="7" name="TextBox 1"/>
        <cdr:cNvSpPr txBox="1"/>
      </cdr:nvSpPr>
      <cdr:spPr bwMode="auto">
        <a:xfrm xmlns:a="http://schemas.openxmlformats.org/drawingml/2006/main">
          <a:off x="65544" y="63238"/>
          <a:ext cx="622991" cy="1179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0" rIns="0" bIns="0" rtlCol="0" anchor="ctr" upright="1">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r>
            <a:rPr lang="de-CH" sz="800">
              <a:latin typeface="Arial" pitchFamily="34" charset="0"/>
              <a:cs typeface="Arial" pitchFamily="34" charset="0"/>
            </a:rPr>
            <a:t>as fired basis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txDef>
      <a:spPr bwMode="auto">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overflow" horzOverflow="overflow" wrap="square" lIns="18288" tIns="0" rIns="0" bIns="0" anchor="ctr" upright="1"/>
      <a:lstStyle>
        <a:defPPr algn="l" rtl="0">
          <a:defRPr sz="1000">
            <a:latin typeface="Arial" pitchFamily="34" charset="0"/>
            <a:cs typeface="Arial" pitchFamily="34" charset="0"/>
          </a:defRPr>
        </a:defP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upinder.phougat@geocycle.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811"/>
  <sheetViews>
    <sheetView showGridLines="0" topLeftCell="A106" zoomScaleNormal="100" workbookViewId="0"/>
  </sheetViews>
  <sheetFormatPr defaultRowHeight="12.75"/>
  <cols>
    <col min="1" max="1" width="2.7109375" style="3" customWidth="1"/>
    <col min="2" max="6" width="3.28515625" style="3" customWidth="1"/>
    <col min="7" max="11" width="9.140625" style="3"/>
    <col min="12" max="12" width="9.85546875" style="3" bestFit="1" customWidth="1"/>
    <col min="13" max="14" width="9.140625" style="3"/>
    <col min="15" max="15" width="4.28515625" style="3" customWidth="1"/>
    <col min="16" max="16" width="2.7109375" style="3" customWidth="1"/>
    <col min="17" max="16384" width="9.140625" style="3"/>
  </cols>
  <sheetData>
    <row r="2" spans="2:15" ht="15.75">
      <c r="B2" s="1"/>
      <c r="C2" s="1"/>
      <c r="D2" s="1"/>
      <c r="E2" s="1"/>
      <c r="F2" s="2"/>
      <c r="G2" s="2"/>
      <c r="H2" s="1"/>
      <c r="I2" s="1"/>
      <c r="J2" s="1"/>
      <c r="K2" s="1"/>
      <c r="L2" s="1"/>
      <c r="M2" s="1"/>
      <c r="N2" s="1"/>
      <c r="O2" s="1"/>
    </row>
    <row r="3" spans="2:15" ht="18.75">
      <c r="B3" s="1"/>
      <c r="C3" s="1"/>
      <c r="D3" s="1"/>
      <c r="E3" s="1"/>
      <c r="F3" s="4"/>
      <c r="G3" s="4"/>
      <c r="H3" s="1"/>
      <c r="I3" s="1"/>
      <c r="J3" s="1"/>
      <c r="K3" s="1"/>
      <c r="L3" s="1"/>
      <c r="M3" s="1"/>
      <c r="N3" s="1"/>
      <c r="O3" s="1"/>
    </row>
    <row r="4" spans="2:15" ht="18.75">
      <c r="B4" s="1"/>
      <c r="C4" s="1"/>
      <c r="D4" s="1"/>
      <c r="E4" s="1"/>
      <c r="F4" s="4"/>
      <c r="G4" s="4"/>
      <c r="H4" s="1"/>
      <c r="I4" s="1"/>
      <c r="J4" s="1"/>
      <c r="K4" s="1"/>
      <c r="L4" s="1"/>
      <c r="M4" s="1"/>
      <c r="N4" s="1"/>
      <c r="O4" s="1"/>
    </row>
    <row r="5" spans="2:15" ht="15.75">
      <c r="B5" s="1"/>
      <c r="C5" s="1"/>
      <c r="D5" s="1"/>
      <c r="E5" s="1"/>
      <c r="F5" s="1"/>
      <c r="G5" s="1"/>
      <c r="H5" s="1"/>
      <c r="I5" s="1"/>
      <c r="J5" s="1"/>
      <c r="K5" s="1"/>
      <c r="L5" s="1"/>
      <c r="M5" s="1"/>
      <c r="N5" s="1"/>
      <c r="O5" s="1"/>
    </row>
    <row r="6" spans="2:15" ht="21" customHeight="1">
      <c r="B6" s="5"/>
      <c r="C6" s="703" t="s">
        <v>71</v>
      </c>
      <c r="D6" s="703"/>
      <c r="E6" s="703"/>
      <c r="F6" s="703"/>
      <c r="G6" s="703"/>
      <c r="H6" s="703"/>
      <c r="I6" s="703"/>
      <c r="J6" s="703"/>
      <c r="K6" s="703"/>
      <c r="L6" s="703"/>
      <c r="M6" s="703"/>
      <c r="N6" s="703"/>
      <c r="O6" s="15"/>
    </row>
    <row r="7" spans="2:15" ht="12.75" customHeight="1">
      <c r="B7" s="5"/>
      <c r="C7" s="704" t="s">
        <v>665</v>
      </c>
      <c r="D7" s="704"/>
      <c r="E7" s="704"/>
      <c r="F7" s="704"/>
      <c r="G7" s="704"/>
      <c r="H7" s="704"/>
      <c r="I7" s="704"/>
      <c r="J7" s="704"/>
      <c r="K7" s="704"/>
      <c r="L7" s="704"/>
      <c r="M7" s="704"/>
      <c r="N7" s="704"/>
      <c r="O7" s="16"/>
    </row>
    <row r="8" spans="2:15">
      <c r="B8" s="5"/>
      <c r="C8" s="704"/>
      <c r="D8" s="704"/>
      <c r="E8" s="704"/>
      <c r="F8" s="704"/>
      <c r="G8" s="704"/>
      <c r="H8" s="704"/>
      <c r="I8" s="704"/>
      <c r="J8" s="704"/>
      <c r="K8" s="704"/>
      <c r="L8" s="704"/>
      <c r="M8" s="704"/>
      <c r="N8" s="704"/>
      <c r="O8" s="16"/>
    </row>
    <row r="9" spans="2:15">
      <c r="B9" s="5"/>
      <c r="C9" s="704"/>
      <c r="D9" s="704"/>
      <c r="E9" s="704"/>
      <c r="F9" s="704"/>
      <c r="G9" s="704"/>
      <c r="H9" s="704"/>
      <c r="I9" s="704"/>
      <c r="J9" s="704"/>
      <c r="K9" s="704"/>
      <c r="L9" s="704"/>
      <c r="M9" s="704"/>
      <c r="N9" s="704"/>
      <c r="O9" s="16"/>
    </row>
    <row r="10" spans="2:15">
      <c r="B10" s="5"/>
      <c r="C10" s="705"/>
      <c r="D10" s="706"/>
      <c r="E10" s="707"/>
      <c r="F10" s="6" t="s">
        <v>412</v>
      </c>
      <c r="G10" s="6"/>
      <c r="H10" s="6"/>
      <c r="I10" s="5"/>
      <c r="J10" s="5"/>
      <c r="K10" s="6"/>
      <c r="L10" s="5"/>
      <c r="M10" s="5"/>
      <c r="N10" s="5"/>
      <c r="O10" s="7"/>
    </row>
    <row r="11" spans="2:15">
      <c r="B11" s="5"/>
      <c r="C11" s="708"/>
      <c r="D11" s="709"/>
      <c r="E11" s="710"/>
      <c r="F11" s="6" t="s">
        <v>413</v>
      </c>
      <c r="G11" s="6"/>
      <c r="H11" s="6"/>
      <c r="I11" s="5"/>
      <c r="J11" s="5"/>
      <c r="K11" s="6"/>
      <c r="L11" s="5"/>
      <c r="M11" s="5"/>
      <c r="N11" s="5"/>
      <c r="O11" s="7"/>
    </row>
    <row r="12" spans="2:15">
      <c r="B12" s="5"/>
      <c r="C12" s="711"/>
      <c r="D12" s="712"/>
      <c r="E12" s="713"/>
      <c r="F12" s="6" t="s">
        <v>414</v>
      </c>
      <c r="G12" s="6"/>
      <c r="H12" s="6"/>
      <c r="I12" s="5"/>
      <c r="J12" s="5"/>
      <c r="K12" s="6"/>
      <c r="L12" s="5"/>
      <c r="M12" s="5"/>
      <c r="N12" s="5"/>
      <c r="O12" s="7"/>
    </row>
    <row r="13" spans="2:15">
      <c r="B13" s="5"/>
      <c r="C13" s="693" t="s">
        <v>578</v>
      </c>
      <c r="D13" s="694"/>
      <c r="E13" s="695"/>
      <c r="F13" s="6" t="s">
        <v>627</v>
      </c>
      <c r="G13" s="6"/>
      <c r="H13" s="6"/>
      <c r="I13" s="5"/>
      <c r="J13" s="5"/>
      <c r="K13" s="6"/>
      <c r="L13" s="5"/>
      <c r="M13" s="5"/>
      <c r="N13" s="5"/>
      <c r="O13" s="7"/>
    </row>
    <row r="14" spans="2:15">
      <c r="B14" s="5"/>
      <c r="C14" s="696" t="s">
        <v>113</v>
      </c>
      <c r="D14" s="697"/>
      <c r="E14" s="698"/>
      <c r="F14" s="6" t="s">
        <v>269</v>
      </c>
      <c r="G14" s="6"/>
      <c r="H14" s="6"/>
      <c r="I14" s="5"/>
      <c r="J14" s="5"/>
      <c r="K14" s="6"/>
      <c r="L14" s="5"/>
      <c r="M14" s="5"/>
      <c r="N14" s="5"/>
      <c r="O14" s="7"/>
    </row>
    <row r="15" spans="2:15">
      <c r="B15" s="8"/>
      <c r="C15" s="8"/>
      <c r="D15" s="8"/>
      <c r="E15" s="8"/>
      <c r="F15" s="7"/>
      <c r="G15" s="7"/>
      <c r="H15" s="7"/>
      <c r="I15" s="7"/>
      <c r="J15" s="7"/>
      <c r="K15" s="7"/>
      <c r="L15" s="7"/>
      <c r="M15" s="7"/>
      <c r="N15" s="7"/>
      <c r="O15" s="7"/>
    </row>
    <row r="16" spans="2:15">
      <c r="B16" s="9"/>
      <c r="C16" s="9" t="s">
        <v>842</v>
      </c>
      <c r="D16" s="17"/>
      <c r="E16" s="17"/>
      <c r="F16" s="6"/>
      <c r="G16" s="6"/>
      <c r="H16" s="7"/>
      <c r="I16" s="7"/>
      <c r="J16" s="7"/>
      <c r="K16" s="7"/>
      <c r="L16" s="29" t="s">
        <v>795</v>
      </c>
      <c r="M16" s="5"/>
      <c r="N16" s="10"/>
      <c r="O16" s="10"/>
    </row>
    <row r="17" spans="2:15">
      <c r="B17" s="9"/>
      <c r="C17" s="9" t="s">
        <v>72</v>
      </c>
      <c r="D17" s="17"/>
      <c r="E17" s="17"/>
      <c r="F17" s="6"/>
      <c r="G17" s="6"/>
      <c r="H17" s="7"/>
      <c r="I17" s="7"/>
      <c r="J17" s="7"/>
      <c r="K17" s="7"/>
      <c r="L17" s="30" t="s">
        <v>856</v>
      </c>
      <c r="M17" s="18"/>
      <c r="N17" s="11"/>
      <c r="O17" s="12"/>
    </row>
    <row r="18" spans="2:15">
      <c r="B18" s="9"/>
      <c r="C18" s="9" t="s">
        <v>63</v>
      </c>
      <c r="D18" s="17"/>
      <c r="E18" s="17"/>
      <c r="F18" s="6"/>
      <c r="G18" s="6"/>
      <c r="H18" s="7"/>
      <c r="I18" s="7"/>
      <c r="J18" s="7"/>
      <c r="K18" s="7"/>
      <c r="L18" s="699">
        <v>42156</v>
      </c>
      <c r="M18" s="699"/>
      <c r="N18" s="11"/>
      <c r="O18" s="12"/>
    </row>
    <row r="19" spans="2:15">
      <c r="B19" s="9"/>
      <c r="C19" s="9"/>
      <c r="D19" s="9"/>
      <c r="E19" s="9"/>
      <c r="F19" s="8"/>
      <c r="G19" s="8"/>
      <c r="H19" s="8"/>
      <c r="I19" s="8"/>
      <c r="J19" s="8"/>
      <c r="K19" s="8"/>
      <c r="L19" s="8"/>
      <c r="M19" s="8"/>
      <c r="N19" s="8"/>
      <c r="O19" s="13"/>
    </row>
    <row r="20" spans="2:15">
      <c r="B20" s="14"/>
      <c r="C20" s="14"/>
      <c r="D20" s="14"/>
      <c r="E20" s="14"/>
      <c r="F20" s="14"/>
      <c r="G20" s="14"/>
      <c r="H20" s="14"/>
      <c r="I20" s="14"/>
      <c r="J20" s="14"/>
      <c r="K20" s="14"/>
      <c r="L20" s="14"/>
      <c r="M20" s="14"/>
      <c r="N20" s="14"/>
      <c r="O20" s="14"/>
    </row>
    <row r="21" spans="2:15">
      <c r="B21" s="14"/>
      <c r="C21" s="14"/>
      <c r="D21" s="14"/>
      <c r="E21" s="14"/>
      <c r="F21" s="14"/>
      <c r="G21" s="14"/>
      <c r="H21" s="14"/>
      <c r="I21" s="14"/>
      <c r="J21" s="14"/>
      <c r="K21" s="14"/>
      <c r="L21" s="14"/>
      <c r="M21" s="14"/>
      <c r="N21" s="14"/>
      <c r="O21" s="14"/>
    </row>
    <row r="22" spans="2:15" s="64" customFormat="1" ht="15.75">
      <c r="B22" s="688" t="s">
        <v>0</v>
      </c>
      <c r="C22" s="688"/>
      <c r="D22" s="688"/>
      <c r="E22" s="688"/>
      <c r="F22" s="688"/>
      <c r="G22" s="688"/>
      <c r="H22" s="688"/>
      <c r="I22" s="688"/>
      <c r="J22" s="688"/>
      <c r="K22" s="688"/>
      <c r="L22" s="688"/>
      <c r="M22" s="688"/>
      <c r="N22" s="688"/>
      <c r="O22" s="688"/>
    </row>
    <row r="23" spans="2:15" s="64" customFormat="1"/>
    <row r="24" spans="2:15" s="79" customFormat="1">
      <c r="B24" s="64">
        <v>1</v>
      </c>
      <c r="C24" s="681" t="s">
        <v>453</v>
      </c>
      <c r="D24" s="681"/>
      <c r="E24" s="681"/>
      <c r="F24" s="681"/>
      <c r="G24" s="681"/>
      <c r="H24" s="681"/>
      <c r="I24" s="681"/>
      <c r="J24" s="681"/>
      <c r="K24" s="681"/>
      <c r="L24" s="681"/>
      <c r="M24" s="681"/>
      <c r="N24" s="681"/>
      <c r="O24" s="681"/>
    </row>
    <row r="25" spans="2:15" s="79" customFormat="1" ht="12.75" customHeight="1">
      <c r="C25" s="79" t="s">
        <v>73</v>
      </c>
      <c r="D25" s="671" t="s">
        <v>407</v>
      </c>
      <c r="E25" s="671"/>
      <c r="F25" s="671"/>
      <c r="G25" s="671"/>
      <c r="H25" s="671"/>
      <c r="I25" s="671"/>
      <c r="J25" s="671"/>
      <c r="K25" s="671"/>
      <c r="L25" s="671"/>
      <c r="M25" s="671"/>
      <c r="N25" s="671"/>
      <c r="O25" s="671"/>
    </row>
    <row r="26" spans="2:15" s="79" customFormat="1" ht="12.75" customHeight="1">
      <c r="B26" s="79" t="s">
        <v>114</v>
      </c>
      <c r="C26" s="79" t="s">
        <v>74</v>
      </c>
      <c r="D26" s="671" t="s">
        <v>628</v>
      </c>
      <c r="E26" s="671"/>
      <c r="F26" s="671"/>
      <c r="G26" s="671"/>
      <c r="H26" s="671"/>
      <c r="I26" s="671"/>
      <c r="J26" s="671"/>
      <c r="K26" s="671"/>
      <c r="L26" s="671"/>
      <c r="M26" s="671"/>
      <c r="N26" s="671"/>
      <c r="O26" s="671"/>
    </row>
    <row r="27" spans="2:15" s="79" customFormat="1" ht="12.75" customHeight="1">
      <c r="B27" s="79" t="s">
        <v>114</v>
      </c>
      <c r="C27" s="79" t="s">
        <v>75</v>
      </c>
      <c r="D27" s="671" t="s">
        <v>629</v>
      </c>
      <c r="E27" s="671"/>
      <c r="F27" s="671"/>
      <c r="G27" s="671"/>
      <c r="H27" s="671"/>
      <c r="I27" s="671"/>
      <c r="J27" s="671"/>
      <c r="K27" s="671"/>
      <c r="L27" s="671"/>
      <c r="M27" s="671"/>
      <c r="N27" s="671"/>
      <c r="O27" s="671"/>
    </row>
    <row r="28" spans="2:15" s="79" customFormat="1" ht="12.75" customHeight="1">
      <c r="D28" s="78"/>
      <c r="E28" s="78"/>
      <c r="F28" s="78"/>
      <c r="G28" s="78"/>
      <c r="H28" s="78"/>
      <c r="I28" s="78"/>
      <c r="J28" s="78"/>
      <c r="K28" s="78"/>
      <c r="L28" s="78"/>
      <c r="M28" s="78"/>
      <c r="N28" s="78"/>
      <c r="O28" s="78"/>
    </row>
    <row r="29" spans="2:15" s="79" customFormat="1">
      <c r="B29" s="79">
        <v>2</v>
      </c>
      <c r="C29" s="681" t="s">
        <v>454</v>
      </c>
      <c r="D29" s="681"/>
      <c r="E29" s="681"/>
      <c r="F29" s="681"/>
      <c r="G29" s="681"/>
      <c r="H29" s="681"/>
      <c r="I29" s="681"/>
      <c r="J29" s="681"/>
      <c r="K29" s="681"/>
      <c r="L29" s="681"/>
      <c r="M29" s="681"/>
      <c r="N29" s="681"/>
      <c r="O29" s="681"/>
    </row>
    <row r="30" spans="2:15" s="79" customFormat="1">
      <c r="C30" s="671" t="s">
        <v>630</v>
      </c>
      <c r="D30" s="671"/>
      <c r="E30" s="671"/>
      <c r="F30" s="671"/>
      <c r="G30" s="671"/>
      <c r="H30" s="671"/>
      <c r="I30" s="671"/>
      <c r="J30" s="671"/>
      <c r="K30" s="671"/>
      <c r="L30" s="671"/>
      <c r="M30" s="671"/>
      <c r="N30" s="671"/>
      <c r="O30" s="671"/>
    </row>
    <row r="31" spans="2:15" s="79" customFormat="1">
      <c r="C31" s="671"/>
      <c r="D31" s="671"/>
      <c r="E31" s="671"/>
      <c r="F31" s="671"/>
      <c r="G31" s="671"/>
      <c r="H31" s="671"/>
      <c r="I31" s="671"/>
      <c r="J31" s="671"/>
      <c r="K31" s="671"/>
      <c r="L31" s="671"/>
      <c r="M31" s="671"/>
      <c r="N31" s="671"/>
      <c r="O31" s="671"/>
    </row>
    <row r="32" spans="2:15" s="79" customFormat="1">
      <c r="C32" s="671"/>
      <c r="D32" s="671"/>
      <c r="E32" s="671"/>
      <c r="F32" s="671"/>
      <c r="G32" s="671"/>
      <c r="H32" s="671"/>
      <c r="I32" s="671"/>
      <c r="J32" s="671"/>
      <c r="K32" s="671"/>
      <c r="L32" s="671"/>
      <c r="M32" s="671"/>
      <c r="N32" s="671"/>
      <c r="O32" s="671"/>
    </row>
    <row r="33" spans="2:15" s="79" customFormat="1">
      <c r="C33" s="78"/>
      <c r="D33" s="78"/>
      <c r="E33" s="78"/>
      <c r="F33" s="78"/>
      <c r="G33" s="78"/>
      <c r="H33" s="78"/>
      <c r="I33" s="78"/>
      <c r="J33" s="78"/>
      <c r="K33" s="78"/>
      <c r="L33" s="78"/>
      <c r="M33" s="78"/>
      <c r="N33" s="78"/>
      <c r="O33" s="78"/>
    </row>
    <row r="34" spans="2:15" s="118" customFormat="1">
      <c r="B34" s="118">
        <v>3</v>
      </c>
      <c r="C34" s="681" t="s">
        <v>472</v>
      </c>
      <c r="D34" s="681"/>
      <c r="E34" s="681"/>
      <c r="F34" s="681"/>
      <c r="G34" s="681"/>
      <c r="H34" s="681"/>
      <c r="I34" s="681"/>
      <c r="J34" s="681"/>
      <c r="K34" s="681"/>
      <c r="L34" s="681"/>
      <c r="M34" s="681"/>
      <c r="N34" s="681"/>
      <c r="O34" s="681"/>
    </row>
    <row r="35" spans="2:15" s="118" customFormat="1" ht="12.75" customHeight="1">
      <c r="C35" s="700" t="s">
        <v>631</v>
      </c>
      <c r="D35" s="700"/>
      <c r="E35" s="700"/>
      <c r="F35" s="700"/>
      <c r="G35" s="700"/>
      <c r="H35" s="700"/>
      <c r="I35" s="700"/>
      <c r="J35" s="700"/>
      <c r="K35" s="700"/>
      <c r="L35" s="700"/>
      <c r="M35" s="700"/>
      <c r="N35" s="700"/>
      <c r="O35" s="700"/>
    </row>
    <row r="36" spans="2:15" s="118" customFormat="1" ht="12.75" customHeight="1">
      <c r="C36" s="350" t="s">
        <v>73</v>
      </c>
      <c r="D36" s="702" t="s">
        <v>633</v>
      </c>
      <c r="E36" s="701"/>
      <c r="F36" s="701"/>
      <c r="G36" s="701"/>
      <c r="H36" s="701"/>
      <c r="I36" s="701"/>
      <c r="J36" s="701"/>
      <c r="K36" s="701"/>
      <c r="L36" s="701"/>
      <c r="M36" s="701"/>
      <c r="N36" s="701"/>
      <c r="O36" s="701"/>
    </row>
    <row r="37" spans="2:15" s="118" customFormat="1" ht="12.75" customHeight="1">
      <c r="C37" s="350"/>
      <c r="D37" s="701"/>
      <c r="E37" s="701"/>
      <c r="F37" s="701"/>
      <c r="G37" s="701"/>
      <c r="H37" s="701"/>
      <c r="I37" s="701"/>
      <c r="J37" s="701"/>
      <c r="K37" s="701"/>
      <c r="L37" s="701"/>
      <c r="M37" s="701"/>
      <c r="N37" s="701"/>
      <c r="O37" s="701"/>
    </row>
    <row r="38" spans="2:15" s="118" customFormat="1">
      <c r="C38" s="350"/>
      <c r="D38" s="351" t="s">
        <v>632</v>
      </c>
      <c r="E38" s="349"/>
      <c r="F38" s="349"/>
      <c r="G38" s="349"/>
      <c r="H38" s="349"/>
      <c r="I38" s="349"/>
      <c r="J38" s="349"/>
      <c r="K38" s="349"/>
      <c r="L38" s="349"/>
      <c r="M38" s="349"/>
      <c r="N38" s="349"/>
      <c r="O38" s="349"/>
    </row>
    <row r="39" spans="2:15" s="118" customFormat="1" ht="12.75" customHeight="1">
      <c r="C39" s="349"/>
      <c r="D39" s="348" t="s">
        <v>634</v>
      </c>
      <c r="E39" s="701" t="s">
        <v>635</v>
      </c>
      <c r="F39" s="701"/>
      <c r="G39" s="701"/>
      <c r="H39" s="701"/>
      <c r="I39" s="701"/>
      <c r="J39" s="701"/>
      <c r="K39" s="701"/>
      <c r="L39" s="701"/>
      <c r="M39" s="701"/>
      <c r="N39" s="701"/>
      <c r="O39" s="701"/>
    </row>
    <row r="40" spans="2:15" s="118" customFormat="1" ht="12.75" customHeight="1">
      <c r="C40" s="350" t="s">
        <v>74</v>
      </c>
      <c r="D40" s="702" t="s">
        <v>637</v>
      </c>
      <c r="E40" s="701"/>
      <c r="F40" s="701"/>
      <c r="G40" s="701"/>
      <c r="H40" s="701"/>
      <c r="I40" s="701"/>
      <c r="J40" s="701"/>
      <c r="K40" s="701"/>
      <c r="L40" s="701"/>
      <c r="M40" s="701"/>
      <c r="N40" s="701"/>
      <c r="O40" s="701"/>
    </row>
    <row r="41" spans="2:15" s="118" customFormat="1" ht="12.75" customHeight="1">
      <c r="C41" s="350"/>
      <c r="D41" s="701"/>
      <c r="E41" s="701"/>
      <c r="F41" s="701"/>
      <c r="G41" s="701"/>
      <c r="H41" s="701"/>
      <c r="I41" s="701"/>
      <c r="J41" s="701"/>
      <c r="K41" s="701"/>
      <c r="L41" s="701"/>
      <c r="M41" s="701"/>
      <c r="N41" s="701"/>
      <c r="O41" s="701"/>
    </row>
    <row r="42" spans="2:15" s="118" customFormat="1" ht="12.75" customHeight="1">
      <c r="C42" s="350"/>
      <c r="D42" s="701"/>
      <c r="E42" s="701"/>
      <c r="F42" s="701"/>
      <c r="G42" s="701"/>
      <c r="H42" s="701"/>
      <c r="I42" s="701"/>
      <c r="J42" s="701"/>
      <c r="K42" s="701"/>
      <c r="L42" s="701"/>
      <c r="M42" s="701"/>
      <c r="N42" s="701"/>
      <c r="O42" s="701"/>
    </row>
    <row r="43" spans="2:15" s="118" customFormat="1" ht="12.75" customHeight="1">
      <c r="C43" s="349"/>
      <c r="D43" s="348" t="s">
        <v>634</v>
      </c>
      <c r="E43" s="701" t="s">
        <v>636</v>
      </c>
      <c r="F43" s="701"/>
      <c r="G43" s="701"/>
      <c r="H43" s="701"/>
      <c r="I43" s="701"/>
      <c r="J43" s="701"/>
      <c r="K43" s="701"/>
      <c r="L43" s="701"/>
      <c r="M43" s="701"/>
      <c r="N43" s="701"/>
      <c r="O43" s="701"/>
    </row>
    <row r="44" spans="2:15" s="118" customFormat="1" ht="12.75" customHeight="1">
      <c r="C44" s="350" t="s">
        <v>75</v>
      </c>
      <c r="D44" s="702" t="s">
        <v>649</v>
      </c>
      <c r="E44" s="701"/>
      <c r="F44" s="701"/>
      <c r="G44" s="701"/>
      <c r="H44" s="701"/>
      <c r="I44" s="701"/>
      <c r="J44" s="701"/>
      <c r="K44" s="701"/>
      <c r="L44" s="701"/>
      <c r="M44" s="701"/>
      <c r="N44" s="701"/>
      <c r="O44" s="701"/>
    </row>
    <row r="45" spans="2:15" s="118" customFormat="1" ht="12.75" customHeight="1">
      <c r="C45" s="350"/>
      <c r="D45" s="701"/>
      <c r="E45" s="701"/>
      <c r="F45" s="701"/>
      <c r="G45" s="701"/>
      <c r="H45" s="701"/>
      <c r="I45" s="701"/>
      <c r="J45" s="701"/>
      <c r="K45" s="701"/>
      <c r="L45" s="701"/>
      <c r="M45" s="701"/>
      <c r="N45" s="701"/>
      <c r="O45" s="701"/>
    </row>
    <row r="46" spans="2:15" s="118" customFormat="1">
      <c r="C46" s="349"/>
      <c r="D46" s="348" t="s">
        <v>634</v>
      </c>
      <c r="E46" s="701" t="s">
        <v>515</v>
      </c>
      <c r="F46" s="701"/>
      <c r="G46" s="701"/>
      <c r="H46" s="701"/>
      <c r="I46" s="701"/>
      <c r="J46" s="701"/>
      <c r="K46" s="701"/>
      <c r="L46" s="701"/>
      <c r="M46" s="701"/>
      <c r="N46" s="701"/>
      <c r="O46" s="701"/>
    </row>
    <row r="47" spans="2:15" s="118" customFormat="1">
      <c r="C47" s="117"/>
      <c r="D47" s="117"/>
      <c r="E47" s="117"/>
      <c r="F47" s="117"/>
      <c r="G47" s="117"/>
      <c r="H47" s="117"/>
      <c r="I47" s="117"/>
      <c r="J47" s="117"/>
      <c r="K47" s="117"/>
      <c r="L47" s="117"/>
      <c r="M47" s="117"/>
      <c r="N47" s="117"/>
      <c r="O47" s="117"/>
    </row>
    <row r="48" spans="2:15" s="79" customFormat="1" ht="15.75">
      <c r="B48" s="688" t="s">
        <v>279</v>
      </c>
      <c r="C48" s="688"/>
      <c r="D48" s="688"/>
      <c r="E48" s="688"/>
      <c r="F48" s="688"/>
      <c r="G48" s="688"/>
      <c r="H48" s="688"/>
      <c r="I48" s="688"/>
      <c r="J48" s="688"/>
      <c r="K48" s="688"/>
      <c r="L48" s="688"/>
      <c r="M48" s="688"/>
      <c r="N48" s="688"/>
      <c r="O48" s="688"/>
    </row>
    <row r="49" spans="2:15" s="79" customFormat="1">
      <c r="B49" s="118"/>
      <c r="C49" s="118"/>
      <c r="D49" s="118"/>
      <c r="E49" s="118"/>
      <c r="F49" s="118"/>
      <c r="G49" s="118"/>
      <c r="H49" s="118"/>
      <c r="I49" s="118"/>
      <c r="J49" s="118"/>
      <c r="K49" s="118"/>
      <c r="L49" s="118"/>
      <c r="M49" s="118"/>
      <c r="N49" s="118"/>
      <c r="O49" s="118"/>
    </row>
    <row r="50" spans="2:15" s="79" customFormat="1">
      <c r="B50" s="118"/>
      <c r="C50" s="687" t="s">
        <v>722</v>
      </c>
      <c r="D50" s="687"/>
      <c r="E50" s="687"/>
      <c r="F50" s="79" t="s">
        <v>723</v>
      </c>
      <c r="G50" s="118"/>
      <c r="H50" s="118"/>
      <c r="I50" s="118"/>
      <c r="J50" s="118"/>
      <c r="K50" s="118" t="s">
        <v>611</v>
      </c>
      <c r="L50" s="102" t="s">
        <v>612</v>
      </c>
      <c r="M50" s="118"/>
      <c r="N50" s="118"/>
      <c r="O50" s="118"/>
    </row>
    <row r="51" spans="2:15" s="101" customFormat="1">
      <c r="B51" s="118"/>
      <c r="C51" s="687" t="s">
        <v>130</v>
      </c>
      <c r="D51" s="687"/>
      <c r="E51" s="687"/>
      <c r="F51" s="102" t="s">
        <v>590</v>
      </c>
      <c r="G51" s="118"/>
      <c r="H51" s="118"/>
      <c r="I51" s="118"/>
      <c r="J51" s="118"/>
      <c r="K51" s="118" t="s">
        <v>11</v>
      </c>
      <c r="L51" s="102" t="s">
        <v>415</v>
      </c>
      <c r="M51" s="118"/>
      <c r="N51" s="118"/>
      <c r="O51" s="118"/>
    </row>
    <row r="52" spans="2:15" s="79" customFormat="1">
      <c r="B52" s="118"/>
      <c r="C52" s="687" t="s">
        <v>429</v>
      </c>
      <c r="D52" s="687"/>
      <c r="E52" s="687"/>
      <c r="F52" s="102" t="s">
        <v>431</v>
      </c>
      <c r="G52" s="118"/>
      <c r="H52" s="118"/>
      <c r="I52" s="118"/>
      <c r="J52" s="118"/>
      <c r="K52" s="118" t="s">
        <v>324</v>
      </c>
      <c r="L52" s="102" t="s">
        <v>600</v>
      </c>
      <c r="M52" s="118"/>
      <c r="N52" s="118"/>
      <c r="O52" s="118"/>
    </row>
    <row r="53" spans="2:15" s="101" customFormat="1">
      <c r="B53" s="118"/>
      <c r="C53" s="687" t="s">
        <v>105</v>
      </c>
      <c r="D53" s="687"/>
      <c r="E53" s="687"/>
      <c r="F53" s="102" t="s">
        <v>591</v>
      </c>
      <c r="G53" s="118"/>
      <c r="H53" s="118"/>
      <c r="I53" s="118"/>
      <c r="J53" s="118"/>
      <c r="K53" s="118" t="s">
        <v>589</v>
      </c>
      <c r="L53" s="102" t="s">
        <v>601</v>
      </c>
      <c r="M53" s="118"/>
      <c r="N53" s="118"/>
      <c r="O53" s="118"/>
    </row>
    <row r="54" spans="2:15" s="79" customFormat="1">
      <c r="B54" s="118"/>
      <c r="C54" s="687" t="s">
        <v>445</v>
      </c>
      <c r="D54" s="687"/>
      <c r="E54" s="687"/>
      <c r="F54" s="102" t="s">
        <v>592</v>
      </c>
      <c r="G54" s="118"/>
      <c r="H54" s="118"/>
      <c r="I54" s="118"/>
      <c r="J54" s="118"/>
      <c r="K54" s="118" t="s">
        <v>448</v>
      </c>
      <c r="L54" s="118" t="s">
        <v>602</v>
      </c>
      <c r="M54" s="118"/>
      <c r="N54" s="118"/>
      <c r="O54" s="118"/>
    </row>
    <row r="55" spans="2:15" s="79" customFormat="1" ht="14.25">
      <c r="B55" s="118"/>
      <c r="C55" s="687" t="s">
        <v>588</v>
      </c>
      <c r="D55" s="687"/>
      <c r="E55" s="687"/>
      <c r="F55" s="102" t="s">
        <v>593</v>
      </c>
      <c r="G55" s="118"/>
      <c r="H55" s="118"/>
      <c r="I55" s="118"/>
      <c r="J55" s="118"/>
      <c r="K55" s="118" t="s">
        <v>449</v>
      </c>
      <c r="L55" s="118" t="s">
        <v>603</v>
      </c>
      <c r="M55" s="118"/>
      <c r="N55" s="118"/>
      <c r="O55" s="118"/>
    </row>
    <row r="56" spans="2:15" s="79" customFormat="1" ht="14.25">
      <c r="B56" s="118"/>
      <c r="C56" s="687" t="s">
        <v>278</v>
      </c>
      <c r="D56" s="687"/>
      <c r="E56" s="687"/>
      <c r="F56" s="102" t="s">
        <v>594</v>
      </c>
      <c r="G56" s="118"/>
      <c r="H56" s="118"/>
      <c r="I56" s="118"/>
      <c r="J56" s="118"/>
      <c r="K56" s="118" t="s">
        <v>450</v>
      </c>
      <c r="L56" s="118" t="s">
        <v>604</v>
      </c>
      <c r="M56" s="118"/>
      <c r="N56" s="118"/>
      <c r="O56" s="118"/>
    </row>
    <row r="57" spans="2:15" s="79" customFormat="1">
      <c r="B57" s="118"/>
      <c r="C57" s="687" t="s">
        <v>254</v>
      </c>
      <c r="D57" s="687"/>
      <c r="E57" s="687"/>
      <c r="F57" s="102" t="s">
        <v>595</v>
      </c>
      <c r="G57" s="118"/>
      <c r="H57" s="118"/>
      <c r="I57" s="118"/>
      <c r="J57" s="118"/>
      <c r="K57" s="118" t="s">
        <v>107</v>
      </c>
      <c r="L57" s="102" t="s">
        <v>605</v>
      </c>
      <c r="M57" s="118"/>
      <c r="N57" s="118"/>
      <c r="O57" s="118"/>
    </row>
    <row r="58" spans="2:15" s="79" customFormat="1">
      <c r="B58" s="118"/>
      <c r="C58" s="687" t="s">
        <v>418</v>
      </c>
      <c r="D58" s="687"/>
      <c r="E58" s="687"/>
      <c r="F58" s="102" t="s">
        <v>419</v>
      </c>
      <c r="G58" s="118"/>
      <c r="H58" s="118"/>
      <c r="I58" s="118"/>
      <c r="J58" s="118"/>
      <c r="K58" s="118" t="s">
        <v>689</v>
      </c>
      <c r="L58" s="102" t="s">
        <v>690</v>
      </c>
      <c r="M58" s="118"/>
      <c r="N58" s="118"/>
      <c r="O58" s="118"/>
    </row>
    <row r="59" spans="2:15" s="79" customFormat="1">
      <c r="B59" s="118"/>
      <c r="C59" s="687" t="s">
        <v>308</v>
      </c>
      <c r="D59" s="687"/>
      <c r="E59" s="687"/>
      <c r="F59" s="102" t="s">
        <v>596</v>
      </c>
      <c r="G59" s="118"/>
      <c r="H59" s="118"/>
      <c r="I59" s="118"/>
      <c r="J59" s="118"/>
      <c r="K59" s="118" t="s">
        <v>108</v>
      </c>
      <c r="L59" s="102" t="s">
        <v>606</v>
      </c>
      <c r="M59" s="118"/>
      <c r="N59" s="118"/>
      <c r="O59" s="118"/>
    </row>
    <row r="60" spans="2:15" s="79" customFormat="1">
      <c r="B60" s="118"/>
      <c r="C60" s="687" t="s">
        <v>428</v>
      </c>
      <c r="D60" s="687"/>
      <c r="E60" s="687"/>
      <c r="F60" s="102" t="s">
        <v>597</v>
      </c>
      <c r="G60" s="118"/>
      <c r="H60" s="118"/>
      <c r="I60" s="118"/>
      <c r="J60" s="118"/>
      <c r="K60" s="118" t="s">
        <v>309</v>
      </c>
      <c r="L60" s="102" t="s">
        <v>607</v>
      </c>
      <c r="M60" s="118"/>
      <c r="N60" s="118"/>
      <c r="O60" s="118"/>
    </row>
    <row r="61" spans="2:15" s="101" customFormat="1">
      <c r="B61" s="118"/>
      <c r="C61" s="687" t="s">
        <v>112</v>
      </c>
      <c r="D61" s="687"/>
      <c r="E61" s="687"/>
      <c r="F61" s="102" t="s">
        <v>598</v>
      </c>
      <c r="G61" s="118"/>
      <c r="H61" s="118"/>
      <c r="I61" s="118"/>
      <c r="J61" s="118"/>
      <c r="K61" s="118" t="s">
        <v>267</v>
      </c>
      <c r="L61" s="102" t="s">
        <v>608</v>
      </c>
      <c r="M61" s="118"/>
      <c r="N61" s="118"/>
      <c r="O61" s="118"/>
    </row>
    <row r="62" spans="2:15" s="118" customFormat="1">
      <c r="C62" s="687" t="s">
        <v>106</v>
      </c>
      <c r="D62" s="687"/>
      <c r="E62" s="687"/>
      <c r="F62" s="102" t="s">
        <v>432</v>
      </c>
      <c r="K62" s="118" t="s">
        <v>132</v>
      </c>
      <c r="L62" s="102" t="s">
        <v>609</v>
      </c>
    </row>
    <row r="63" spans="2:15" s="79" customFormat="1">
      <c r="B63" s="118"/>
      <c r="C63" s="687" t="s">
        <v>12</v>
      </c>
      <c r="D63" s="687"/>
      <c r="E63" s="687"/>
      <c r="F63" s="102" t="s">
        <v>599</v>
      </c>
      <c r="G63" s="118"/>
      <c r="H63" s="118"/>
      <c r="I63" s="118"/>
      <c r="J63" s="118"/>
      <c r="K63" s="118" t="s">
        <v>266</v>
      </c>
      <c r="L63" s="102" t="s">
        <v>610</v>
      </c>
      <c r="M63" s="118"/>
      <c r="N63" s="118"/>
      <c r="O63" s="118"/>
    </row>
    <row r="64" spans="2:15" s="118" customFormat="1"/>
    <row r="65" spans="2:15" s="79" customFormat="1" ht="15.75">
      <c r="B65" s="688" t="s">
        <v>420</v>
      </c>
      <c r="C65" s="688"/>
      <c r="D65" s="688"/>
      <c r="E65" s="688"/>
      <c r="F65" s="688"/>
      <c r="G65" s="688"/>
      <c r="H65" s="688"/>
      <c r="I65" s="688"/>
      <c r="J65" s="688"/>
      <c r="K65" s="688"/>
      <c r="L65" s="688"/>
      <c r="M65" s="688"/>
      <c r="N65" s="688"/>
      <c r="O65" s="688"/>
    </row>
    <row r="66" spans="2:15" s="79" customFormat="1">
      <c r="C66" s="78"/>
      <c r="D66" s="78"/>
      <c r="E66" s="78"/>
      <c r="F66" s="78"/>
      <c r="G66" s="78"/>
      <c r="H66" s="78"/>
      <c r="I66" s="78"/>
      <c r="J66" s="78"/>
      <c r="K66" s="78"/>
      <c r="L66" s="78"/>
      <c r="M66" s="78"/>
      <c r="N66" s="78"/>
      <c r="O66" s="78"/>
    </row>
    <row r="67" spans="2:15" s="79" customFormat="1">
      <c r="B67" s="79">
        <v>1</v>
      </c>
      <c r="C67" s="113" t="s">
        <v>433</v>
      </c>
      <c r="D67" s="78"/>
      <c r="E67" s="78"/>
      <c r="F67" s="78"/>
      <c r="G67" s="78"/>
      <c r="H67" s="78"/>
      <c r="I67" s="78"/>
      <c r="J67" s="78"/>
      <c r="K67" s="78"/>
      <c r="L67" s="78"/>
      <c r="M67" s="78"/>
      <c r="N67" s="78"/>
      <c r="O67" s="78"/>
    </row>
    <row r="68" spans="2:15" s="101" customFormat="1">
      <c r="C68" s="671" t="s">
        <v>434</v>
      </c>
      <c r="D68" s="671"/>
      <c r="E68" s="671"/>
      <c r="F68" s="671"/>
      <c r="G68" s="671"/>
      <c r="H68" s="671"/>
      <c r="I68" s="671"/>
      <c r="J68" s="671"/>
      <c r="K68" s="671"/>
      <c r="L68" s="671"/>
      <c r="M68" s="671"/>
      <c r="N68" s="671"/>
      <c r="O68" s="671"/>
    </row>
    <row r="69" spans="2:15" s="79" customFormat="1">
      <c r="C69" s="671"/>
      <c r="D69" s="671"/>
      <c r="E69" s="671"/>
      <c r="F69" s="671"/>
      <c r="G69" s="671"/>
      <c r="H69" s="671"/>
      <c r="I69" s="671"/>
      <c r="J69" s="671"/>
      <c r="K69" s="671"/>
      <c r="L69" s="671"/>
      <c r="M69" s="671"/>
      <c r="N69" s="671"/>
      <c r="O69" s="671"/>
    </row>
    <row r="70" spans="2:15" s="101" customFormat="1">
      <c r="C70" s="100"/>
      <c r="D70" s="100"/>
      <c r="E70" s="100"/>
      <c r="F70" s="100"/>
      <c r="G70" s="100"/>
      <c r="H70" s="100"/>
      <c r="I70" s="100"/>
      <c r="J70" s="100"/>
      <c r="K70" s="100"/>
      <c r="L70" s="100"/>
      <c r="M70" s="100"/>
      <c r="N70" s="100"/>
      <c r="O70" s="100"/>
    </row>
    <row r="71" spans="2:15" s="101" customFormat="1">
      <c r="C71" s="100"/>
      <c r="D71" s="100"/>
      <c r="E71" s="100"/>
      <c r="F71" s="100"/>
      <c r="G71" s="100"/>
      <c r="H71" s="100"/>
      <c r="I71" s="100"/>
      <c r="J71" s="100"/>
      <c r="K71" s="100"/>
      <c r="L71" s="100"/>
      <c r="M71" s="100"/>
      <c r="N71" s="100"/>
      <c r="O71" s="100"/>
    </row>
    <row r="72" spans="2:15" s="101" customFormat="1">
      <c r="C72" s="100"/>
      <c r="D72" s="100"/>
      <c r="E72" s="100"/>
      <c r="F72" s="100"/>
      <c r="G72" s="100"/>
      <c r="H72" s="100"/>
      <c r="I72" s="100"/>
      <c r="J72" s="100"/>
      <c r="K72" s="100"/>
      <c r="L72" s="100"/>
      <c r="M72" s="100"/>
      <c r="N72" s="100"/>
      <c r="O72" s="100"/>
    </row>
    <row r="73" spans="2:15" s="101" customFormat="1">
      <c r="C73" s="100"/>
      <c r="D73" s="100"/>
      <c r="E73" s="100"/>
      <c r="F73" s="100"/>
      <c r="G73" s="100"/>
      <c r="H73" s="100"/>
      <c r="I73" s="100"/>
      <c r="J73" s="100"/>
      <c r="K73" s="100"/>
      <c r="L73" s="100"/>
      <c r="M73" s="100"/>
      <c r="N73" s="100"/>
      <c r="O73" s="100"/>
    </row>
    <row r="74" spans="2:15" s="101" customFormat="1">
      <c r="C74" s="100"/>
      <c r="D74" s="100"/>
      <c r="E74" s="100"/>
      <c r="F74" s="100"/>
      <c r="G74" s="100"/>
      <c r="H74" s="100"/>
      <c r="I74" s="100"/>
      <c r="J74" s="100"/>
      <c r="K74" s="100"/>
      <c r="L74" s="100"/>
      <c r="M74" s="100"/>
      <c r="N74" s="100"/>
      <c r="O74" s="100"/>
    </row>
    <row r="75" spans="2:15" s="101" customFormat="1">
      <c r="C75" s="100"/>
      <c r="D75" s="100"/>
      <c r="E75" s="100"/>
      <c r="F75" s="100"/>
      <c r="G75" s="100"/>
      <c r="H75" s="100"/>
      <c r="I75" s="100"/>
      <c r="J75" s="100"/>
      <c r="K75" s="100"/>
      <c r="L75" s="100"/>
      <c r="M75" s="100"/>
      <c r="N75" s="100"/>
      <c r="O75" s="100"/>
    </row>
    <row r="76" spans="2:15" s="101" customFormat="1">
      <c r="C76" s="100"/>
      <c r="D76" s="100"/>
      <c r="E76" s="100"/>
      <c r="F76" s="100"/>
      <c r="G76" s="100"/>
      <c r="H76" s="100"/>
      <c r="I76" s="100"/>
      <c r="J76" s="100"/>
      <c r="K76" s="100"/>
      <c r="L76" s="100"/>
      <c r="M76" s="100"/>
      <c r="N76" s="100"/>
      <c r="O76" s="100"/>
    </row>
    <row r="77" spans="2:15" s="101" customFormat="1">
      <c r="C77" s="100"/>
      <c r="D77" s="100"/>
      <c r="E77" s="100"/>
      <c r="F77" s="100"/>
      <c r="G77" s="100"/>
      <c r="H77" s="100"/>
      <c r="I77" s="100"/>
      <c r="J77" s="100"/>
      <c r="K77" s="100"/>
      <c r="L77" s="100"/>
      <c r="M77" s="100"/>
      <c r="N77" s="100"/>
      <c r="O77" s="100"/>
    </row>
    <row r="78" spans="2:15" s="101" customFormat="1">
      <c r="C78" s="100"/>
      <c r="D78" s="100"/>
      <c r="E78" s="100"/>
      <c r="F78" s="100"/>
      <c r="G78" s="100"/>
      <c r="H78" s="100"/>
      <c r="I78" s="100"/>
      <c r="J78" s="100"/>
      <c r="K78" s="100"/>
      <c r="L78" s="100"/>
      <c r="M78" s="100"/>
      <c r="N78" s="100"/>
      <c r="O78" s="100"/>
    </row>
    <row r="79" spans="2:15" s="101" customFormat="1">
      <c r="C79" s="100"/>
      <c r="D79" s="100"/>
      <c r="E79" s="100"/>
      <c r="F79" s="100"/>
      <c r="G79" s="100"/>
      <c r="H79" s="100"/>
      <c r="I79" s="100"/>
      <c r="J79" s="100"/>
      <c r="K79" s="100"/>
      <c r="L79" s="100"/>
      <c r="M79" s="100"/>
      <c r="N79" s="100"/>
      <c r="O79" s="100"/>
    </row>
    <row r="80" spans="2:15" s="101" customFormat="1">
      <c r="C80" s="100"/>
      <c r="D80" s="100"/>
      <c r="E80" s="100"/>
      <c r="F80" s="100"/>
      <c r="G80" s="100"/>
      <c r="H80" s="100"/>
      <c r="I80" s="100"/>
      <c r="J80" s="100"/>
      <c r="K80" s="100"/>
      <c r="L80" s="100"/>
      <c r="M80" s="100"/>
      <c r="N80" s="100"/>
      <c r="O80" s="100"/>
    </row>
    <row r="81" spans="3:15" s="101" customFormat="1">
      <c r="C81" s="100"/>
      <c r="D81" s="100"/>
      <c r="E81" s="100"/>
      <c r="F81" s="100"/>
      <c r="G81" s="100"/>
      <c r="H81" s="100"/>
      <c r="I81" s="100"/>
      <c r="J81" s="100"/>
      <c r="K81" s="100"/>
      <c r="L81" s="100"/>
      <c r="M81" s="100"/>
      <c r="N81" s="100"/>
      <c r="O81" s="100"/>
    </row>
    <row r="82" spans="3:15" s="101" customFormat="1">
      <c r="C82" s="100"/>
      <c r="D82" s="100"/>
      <c r="E82" s="100"/>
      <c r="F82" s="100"/>
      <c r="G82" s="100"/>
      <c r="H82" s="100"/>
      <c r="I82" s="100"/>
      <c r="J82" s="100"/>
      <c r="K82" s="100"/>
      <c r="L82" s="100"/>
      <c r="M82" s="100"/>
      <c r="N82" s="100"/>
      <c r="O82" s="100"/>
    </row>
    <row r="83" spans="3:15" s="101" customFormat="1">
      <c r="C83" s="100"/>
      <c r="D83" s="100"/>
      <c r="E83" s="100"/>
      <c r="F83" s="100"/>
      <c r="G83" s="100"/>
      <c r="H83" s="100"/>
      <c r="I83" s="100"/>
      <c r="J83" s="100"/>
      <c r="K83" s="100"/>
      <c r="L83" s="100"/>
      <c r="M83" s="100"/>
      <c r="N83" s="100"/>
      <c r="O83" s="100"/>
    </row>
    <row r="84" spans="3:15" s="101" customFormat="1">
      <c r="C84" s="100"/>
      <c r="D84" s="100"/>
      <c r="E84" s="100"/>
      <c r="F84" s="100"/>
      <c r="G84" s="100"/>
      <c r="H84" s="100"/>
      <c r="I84" s="100"/>
      <c r="J84" s="100"/>
      <c r="K84" s="100"/>
      <c r="L84" s="100"/>
      <c r="M84" s="100"/>
      <c r="N84" s="100"/>
      <c r="O84" s="100"/>
    </row>
    <row r="85" spans="3:15" s="101" customFormat="1">
      <c r="C85" s="100"/>
      <c r="D85" s="100"/>
      <c r="E85" s="100"/>
      <c r="F85" s="100"/>
      <c r="G85" s="100"/>
      <c r="H85" s="100"/>
      <c r="I85" s="100"/>
      <c r="J85" s="100"/>
      <c r="K85" s="100"/>
      <c r="L85" s="100"/>
      <c r="M85" s="100"/>
      <c r="N85" s="100"/>
      <c r="O85" s="100"/>
    </row>
    <row r="86" spans="3:15" s="101" customFormat="1">
      <c r="C86" s="100"/>
      <c r="D86" s="100"/>
      <c r="E86" s="100"/>
      <c r="F86" s="100"/>
      <c r="G86" s="100"/>
      <c r="H86" s="100"/>
      <c r="I86" s="100"/>
      <c r="J86" s="100"/>
      <c r="K86" s="100"/>
      <c r="L86" s="100"/>
      <c r="M86" s="100"/>
      <c r="N86" s="100"/>
      <c r="O86" s="100"/>
    </row>
    <row r="87" spans="3:15" s="101" customFormat="1">
      <c r="C87" s="100"/>
      <c r="D87" s="100"/>
      <c r="E87" s="100"/>
      <c r="F87" s="100"/>
      <c r="G87" s="100"/>
      <c r="H87" s="100"/>
      <c r="I87" s="100"/>
      <c r="J87" s="100"/>
      <c r="K87" s="100"/>
      <c r="L87" s="100"/>
      <c r="M87" s="100"/>
      <c r="N87" s="100"/>
      <c r="O87" s="100"/>
    </row>
    <row r="88" spans="3:15" s="79" customFormat="1">
      <c r="C88" s="78"/>
      <c r="D88" s="78"/>
      <c r="E88" s="78"/>
      <c r="F88" s="78"/>
      <c r="G88" s="78"/>
      <c r="H88" s="78"/>
      <c r="I88" s="78"/>
      <c r="J88" s="78"/>
      <c r="K88" s="78"/>
      <c r="L88" s="78"/>
      <c r="M88" s="78"/>
      <c r="N88" s="78"/>
      <c r="O88" s="78"/>
    </row>
    <row r="89" spans="3:15" s="79" customFormat="1">
      <c r="C89" s="78"/>
      <c r="D89" s="78"/>
      <c r="E89" s="78"/>
      <c r="F89" s="78"/>
      <c r="G89" s="78"/>
      <c r="H89" s="78"/>
      <c r="I89" s="78"/>
      <c r="J89" s="78"/>
      <c r="K89" s="78"/>
      <c r="L89" s="78"/>
      <c r="M89" s="78"/>
      <c r="N89" s="78"/>
      <c r="O89" s="78"/>
    </row>
    <row r="90" spans="3:15" s="79" customFormat="1">
      <c r="C90" s="78"/>
      <c r="D90" s="78"/>
      <c r="E90" s="78"/>
      <c r="F90" s="78"/>
      <c r="G90" s="78"/>
      <c r="H90" s="78"/>
      <c r="I90" s="78"/>
      <c r="J90" s="78"/>
      <c r="K90" s="78"/>
      <c r="L90" s="78"/>
      <c r="M90" s="78"/>
      <c r="N90" s="78"/>
      <c r="O90" s="78"/>
    </row>
    <row r="91" spans="3:15" s="79" customFormat="1">
      <c r="C91" s="78"/>
      <c r="D91" s="78"/>
      <c r="E91" s="78"/>
      <c r="F91" s="78"/>
      <c r="G91" s="78"/>
      <c r="H91" s="78"/>
      <c r="I91" s="78"/>
      <c r="J91" s="78"/>
      <c r="K91" s="78"/>
      <c r="L91" s="78"/>
      <c r="M91" s="78"/>
      <c r="N91" s="78"/>
      <c r="O91" s="78"/>
    </row>
    <row r="92" spans="3:15" s="476" customFormat="1">
      <c r="C92" s="475" t="s">
        <v>775</v>
      </c>
      <c r="D92" s="474"/>
      <c r="E92" s="474"/>
      <c r="F92" s="474"/>
      <c r="G92" s="474"/>
      <c r="H92" s="474"/>
      <c r="I92" s="474"/>
      <c r="J92" s="474"/>
      <c r="K92" s="474"/>
      <c r="L92" s="474"/>
      <c r="M92" s="474"/>
      <c r="N92" s="474"/>
      <c r="O92" s="474"/>
    </row>
    <row r="93" spans="3:15" s="476" customFormat="1" ht="12.75" customHeight="1">
      <c r="C93" s="671" t="s">
        <v>777</v>
      </c>
      <c r="D93" s="671"/>
      <c r="E93" s="671"/>
      <c r="F93" s="671"/>
      <c r="G93" s="671"/>
      <c r="H93" s="671"/>
      <c r="I93" s="737" t="s">
        <v>776</v>
      </c>
      <c r="J93" s="737"/>
      <c r="K93" s="737"/>
      <c r="L93" s="474"/>
      <c r="M93" s="474"/>
      <c r="N93" s="474"/>
      <c r="O93" s="474"/>
    </row>
    <row r="94" spans="3:15" s="476" customFormat="1" ht="12.75" customHeight="1">
      <c r="C94" s="474"/>
      <c r="D94" s="474"/>
      <c r="E94" s="474"/>
      <c r="F94" s="474"/>
      <c r="G94" s="474"/>
      <c r="H94" s="474"/>
      <c r="I94" s="474"/>
      <c r="J94" s="474"/>
      <c r="K94" s="474"/>
      <c r="L94" s="474"/>
      <c r="M94" s="474"/>
      <c r="N94" s="474"/>
      <c r="O94" s="474"/>
    </row>
    <row r="95" spans="3:15" s="476" customFormat="1" ht="12.75" customHeight="1">
      <c r="C95" s="474"/>
      <c r="D95" s="474"/>
      <c r="E95" s="474"/>
      <c r="F95" s="474"/>
      <c r="G95" s="474"/>
      <c r="H95" s="474"/>
      <c r="I95" s="474"/>
      <c r="J95" s="474"/>
      <c r="K95" s="474"/>
      <c r="L95" s="474"/>
      <c r="M95" s="474"/>
      <c r="N95" s="474"/>
      <c r="O95" s="474"/>
    </row>
    <row r="96" spans="3:15" s="476" customFormat="1" ht="12.75" customHeight="1">
      <c r="C96" s="474"/>
      <c r="D96" s="474"/>
      <c r="E96" s="474"/>
      <c r="F96" s="474"/>
      <c r="G96" s="474"/>
      <c r="H96" s="474"/>
      <c r="I96" s="474"/>
      <c r="J96" s="474"/>
      <c r="K96" s="474"/>
      <c r="L96" s="474"/>
      <c r="M96" s="474"/>
      <c r="N96" s="474"/>
      <c r="O96" s="474"/>
    </row>
    <row r="97" spans="2:15" s="101" customFormat="1">
      <c r="B97" s="101">
        <v>2</v>
      </c>
      <c r="C97" s="113" t="s">
        <v>436</v>
      </c>
      <c r="D97" s="100"/>
      <c r="E97" s="100"/>
      <c r="F97" s="100"/>
      <c r="G97" s="100"/>
      <c r="H97" s="100"/>
      <c r="I97" s="100"/>
      <c r="J97" s="100"/>
      <c r="K97" s="100"/>
      <c r="L97" s="100"/>
      <c r="M97" s="100"/>
      <c r="N97" s="100"/>
      <c r="O97" s="100"/>
    </row>
    <row r="98" spans="2:15" s="101" customFormat="1">
      <c r="C98" s="101" t="s">
        <v>435</v>
      </c>
      <c r="D98" s="100"/>
      <c r="E98" s="100"/>
      <c r="F98" s="100"/>
      <c r="G98" s="100"/>
      <c r="H98" s="100"/>
      <c r="I98" s="100"/>
      <c r="J98" s="100"/>
      <c r="K98" s="100"/>
      <c r="L98" s="100"/>
      <c r="M98" s="100"/>
      <c r="N98" s="100"/>
      <c r="O98" s="100"/>
    </row>
    <row r="99" spans="2:15" s="101" customFormat="1">
      <c r="D99" s="100"/>
      <c r="E99" s="100"/>
      <c r="F99" s="100"/>
      <c r="G99" s="100"/>
      <c r="H99" s="100"/>
      <c r="I99" s="100"/>
      <c r="J99" s="100"/>
      <c r="K99" s="100"/>
      <c r="L99" s="100"/>
      <c r="M99" s="100"/>
      <c r="N99" s="100"/>
      <c r="O99" s="100"/>
    </row>
    <row r="100" spans="2:15" s="101" customFormat="1">
      <c r="D100" s="100"/>
      <c r="E100" s="100"/>
      <c r="F100" s="100"/>
      <c r="G100" s="100"/>
      <c r="H100" s="100"/>
      <c r="I100" s="100"/>
      <c r="J100" s="100"/>
      <c r="K100" s="100"/>
      <c r="L100" s="100"/>
      <c r="M100" s="100"/>
      <c r="N100" s="100"/>
      <c r="O100" s="100"/>
    </row>
    <row r="101" spans="2:15" s="101" customFormat="1">
      <c r="D101" s="100"/>
      <c r="E101" s="100"/>
      <c r="F101" s="100"/>
      <c r="G101" s="100"/>
      <c r="H101" s="100"/>
      <c r="I101" s="100"/>
      <c r="J101" s="100"/>
      <c r="K101" s="100"/>
      <c r="L101" s="100"/>
      <c r="M101" s="100"/>
      <c r="N101" s="100"/>
      <c r="O101" s="100"/>
    </row>
    <row r="102" spans="2:15" s="101" customFormat="1">
      <c r="D102" s="100"/>
      <c r="E102" s="100"/>
      <c r="F102" s="100"/>
      <c r="G102" s="100"/>
      <c r="H102" s="100"/>
      <c r="I102" s="100"/>
      <c r="J102" s="100"/>
      <c r="K102" s="100"/>
      <c r="L102" s="100"/>
      <c r="M102" s="100"/>
      <c r="N102" s="100"/>
      <c r="O102" s="100"/>
    </row>
    <row r="103" spans="2:15" s="101" customFormat="1">
      <c r="D103" s="100"/>
      <c r="E103" s="100"/>
      <c r="F103" s="100"/>
      <c r="G103" s="100"/>
      <c r="H103" s="100"/>
      <c r="I103" s="100"/>
      <c r="J103" s="100"/>
      <c r="K103" s="100"/>
      <c r="L103" s="100"/>
      <c r="M103" s="100"/>
      <c r="N103" s="100"/>
      <c r="O103" s="100"/>
    </row>
    <row r="104" spans="2:15" s="101" customFormat="1" ht="12.75" customHeight="1">
      <c r="C104" s="101" t="s">
        <v>73</v>
      </c>
      <c r="D104" s="671" t="s">
        <v>438</v>
      </c>
      <c r="E104" s="671"/>
      <c r="F104" s="671"/>
      <c r="G104" s="671"/>
      <c r="H104" s="671"/>
      <c r="I104" s="671"/>
      <c r="J104" s="671"/>
      <c r="K104" s="671"/>
      <c r="L104" s="671"/>
      <c r="M104" s="671"/>
      <c r="N104" s="671"/>
      <c r="O104" s="671"/>
    </row>
    <row r="105" spans="2:15" s="101" customFormat="1">
      <c r="D105" s="671"/>
      <c r="E105" s="671"/>
      <c r="F105" s="671"/>
      <c r="G105" s="671"/>
      <c r="H105" s="671"/>
      <c r="I105" s="671"/>
      <c r="J105" s="671"/>
      <c r="K105" s="671"/>
      <c r="L105" s="671"/>
      <c r="M105" s="671"/>
      <c r="N105" s="671"/>
      <c r="O105" s="671"/>
    </row>
    <row r="106" spans="2:15" s="101" customFormat="1">
      <c r="C106" s="101" t="s">
        <v>74</v>
      </c>
      <c r="D106" s="671" t="s">
        <v>439</v>
      </c>
      <c r="E106" s="671"/>
      <c r="F106" s="671"/>
      <c r="G106" s="671"/>
      <c r="H106" s="671"/>
      <c r="I106" s="671"/>
      <c r="J106" s="671"/>
      <c r="K106" s="671"/>
      <c r="L106" s="671"/>
      <c r="M106" s="671"/>
      <c r="N106" s="671"/>
      <c r="O106" s="671"/>
    </row>
    <row r="107" spans="2:15" s="101" customFormat="1">
      <c r="D107" s="671"/>
      <c r="E107" s="671"/>
      <c r="F107" s="671"/>
      <c r="G107" s="671"/>
      <c r="H107" s="671"/>
      <c r="I107" s="671"/>
      <c r="J107" s="671"/>
      <c r="K107" s="671"/>
      <c r="L107" s="671"/>
      <c r="M107" s="671"/>
      <c r="N107" s="671"/>
      <c r="O107" s="671"/>
    </row>
    <row r="108" spans="2:15" s="101" customFormat="1">
      <c r="D108" s="100"/>
      <c r="E108" s="100"/>
      <c r="F108" s="100"/>
      <c r="G108" s="100"/>
      <c r="H108" s="100"/>
      <c r="I108" s="100"/>
      <c r="J108" s="100"/>
      <c r="K108" s="100"/>
      <c r="L108" s="100"/>
      <c r="M108" s="100"/>
      <c r="N108" s="100"/>
      <c r="O108" s="100"/>
    </row>
    <row r="109" spans="2:15" s="101" customFormat="1">
      <c r="B109" s="101">
        <v>3</v>
      </c>
      <c r="C109" s="113" t="s">
        <v>437</v>
      </c>
      <c r="D109" s="100"/>
      <c r="E109" s="100"/>
      <c r="F109" s="100"/>
      <c r="G109" s="100"/>
      <c r="H109" s="100"/>
      <c r="I109" s="100"/>
      <c r="J109" s="100"/>
      <c r="K109" s="100"/>
      <c r="L109" s="100"/>
      <c r="M109" s="100"/>
      <c r="N109" s="100"/>
      <c r="O109" s="100"/>
    </row>
    <row r="110" spans="2:15" s="101" customFormat="1">
      <c r="C110" s="101" t="s">
        <v>444</v>
      </c>
      <c r="D110" s="100"/>
      <c r="E110" s="100"/>
      <c r="F110" s="100"/>
      <c r="G110" s="100"/>
      <c r="H110" s="100"/>
      <c r="I110" s="100"/>
      <c r="J110" s="100"/>
      <c r="K110" s="100"/>
      <c r="L110" s="100"/>
      <c r="M110" s="100"/>
      <c r="N110" s="100"/>
      <c r="O110" s="100"/>
    </row>
    <row r="111" spans="2:15" s="101" customFormat="1">
      <c r="D111" s="100"/>
      <c r="E111" s="100"/>
      <c r="F111" s="100"/>
      <c r="G111" s="100"/>
      <c r="H111" s="100"/>
      <c r="I111" s="100"/>
      <c r="J111" s="100"/>
      <c r="K111" s="100"/>
      <c r="L111" s="100"/>
      <c r="M111" s="100"/>
      <c r="N111" s="100"/>
      <c r="O111" s="100"/>
    </row>
    <row r="112" spans="2:15" s="101" customFormat="1">
      <c r="D112" s="100"/>
      <c r="E112" s="100"/>
      <c r="F112" s="100"/>
      <c r="G112" s="100"/>
      <c r="H112" s="100"/>
      <c r="I112" s="100"/>
      <c r="J112" s="100"/>
      <c r="K112" s="100"/>
      <c r="L112" s="100"/>
      <c r="M112" s="100"/>
      <c r="N112" s="100"/>
      <c r="O112" s="100"/>
    </row>
    <row r="113" spans="3:15" s="101" customFormat="1">
      <c r="D113" s="100"/>
      <c r="E113" s="100"/>
      <c r="F113" s="100"/>
      <c r="G113" s="100"/>
      <c r="H113" s="100"/>
      <c r="I113" s="100"/>
      <c r="J113" s="100"/>
      <c r="K113" s="100"/>
      <c r="L113" s="100"/>
      <c r="M113" s="100"/>
      <c r="N113" s="100"/>
      <c r="O113" s="100"/>
    </row>
    <row r="114" spans="3:15" s="101" customFormat="1">
      <c r="D114" s="100"/>
      <c r="E114" s="100"/>
      <c r="F114" s="100"/>
      <c r="G114" s="100"/>
      <c r="H114" s="100"/>
      <c r="I114" s="100"/>
      <c r="J114" s="100"/>
      <c r="K114" s="100"/>
      <c r="L114" s="100"/>
      <c r="M114" s="100"/>
      <c r="N114" s="100"/>
      <c r="O114" s="100"/>
    </row>
    <row r="115" spans="3:15" s="101" customFormat="1">
      <c r="D115" s="100"/>
      <c r="E115" s="100"/>
      <c r="F115" s="100"/>
      <c r="G115" s="100"/>
      <c r="H115" s="100"/>
      <c r="I115" s="100"/>
      <c r="J115" s="100"/>
      <c r="K115" s="100"/>
      <c r="L115" s="100"/>
      <c r="M115" s="100"/>
      <c r="N115" s="100"/>
      <c r="O115" s="100"/>
    </row>
    <row r="116" spans="3:15" s="101" customFormat="1" ht="12.75" customHeight="1">
      <c r="C116" s="101" t="s">
        <v>73</v>
      </c>
      <c r="D116" s="671" t="s">
        <v>440</v>
      </c>
      <c r="E116" s="671"/>
      <c r="F116" s="671"/>
      <c r="G116" s="671"/>
      <c r="H116" s="671"/>
      <c r="I116" s="671"/>
      <c r="J116" s="671"/>
      <c r="K116" s="100"/>
      <c r="L116" s="100"/>
      <c r="M116" s="100"/>
      <c r="N116" s="100"/>
      <c r="O116" s="100"/>
    </row>
    <row r="117" spans="3:15" s="101" customFormat="1">
      <c r="D117" s="671"/>
      <c r="E117" s="671"/>
      <c r="F117" s="671"/>
      <c r="G117" s="671"/>
      <c r="H117" s="671"/>
      <c r="I117" s="671"/>
      <c r="J117" s="671"/>
      <c r="K117" s="100"/>
      <c r="L117" s="100"/>
      <c r="M117" s="100"/>
      <c r="N117" s="100"/>
      <c r="O117" s="100"/>
    </row>
    <row r="118" spans="3:15" s="101" customFormat="1" ht="12.75" customHeight="1">
      <c r="D118" s="671"/>
      <c r="E118" s="671"/>
      <c r="F118" s="671"/>
      <c r="G118" s="671"/>
      <c r="H118" s="671"/>
      <c r="I118" s="671"/>
      <c r="J118" s="671"/>
      <c r="L118" s="100"/>
      <c r="M118" s="100"/>
      <c r="N118" s="100"/>
      <c r="O118" s="100"/>
    </row>
    <row r="119" spans="3:15" s="101" customFormat="1">
      <c r="D119" s="671"/>
      <c r="E119" s="671"/>
      <c r="F119" s="671"/>
      <c r="G119" s="671"/>
      <c r="H119" s="671"/>
      <c r="I119" s="671"/>
      <c r="J119" s="671"/>
      <c r="L119" s="100"/>
      <c r="M119" s="100"/>
      <c r="N119" s="100"/>
      <c r="O119" s="100"/>
    </row>
    <row r="120" spans="3:15" s="101" customFormat="1">
      <c r="L120" s="100"/>
      <c r="M120" s="100"/>
      <c r="N120" s="100"/>
      <c r="O120" s="100"/>
    </row>
    <row r="121" spans="3:15" s="101" customFormat="1">
      <c r="C121" s="101" t="s">
        <v>74</v>
      </c>
      <c r="D121" s="671" t="s">
        <v>442</v>
      </c>
      <c r="E121" s="671"/>
      <c r="F121" s="671"/>
      <c r="G121" s="671" t="s">
        <v>441</v>
      </c>
      <c r="H121" s="671"/>
      <c r="I121" s="671"/>
      <c r="J121" s="671"/>
      <c r="K121" s="671"/>
      <c r="L121" s="100"/>
      <c r="M121" s="100"/>
      <c r="N121" s="100"/>
      <c r="O121" s="100"/>
    </row>
    <row r="122" spans="3:15" s="101" customFormat="1">
      <c r="D122" s="671"/>
      <c r="E122" s="671"/>
      <c r="F122" s="671"/>
      <c r="G122" s="671"/>
      <c r="H122" s="671"/>
      <c r="I122" s="671"/>
      <c r="J122" s="671"/>
      <c r="K122" s="671"/>
      <c r="L122" s="100"/>
      <c r="M122" s="100"/>
      <c r="N122" s="100"/>
      <c r="O122" s="100"/>
    </row>
    <row r="123" spans="3:15" s="101" customFormat="1">
      <c r="D123" s="671"/>
      <c r="E123" s="671"/>
      <c r="F123" s="671"/>
      <c r="G123" s="671"/>
      <c r="H123" s="671"/>
      <c r="I123" s="671"/>
      <c r="J123" s="671"/>
      <c r="K123" s="671"/>
      <c r="L123" s="100"/>
      <c r="M123" s="100"/>
      <c r="N123" s="100"/>
      <c r="O123" s="100"/>
    </row>
    <row r="124" spans="3:15" s="101" customFormat="1">
      <c r="D124" s="671"/>
      <c r="E124" s="671"/>
      <c r="F124" s="671"/>
      <c r="G124" s="671"/>
      <c r="H124" s="671"/>
      <c r="I124" s="671"/>
      <c r="J124" s="671"/>
      <c r="K124" s="671"/>
      <c r="L124" s="100"/>
      <c r="M124" s="100"/>
      <c r="N124" s="100"/>
      <c r="O124" s="100"/>
    </row>
    <row r="125" spans="3:15" s="101" customFormat="1" ht="12.75" customHeight="1">
      <c r="D125" s="671"/>
      <c r="E125" s="671"/>
      <c r="F125" s="671"/>
      <c r="G125" s="671"/>
      <c r="H125" s="671"/>
      <c r="I125" s="671"/>
      <c r="J125" s="671"/>
      <c r="K125" s="671"/>
      <c r="L125" s="100"/>
      <c r="M125" s="100"/>
      <c r="N125" s="100"/>
      <c r="O125" s="100"/>
    </row>
    <row r="126" spans="3:15" s="101" customFormat="1">
      <c r="K126" s="100"/>
      <c r="L126" s="100"/>
      <c r="M126" s="100"/>
      <c r="N126" s="100"/>
      <c r="O126" s="100"/>
    </row>
    <row r="127" spans="3:15" s="101" customFormat="1">
      <c r="C127" s="101" t="s">
        <v>75</v>
      </c>
      <c r="D127" s="671" t="s">
        <v>443</v>
      </c>
      <c r="E127" s="671"/>
      <c r="F127" s="671"/>
      <c r="G127" s="671"/>
      <c r="H127" s="671"/>
      <c r="I127" s="671"/>
      <c r="J127" s="671"/>
      <c r="K127" s="100"/>
      <c r="L127" s="100"/>
      <c r="M127" s="100"/>
      <c r="N127" s="100"/>
      <c r="O127" s="100"/>
    </row>
    <row r="128" spans="3:15" s="101" customFormat="1">
      <c r="D128" s="671"/>
      <c r="E128" s="671"/>
      <c r="F128" s="671"/>
      <c r="G128" s="671"/>
      <c r="H128" s="671"/>
      <c r="I128" s="671"/>
      <c r="J128" s="671"/>
      <c r="K128" s="100"/>
      <c r="L128" s="100"/>
      <c r="M128" s="100"/>
      <c r="N128" s="100"/>
      <c r="O128" s="100"/>
    </row>
    <row r="129" spans="2:15" s="101" customFormat="1"/>
    <row r="130" spans="2:15" s="64" customFormat="1" ht="15.75">
      <c r="B130" s="688" t="s">
        <v>93</v>
      </c>
      <c r="C130" s="688"/>
      <c r="D130" s="688"/>
      <c r="E130" s="688"/>
      <c r="F130" s="688"/>
      <c r="G130" s="688"/>
      <c r="H130" s="688"/>
      <c r="I130" s="688"/>
      <c r="J130" s="688"/>
      <c r="K130" s="688"/>
      <c r="L130" s="688"/>
      <c r="M130" s="688"/>
      <c r="N130" s="688"/>
      <c r="O130" s="688"/>
    </row>
    <row r="131" spans="2:15" s="64" customFormat="1"/>
    <row r="132" spans="2:15" s="79" customFormat="1">
      <c r="B132" s="64">
        <v>1</v>
      </c>
      <c r="C132" s="738" t="s">
        <v>452</v>
      </c>
      <c r="D132" s="738"/>
      <c r="E132" s="738"/>
      <c r="F132" s="738"/>
      <c r="G132" s="738"/>
      <c r="H132" s="738"/>
      <c r="I132" s="738"/>
      <c r="J132" s="738"/>
      <c r="K132" s="738"/>
      <c r="L132" s="738"/>
      <c r="M132" s="738"/>
      <c r="N132" s="738"/>
      <c r="O132" s="738"/>
    </row>
    <row r="133" spans="2:15" s="118" customFormat="1">
      <c r="C133" s="64" t="s">
        <v>73</v>
      </c>
      <c r="D133" s="716" t="s">
        <v>339</v>
      </c>
      <c r="E133" s="718"/>
      <c r="F133" s="717"/>
      <c r="G133" s="119"/>
      <c r="H133" s="119"/>
      <c r="I133" s="119"/>
      <c r="J133" s="119"/>
      <c r="K133" s="119"/>
      <c r="L133" s="119"/>
      <c r="M133" s="119"/>
      <c r="N133" s="119"/>
      <c r="O133" s="119"/>
    </row>
    <row r="134" spans="2:15" s="64" customFormat="1">
      <c r="D134" s="689" t="s">
        <v>456</v>
      </c>
      <c r="E134" s="689"/>
      <c r="F134" s="689"/>
      <c r="G134" s="689"/>
      <c r="H134" s="689"/>
      <c r="I134" s="689"/>
      <c r="J134" s="689"/>
      <c r="K134" s="689"/>
      <c r="L134" s="689"/>
      <c r="M134" s="689"/>
      <c r="N134" s="689"/>
      <c r="O134" s="689"/>
    </row>
    <row r="135" spans="2:15" s="101" customFormat="1">
      <c r="D135" s="689"/>
      <c r="E135" s="689"/>
      <c r="F135" s="689"/>
      <c r="G135" s="689"/>
      <c r="H135" s="689"/>
      <c r="I135" s="689"/>
      <c r="J135" s="689"/>
      <c r="K135" s="689"/>
      <c r="L135" s="689"/>
      <c r="M135" s="689"/>
      <c r="N135" s="689"/>
      <c r="O135" s="689"/>
    </row>
    <row r="136" spans="2:15" s="118" customFormat="1">
      <c r="C136" s="118" t="s">
        <v>74</v>
      </c>
      <c r="D136" s="734" t="s">
        <v>355</v>
      </c>
      <c r="E136" s="735"/>
      <c r="F136" s="736"/>
      <c r="G136" s="120"/>
      <c r="H136" s="120"/>
      <c r="I136" s="120"/>
      <c r="J136" s="120"/>
      <c r="K136" s="120"/>
      <c r="L136" s="120"/>
      <c r="M136" s="120"/>
      <c r="N136" s="120"/>
      <c r="O136" s="120"/>
    </row>
    <row r="137" spans="2:15" s="64" customFormat="1">
      <c r="D137" s="689" t="s">
        <v>455</v>
      </c>
      <c r="E137" s="671"/>
      <c r="F137" s="671"/>
      <c r="G137" s="671"/>
      <c r="H137" s="671"/>
      <c r="I137" s="671"/>
      <c r="J137" s="671"/>
      <c r="K137" s="671"/>
      <c r="L137" s="671"/>
      <c r="M137" s="671"/>
      <c r="N137" s="671"/>
      <c r="O137" s="671"/>
    </row>
    <row r="138" spans="2:15" s="64" customFormat="1">
      <c r="D138" s="671"/>
      <c r="E138" s="671"/>
      <c r="F138" s="671"/>
      <c r="G138" s="671"/>
      <c r="H138" s="671"/>
      <c r="I138" s="671"/>
      <c r="J138" s="671"/>
      <c r="K138" s="671"/>
      <c r="L138" s="671"/>
      <c r="M138" s="671"/>
      <c r="N138" s="671"/>
      <c r="O138" s="671"/>
    </row>
    <row r="139" spans="2:15" s="118" customFormat="1">
      <c r="C139" s="118" t="s">
        <v>75</v>
      </c>
      <c r="D139" s="689" t="s">
        <v>473</v>
      </c>
      <c r="E139" s="671"/>
      <c r="F139" s="671"/>
      <c r="G139" s="671"/>
      <c r="H139" s="671"/>
      <c r="I139" s="671"/>
      <c r="J139" s="671"/>
      <c r="K139" s="671"/>
      <c r="L139" s="671"/>
      <c r="M139" s="671"/>
      <c r="N139" s="671"/>
      <c r="O139" s="671"/>
    </row>
    <row r="140" spans="2:15" s="118" customFormat="1">
      <c r="D140" s="689"/>
      <c r="E140" s="671"/>
      <c r="F140" s="671"/>
      <c r="G140" s="671"/>
      <c r="H140" s="671"/>
      <c r="I140" s="671"/>
      <c r="J140" s="671"/>
      <c r="K140" s="671"/>
      <c r="L140" s="671"/>
      <c r="M140" s="671"/>
      <c r="N140" s="671"/>
      <c r="O140" s="671"/>
    </row>
    <row r="141" spans="2:15" s="118" customFormat="1">
      <c r="D141" s="671"/>
      <c r="E141" s="671"/>
      <c r="F141" s="671"/>
      <c r="G141" s="671"/>
      <c r="H141" s="671"/>
      <c r="I141" s="671"/>
      <c r="J141" s="671"/>
      <c r="K141" s="671"/>
      <c r="L141" s="671"/>
      <c r="M141" s="671"/>
      <c r="N141" s="671"/>
      <c r="O141" s="671"/>
    </row>
    <row r="142" spans="2:15" s="64" customFormat="1"/>
    <row r="143" spans="2:15" s="118" customFormat="1">
      <c r="B143" s="118">
        <v>2</v>
      </c>
      <c r="C143" s="118" t="s">
        <v>639</v>
      </c>
      <c r="I143" s="716" t="s">
        <v>339</v>
      </c>
      <c r="J143" s="717"/>
    </row>
    <row r="144" spans="2:15" s="64" customFormat="1">
      <c r="B144" s="64" t="s">
        <v>114</v>
      </c>
      <c r="C144" s="64" t="s">
        <v>73</v>
      </c>
      <c r="D144" s="671" t="s">
        <v>642</v>
      </c>
      <c r="E144" s="671"/>
      <c r="F144" s="671"/>
      <c r="G144" s="671"/>
      <c r="H144" s="671"/>
      <c r="I144" s="671"/>
      <c r="J144" s="671"/>
      <c r="K144" s="671"/>
      <c r="L144" s="671"/>
      <c r="M144" s="671"/>
      <c r="N144" s="671"/>
      <c r="O144" s="671"/>
    </row>
    <row r="145" spans="3:15" s="118" customFormat="1">
      <c r="D145" s="368"/>
      <c r="E145" s="368"/>
      <c r="F145" s="368"/>
      <c r="G145" s="368"/>
      <c r="H145" s="368"/>
      <c r="I145" s="368"/>
      <c r="J145" s="368"/>
      <c r="K145" s="368"/>
      <c r="L145" s="368"/>
      <c r="M145" s="368"/>
      <c r="N145" s="368"/>
      <c r="O145" s="368"/>
    </row>
    <row r="146" spans="3:15" s="118" customFormat="1" ht="12.75" customHeight="1">
      <c r="C146" s="118" t="s">
        <v>74</v>
      </c>
      <c r="D146" s="675" t="s">
        <v>706</v>
      </c>
      <c r="E146" s="675"/>
      <c r="F146" s="675"/>
      <c r="G146" s="675"/>
      <c r="H146" s="368"/>
      <c r="I146" s="368"/>
      <c r="J146" s="368"/>
      <c r="K146" s="368"/>
      <c r="L146" s="368"/>
      <c r="M146" s="368"/>
      <c r="N146" s="368"/>
      <c r="O146" s="368"/>
    </row>
    <row r="147" spans="3:15" s="118" customFormat="1">
      <c r="D147" s="742" t="s">
        <v>707</v>
      </c>
      <c r="E147" s="743"/>
      <c r="F147" s="744"/>
      <c r="G147" s="733" t="s">
        <v>708</v>
      </c>
      <c r="H147" s="733"/>
      <c r="I147" s="733" t="s">
        <v>709</v>
      </c>
      <c r="J147" s="733"/>
      <c r="K147" s="739" t="s">
        <v>713</v>
      </c>
      <c r="L147" s="740"/>
      <c r="M147" s="741"/>
      <c r="N147" s="368"/>
      <c r="O147" s="368"/>
    </row>
    <row r="148" spans="3:15" s="118" customFormat="1">
      <c r="D148" s="729" t="s">
        <v>318</v>
      </c>
      <c r="E148" s="730"/>
      <c r="F148" s="731"/>
      <c r="G148" s="732">
        <v>7</v>
      </c>
      <c r="H148" s="732"/>
      <c r="I148" s="732"/>
      <c r="J148" s="732"/>
      <c r="K148" s="719"/>
      <c r="L148" s="720"/>
      <c r="M148" s="721"/>
      <c r="N148" s="368"/>
      <c r="O148" s="368"/>
    </row>
    <row r="149" spans="3:15" s="118" customFormat="1" ht="12.75" customHeight="1">
      <c r="D149" s="728" t="s">
        <v>319</v>
      </c>
      <c r="E149" s="728"/>
      <c r="F149" s="728"/>
      <c r="G149" s="732" t="s">
        <v>711</v>
      </c>
      <c r="H149" s="732"/>
      <c r="I149" s="732"/>
      <c r="J149" s="732"/>
      <c r="K149" s="719" t="s">
        <v>712</v>
      </c>
      <c r="L149" s="720"/>
      <c r="M149" s="721"/>
      <c r="N149" s="368"/>
      <c r="O149" s="368"/>
    </row>
    <row r="150" spans="3:15" s="118" customFormat="1" ht="12.75" customHeight="1">
      <c r="D150" s="728"/>
      <c r="E150" s="728"/>
      <c r="F150" s="728"/>
      <c r="G150" s="722">
        <v>28</v>
      </c>
      <c r="H150" s="722"/>
      <c r="I150" s="722">
        <v>29</v>
      </c>
      <c r="J150" s="722"/>
      <c r="K150" s="719" t="s">
        <v>710</v>
      </c>
      <c r="L150" s="720"/>
      <c r="M150" s="721"/>
      <c r="N150" s="368"/>
      <c r="O150" s="368"/>
    </row>
    <row r="151" spans="3:15" s="118" customFormat="1">
      <c r="D151" s="729" t="s">
        <v>320</v>
      </c>
      <c r="E151" s="730"/>
      <c r="F151" s="731"/>
      <c r="G151" s="722">
        <v>365</v>
      </c>
      <c r="H151" s="722"/>
      <c r="I151" s="722">
        <v>366</v>
      </c>
      <c r="J151" s="722"/>
      <c r="K151" s="719"/>
      <c r="L151" s="720"/>
      <c r="M151" s="721"/>
      <c r="N151" s="368"/>
      <c r="O151" s="368"/>
    </row>
    <row r="152" spans="3:15" s="118" customFormat="1">
      <c r="D152" s="368"/>
      <c r="E152" s="368"/>
      <c r="F152" s="368"/>
      <c r="G152" s="368"/>
      <c r="H152" s="368"/>
      <c r="I152" s="368"/>
      <c r="J152" s="368"/>
      <c r="K152" s="368"/>
      <c r="L152" s="368"/>
      <c r="M152" s="368"/>
      <c r="N152" s="368"/>
      <c r="O152" s="368"/>
    </row>
    <row r="153" spans="3:15" s="118" customFormat="1">
      <c r="C153" s="118" t="s">
        <v>75</v>
      </c>
      <c r="D153" s="113" t="s">
        <v>10</v>
      </c>
      <c r="E153" s="299"/>
      <c r="F153" s="299"/>
      <c r="G153" s="299"/>
      <c r="H153" s="299"/>
      <c r="I153" s="299"/>
      <c r="J153" s="299"/>
      <c r="K153" s="299"/>
      <c r="L153" s="299"/>
      <c r="M153" s="299"/>
      <c r="N153" s="299"/>
      <c r="O153" s="299"/>
    </row>
    <row r="154" spans="3:15" s="118" customFormat="1">
      <c r="C154" s="101"/>
      <c r="D154" s="253" t="s">
        <v>296</v>
      </c>
      <c r="E154" s="254"/>
      <c r="F154" s="255"/>
      <c r="G154" s="253" t="s">
        <v>477</v>
      </c>
      <c r="H154" s="254"/>
      <c r="I154" s="256"/>
      <c r="J154" s="257"/>
      <c r="K154" s="101"/>
      <c r="L154" s="299"/>
      <c r="M154" s="299"/>
      <c r="N154" s="100"/>
      <c r="O154" s="100"/>
    </row>
    <row r="155" spans="3:15" s="118" customFormat="1">
      <c r="D155" s="253" t="s">
        <v>295</v>
      </c>
      <c r="E155" s="254"/>
      <c r="F155" s="255"/>
      <c r="G155" s="253" t="s">
        <v>478</v>
      </c>
      <c r="H155" s="254"/>
      <c r="I155" s="256"/>
      <c r="J155" s="257"/>
      <c r="L155" s="299"/>
      <c r="M155" s="299"/>
      <c r="N155" s="122"/>
      <c r="O155" s="122"/>
    </row>
    <row r="156" spans="3:15" s="118" customFormat="1">
      <c r="D156" s="253" t="s">
        <v>24</v>
      </c>
      <c r="E156" s="254"/>
      <c r="F156" s="255"/>
      <c r="G156" s="253" t="s">
        <v>479</v>
      </c>
      <c r="H156" s="254"/>
      <c r="I156" s="256"/>
      <c r="J156" s="257"/>
      <c r="L156" s="299"/>
      <c r="M156" s="299"/>
      <c r="N156" s="122"/>
      <c r="O156" s="122"/>
    </row>
    <row r="157" spans="3:15" s="118" customFormat="1">
      <c r="D157" s="253" t="s">
        <v>480</v>
      </c>
      <c r="E157" s="254"/>
      <c r="F157" s="255"/>
      <c r="G157" s="253" t="s">
        <v>482</v>
      </c>
      <c r="H157" s="254"/>
      <c r="I157" s="256"/>
      <c r="J157" s="257"/>
      <c r="L157" s="122"/>
      <c r="M157" s="122"/>
      <c r="N157" s="122"/>
      <c r="O157" s="122"/>
    </row>
    <row r="158" spans="3:15" s="118" customFormat="1">
      <c r="D158" s="253" t="s">
        <v>481</v>
      </c>
      <c r="E158" s="254"/>
      <c r="F158" s="255"/>
      <c r="G158" s="253" t="s">
        <v>483</v>
      </c>
      <c r="H158" s="254"/>
      <c r="I158" s="256"/>
      <c r="J158" s="257"/>
      <c r="L158" s="122"/>
      <c r="M158" s="122"/>
      <c r="N158" s="122"/>
      <c r="O158" s="122"/>
    </row>
    <row r="159" spans="3:15" s="118" customFormat="1">
      <c r="D159" s="122"/>
      <c r="E159" s="122"/>
      <c r="F159" s="122"/>
      <c r="G159" s="122"/>
      <c r="H159" s="122"/>
      <c r="I159" s="122"/>
      <c r="J159" s="122"/>
      <c r="K159" s="122"/>
      <c r="L159" s="122"/>
      <c r="M159" s="122"/>
      <c r="N159" s="122"/>
      <c r="O159" s="122"/>
    </row>
    <row r="160" spans="3:15" s="118" customFormat="1" ht="12.75" customHeight="1">
      <c r="C160" s="118" t="s">
        <v>9</v>
      </c>
      <c r="D160" s="675" t="s">
        <v>720</v>
      </c>
      <c r="E160" s="675"/>
      <c r="F160" s="675"/>
      <c r="G160" s="675"/>
      <c r="H160" s="383"/>
      <c r="I160" s="383"/>
      <c r="J160" s="383"/>
      <c r="K160" s="383"/>
      <c r="L160" s="383"/>
      <c r="M160" s="383"/>
      <c r="N160" s="383"/>
      <c r="O160" s="383"/>
    </row>
    <row r="161" spans="3:15" s="118" customFormat="1">
      <c r="D161" s="384" t="s">
        <v>308</v>
      </c>
      <c r="E161" s="385"/>
      <c r="F161" s="386"/>
      <c r="G161" s="384" t="s">
        <v>725</v>
      </c>
      <c r="H161" s="256"/>
      <c r="I161" s="256"/>
      <c r="J161" s="257"/>
      <c r="K161" s="383"/>
      <c r="L161" s="383"/>
      <c r="M161" s="383"/>
      <c r="N161" s="383"/>
      <c r="O161" s="383"/>
    </row>
    <row r="162" spans="3:15" s="118" customFormat="1">
      <c r="D162" s="384" t="s">
        <v>309</v>
      </c>
      <c r="E162" s="385"/>
      <c r="F162" s="386"/>
      <c r="G162" s="384" t="s">
        <v>726</v>
      </c>
      <c r="H162" s="256"/>
      <c r="I162" s="256"/>
      <c r="J162" s="257"/>
      <c r="K162" s="383"/>
      <c r="L162" s="383"/>
      <c r="M162" s="383"/>
      <c r="N162" s="383"/>
      <c r="O162" s="383"/>
    </row>
    <row r="163" spans="3:15" s="118" customFormat="1">
      <c r="D163" s="384" t="s">
        <v>718</v>
      </c>
      <c r="E163" s="385"/>
      <c r="F163" s="386"/>
      <c r="G163" s="384" t="s">
        <v>727</v>
      </c>
      <c r="H163" s="256"/>
      <c r="I163" s="256"/>
      <c r="J163" s="257"/>
      <c r="K163" s="383"/>
      <c r="L163" s="383"/>
      <c r="M163" s="383"/>
      <c r="N163" s="383"/>
      <c r="O163" s="383"/>
    </row>
    <row r="164" spans="3:15" s="118" customFormat="1">
      <c r="D164" s="384" t="s">
        <v>719</v>
      </c>
      <c r="E164" s="385"/>
      <c r="F164" s="386"/>
      <c r="G164" s="384" t="s">
        <v>724</v>
      </c>
      <c r="H164" s="256"/>
      <c r="I164" s="256"/>
      <c r="J164" s="257"/>
      <c r="K164" s="383"/>
      <c r="L164" s="383"/>
      <c r="M164" s="383"/>
      <c r="N164" s="383"/>
      <c r="O164" s="383"/>
    </row>
    <row r="165" spans="3:15" s="118" customFormat="1">
      <c r="D165" s="383"/>
      <c r="E165" s="383"/>
      <c r="F165" s="383"/>
      <c r="G165" s="383"/>
      <c r="H165" s="383"/>
      <c r="I165" s="383"/>
      <c r="J165" s="383"/>
      <c r="K165" s="383"/>
      <c r="L165" s="383"/>
      <c r="M165" s="383"/>
      <c r="N165" s="383"/>
      <c r="O165" s="383"/>
    </row>
    <row r="166" spans="3:15" s="118" customFormat="1">
      <c r="C166" s="112" t="s">
        <v>466</v>
      </c>
      <c r="D166" s="113" t="s">
        <v>457</v>
      </c>
      <c r="E166" s="111"/>
      <c r="F166" s="111"/>
      <c r="G166" s="111"/>
      <c r="H166" s="111"/>
      <c r="I166" s="111"/>
      <c r="J166" s="111"/>
      <c r="K166" s="111"/>
      <c r="L166" s="111"/>
      <c r="M166" s="111"/>
      <c r="N166" s="111"/>
      <c r="O166" s="111"/>
    </row>
    <row r="167" spans="3:15" s="118" customFormat="1">
      <c r="C167" s="112"/>
      <c r="D167" s="671" t="s">
        <v>643</v>
      </c>
      <c r="E167" s="671"/>
      <c r="F167" s="671"/>
      <c r="G167" s="671"/>
      <c r="H167" s="671"/>
      <c r="I167" s="671"/>
      <c r="J167" s="671"/>
      <c r="K167" s="671"/>
      <c r="L167" s="671"/>
      <c r="M167" s="671"/>
      <c r="N167" s="671"/>
      <c r="O167" s="671"/>
    </row>
    <row r="168" spans="3:15" s="118" customFormat="1">
      <c r="D168" s="671"/>
      <c r="E168" s="671"/>
      <c r="F168" s="671"/>
      <c r="G168" s="671"/>
      <c r="H168" s="671"/>
      <c r="I168" s="671"/>
      <c r="J168" s="671"/>
      <c r="K168" s="671"/>
      <c r="L168" s="671"/>
      <c r="M168" s="671"/>
      <c r="N168" s="671"/>
      <c r="O168" s="671"/>
    </row>
    <row r="169" spans="3:15" s="118" customFormat="1">
      <c r="C169" s="112"/>
      <c r="D169" s="671"/>
      <c r="E169" s="671"/>
      <c r="F169" s="671"/>
      <c r="G169" s="671"/>
      <c r="H169" s="671"/>
      <c r="I169" s="671"/>
      <c r="J169" s="671"/>
      <c r="K169" s="671"/>
      <c r="L169" s="671"/>
      <c r="M169" s="671"/>
      <c r="N169" s="671"/>
      <c r="O169" s="671"/>
    </row>
    <row r="170" spans="3:15" s="118" customFormat="1">
      <c r="C170" s="112"/>
      <c r="D170" s="112" t="s">
        <v>76</v>
      </c>
      <c r="E170" s="112" t="s">
        <v>458</v>
      </c>
      <c r="F170" s="111"/>
      <c r="G170" s="111"/>
      <c r="H170" s="111"/>
      <c r="I170" s="111"/>
      <c r="J170" s="111"/>
      <c r="K170" s="111"/>
      <c r="L170" s="111"/>
      <c r="M170" s="111"/>
      <c r="N170" s="111"/>
      <c r="O170" s="111"/>
    </row>
    <row r="171" spans="3:15" s="118" customFormat="1">
      <c r="C171" s="112"/>
      <c r="D171" s="112"/>
      <c r="E171" s="715" t="s">
        <v>644</v>
      </c>
      <c r="F171" s="715"/>
      <c r="G171" s="715"/>
      <c r="H171" s="715"/>
      <c r="I171" s="715"/>
      <c r="J171" s="715"/>
      <c r="K171" s="715"/>
      <c r="L171" s="715"/>
      <c r="M171" s="715"/>
      <c r="N171" s="715"/>
      <c r="O171" s="715"/>
    </row>
    <row r="172" spans="3:15" s="118" customFormat="1">
      <c r="C172" s="112"/>
      <c r="D172" s="112"/>
      <c r="E172" s="715"/>
      <c r="F172" s="715"/>
      <c r="G172" s="715"/>
      <c r="H172" s="715"/>
      <c r="I172" s="715"/>
      <c r="J172" s="715"/>
      <c r="K172" s="715"/>
      <c r="L172" s="715"/>
      <c r="M172" s="715"/>
      <c r="N172" s="715"/>
      <c r="O172" s="715"/>
    </row>
    <row r="173" spans="3:15" s="118" customFormat="1">
      <c r="C173" s="112"/>
      <c r="D173" s="112" t="s">
        <v>77</v>
      </c>
      <c r="E173" s="112" t="s">
        <v>459</v>
      </c>
      <c r="F173" s="111"/>
      <c r="G173" s="111"/>
      <c r="H173" s="111"/>
      <c r="I173" s="111"/>
      <c r="J173" s="111"/>
      <c r="K173" s="111"/>
      <c r="L173" s="111"/>
      <c r="M173" s="111"/>
      <c r="N173" s="111"/>
      <c r="O173" s="111"/>
    </row>
    <row r="174" spans="3:15" s="118" customFormat="1">
      <c r="C174" s="112"/>
      <c r="D174" s="112"/>
      <c r="E174" s="715" t="s">
        <v>645</v>
      </c>
      <c r="F174" s="715"/>
      <c r="G174" s="715"/>
      <c r="H174" s="715"/>
      <c r="I174" s="715"/>
      <c r="J174" s="715"/>
      <c r="K174" s="715"/>
      <c r="L174" s="715"/>
      <c r="M174" s="715"/>
      <c r="N174" s="715"/>
      <c r="O174" s="715"/>
    </row>
    <row r="175" spans="3:15" s="118" customFormat="1">
      <c r="C175" s="112"/>
      <c r="D175" s="112"/>
      <c r="E175" s="715"/>
      <c r="F175" s="715"/>
      <c r="G175" s="715"/>
      <c r="H175" s="715"/>
      <c r="I175" s="715"/>
      <c r="J175" s="715"/>
      <c r="K175" s="715"/>
      <c r="L175" s="715"/>
      <c r="M175" s="715"/>
      <c r="N175" s="715"/>
      <c r="O175" s="715"/>
    </row>
    <row r="176" spans="3:15" s="118" customFormat="1">
      <c r="C176" s="112"/>
      <c r="D176" s="112" t="s">
        <v>78</v>
      </c>
      <c r="E176" s="112" t="s">
        <v>460</v>
      </c>
      <c r="F176" s="111"/>
      <c r="G176" s="111"/>
      <c r="H176" s="111"/>
      <c r="I176" s="111"/>
      <c r="J176" s="111"/>
      <c r="K176" s="111"/>
      <c r="L176" s="111"/>
      <c r="M176" s="111"/>
      <c r="N176" s="111"/>
      <c r="O176" s="111"/>
    </row>
    <row r="177" spans="3:15" s="118" customFormat="1">
      <c r="C177" s="112"/>
      <c r="D177" s="112"/>
      <c r="E177" s="715" t="s">
        <v>646</v>
      </c>
      <c r="F177" s="715"/>
      <c r="G177" s="715"/>
      <c r="H177" s="715"/>
      <c r="I177" s="715"/>
      <c r="J177" s="715"/>
      <c r="K177" s="715"/>
      <c r="L177" s="715"/>
      <c r="M177" s="715"/>
      <c r="N177" s="715"/>
      <c r="O177" s="715"/>
    </row>
    <row r="178" spans="3:15" s="118" customFormat="1">
      <c r="C178" s="112"/>
      <c r="D178" s="112"/>
      <c r="E178" s="715"/>
      <c r="F178" s="715"/>
      <c r="G178" s="715"/>
      <c r="H178" s="715"/>
      <c r="I178" s="715"/>
      <c r="J178" s="715"/>
      <c r="K178" s="715"/>
      <c r="L178" s="715"/>
      <c r="M178" s="715"/>
      <c r="N178" s="715"/>
      <c r="O178" s="715"/>
    </row>
    <row r="179" spans="3:15" s="118" customFormat="1">
      <c r="C179" s="112"/>
      <c r="D179" s="112" t="s">
        <v>79</v>
      </c>
      <c r="E179" s="114" t="s">
        <v>461</v>
      </c>
      <c r="F179" s="111"/>
      <c r="G179" s="111"/>
      <c r="H179" s="111"/>
      <c r="I179" s="111"/>
      <c r="J179" s="111"/>
      <c r="K179" s="111"/>
      <c r="L179" s="111"/>
      <c r="M179" s="111"/>
      <c r="N179" s="111"/>
      <c r="O179" s="111"/>
    </row>
    <row r="180" spans="3:15" s="118" customFormat="1">
      <c r="C180" s="114"/>
      <c r="D180" s="671" t="s">
        <v>647</v>
      </c>
      <c r="E180" s="671"/>
      <c r="F180" s="671"/>
      <c r="G180" s="671"/>
      <c r="H180" s="671"/>
      <c r="I180" s="671"/>
      <c r="J180" s="671"/>
      <c r="K180" s="671"/>
      <c r="L180" s="671"/>
      <c r="M180" s="671"/>
      <c r="N180" s="671"/>
      <c r="O180" s="671"/>
    </row>
    <row r="181" spans="3:15" s="118" customFormat="1">
      <c r="C181" s="114"/>
      <c r="D181" s="671"/>
      <c r="E181" s="671"/>
      <c r="F181" s="671"/>
      <c r="G181" s="671"/>
      <c r="H181" s="671"/>
      <c r="I181" s="671"/>
      <c r="J181" s="671"/>
      <c r="K181" s="671"/>
      <c r="L181" s="671"/>
      <c r="M181" s="671"/>
      <c r="N181" s="671"/>
      <c r="O181" s="671"/>
    </row>
    <row r="182" spans="3:15" s="118" customFormat="1">
      <c r="D182" s="322"/>
      <c r="E182" s="322"/>
      <c r="F182" s="322"/>
      <c r="G182" s="322"/>
      <c r="H182" s="322"/>
      <c r="I182" s="322"/>
      <c r="J182" s="322"/>
      <c r="K182" s="322"/>
      <c r="L182" s="322"/>
      <c r="M182" s="322"/>
      <c r="N182" s="322"/>
      <c r="O182" s="322"/>
    </row>
    <row r="183" spans="3:15" s="118" customFormat="1">
      <c r="C183" s="118" t="s">
        <v>467</v>
      </c>
      <c r="D183" s="671" t="s">
        <v>641</v>
      </c>
      <c r="E183" s="671"/>
      <c r="F183" s="671"/>
      <c r="G183" s="671"/>
      <c r="H183" s="671"/>
      <c r="I183" s="671"/>
      <c r="J183" s="671"/>
      <c r="K183" s="671"/>
      <c r="L183" s="671"/>
      <c r="M183" s="671"/>
      <c r="N183" s="671"/>
      <c r="O183" s="671"/>
    </row>
    <row r="184" spans="3:15" s="118" customFormat="1">
      <c r="D184" s="299" t="s">
        <v>76</v>
      </c>
      <c r="E184" s="689" t="s">
        <v>582</v>
      </c>
      <c r="F184" s="689"/>
      <c r="G184" s="689"/>
      <c r="H184" s="689"/>
      <c r="I184" s="689"/>
      <c r="J184" s="689"/>
      <c r="K184" s="689"/>
      <c r="L184" s="689"/>
      <c r="M184" s="689"/>
      <c r="N184" s="689"/>
      <c r="O184" s="689"/>
    </row>
    <row r="185" spans="3:15" s="118" customFormat="1">
      <c r="D185" s="299"/>
      <c r="E185" s="689"/>
      <c r="F185" s="689"/>
      <c r="G185" s="689"/>
      <c r="H185" s="689"/>
      <c r="I185" s="689"/>
      <c r="J185" s="689"/>
      <c r="K185" s="689"/>
      <c r="L185" s="689"/>
      <c r="M185" s="689"/>
      <c r="N185" s="689"/>
      <c r="O185" s="689"/>
    </row>
    <row r="186" spans="3:15" s="118" customFormat="1">
      <c r="D186" s="299"/>
      <c r="E186" s="689"/>
      <c r="F186" s="689"/>
      <c r="G186" s="689"/>
      <c r="H186" s="689"/>
      <c r="I186" s="689"/>
      <c r="J186" s="689"/>
      <c r="K186" s="689"/>
      <c r="L186" s="689"/>
      <c r="M186" s="689"/>
      <c r="N186" s="689"/>
      <c r="O186" s="689"/>
    </row>
    <row r="187" spans="3:15" s="118" customFormat="1">
      <c r="D187" s="299"/>
      <c r="E187" s="689"/>
      <c r="F187" s="689"/>
      <c r="G187" s="689"/>
      <c r="H187" s="689"/>
      <c r="I187" s="689"/>
      <c r="J187" s="689"/>
      <c r="K187" s="689"/>
      <c r="L187" s="689"/>
      <c r="M187" s="689"/>
      <c r="N187" s="689"/>
      <c r="O187" s="689"/>
    </row>
    <row r="188" spans="3:15" s="118" customFormat="1">
      <c r="D188" s="299" t="s">
        <v>77</v>
      </c>
      <c r="E188" s="689" t="s">
        <v>583</v>
      </c>
      <c r="F188" s="689"/>
      <c r="G188" s="689"/>
      <c r="H188" s="689"/>
      <c r="I188" s="689"/>
      <c r="J188" s="689"/>
      <c r="K188" s="689"/>
      <c r="L188" s="689"/>
      <c r="M188" s="689"/>
      <c r="N188" s="689"/>
      <c r="O188" s="689"/>
    </row>
    <row r="189" spans="3:15" s="118" customFormat="1">
      <c r="D189" s="299"/>
      <c r="E189" s="689"/>
      <c r="F189" s="689"/>
      <c r="G189" s="689"/>
      <c r="H189" s="689"/>
      <c r="I189" s="689"/>
      <c r="J189" s="689"/>
      <c r="K189" s="689"/>
      <c r="L189" s="689"/>
      <c r="M189" s="689"/>
      <c r="N189" s="689"/>
      <c r="O189" s="689"/>
    </row>
    <row r="190" spans="3:15" s="118" customFormat="1">
      <c r="D190" s="299"/>
      <c r="E190" s="689"/>
      <c r="F190" s="689"/>
      <c r="G190" s="689"/>
      <c r="H190" s="689"/>
      <c r="I190" s="689"/>
      <c r="J190" s="689"/>
      <c r="K190" s="689"/>
      <c r="L190" s="689"/>
      <c r="M190" s="689"/>
      <c r="N190" s="689"/>
      <c r="O190" s="689"/>
    </row>
    <row r="191" spans="3:15" s="112" customFormat="1">
      <c r="E191" s="111"/>
      <c r="F191" s="111"/>
      <c r="G191" s="111"/>
      <c r="H191" s="111"/>
      <c r="I191" s="111"/>
      <c r="J191" s="111"/>
      <c r="K191" s="111"/>
      <c r="L191" s="111"/>
      <c r="M191" s="111"/>
      <c r="N191" s="111"/>
      <c r="O191" s="111"/>
    </row>
    <row r="192" spans="3:15" s="114" customFormat="1">
      <c r="C192" s="114" t="s">
        <v>36</v>
      </c>
      <c r="D192" s="114" t="s">
        <v>462</v>
      </c>
      <c r="E192" s="115"/>
      <c r="F192" s="115"/>
      <c r="G192" s="115"/>
      <c r="H192" s="115"/>
      <c r="I192" s="115"/>
      <c r="J192" s="115"/>
      <c r="K192" s="115"/>
      <c r="L192" s="115"/>
      <c r="M192" s="115"/>
      <c r="N192" s="115"/>
      <c r="O192" s="115"/>
    </row>
    <row r="193" spans="3:15" s="118" customFormat="1">
      <c r="D193" s="114" t="s">
        <v>76</v>
      </c>
      <c r="E193" s="671" t="s">
        <v>660</v>
      </c>
      <c r="F193" s="671"/>
      <c r="G193" s="671"/>
      <c r="H193" s="671"/>
      <c r="I193" s="671"/>
      <c r="J193" s="671"/>
      <c r="K193" s="671"/>
      <c r="L193" s="671"/>
      <c r="M193" s="671"/>
      <c r="N193" s="671"/>
      <c r="O193" s="671"/>
    </row>
    <row r="194" spans="3:15" s="118" customFormat="1">
      <c r="E194" s="671"/>
      <c r="F194" s="671"/>
      <c r="G194" s="671"/>
      <c r="H194" s="671"/>
      <c r="I194" s="671"/>
      <c r="J194" s="671"/>
      <c r="K194" s="671"/>
      <c r="L194" s="671"/>
      <c r="M194" s="671"/>
      <c r="N194" s="671"/>
      <c r="O194" s="671"/>
    </row>
    <row r="195" spans="3:15" s="118" customFormat="1">
      <c r="E195" s="671"/>
      <c r="F195" s="671"/>
      <c r="G195" s="671"/>
      <c r="H195" s="671"/>
      <c r="I195" s="671"/>
      <c r="J195" s="671"/>
      <c r="K195" s="671"/>
      <c r="L195" s="671"/>
      <c r="M195" s="671"/>
      <c r="N195" s="671"/>
      <c r="O195" s="671"/>
    </row>
    <row r="196" spans="3:15" s="118" customFormat="1">
      <c r="E196" s="671"/>
      <c r="F196" s="671"/>
      <c r="G196" s="671"/>
      <c r="H196" s="671"/>
      <c r="I196" s="671"/>
      <c r="J196" s="671"/>
      <c r="K196" s="671"/>
      <c r="L196" s="671"/>
      <c r="M196" s="671"/>
      <c r="N196" s="671"/>
      <c r="O196" s="671"/>
    </row>
    <row r="197" spans="3:15" s="118" customFormat="1">
      <c r="E197" s="671"/>
      <c r="F197" s="671"/>
      <c r="G197" s="671"/>
      <c r="H197" s="671"/>
      <c r="I197" s="671"/>
      <c r="J197" s="671"/>
      <c r="K197" s="671"/>
      <c r="L197" s="671"/>
      <c r="M197" s="671"/>
      <c r="N197" s="671"/>
      <c r="O197" s="671"/>
    </row>
    <row r="198" spans="3:15" s="118" customFormat="1">
      <c r="E198" s="671"/>
      <c r="F198" s="671"/>
      <c r="G198" s="671"/>
      <c r="H198" s="671"/>
      <c r="I198" s="671"/>
      <c r="J198" s="671"/>
      <c r="K198" s="671"/>
      <c r="L198" s="671"/>
      <c r="M198" s="671"/>
      <c r="N198" s="671"/>
      <c r="O198" s="671"/>
    </row>
    <row r="199" spans="3:15" s="118" customFormat="1">
      <c r="E199" s="671"/>
      <c r="F199" s="671"/>
      <c r="G199" s="671"/>
      <c r="H199" s="671"/>
      <c r="I199" s="671"/>
      <c r="J199" s="671"/>
      <c r="K199" s="671"/>
      <c r="L199" s="671"/>
      <c r="M199" s="671"/>
      <c r="N199" s="671"/>
      <c r="O199" s="671"/>
    </row>
    <row r="200" spans="3:15" s="114" customFormat="1" ht="12.75" customHeight="1">
      <c r="D200" s="114" t="s">
        <v>77</v>
      </c>
      <c r="E200" s="671" t="s">
        <v>650</v>
      </c>
      <c r="F200" s="671"/>
      <c r="G200" s="671"/>
      <c r="H200" s="671"/>
      <c r="I200" s="671"/>
      <c r="J200" s="671"/>
      <c r="K200" s="671"/>
      <c r="L200" s="671"/>
      <c r="M200" s="671"/>
      <c r="N200" s="671"/>
      <c r="O200" s="671"/>
    </row>
    <row r="201" spans="3:15" s="118" customFormat="1">
      <c r="D201" s="114"/>
      <c r="E201" s="671"/>
      <c r="F201" s="671"/>
      <c r="G201" s="671"/>
      <c r="H201" s="671"/>
      <c r="I201" s="671"/>
      <c r="J201" s="671"/>
      <c r="K201" s="671"/>
      <c r="L201" s="671"/>
      <c r="M201" s="671"/>
      <c r="N201" s="671"/>
      <c r="O201" s="671"/>
    </row>
    <row r="202" spans="3:15" s="114" customFormat="1" ht="12.75" customHeight="1">
      <c r="D202" s="114" t="s">
        <v>78</v>
      </c>
      <c r="E202" s="671" t="s">
        <v>463</v>
      </c>
      <c r="F202" s="671"/>
      <c r="G202" s="671"/>
      <c r="H202" s="671"/>
      <c r="I202" s="671"/>
      <c r="J202" s="671"/>
      <c r="K202" s="671"/>
      <c r="L202" s="671"/>
      <c r="M202" s="671"/>
      <c r="N202" s="671"/>
      <c r="O202" s="671"/>
    </row>
    <row r="203" spans="3:15" s="114" customFormat="1">
      <c r="E203" s="671"/>
      <c r="F203" s="671"/>
      <c r="G203" s="671"/>
      <c r="H203" s="671"/>
      <c r="I203" s="671"/>
      <c r="J203" s="671"/>
      <c r="K203" s="671"/>
      <c r="L203" s="671"/>
      <c r="M203" s="671"/>
      <c r="N203" s="671"/>
      <c r="O203" s="671"/>
    </row>
    <row r="204" spans="3:15" s="114" customFormat="1" ht="12.75" customHeight="1">
      <c r="D204" s="118" t="s">
        <v>79</v>
      </c>
      <c r="E204" s="671" t="s">
        <v>464</v>
      </c>
      <c r="F204" s="671"/>
      <c r="G204" s="671"/>
      <c r="H204" s="671"/>
      <c r="I204" s="671"/>
      <c r="J204" s="671"/>
      <c r="K204" s="671"/>
      <c r="L204" s="671"/>
      <c r="M204" s="671"/>
      <c r="N204" s="671"/>
      <c r="O204" s="671"/>
    </row>
    <row r="205" spans="3:15" s="114" customFormat="1" ht="12.75" customHeight="1">
      <c r="E205" s="671"/>
      <c r="F205" s="671"/>
      <c r="G205" s="671"/>
      <c r="H205" s="671"/>
      <c r="I205" s="671"/>
      <c r="J205" s="671"/>
      <c r="K205" s="671"/>
      <c r="L205" s="671"/>
      <c r="M205" s="671"/>
      <c r="N205" s="671"/>
      <c r="O205" s="671"/>
    </row>
    <row r="206" spans="3:15" s="114" customFormat="1">
      <c r="E206" s="671"/>
      <c r="F206" s="671"/>
      <c r="G206" s="671"/>
      <c r="H206" s="671"/>
      <c r="I206" s="671"/>
      <c r="J206" s="671"/>
      <c r="K206" s="671"/>
      <c r="L206" s="671"/>
      <c r="M206" s="671"/>
      <c r="N206" s="671"/>
      <c r="O206" s="671"/>
    </row>
    <row r="207" spans="3:15" s="118" customFormat="1">
      <c r="D207" s="117"/>
      <c r="E207" s="117"/>
      <c r="F207" s="117"/>
      <c r="G207" s="117"/>
      <c r="H207" s="117"/>
      <c r="I207" s="117"/>
      <c r="J207" s="117"/>
      <c r="K207" s="117"/>
      <c r="L207" s="117"/>
      <c r="M207" s="117"/>
      <c r="N207" s="117"/>
      <c r="O207" s="117"/>
    </row>
    <row r="208" spans="3:15" s="114" customFormat="1" ht="12.75" customHeight="1">
      <c r="C208" s="114" t="s">
        <v>468</v>
      </c>
      <c r="D208" s="113" t="s">
        <v>551</v>
      </c>
      <c r="E208" s="118"/>
      <c r="F208" s="118"/>
      <c r="G208" s="118"/>
      <c r="H208" s="118"/>
      <c r="I208" s="118"/>
      <c r="J208" s="118"/>
      <c r="K208" s="118"/>
      <c r="L208" s="118"/>
      <c r="M208" s="118"/>
      <c r="N208" s="118"/>
      <c r="O208" s="118"/>
    </row>
    <row r="209" spans="3:15" s="114" customFormat="1">
      <c r="D209" s="253" t="s">
        <v>105</v>
      </c>
      <c r="E209" s="254"/>
      <c r="F209" s="254"/>
      <c r="G209" s="255"/>
      <c r="H209" s="258" t="s">
        <v>14</v>
      </c>
      <c r="I209" s="254"/>
      <c r="J209" s="254"/>
      <c r="K209" s="254"/>
      <c r="L209" s="254"/>
      <c r="M209" s="254"/>
      <c r="N209" s="255"/>
    </row>
    <row r="210" spans="3:15" s="114" customFormat="1">
      <c r="D210" s="253" t="s">
        <v>308</v>
      </c>
      <c r="E210" s="254"/>
      <c r="F210" s="254"/>
      <c r="G210" s="255"/>
      <c r="H210" s="258" t="s">
        <v>416</v>
      </c>
      <c r="I210" s="254"/>
      <c r="J210" s="254"/>
      <c r="K210" s="254"/>
      <c r="L210" s="254"/>
      <c r="M210" s="254"/>
      <c r="N210" s="255"/>
    </row>
    <row r="211" spans="3:15" s="114" customFormat="1">
      <c r="D211" s="253" t="s">
        <v>484</v>
      </c>
      <c r="E211" s="254"/>
      <c r="F211" s="254"/>
      <c r="G211" s="255"/>
      <c r="H211" s="258" t="s">
        <v>492</v>
      </c>
      <c r="I211" s="254"/>
      <c r="J211" s="254"/>
      <c r="K211" s="254"/>
      <c r="L211" s="254"/>
      <c r="M211" s="254"/>
      <c r="N211" s="255"/>
    </row>
    <row r="212" spans="3:15" s="114" customFormat="1">
      <c r="D212" s="253" t="s">
        <v>324</v>
      </c>
      <c r="E212" s="254"/>
      <c r="F212" s="254"/>
      <c r="G212" s="255"/>
      <c r="H212" s="258" t="s">
        <v>417</v>
      </c>
      <c r="I212" s="254"/>
      <c r="J212" s="254"/>
      <c r="K212" s="254"/>
      <c r="L212" s="254"/>
      <c r="M212" s="254"/>
      <c r="N212" s="255"/>
    </row>
    <row r="213" spans="3:15" s="114" customFormat="1">
      <c r="D213" s="253" t="s">
        <v>108</v>
      </c>
      <c r="E213" s="254"/>
      <c r="F213" s="254"/>
      <c r="G213" s="255"/>
      <c r="H213" s="258" t="s">
        <v>465</v>
      </c>
      <c r="I213" s="254"/>
      <c r="J213" s="254"/>
      <c r="K213" s="254"/>
      <c r="L213" s="254"/>
      <c r="M213" s="254"/>
      <c r="N213" s="255"/>
    </row>
    <row r="214" spans="3:15" s="118" customFormat="1">
      <c r="D214" s="121"/>
      <c r="E214" s="121"/>
      <c r="F214" s="121"/>
      <c r="G214" s="121"/>
      <c r="H214" s="121"/>
    </row>
    <row r="215" spans="3:15" s="114" customFormat="1" ht="12.75" customHeight="1">
      <c r="C215" s="114" t="s">
        <v>76</v>
      </c>
      <c r="D215" s="113" t="s">
        <v>534</v>
      </c>
      <c r="E215" s="113"/>
      <c r="F215" s="113"/>
      <c r="G215" s="113"/>
      <c r="H215" s="113"/>
      <c r="I215" s="113"/>
      <c r="J215" s="113"/>
      <c r="K215" s="113"/>
      <c r="L215" s="113"/>
      <c r="M215" s="113"/>
      <c r="N215" s="113"/>
      <c r="O215" s="295"/>
    </row>
    <row r="216" spans="3:15" s="118" customFormat="1">
      <c r="D216" s="676" t="s">
        <v>502</v>
      </c>
      <c r="E216" s="676"/>
      <c r="F216" s="676"/>
      <c r="G216" s="676" t="s">
        <v>640</v>
      </c>
      <c r="H216" s="676"/>
      <c r="I216" s="676"/>
      <c r="J216" s="676"/>
      <c r="K216" s="676" t="s">
        <v>503</v>
      </c>
      <c r="L216" s="676"/>
      <c r="M216" s="676"/>
      <c r="N216" s="676"/>
    </row>
    <row r="217" spans="3:15" s="118" customFormat="1">
      <c r="D217" s="680" t="s">
        <v>507</v>
      </c>
      <c r="E217" s="680"/>
      <c r="F217" s="680"/>
      <c r="G217" s="677" t="s">
        <v>526</v>
      </c>
      <c r="H217" s="678"/>
      <c r="I217" s="678"/>
      <c r="J217" s="679"/>
      <c r="K217" s="680" t="s">
        <v>495</v>
      </c>
      <c r="L217" s="680"/>
      <c r="M217" s="680"/>
      <c r="N217" s="680"/>
    </row>
    <row r="218" spans="3:15" s="118" customFormat="1">
      <c r="D218" s="680" t="s">
        <v>506</v>
      </c>
      <c r="E218" s="680"/>
      <c r="F218" s="680"/>
      <c r="G218" s="677" t="s">
        <v>526</v>
      </c>
      <c r="H218" s="678"/>
      <c r="I218" s="678"/>
      <c r="J218" s="679"/>
      <c r="K218" s="680" t="s">
        <v>514</v>
      </c>
      <c r="L218" s="680"/>
      <c r="M218" s="680"/>
      <c r="N218" s="680"/>
    </row>
    <row r="219" spans="3:15" s="118" customFormat="1">
      <c r="D219" s="680" t="s">
        <v>497</v>
      </c>
      <c r="E219" s="680"/>
      <c r="F219" s="680"/>
      <c r="G219" s="677" t="s">
        <v>526</v>
      </c>
      <c r="H219" s="678"/>
      <c r="I219" s="678"/>
      <c r="J219" s="679"/>
      <c r="K219" s="680" t="s">
        <v>496</v>
      </c>
      <c r="L219" s="680"/>
      <c r="M219" s="680"/>
      <c r="N219" s="680"/>
    </row>
    <row r="220" spans="3:15" s="118" customFormat="1">
      <c r="D220" s="680" t="s">
        <v>509</v>
      </c>
      <c r="E220" s="680"/>
      <c r="F220" s="680"/>
      <c r="G220" s="677" t="s">
        <v>527</v>
      </c>
      <c r="H220" s="678"/>
      <c r="I220" s="678"/>
      <c r="J220" s="679"/>
      <c r="K220" s="680" t="s">
        <v>505</v>
      </c>
      <c r="L220" s="680"/>
      <c r="M220" s="680"/>
      <c r="N220" s="680"/>
    </row>
    <row r="221" spans="3:15" s="118" customFormat="1">
      <c r="D221" s="680" t="s">
        <v>508</v>
      </c>
      <c r="E221" s="680"/>
      <c r="F221" s="680"/>
      <c r="G221" s="677" t="s">
        <v>528</v>
      </c>
      <c r="H221" s="678"/>
      <c r="I221" s="678"/>
      <c r="J221" s="679"/>
      <c r="K221" s="680" t="s">
        <v>504</v>
      </c>
      <c r="L221" s="680"/>
      <c r="M221" s="680"/>
      <c r="N221" s="680"/>
    </row>
    <row r="222" spans="3:15" s="118" customFormat="1">
      <c r="D222" s="680" t="s">
        <v>498</v>
      </c>
      <c r="E222" s="680"/>
      <c r="F222" s="680"/>
      <c r="G222" s="677" t="s">
        <v>529</v>
      </c>
      <c r="H222" s="678"/>
      <c r="I222" s="678"/>
      <c r="J222" s="679"/>
      <c r="K222" s="680" t="s">
        <v>523</v>
      </c>
      <c r="L222" s="680"/>
      <c r="M222" s="680"/>
      <c r="N222" s="680"/>
    </row>
    <row r="223" spans="3:15" s="118" customFormat="1" ht="27.95" customHeight="1">
      <c r="D223" s="680" t="s">
        <v>499</v>
      </c>
      <c r="E223" s="680"/>
      <c r="F223" s="680"/>
      <c r="G223" s="682" t="s">
        <v>530</v>
      </c>
      <c r="H223" s="683"/>
      <c r="I223" s="683"/>
      <c r="J223" s="684"/>
      <c r="K223" s="685" t="s">
        <v>510</v>
      </c>
      <c r="L223" s="685"/>
      <c r="M223" s="685"/>
      <c r="N223" s="685"/>
    </row>
    <row r="224" spans="3:15" s="118" customFormat="1" ht="27.95" customHeight="1">
      <c r="D224" s="680" t="s">
        <v>500</v>
      </c>
      <c r="E224" s="680"/>
      <c r="F224" s="680"/>
      <c r="G224" s="682" t="s">
        <v>531</v>
      </c>
      <c r="H224" s="683"/>
      <c r="I224" s="683"/>
      <c r="J224" s="684"/>
      <c r="K224" s="685" t="s">
        <v>511</v>
      </c>
      <c r="L224" s="685"/>
      <c r="M224" s="685"/>
      <c r="N224" s="685"/>
    </row>
    <row r="225" spans="3:15" s="118" customFormat="1" ht="39.950000000000003" customHeight="1">
      <c r="D225" s="680" t="s">
        <v>501</v>
      </c>
      <c r="E225" s="680"/>
      <c r="F225" s="680"/>
      <c r="G225" s="682" t="s">
        <v>532</v>
      </c>
      <c r="H225" s="725"/>
      <c r="I225" s="725"/>
      <c r="J225" s="726"/>
      <c r="K225" s="685" t="s">
        <v>533</v>
      </c>
      <c r="L225" s="686"/>
      <c r="M225" s="686"/>
      <c r="N225" s="686"/>
    </row>
    <row r="226" spans="3:15" s="118" customFormat="1">
      <c r="D226" s="680" t="s">
        <v>494</v>
      </c>
      <c r="E226" s="680"/>
      <c r="F226" s="680"/>
      <c r="G226" s="677" t="s">
        <v>513</v>
      </c>
      <c r="H226" s="678"/>
      <c r="I226" s="678"/>
      <c r="J226" s="679"/>
      <c r="K226" s="680" t="s">
        <v>525</v>
      </c>
      <c r="L226" s="680"/>
      <c r="M226" s="680"/>
      <c r="N226" s="680"/>
    </row>
    <row r="227" spans="3:15" s="118" customFormat="1">
      <c r="D227" s="680" t="s">
        <v>493</v>
      </c>
      <c r="E227" s="680"/>
      <c r="F227" s="680"/>
      <c r="G227" s="677" t="s">
        <v>512</v>
      </c>
      <c r="H227" s="678"/>
      <c r="I227" s="678"/>
      <c r="J227" s="679"/>
      <c r="K227" s="680" t="s">
        <v>524</v>
      </c>
      <c r="L227" s="680"/>
      <c r="M227" s="680"/>
      <c r="N227" s="680"/>
    </row>
    <row r="228" spans="3:15" s="118" customFormat="1">
      <c r="E228" s="122"/>
      <c r="F228" s="122"/>
    </row>
    <row r="229" spans="3:15" s="114" customFormat="1">
      <c r="C229" s="114" t="s">
        <v>469</v>
      </c>
      <c r="D229" s="113" t="s">
        <v>426</v>
      </c>
      <c r="E229" s="115"/>
      <c r="F229" s="115"/>
      <c r="G229" s="115"/>
      <c r="H229" s="115"/>
      <c r="I229" s="115"/>
      <c r="J229" s="115"/>
      <c r="K229" s="115"/>
      <c r="L229" s="115"/>
      <c r="M229" s="115"/>
      <c r="N229" s="115"/>
      <c r="O229" s="115"/>
    </row>
    <row r="230" spans="3:15" s="114" customFormat="1">
      <c r="D230" s="671" t="s">
        <v>806</v>
      </c>
      <c r="E230" s="671"/>
      <c r="F230" s="671"/>
      <c r="G230" s="671"/>
      <c r="H230" s="671"/>
      <c r="I230" s="671"/>
      <c r="J230" s="671"/>
      <c r="K230" s="671"/>
      <c r="L230" s="671"/>
      <c r="M230" s="671"/>
      <c r="N230" s="671"/>
      <c r="O230" s="671"/>
    </row>
    <row r="231" spans="3:15" s="114" customFormat="1">
      <c r="D231" s="671"/>
      <c r="E231" s="671"/>
      <c r="F231" s="671"/>
      <c r="G231" s="671"/>
      <c r="H231" s="671"/>
      <c r="I231" s="671"/>
      <c r="J231" s="671"/>
      <c r="K231" s="671"/>
      <c r="L231" s="671"/>
      <c r="M231" s="671"/>
      <c r="N231" s="671"/>
      <c r="O231" s="671"/>
    </row>
    <row r="232" spans="3:15" s="114" customFormat="1">
      <c r="D232" s="671"/>
      <c r="E232" s="671"/>
      <c r="F232" s="671"/>
      <c r="G232" s="671"/>
      <c r="H232" s="671"/>
      <c r="I232" s="671"/>
      <c r="J232" s="671"/>
      <c r="K232" s="671"/>
      <c r="L232" s="671"/>
      <c r="M232" s="671"/>
      <c r="N232" s="671"/>
      <c r="O232" s="671"/>
    </row>
    <row r="233" spans="3:15" s="114" customFormat="1">
      <c r="C233" s="114" t="s">
        <v>471</v>
      </c>
      <c r="D233" s="671" t="s">
        <v>648</v>
      </c>
      <c r="E233" s="671"/>
      <c r="F233" s="671"/>
      <c r="G233" s="671"/>
      <c r="H233" s="671"/>
      <c r="I233" s="671"/>
      <c r="J233" s="671"/>
      <c r="K233" s="671"/>
      <c r="L233" s="671"/>
      <c r="M233" s="671"/>
      <c r="N233" s="671"/>
      <c r="O233" s="671"/>
    </row>
    <row r="234" spans="3:15" s="114" customFormat="1">
      <c r="D234" s="671"/>
      <c r="E234" s="671"/>
      <c r="F234" s="671"/>
      <c r="G234" s="671"/>
      <c r="H234" s="671"/>
      <c r="I234" s="671"/>
      <c r="J234" s="671"/>
      <c r="K234" s="671"/>
      <c r="L234" s="671"/>
      <c r="M234" s="671"/>
      <c r="N234" s="671"/>
      <c r="O234" s="671"/>
    </row>
    <row r="235" spans="3:15" s="114" customFormat="1">
      <c r="D235" s="671"/>
      <c r="E235" s="671"/>
      <c r="F235" s="671"/>
      <c r="G235" s="671"/>
      <c r="H235" s="671"/>
      <c r="I235" s="671"/>
      <c r="J235" s="671"/>
      <c r="K235" s="671"/>
      <c r="L235" s="671"/>
      <c r="M235" s="671"/>
      <c r="N235" s="671"/>
      <c r="O235" s="671"/>
    </row>
    <row r="236" spans="3:15" s="118" customFormat="1">
      <c r="D236" s="322"/>
      <c r="E236" s="322"/>
      <c r="F236" s="322"/>
      <c r="G236" s="322"/>
      <c r="H236" s="322"/>
      <c r="I236" s="322"/>
      <c r="J236" s="322"/>
      <c r="K236" s="322"/>
      <c r="L236" s="322"/>
      <c r="M236" s="322"/>
      <c r="N236" s="322"/>
      <c r="O236" s="322"/>
    </row>
    <row r="237" spans="3:15" s="101" customFormat="1">
      <c r="C237" s="100" t="s">
        <v>638</v>
      </c>
      <c r="D237" s="681" t="s">
        <v>664</v>
      </c>
      <c r="E237" s="681"/>
      <c r="F237" s="681"/>
      <c r="G237" s="681"/>
      <c r="H237" s="681"/>
      <c r="I237" s="681"/>
      <c r="J237" s="681"/>
      <c r="K237" s="681"/>
      <c r="L237" s="681"/>
      <c r="M237" s="681"/>
      <c r="N237" s="681"/>
      <c r="O237" s="681"/>
    </row>
    <row r="238" spans="3:15" s="118" customFormat="1">
      <c r="C238" s="344"/>
      <c r="D238" s="681"/>
      <c r="E238" s="681"/>
      <c r="F238" s="681"/>
      <c r="G238" s="681"/>
      <c r="H238" s="681"/>
      <c r="I238" s="681"/>
      <c r="J238" s="681"/>
      <c r="K238" s="681"/>
      <c r="L238" s="681"/>
      <c r="M238" s="681"/>
      <c r="N238" s="681"/>
      <c r="O238" s="681"/>
    </row>
    <row r="239" spans="3:15" s="118" customFormat="1">
      <c r="C239" s="322"/>
      <c r="D239" s="116"/>
      <c r="E239" s="322"/>
      <c r="F239" s="322"/>
      <c r="G239" s="322"/>
      <c r="H239" s="322"/>
      <c r="I239" s="322"/>
      <c r="J239" s="322"/>
      <c r="K239" s="322"/>
      <c r="L239" s="322"/>
      <c r="M239" s="322"/>
      <c r="N239" s="322"/>
      <c r="O239" s="322"/>
    </row>
    <row r="240" spans="3:15" s="114" customFormat="1">
      <c r="C240" s="115" t="s">
        <v>255</v>
      </c>
      <c r="D240" s="671" t="s">
        <v>470</v>
      </c>
      <c r="E240" s="671"/>
      <c r="F240" s="671"/>
      <c r="G240" s="671"/>
      <c r="H240" s="671"/>
      <c r="I240" s="671"/>
      <c r="J240" s="671"/>
      <c r="K240" s="671"/>
      <c r="L240" s="671"/>
      <c r="M240" s="671"/>
      <c r="N240" s="671"/>
      <c r="O240" s="671"/>
    </row>
    <row r="241" spans="2:15" s="118" customFormat="1">
      <c r="C241" s="299"/>
      <c r="D241" s="118" t="s">
        <v>76</v>
      </c>
      <c r="E241" s="690" t="s">
        <v>584</v>
      </c>
      <c r="F241" s="690"/>
      <c r="G241" s="690"/>
      <c r="H241" s="299"/>
      <c r="I241" s="299"/>
      <c r="J241" s="299"/>
      <c r="K241" s="299"/>
      <c r="L241" s="299"/>
      <c r="M241" s="299"/>
      <c r="N241" s="299"/>
      <c r="O241" s="299"/>
    </row>
    <row r="242" spans="2:15" s="114" customFormat="1" ht="12.75" customHeight="1">
      <c r="C242" s="115"/>
      <c r="E242" s="671" t="s">
        <v>585</v>
      </c>
      <c r="F242" s="671"/>
      <c r="G242" s="671"/>
      <c r="H242" s="671"/>
      <c r="I242" s="671"/>
      <c r="J242" s="671"/>
      <c r="K242" s="671"/>
      <c r="L242" s="671"/>
      <c r="M242" s="671"/>
      <c r="N242" s="671"/>
      <c r="O242" s="671"/>
    </row>
    <row r="243" spans="2:15" s="114" customFormat="1" ht="12.75" customHeight="1">
      <c r="C243" s="115"/>
      <c r="E243" s="671"/>
      <c r="F243" s="671"/>
      <c r="G243" s="671"/>
      <c r="H243" s="671"/>
      <c r="I243" s="671"/>
      <c r="J243" s="671"/>
      <c r="K243" s="671"/>
      <c r="L243" s="671"/>
      <c r="M243" s="671"/>
      <c r="N243" s="671"/>
      <c r="O243" s="671"/>
    </row>
    <row r="244" spans="2:15" s="114" customFormat="1">
      <c r="C244" s="115"/>
      <c r="D244" s="115"/>
      <c r="E244" s="671"/>
      <c r="F244" s="671"/>
      <c r="G244" s="671"/>
      <c r="H244" s="671"/>
      <c r="I244" s="671"/>
      <c r="J244" s="671"/>
      <c r="K244" s="671"/>
      <c r="L244" s="671"/>
      <c r="M244" s="671"/>
      <c r="N244" s="671"/>
      <c r="O244" s="671"/>
    </row>
    <row r="245" spans="2:15" s="118" customFormat="1" ht="12.75" customHeight="1">
      <c r="C245" s="365"/>
      <c r="D245" s="118" t="s">
        <v>77</v>
      </c>
      <c r="E245" s="675" t="s">
        <v>678</v>
      </c>
      <c r="F245" s="675"/>
      <c r="G245" s="675"/>
      <c r="H245" s="675"/>
      <c r="I245" s="365"/>
      <c r="J245" s="365"/>
      <c r="K245" s="365"/>
      <c r="L245" s="365"/>
      <c r="M245" s="365"/>
      <c r="N245" s="365"/>
      <c r="O245" s="365"/>
    </row>
    <row r="246" spans="2:15" s="101" customFormat="1" ht="12.75" customHeight="1">
      <c r="B246" s="79"/>
      <c r="C246" s="115"/>
      <c r="E246" s="114" t="s">
        <v>51</v>
      </c>
      <c r="F246" s="681" t="s">
        <v>701</v>
      </c>
      <c r="G246" s="681"/>
      <c r="H246" s="681"/>
      <c r="I246" s="365"/>
      <c r="J246" s="365"/>
      <c r="K246" s="365"/>
      <c r="L246" s="365"/>
      <c r="M246" s="365"/>
      <c r="N246" s="365"/>
      <c r="O246" s="365"/>
    </row>
    <row r="247" spans="2:15" s="118" customFormat="1" ht="12.75" customHeight="1">
      <c r="C247" s="365"/>
      <c r="F247" s="671" t="s">
        <v>700</v>
      </c>
      <c r="G247" s="671"/>
      <c r="H247" s="671"/>
      <c r="I247" s="671"/>
      <c r="J247" s="671"/>
      <c r="K247" s="671"/>
      <c r="L247" s="671"/>
      <c r="M247" s="671"/>
      <c r="N247" s="671"/>
      <c r="O247" s="671"/>
    </row>
    <row r="248" spans="2:15" s="118" customFormat="1" ht="12.75" customHeight="1">
      <c r="C248" s="365"/>
      <c r="E248" s="118" t="s">
        <v>51</v>
      </c>
      <c r="F248" s="681" t="s">
        <v>694</v>
      </c>
      <c r="G248" s="681"/>
      <c r="H248" s="681"/>
      <c r="I248" s="365"/>
      <c r="J248" s="365"/>
      <c r="K248" s="365"/>
      <c r="L248" s="365"/>
      <c r="M248" s="365"/>
      <c r="N248" s="365"/>
      <c r="O248" s="365"/>
    </row>
    <row r="249" spans="2:15" s="118" customFormat="1">
      <c r="C249" s="365"/>
      <c r="E249" s="365"/>
      <c r="F249" s="671" t="s">
        <v>702</v>
      </c>
      <c r="G249" s="671"/>
      <c r="H249" s="671"/>
      <c r="I249" s="671"/>
      <c r="J249" s="671"/>
      <c r="K249" s="671"/>
      <c r="L249" s="671"/>
      <c r="M249" s="671"/>
      <c r="N249" s="671"/>
      <c r="O249" s="671"/>
    </row>
    <row r="250" spans="2:15" s="118" customFormat="1">
      <c r="C250" s="365"/>
      <c r="E250" s="365"/>
      <c r="F250" s="671"/>
      <c r="G250" s="671"/>
      <c r="H250" s="671"/>
      <c r="I250" s="671"/>
      <c r="J250" s="671"/>
      <c r="K250" s="671"/>
      <c r="L250" s="671"/>
      <c r="M250" s="671"/>
      <c r="N250" s="671"/>
      <c r="O250" s="671"/>
    </row>
    <row r="251" spans="2:15" s="118" customFormat="1" ht="12.75" customHeight="1">
      <c r="C251" s="365"/>
      <c r="E251" s="118" t="s">
        <v>51</v>
      </c>
      <c r="F251" s="681" t="s">
        <v>695</v>
      </c>
      <c r="G251" s="681"/>
      <c r="H251" s="681"/>
      <c r="I251" s="366"/>
      <c r="J251" s="366"/>
      <c r="K251" s="366"/>
      <c r="L251" s="366"/>
      <c r="M251" s="366"/>
      <c r="N251" s="366"/>
      <c r="O251" s="366"/>
    </row>
    <row r="252" spans="2:15" s="118" customFormat="1" ht="12.75" customHeight="1">
      <c r="C252" s="365"/>
      <c r="E252" s="365"/>
      <c r="F252" s="671" t="s">
        <v>703</v>
      </c>
      <c r="G252" s="671"/>
      <c r="H252" s="671"/>
      <c r="I252" s="671"/>
      <c r="J252" s="671"/>
      <c r="K252" s="671"/>
      <c r="L252" s="671"/>
      <c r="M252" s="671"/>
      <c r="N252" s="671"/>
      <c r="O252" s="671"/>
    </row>
    <row r="253" spans="2:15" s="118" customFormat="1" ht="12.75" customHeight="1">
      <c r="C253" s="365"/>
      <c r="E253" s="365"/>
      <c r="F253" s="671"/>
      <c r="G253" s="671"/>
      <c r="H253" s="671"/>
      <c r="I253" s="671"/>
      <c r="J253" s="671"/>
      <c r="K253" s="671"/>
      <c r="L253" s="671"/>
      <c r="M253" s="671"/>
      <c r="N253" s="671"/>
      <c r="O253" s="671"/>
    </row>
    <row r="254" spans="2:15" s="118" customFormat="1">
      <c r="C254" s="365"/>
      <c r="E254" s="365"/>
      <c r="F254" s="671"/>
      <c r="G254" s="671"/>
      <c r="H254" s="671"/>
      <c r="I254" s="671"/>
      <c r="J254" s="671"/>
      <c r="K254" s="671"/>
      <c r="L254" s="671"/>
      <c r="M254" s="671"/>
      <c r="N254" s="671"/>
      <c r="O254" s="671"/>
    </row>
    <row r="255" spans="2:15" s="390" customFormat="1" ht="12.75" customHeight="1">
      <c r="C255" s="391"/>
      <c r="D255" s="390" t="s">
        <v>78</v>
      </c>
      <c r="E255" s="675" t="s">
        <v>757</v>
      </c>
      <c r="F255" s="675"/>
      <c r="G255" s="675"/>
      <c r="I255" s="391"/>
      <c r="J255" s="391"/>
      <c r="K255" s="391"/>
      <c r="L255" s="391"/>
      <c r="M255" s="391"/>
      <c r="N255" s="391"/>
      <c r="O255" s="391"/>
    </row>
    <row r="256" spans="2:15" s="390" customFormat="1" ht="12.75" customHeight="1">
      <c r="C256" s="391"/>
      <c r="E256" s="390" t="s">
        <v>51</v>
      </c>
      <c r="F256" s="671" t="s">
        <v>805</v>
      </c>
      <c r="G256" s="671"/>
      <c r="H256" s="671"/>
      <c r="I256" s="671"/>
      <c r="J256" s="671"/>
      <c r="K256" s="671"/>
      <c r="L256" s="671"/>
      <c r="M256" s="671"/>
      <c r="N256" s="671"/>
      <c r="O256" s="671"/>
    </row>
    <row r="257" spans="3:15" s="390" customFormat="1">
      <c r="C257" s="391"/>
      <c r="E257" s="391"/>
      <c r="F257" s="671"/>
      <c r="G257" s="671"/>
      <c r="H257" s="671"/>
      <c r="I257" s="671"/>
      <c r="J257" s="671"/>
      <c r="K257" s="671"/>
      <c r="L257" s="671"/>
      <c r="M257" s="671"/>
      <c r="N257" s="671"/>
      <c r="O257" s="671"/>
    </row>
    <row r="258" spans="3:15" s="390" customFormat="1">
      <c r="C258" s="391"/>
      <c r="E258" s="390" t="s">
        <v>51</v>
      </c>
      <c r="F258" s="671" t="s">
        <v>779</v>
      </c>
      <c r="G258" s="671"/>
      <c r="H258" s="671"/>
      <c r="I258" s="671"/>
      <c r="J258" s="671"/>
      <c r="K258" s="671"/>
      <c r="L258" s="671"/>
      <c r="M258" s="671"/>
      <c r="N258" s="671"/>
      <c r="O258" s="671"/>
    </row>
    <row r="259" spans="3:15" s="114" customFormat="1" ht="12.75" customHeight="1">
      <c r="C259" s="365"/>
      <c r="D259" s="114" t="s">
        <v>79</v>
      </c>
      <c r="E259" s="690" t="s">
        <v>679</v>
      </c>
      <c r="F259" s="690"/>
      <c r="G259" s="690"/>
      <c r="H259" s="548"/>
    </row>
    <row r="260" spans="3:15" s="114" customFormat="1">
      <c r="C260" s="115"/>
      <c r="D260" s="365"/>
      <c r="E260" s="548" t="s">
        <v>51</v>
      </c>
      <c r="F260" s="671" t="s">
        <v>829</v>
      </c>
      <c r="G260" s="671"/>
      <c r="H260" s="671"/>
      <c r="I260" s="671"/>
      <c r="J260" s="671"/>
      <c r="K260" s="671"/>
      <c r="L260" s="671"/>
      <c r="M260" s="671"/>
      <c r="N260" s="671"/>
      <c r="O260" s="671"/>
    </row>
    <row r="261" spans="3:15" s="548" customFormat="1">
      <c r="C261" s="547"/>
      <c r="D261" s="547"/>
      <c r="E261" s="547"/>
      <c r="F261" s="671"/>
      <c r="G261" s="671"/>
      <c r="H261" s="671"/>
      <c r="I261" s="671"/>
      <c r="J261" s="671"/>
      <c r="K261" s="671"/>
      <c r="L261" s="671"/>
      <c r="M261" s="671"/>
      <c r="N261" s="671"/>
      <c r="O261" s="671"/>
    </row>
    <row r="262" spans="3:15" s="548" customFormat="1" ht="12.75" customHeight="1">
      <c r="C262" s="547"/>
      <c r="D262" s="547"/>
      <c r="E262" s="548" t="s">
        <v>51</v>
      </c>
      <c r="F262" s="671" t="s">
        <v>831</v>
      </c>
      <c r="G262" s="671"/>
      <c r="H262" s="671"/>
      <c r="I262" s="671"/>
      <c r="J262" s="671"/>
      <c r="K262" s="671"/>
      <c r="L262" s="671"/>
      <c r="M262" s="671"/>
      <c r="N262" s="671"/>
      <c r="O262" s="671"/>
    </row>
    <row r="263" spans="3:15" s="548" customFormat="1">
      <c r="C263" s="547"/>
      <c r="D263" s="547"/>
      <c r="E263" s="548" t="s">
        <v>51</v>
      </c>
      <c r="F263" s="671" t="s">
        <v>830</v>
      </c>
      <c r="G263" s="671"/>
      <c r="H263" s="671"/>
      <c r="I263" s="671"/>
      <c r="J263" s="671"/>
      <c r="K263" s="671"/>
      <c r="L263" s="671"/>
      <c r="M263" s="671"/>
      <c r="N263" s="671"/>
      <c r="O263" s="671"/>
    </row>
    <row r="264" spans="3:15" s="548" customFormat="1">
      <c r="C264" s="547"/>
      <c r="D264" s="547"/>
      <c r="F264" s="671"/>
      <c r="G264" s="671"/>
      <c r="H264" s="671"/>
      <c r="I264" s="671"/>
      <c r="J264" s="671"/>
      <c r="K264" s="671"/>
      <c r="L264" s="671"/>
      <c r="M264" s="671"/>
      <c r="N264" s="671"/>
      <c r="O264" s="671"/>
    </row>
    <row r="265" spans="3:15" s="548" customFormat="1">
      <c r="C265" s="547"/>
      <c r="D265" s="547"/>
      <c r="E265" s="547"/>
      <c r="F265" s="671"/>
      <c r="G265" s="671"/>
      <c r="H265" s="671"/>
      <c r="I265" s="671"/>
      <c r="J265" s="671"/>
      <c r="K265" s="671"/>
      <c r="L265" s="671"/>
      <c r="M265" s="671"/>
      <c r="N265" s="671"/>
      <c r="O265" s="671"/>
    </row>
    <row r="266" spans="3:15" s="118" customFormat="1">
      <c r="C266" s="322"/>
      <c r="E266" s="322"/>
      <c r="F266" s="322"/>
      <c r="G266" s="322"/>
      <c r="H266" s="322"/>
      <c r="I266" s="322"/>
      <c r="J266" s="322"/>
      <c r="K266" s="322"/>
      <c r="L266" s="322"/>
      <c r="M266" s="322"/>
      <c r="N266" s="322"/>
      <c r="O266" s="322"/>
    </row>
    <row r="267" spans="3:15" s="114" customFormat="1" ht="12.75" customHeight="1">
      <c r="C267" s="115" t="s">
        <v>705</v>
      </c>
      <c r="D267" s="690" t="s">
        <v>728</v>
      </c>
      <c r="E267" s="690"/>
      <c r="F267" s="690"/>
      <c r="G267" s="690"/>
      <c r="H267" s="690"/>
      <c r="I267" s="390"/>
      <c r="J267" s="390"/>
      <c r="K267" s="390"/>
      <c r="L267" s="390"/>
      <c r="M267" s="390"/>
      <c r="N267" s="390"/>
      <c r="O267" s="390"/>
    </row>
    <row r="268" spans="3:15" s="114" customFormat="1">
      <c r="C268" s="115"/>
      <c r="D268" s="390" t="s">
        <v>76</v>
      </c>
      <c r="E268" s="671" t="s">
        <v>729</v>
      </c>
      <c r="F268" s="671"/>
      <c r="G268" s="671"/>
      <c r="H268" s="671"/>
      <c r="I268" s="671"/>
      <c r="J268" s="671"/>
      <c r="K268" s="671"/>
      <c r="L268" s="671"/>
      <c r="M268" s="671"/>
      <c r="N268" s="671"/>
      <c r="O268" s="671"/>
    </row>
    <row r="269" spans="3:15" s="118" customFormat="1">
      <c r="C269" s="322"/>
      <c r="D269" s="390"/>
      <c r="E269" s="671"/>
      <c r="F269" s="671"/>
      <c r="G269" s="671"/>
      <c r="H269" s="671"/>
      <c r="I269" s="671"/>
      <c r="J269" s="671"/>
      <c r="K269" s="671"/>
      <c r="L269" s="671"/>
      <c r="M269" s="671"/>
      <c r="N269" s="671"/>
      <c r="O269" s="671"/>
    </row>
    <row r="270" spans="3:15" s="114" customFormat="1">
      <c r="C270" s="115"/>
      <c r="D270" s="390"/>
      <c r="E270" s="671"/>
      <c r="F270" s="671"/>
      <c r="G270" s="671"/>
      <c r="H270" s="671"/>
      <c r="I270" s="671"/>
      <c r="J270" s="671"/>
      <c r="K270" s="671"/>
      <c r="L270" s="671"/>
      <c r="M270" s="671"/>
      <c r="N270" s="671"/>
      <c r="O270" s="671"/>
    </row>
    <row r="271" spans="3:15" s="390" customFormat="1">
      <c r="C271" s="391"/>
      <c r="D271" s="391"/>
      <c r="E271" s="671"/>
      <c r="F271" s="671"/>
      <c r="G271" s="671"/>
      <c r="H271" s="671"/>
      <c r="I271" s="671"/>
      <c r="J271" s="671"/>
      <c r="K271" s="671"/>
      <c r="L271" s="671"/>
      <c r="M271" s="671"/>
      <c r="N271" s="671"/>
      <c r="O271" s="671"/>
    </row>
    <row r="272" spans="3:15" s="390" customFormat="1">
      <c r="C272" s="391"/>
      <c r="D272" s="391"/>
      <c r="E272" s="391"/>
      <c r="F272" s="391"/>
      <c r="G272" s="391"/>
      <c r="H272" s="391"/>
      <c r="I272" s="391"/>
      <c r="J272" s="391"/>
      <c r="K272" s="391"/>
      <c r="L272" s="391"/>
      <c r="M272" s="391"/>
      <c r="N272" s="391"/>
      <c r="O272" s="391"/>
    </row>
    <row r="273" spans="3:15" s="390" customFormat="1" ht="12.75" customHeight="1">
      <c r="C273" s="391"/>
      <c r="D273" s="390" t="s">
        <v>77</v>
      </c>
      <c r="E273" s="671" t="s">
        <v>765</v>
      </c>
      <c r="F273" s="671"/>
      <c r="G273" s="671"/>
      <c r="H273" s="671"/>
      <c r="I273" s="671"/>
      <c r="J273" s="671"/>
      <c r="K273" s="671"/>
      <c r="L273" s="671"/>
      <c r="M273" s="671"/>
      <c r="N273" s="671"/>
      <c r="O273" s="671"/>
    </row>
    <row r="274" spans="3:15" s="390" customFormat="1">
      <c r="C274" s="391"/>
      <c r="D274" s="391"/>
      <c r="E274" s="671"/>
      <c r="F274" s="671"/>
      <c r="G274" s="671"/>
      <c r="H274" s="671"/>
      <c r="I274" s="671"/>
      <c r="J274" s="671"/>
      <c r="K274" s="671"/>
      <c r="L274" s="671"/>
      <c r="M274" s="671"/>
      <c r="N274" s="671"/>
      <c r="O274" s="671"/>
    </row>
    <row r="275" spans="3:15" s="476" customFormat="1">
      <c r="C275" s="474"/>
      <c r="D275" s="474"/>
      <c r="E275" s="474"/>
      <c r="F275" s="474"/>
      <c r="G275" s="474"/>
      <c r="H275" s="474"/>
      <c r="I275" s="474"/>
      <c r="J275" s="474"/>
      <c r="K275" s="474"/>
      <c r="L275" s="474"/>
      <c r="M275" s="474"/>
      <c r="N275" s="474"/>
      <c r="O275" s="474"/>
    </row>
    <row r="276" spans="3:15" s="476" customFormat="1" ht="12.75" customHeight="1">
      <c r="C276" s="474"/>
      <c r="D276" s="474"/>
      <c r="E276" s="745">
        <v>0</v>
      </c>
      <c r="F276" s="746"/>
      <c r="G276" s="727" t="s">
        <v>730</v>
      </c>
      <c r="H276" s="724"/>
      <c r="I276" s="724"/>
      <c r="J276" s="724"/>
      <c r="K276" s="724"/>
      <c r="L276" s="724"/>
      <c r="M276" s="724"/>
      <c r="N276" s="724"/>
      <c r="O276" s="724"/>
    </row>
    <row r="277" spans="3:15" s="476" customFormat="1">
      <c r="C277" s="474"/>
      <c r="D277" s="474"/>
      <c r="E277" s="745">
        <v>0.1</v>
      </c>
      <c r="F277" s="746"/>
      <c r="G277" s="727" t="str">
        <f>IF(E277=$E$295,"See note below.","")</f>
        <v/>
      </c>
      <c r="H277" s="724"/>
      <c r="I277" s="531"/>
      <c r="J277" s="531"/>
      <c r="K277" s="531"/>
      <c r="L277" s="531"/>
      <c r="M277" s="531"/>
      <c r="N277" s="531"/>
      <c r="O277" s="531"/>
    </row>
    <row r="278" spans="3:15" s="476" customFormat="1">
      <c r="C278" s="474"/>
      <c r="D278" s="474"/>
      <c r="E278" s="745">
        <v>0.2</v>
      </c>
      <c r="F278" s="746"/>
      <c r="G278" s="727" t="str">
        <f t="shared" ref="G278:G285" si="0">IF(E278=$E$295,"See note below.","")</f>
        <v/>
      </c>
      <c r="H278" s="724"/>
      <c r="I278" s="531"/>
      <c r="J278" s="531"/>
      <c r="K278" s="531"/>
      <c r="L278" s="531"/>
      <c r="M278" s="531"/>
      <c r="N278" s="531"/>
      <c r="O278" s="531"/>
    </row>
    <row r="279" spans="3:15" s="476" customFormat="1">
      <c r="C279" s="474"/>
      <c r="D279" s="474"/>
      <c r="E279" s="745">
        <v>0.3</v>
      </c>
      <c r="F279" s="746"/>
      <c r="G279" s="727" t="str">
        <f t="shared" si="0"/>
        <v/>
      </c>
      <c r="H279" s="724"/>
      <c r="I279" s="531"/>
      <c r="J279" s="531"/>
      <c r="K279" s="531"/>
      <c r="L279" s="531"/>
      <c r="M279" s="531"/>
      <c r="N279" s="531"/>
      <c r="O279" s="531"/>
    </row>
    <row r="280" spans="3:15" s="476" customFormat="1">
      <c r="C280" s="474"/>
      <c r="D280" s="474"/>
      <c r="E280" s="745">
        <v>0.4</v>
      </c>
      <c r="F280" s="746"/>
      <c r="G280" s="727" t="str">
        <f t="shared" si="0"/>
        <v/>
      </c>
      <c r="H280" s="724"/>
      <c r="I280" s="531"/>
      <c r="J280" s="531"/>
      <c r="K280" s="531"/>
      <c r="L280" s="531"/>
      <c r="M280" s="531"/>
      <c r="N280" s="531"/>
      <c r="O280" s="531"/>
    </row>
    <row r="281" spans="3:15" s="476" customFormat="1" ht="12.75" customHeight="1">
      <c r="C281" s="474"/>
      <c r="D281" s="474"/>
      <c r="E281" s="745">
        <v>0.5</v>
      </c>
      <c r="F281" s="746"/>
      <c r="G281" s="727" t="str">
        <f t="shared" si="0"/>
        <v/>
      </c>
      <c r="H281" s="724"/>
      <c r="I281" s="531"/>
      <c r="J281" s="531"/>
      <c r="K281" s="531"/>
      <c r="L281" s="531"/>
      <c r="M281" s="531"/>
      <c r="N281" s="531"/>
      <c r="O281" s="531"/>
    </row>
    <row r="282" spans="3:15" s="476" customFormat="1" ht="12.75" customHeight="1">
      <c r="C282" s="474"/>
      <c r="D282" s="474"/>
      <c r="E282" s="745">
        <v>0.6</v>
      </c>
      <c r="F282" s="746"/>
      <c r="G282" s="727" t="str">
        <f t="shared" si="0"/>
        <v/>
      </c>
      <c r="H282" s="724"/>
      <c r="I282" s="531"/>
      <c r="J282" s="531"/>
      <c r="K282" s="531"/>
      <c r="L282" s="531"/>
      <c r="M282" s="531"/>
      <c r="N282" s="531"/>
      <c r="O282" s="531"/>
    </row>
    <row r="283" spans="3:15" s="476" customFormat="1" ht="12.75" customHeight="1">
      <c r="C283" s="474"/>
      <c r="D283" s="474"/>
      <c r="E283" s="745">
        <v>0.7</v>
      </c>
      <c r="F283" s="746"/>
      <c r="G283" s="727" t="str">
        <f t="shared" si="0"/>
        <v>See note below.</v>
      </c>
      <c r="H283" s="724"/>
      <c r="I283" s="531"/>
      <c r="J283" s="531"/>
      <c r="K283" s="531"/>
      <c r="L283" s="531"/>
      <c r="M283" s="531"/>
      <c r="N283" s="531"/>
      <c r="O283" s="531"/>
    </row>
    <row r="284" spans="3:15" s="476" customFormat="1">
      <c r="C284" s="474"/>
      <c r="D284" s="474"/>
      <c r="E284" s="745">
        <v>0.8</v>
      </c>
      <c r="F284" s="746"/>
      <c r="G284" s="727" t="str">
        <f t="shared" si="0"/>
        <v/>
      </c>
      <c r="H284" s="724"/>
      <c r="I284" s="531"/>
      <c r="J284" s="531"/>
      <c r="K284" s="531"/>
      <c r="L284" s="531"/>
      <c r="M284" s="531"/>
      <c r="N284" s="531"/>
      <c r="O284" s="531"/>
    </row>
    <row r="285" spans="3:15" s="476" customFormat="1" ht="12.75" customHeight="1">
      <c r="C285" s="474"/>
      <c r="D285" s="474"/>
      <c r="E285" s="745">
        <v>0.9</v>
      </c>
      <c r="F285" s="746"/>
      <c r="G285" s="727" t="str">
        <f t="shared" si="0"/>
        <v/>
      </c>
      <c r="H285" s="724"/>
      <c r="I285" s="530"/>
      <c r="J285" s="530"/>
      <c r="K285" s="530"/>
      <c r="L285" s="530"/>
      <c r="M285" s="530"/>
      <c r="N285" s="530"/>
      <c r="O285" s="530"/>
    </row>
    <row r="286" spans="3:15" s="476" customFormat="1">
      <c r="C286" s="474"/>
      <c r="D286" s="474"/>
      <c r="E286" s="745">
        <v>1</v>
      </c>
      <c r="F286" s="746"/>
      <c r="G286" s="727" t="s">
        <v>732</v>
      </c>
      <c r="H286" s="724"/>
      <c r="I286" s="724"/>
      <c r="J286" s="724"/>
      <c r="K286" s="724"/>
      <c r="L286" s="724"/>
      <c r="M286" s="724"/>
      <c r="N286" s="724"/>
      <c r="O286" s="724"/>
    </row>
    <row r="287" spans="3:15" s="476" customFormat="1">
      <c r="C287" s="474"/>
      <c r="D287" s="474"/>
      <c r="E287" s="474"/>
      <c r="F287" s="532"/>
      <c r="G287" s="724"/>
      <c r="H287" s="724"/>
      <c r="I287" s="724"/>
      <c r="J287" s="724"/>
      <c r="K287" s="724"/>
      <c r="L287" s="724"/>
      <c r="M287" s="724"/>
      <c r="N287" s="724"/>
      <c r="O287" s="724"/>
    </row>
    <row r="288" spans="3:15" s="530" customFormat="1">
      <c r="C288" s="529"/>
      <c r="D288" s="529"/>
      <c r="E288" s="529"/>
      <c r="F288" s="529"/>
      <c r="G288" s="529"/>
      <c r="H288" s="529"/>
      <c r="I288" s="529"/>
      <c r="J288" s="529"/>
      <c r="K288" s="529"/>
      <c r="L288" s="529"/>
      <c r="M288" s="529"/>
      <c r="N288" s="529"/>
      <c r="O288" s="529"/>
    </row>
    <row r="289" spans="2:15" s="530" customFormat="1">
      <c r="C289" s="529"/>
      <c r="D289" s="529"/>
      <c r="E289" s="675" t="s">
        <v>778</v>
      </c>
      <c r="F289" s="675"/>
      <c r="G289" s="724" t="s">
        <v>731</v>
      </c>
      <c r="H289" s="724"/>
      <c r="I289" s="724"/>
      <c r="J289" s="724"/>
      <c r="K289" s="724"/>
      <c r="L289" s="724"/>
      <c r="M289" s="724"/>
      <c r="N289" s="724"/>
      <c r="O289" s="724"/>
    </row>
    <row r="290" spans="2:15" s="530" customFormat="1">
      <c r="C290" s="529"/>
      <c r="D290" s="529"/>
      <c r="E290" s="529"/>
      <c r="F290" s="529"/>
      <c r="G290" s="724"/>
      <c r="H290" s="724"/>
      <c r="I290" s="724"/>
      <c r="J290" s="724"/>
      <c r="K290" s="724"/>
      <c r="L290" s="724"/>
      <c r="M290" s="724"/>
      <c r="N290" s="724"/>
      <c r="O290" s="724"/>
    </row>
    <row r="291" spans="2:15" s="530" customFormat="1">
      <c r="C291" s="529"/>
      <c r="D291" s="529"/>
      <c r="E291" s="529"/>
      <c r="F291" s="529"/>
      <c r="G291" s="724"/>
      <c r="H291" s="724"/>
      <c r="I291" s="724"/>
      <c r="J291" s="724"/>
      <c r="K291" s="724"/>
      <c r="L291" s="724"/>
      <c r="M291" s="724"/>
      <c r="N291" s="724"/>
      <c r="O291" s="724"/>
    </row>
    <row r="292" spans="2:15" s="530" customFormat="1">
      <c r="C292" s="529"/>
      <c r="D292" s="529"/>
      <c r="E292" s="529"/>
      <c r="F292" s="529"/>
      <c r="G292" s="529"/>
      <c r="H292" s="529"/>
      <c r="I292" s="529"/>
      <c r="J292" s="529"/>
      <c r="K292" s="529"/>
      <c r="L292" s="529"/>
      <c r="M292" s="529"/>
      <c r="N292" s="529"/>
      <c r="O292" s="529"/>
    </row>
    <row r="293" spans="2:15" s="390" customFormat="1" ht="12.75" customHeight="1">
      <c r="C293" s="391"/>
      <c r="D293" s="390" t="s">
        <v>78</v>
      </c>
      <c r="E293" s="671" t="s">
        <v>774</v>
      </c>
      <c r="F293" s="671"/>
      <c r="G293" s="671"/>
      <c r="H293" s="671"/>
      <c r="I293" s="671"/>
      <c r="J293" s="671"/>
      <c r="K293" s="671"/>
      <c r="L293" s="671"/>
      <c r="M293" s="671"/>
      <c r="N293" s="671"/>
      <c r="O293" s="671"/>
    </row>
    <row r="294" spans="2:15" s="476" customFormat="1">
      <c r="C294" s="474"/>
      <c r="E294" s="671"/>
      <c r="F294" s="671"/>
      <c r="G294" s="671"/>
      <c r="H294" s="671"/>
      <c r="I294" s="671"/>
      <c r="J294" s="671"/>
      <c r="K294" s="671"/>
      <c r="L294" s="671"/>
      <c r="M294" s="671"/>
      <c r="N294" s="671"/>
      <c r="O294" s="671"/>
    </row>
    <row r="295" spans="2:15" s="390" customFormat="1">
      <c r="C295" s="391"/>
      <c r="D295" s="391"/>
      <c r="E295" s="747">
        <v>0.7</v>
      </c>
      <c r="F295" s="748"/>
      <c r="G295" s="390" t="s">
        <v>733</v>
      </c>
      <c r="K295" s="395"/>
      <c r="L295" s="395"/>
      <c r="M295" s="396"/>
    </row>
    <row r="296" spans="2:15" s="118" customFormat="1">
      <c r="C296" s="322"/>
      <c r="D296" s="322"/>
      <c r="E296" s="322"/>
      <c r="F296" s="322"/>
      <c r="G296" s="322"/>
      <c r="H296" s="322"/>
      <c r="I296" s="322"/>
      <c r="J296" s="322"/>
      <c r="K296" s="322"/>
      <c r="L296" s="322"/>
      <c r="M296" s="322"/>
      <c r="N296" s="322"/>
      <c r="O296" s="322"/>
    </row>
    <row r="297" spans="2:15" s="118" customFormat="1">
      <c r="B297" s="118">
        <v>3</v>
      </c>
      <c r="C297" s="118" t="s">
        <v>639</v>
      </c>
      <c r="I297" s="734" t="s">
        <v>355</v>
      </c>
      <c r="J297" s="736"/>
      <c r="K297" s="322"/>
      <c r="L297" s="322"/>
      <c r="M297" s="322"/>
      <c r="N297" s="322"/>
      <c r="O297" s="322"/>
    </row>
    <row r="298" spans="2:15" s="118" customFormat="1" ht="12.75" customHeight="1">
      <c r="C298" s="322" t="s">
        <v>73</v>
      </c>
      <c r="D298" s="671" t="s">
        <v>651</v>
      </c>
      <c r="E298" s="671"/>
      <c r="F298" s="671"/>
      <c r="G298" s="671"/>
      <c r="H298" s="671"/>
      <c r="I298" s="671"/>
      <c r="J298" s="671"/>
      <c r="K298" s="671"/>
      <c r="L298" s="671"/>
      <c r="M298" s="671"/>
      <c r="N298" s="671"/>
      <c r="O298" s="671"/>
    </row>
    <row r="299" spans="2:15" s="118" customFormat="1">
      <c r="C299" s="322"/>
      <c r="D299" s="671"/>
      <c r="E299" s="671"/>
      <c r="F299" s="671"/>
      <c r="G299" s="671"/>
      <c r="H299" s="671"/>
      <c r="I299" s="671"/>
      <c r="J299" s="671"/>
      <c r="K299" s="671"/>
      <c r="L299" s="671"/>
      <c r="M299" s="671"/>
      <c r="N299" s="671"/>
      <c r="O299" s="671"/>
    </row>
    <row r="300" spans="2:15" s="118" customFormat="1">
      <c r="C300" s="322"/>
      <c r="D300" s="671"/>
      <c r="E300" s="671"/>
      <c r="F300" s="671"/>
      <c r="G300" s="671"/>
      <c r="H300" s="671"/>
      <c r="I300" s="671"/>
      <c r="J300" s="671"/>
      <c r="K300" s="671"/>
      <c r="L300" s="671"/>
      <c r="M300" s="671"/>
      <c r="N300" s="671"/>
      <c r="O300" s="671"/>
    </row>
    <row r="301" spans="2:15" s="118" customFormat="1">
      <c r="C301" s="322" t="s">
        <v>74</v>
      </c>
      <c r="D301" s="671" t="s">
        <v>652</v>
      </c>
      <c r="E301" s="671"/>
      <c r="F301" s="671"/>
      <c r="G301" s="671"/>
      <c r="H301" s="671"/>
      <c r="I301" s="671"/>
      <c r="J301" s="671"/>
      <c r="K301" s="671"/>
      <c r="L301" s="671"/>
      <c r="M301" s="671"/>
      <c r="N301" s="671"/>
      <c r="O301" s="671"/>
    </row>
    <row r="302" spans="2:15" s="118" customFormat="1">
      <c r="C302" s="322"/>
      <c r="D302" s="671"/>
      <c r="E302" s="671"/>
      <c r="F302" s="671"/>
      <c r="G302" s="671"/>
      <c r="H302" s="671"/>
      <c r="I302" s="671"/>
      <c r="J302" s="671"/>
      <c r="K302" s="671"/>
      <c r="L302" s="671"/>
      <c r="M302" s="671"/>
      <c r="N302" s="671"/>
      <c r="O302" s="671"/>
    </row>
    <row r="303" spans="2:15" s="118" customFormat="1">
      <c r="C303" s="322"/>
      <c r="D303" s="322" t="s">
        <v>76</v>
      </c>
      <c r="E303" s="354" t="s">
        <v>653</v>
      </c>
      <c r="F303" s="353"/>
      <c r="G303" s="353"/>
      <c r="H303" s="353"/>
      <c r="I303" s="353"/>
      <c r="J303" s="353"/>
      <c r="K303" s="353"/>
      <c r="L303" s="353"/>
      <c r="M303" s="353"/>
      <c r="N303" s="353"/>
      <c r="O303" s="353"/>
    </row>
    <row r="304" spans="2:15" s="118" customFormat="1">
      <c r="C304" s="322"/>
      <c r="D304" s="322"/>
      <c r="E304" s="723" t="s">
        <v>654</v>
      </c>
      <c r="F304" s="723"/>
      <c r="G304" s="723"/>
      <c r="H304" s="723"/>
      <c r="I304" s="723"/>
      <c r="J304" s="723"/>
      <c r="K304" s="723"/>
      <c r="L304" s="723"/>
      <c r="M304" s="723"/>
      <c r="N304" s="723"/>
      <c r="O304" s="723"/>
    </row>
    <row r="305" spans="2:15" s="118" customFormat="1">
      <c r="C305" s="322"/>
      <c r="D305" s="322"/>
      <c r="E305" s="723"/>
      <c r="F305" s="723"/>
      <c r="G305" s="723"/>
      <c r="H305" s="723"/>
      <c r="I305" s="723"/>
      <c r="J305" s="723"/>
      <c r="K305" s="723"/>
      <c r="L305" s="723"/>
      <c r="M305" s="723"/>
      <c r="N305" s="723"/>
      <c r="O305" s="723"/>
    </row>
    <row r="306" spans="2:15" s="101" customFormat="1">
      <c r="C306" s="114"/>
      <c r="D306" s="115"/>
      <c r="E306" s="723"/>
      <c r="F306" s="723"/>
      <c r="G306" s="723"/>
      <c r="H306" s="723"/>
      <c r="I306" s="723"/>
      <c r="J306" s="723"/>
      <c r="K306" s="723"/>
      <c r="L306" s="723"/>
      <c r="M306" s="723"/>
      <c r="N306" s="723"/>
      <c r="O306" s="723"/>
    </row>
    <row r="307" spans="2:15" s="118" customFormat="1">
      <c r="D307" s="322" t="s">
        <v>77</v>
      </c>
      <c r="E307" s="354" t="s">
        <v>656</v>
      </c>
      <c r="F307" s="353"/>
      <c r="G307" s="353"/>
      <c r="H307" s="353"/>
      <c r="I307" s="353"/>
      <c r="J307" s="353"/>
      <c r="K307" s="353"/>
      <c r="L307" s="353"/>
      <c r="M307" s="353"/>
      <c r="N307" s="353"/>
      <c r="O307" s="353"/>
    </row>
    <row r="308" spans="2:15" s="118" customFormat="1">
      <c r="D308" s="322"/>
      <c r="E308" s="723" t="s">
        <v>657</v>
      </c>
      <c r="F308" s="723"/>
      <c r="G308" s="723"/>
      <c r="H308" s="723"/>
      <c r="I308" s="723"/>
      <c r="J308" s="723"/>
      <c r="K308" s="723"/>
      <c r="L308" s="723"/>
      <c r="M308" s="723"/>
      <c r="N308" s="723"/>
      <c r="O308" s="723"/>
    </row>
    <row r="309" spans="2:15" s="118" customFormat="1">
      <c r="D309" s="322"/>
      <c r="E309" s="723"/>
      <c r="F309" s="723"/>
      <c r="G309" s="723"/>
      <c r="H309" s="723"/>
      <c r="I309" s="723"/>
      <c r="J309" s="723"/>
      <c r="K309" s="723"/>
      <c r="L309" s="723"/>
      <c r="M309" s="723"/>
      <c r="N309" s="723"/>
      <c r="O309" s="723"/>
    </row>
    <row r="310" spans="2:15" s="118" customFormat="1">
      <c r="D310" s="322"/>
      <c r="E310" s="723"/>
      <c r="F310" s="723"/>
      <c r="G310" s="723"/>
      <c r="H310" s="723"/>
      <c r="I310" s="723"/>
      <c r="J310" s="723"/>
      <c r="K310" s="723"/>
      <c r="L310" s="723"/>
      <c r="M310" s="723"/>
      <c r="N310" s="723"/>
      <c r="O310" s="723"/>
    </row>
    <row r="311" spans="2:15" s="118" customFormat="1">
      <c r="D311" s="322"/>
      <c r="E311" s="723"/>
      <c r="F311" s="723"/>
      <c r="G311" s="723"/>
      <c r="H311" s="723"/>
      <c r="I311" s="723"/>
      <c r="J311" s="723"/>
      <c r="K311" s="723"/>
      <c r="L311" s="723"/>
      <c r="M311" s="723"/>
      <c r="N311" s="723"/>
      <c r="O311" s="723"/>
    </row>
    <row r="312" spans="2:15" s="118" customFormat="1">
      <c r="D312" s="322"/>
      <c r="E312" s="353"/>
      <c r="F312" s="353"/>
      <c r="G312" s="353"/>
      <c r="H312" s="353"/>
      <c r="I312" s="353"/>
      <c r="J312" s="353"/>
      <c r="K312" s="353"/>
      <c r="L312" s="353"/>
      <c r="M312" s="353"/>
      <c r="N312" s="353"/>
      <c r="O312" s="353"/>
    </row>
    <row r="313" spans="2:15" s="118" customFormat="1">
      <c r="B313" s="118">
        <v>4</v>
      </c>
      <c r="C313" s="692" t="s">
        <v>474</v>
      </c>
      <c r="D313" s="681"/>
      <c r="E313" s="681"/>
      <c r="F313" s="681"/>
      <c r="G313" s="681"/>
      <c r="H313" s="681"/>
      <c r="I313" s="681"/>
      <c r="J313" s="681"/>
      <c r="K313" s="681"/>
      <c r="L313" s="681"/>
      <c r="M313" s="681"/>
      <c r="N313" s="681"/>
      <c r="O313" s="681"/>
    </row>
    <row r="314" spans="2:15" s="118" customFormat="1">
      <c r="C314" s="671" t="s">
        <v>623</v>
      </c>
      <c r="D314" s="671"/>
      <c r="E314" s="671"/>
      <c r="F314" s="671"/>
      <c r="G314" s="671"/>
      <c r="H314" s="671"/>
      <c r="I314" s="671"/>
      <c r="J314" s="671"/>
      <c r="K314" s="671"/>
      <c r="L314" s="671"/>
      <c r="M314" s="671"/>
      <c r="N314" s="671"/>
      <c r="O314" s="671"/>
    </row>
    <row r="315" spans="2:15" s="118" customFormat="1">
      <c r="C315" s="117" t="s">
        <v>73</v>
      </c>
      <c r="D315" s="649" t="s">
        <v>825</v>
      </c>
      <c r="E315" s="649"/>
      <c r="F315" s="649"/>
      <c r="G315" s="649"/>
      <c r="H315" s="649"/>
      <c r="I315" s="321"/>
      <c r="J315" s="321"/>
      <c r="K315" s="321"/>
      <c r="L315" s="321"/>
      <c r="M315" s="321"/>
      <c r="N315" s="321"/>
      <c r="O315" s="321"/>
    </row>
    <row r="316" spans="2:15" s="118" customFormat="1" ht="12.75" customHeight="1">
      <c r="C316" s="117"/>
      <c r="D316" s="689" t="s">
        <v>622</v>
      </c>
      <c r="E316" s="689"/>
      <c r="F316" s="689"/>
      <c r="G316" s="689"/>
      <c r="H316" s="689"/>
      <c r="I316" s="689"/>
      <c r="J316" s="689"/>
      <c r="K316" s="689"/>
      <c r="L316" s="689"/>
      <c r="M316" s="689"/>
      <c r="N316" s="689"/>
      <c r="O316" s="689"/>
    </row>
    <row r="317" spans="2:15" s="118" customFormat="1">
      <c r="C317" s="117"/>
      <c r="D317" s="689"/>
      <c r="E317" s="689"/>
      <c r="F317" s="689"/>
      <c r="G317" s="689"/>
      <c r="H317" s="689"/>
      <c r="I317" s="689"/>
      <c r="J317" s="689"/>
      <c r="K317" s="689"/>
      <c r="L317" s="689"/>
      <c r="M317" s="689"/>
      <c r="N317" s="689"/>
      <c r="O317" s="689"/>
    </row>
    <row r="318" spans="2:15" s="118" customFormat="1">
      <c r="C318" s="117"/>
      <c r="D318" s="689"/>
      <c r="E318" s="689"/>
      <c r="F318" s="689"/>
      <c r="G318" s="689"/>
      <c r="H318" s="689"/>
      <c r="I318" s="689"/>
      <c r="J318" s="689"/>
      <c r="K318" s="689"/>
      <c r="L318" s="689"/>
      <c r="M318" s="689"/>
      <c r="N318" s="689"/>
      <c r="O318" s="689"/>
    </row>
    <row r="319" spans="2:15" s="118" customFormat="1">
      <c r="C319" s="322"/>
      <c r="D319" s="689"/>
      <c r="E319" s="689"/>
      <c r="F319" s="689"/>
      <c r="G319" s="689"/>
      <c r="H319" s="689"/>
      <c r="I319" s="689"/>
      <c r="J319" s="689"/>
      <c r="K319" s="689"/>
      <c r="L319" s="689"/>
      <c r="M319" s="689"/>
      <c r="N319" s="689"/>
      <c r="O319" s="689"/>
    </row>
    <row r="320" spans="2:15" s="118" customFormat="1">
      <c r="C320" s="322"/>
      <c r="D320" s="689"/>
      <c r="E320" s="689"/>
      <c r="F320" s="689"/>
      <c r="G320" s="689"/>
      <c r="H320" s="689"/>
      <c r="I320" s="689"/>
      <c r="J320" s="689"/>
      <c r="K320" s="689"/>
      <c r="L320" s="689"/>
      <c r="M320" s="689"/>
      <c r="N320" s="689"/>
      <c r="O320" s="689"/>
    </row>
    <row r="321" spans="2:18" s="118" customFormat="1">
      <c r="C321" s="117"/>
      <c r="D321" s="689"/>
      <c r="E321" s="689"/>
      <c r="F321" s="689"/>
      <c r="G321" s="689"/>
      <c r="H321" s="689"/>
      <c r="I321" s="689"/>
      <c r="J321" s="689"/>
      <c r="K321" s="689"/>
      <c r="L321" s="689"/>
      <c r="M321" s="689"/>
      <c r="N321" s="689"/>
      <c r="O321" s="689"/>
    </row>
    <row r="322" spans="2:18" s="118" customFormat="1">
      <c r="C322" s="322"/>
      <c r="D322" s="320"/>
      <c r="E322" s="320"/>
      <c r="F322" s="320"/>
      <c r="G322" s="320"/>
      <c r="H322" s="320"/>
      <c r="I322" s="320"/>
      <c r="J322" s="320"/>
      <c r="K322" s="320"/>
      <c r="L322" s="320"/>
      <c r="M322" s="320"/>
      <c r="N322" s="320"/>
      <c r="O322" s="320"/>
    </row>
    <row r="323" spans="2:18" s="118" customFormat="1">
      <c r="B323" s="118">
        <v>5</v>
      </c>
      <c r="C323" s="692" t="s">
        <v>475</v>
      </c>
      <c r="D323" s="681"/>
      <c r="E323" s="681"/>
      <c r="F323" s="681"/>
      <c r="G323" s="681"/>
      <c r="H323" s="681"/>
      <c r="I323" s="681"/>
      <c r="J323" s="681"/>
      <c r="K323" s="681"/>
      <c r="L323" s="681"/>
      <c r="M323" s="681"/>
      <c r="N323" s="681"/>
      <c r="O323" s="681"/>
    </row>
    <row r="324" spans="2:18" s="118" customFormat="1">
      <c r="C324" s="671" t="s">
        <v>624</v>
      </c>
      <c r="D324" s="671"/>
      <c r="E324" s="671"/>
      <c r="F324" s="671"/>
      <c r="G324" s="671"/>
      <c r="H324" s="671"/>
      <c r="I324" s="671"/>
      <c r="J324" s="671"/>
      <c r="K324" s="671"/>
      <c r="L324" s="671"/>
      <c r="M324" s="671"/>
      <c r="N324" s="671"/>
      <c r="O324" s="671"/>
    </row>
    <row r="325" spans="2:18" s="118" customFormat="1">
      <c r="C325" s="117" t="s">
        <v>73</v>
      </c>
      <c r="D325" s="691" t="s">
        <v>625</v>
      </c>
      <c r="E325" s="675"/>
      <c r="F325" s="675"/>
      <c r="G325" s="675"/>
      <c r="H325" s="675"/>
      <c r="I325" s="675"/>
      <c r="J325" s="675"/>
      <c r="K325" s="675"/>
      <c r="L325" s="675"/>
      <c r="M325" s="675"/>
      <c r="N325" s="675"/>
      <c r="O325" s="675"/>
    </row>
    <row r="326" spans="2:18" s="118" customFormat="1">
      <c r="C326" s="117"/>
      <c r="D326" s="689" t="s">
        <v>626</v>
      </c>
      <c r="E326" s="689"/>
      <c r="F326" s="689"/>
      <c r="G326" s="689"/>
      <c r="H326" s="689"/>
      <c r="I326" s="689"/>
      <c r="J326" s="689"/>
      <c r="K326" s="689"/>
      <c r="L326" s="689"/>
      <c r="M326" s="689"/>
      <c r="N326" s="689"/>
      <c r="O326" s="689"/>
    </row>
    <row r="327" spans="2:18" s="118" customFormat="1">
      <c r="C327" s="322"/>
      <c r="D327" s="689"/>
      <c r="E327" s="689"/>
      <c r="F327" s="689"/>
      <c r="G327" s="689"/>
      <c r="H327" s="689"/>
      <c r="I327" s="689"/>
      <c r="J327" s="689"/>
      <c r="K327" s="689"/>
      <c r="L327" s="689"/>
      <c r="M327" s="689"/>
      <c r="N327" s="689"/>
      <c r="O327" s="689"/>
    </row>
    <row r="328" spans="2:18" s="118" customFormat="1">
      <c r="C328" s="117"/>
      <c r="D328" s="689"/>
      <c r="E328" s="689"/>
      <c r="F328" s="689"/>
      <c r="G328" s="689"/>
      <c r="H328" s="689"/>
      <c r="I328" s="689"/>
      <c r="J328" s="689"/>
      <c r="K328" s="689"/>
      <c r="L328" s="689"/>
      <c r="M328" s="689"/>
      <c r="N328" s="689"/>
      <c r="O328" s="689"/>
    </row>
    <row r="329" spans="2:18" s="118" customFormat="1">
      <c r="D329" s="117"/>
      <c r="E329" s="117"/>
      <c r="F329" s="117"/>
      <c r="G329" s="117"/>
      <c r="H329" s="117"/>
      <c r="I329" s="117"/>
      <c r="J329" s="117"/>
      <c r="K329" s="117"/>
      <c r="L329" s="117"/>
      <c r="M329" s="117"/>
      <c r="N329" s="117"/>
      <c r="O329" s="117"/>
    </row>
    <row r="330" spans="2:18" s="64" customFormat="1" ht="15.75">
      <c r="B330" s="688" t="s">
        <v>80</v>
      </c>
      <c r="C330" s="688"/>
      <c r="D330" s="688"/>
      <c r="E330" s="688"/>
      <c r="F330" s="688"/>
      <c r="G330" s="688"/>
      <c r="H330" s="688"/>
      <c r="I330" s="688"/>
      <c r="J330" s="688"/>
      <c r="K330" s="688"/>
      <c r="L330" s="688"/>
      <c r="M330" s="688"/>
      <c r="N330" s="688"/>
      <c r="O330" s="688"/>
    </row>
    <row r="331" spans="2:18" s="64" customFormat="1"/>
    <row r="332" spans="2:18" s="79" customFormat="1">
      <c r="B332" s="64" t="s">
        <v>81</v>
      </c>
      <c r="R332" s="113"/>
    </row>
    <row r="333" spans="2:18" s="64" customFormat="1">
      <c r="B333" s="64" t="s">
        <v>73</v>
      </c>
      <c r="C333" s="101" t="s">
        <v>659</v>
      </c>
      <c r="E333" s="101"/>
      <c r="R333" s="64" t="s">
        <v>114</v>
      </c>
    </row>
    <row r="334" spans="2:18" s="64" customFormat="1">
      <c r="B334" s="64" t="s">
        <v>74</v>
      </c>
      <c r="C334" s="101" t="s">
        <v>421</v>
      </c>
      <c r="E334" s="101"/>
    </row>
    <row r="335" spans="2:18" s="64" customFormat="1">
      <c r="B335" s="64" t="s">
        <v>75</v>
      </c>
      <c r="C335" s="101" t="s">
        <v>666</v>
      </c>
      <c r="E335" s="101"/>
    </row>
    <row r="336" spans="2:18" s="64" customFormat="1" ht="12.75" customHeight="1">
      <c r="B336" s="64" t="s">
        <v>9</v>
      </c>
      <c r="C336" s="101" t="s">
        <v>423</v>
      </c>
      <c r="E336" s="101"/>
      <c r="F336" s="100"/>
      <c r="G336" s="100"/>
      <c r="H336" s="100"/>
      <c r="I336" s="100"/>
      <c r="J336" s="100"/>
      <c r="K336" s="100"/>
      <c r="L336" s="100"/>
      <c r="M336" s="100"/>
      <c r="N336" s="100"/>
      <c r="O336" s="100"/>
      <c r="P336" s="63"/>
    </row>
    <row r="337" spans="2:16" s="64" customFormat="1" ht="12.75" customHeight="1">
      <c r="C337" s="64" t="s">
        <v>76</v>
      </c>
      <c r="D337" s="101" t="s">
        <v>422</v>
      </c>
      <c r="F337" s="101"/>
      <c r="G337" s="101"/>
      <c r="H337" s="101"/>
      <c r="I337" s="101"/>
      <c r="J337" s="101"/>
      <c r="K337" s="101"/>
      <c r="L337" s="101"/>
      <c r="M337" s="101"/>
      <c r="N337" s="101"/>
      <c r="O337" s="101"/>
      <c r="P337" s="63"/>
    </row>
    <row r="338" spans="2:16" s="64" customFormat="1">
      <c r="C338" s="101" t="s">
        <v>77</v>
      </c>
      <c r="D338" s="101" t="s">
        <v>424</v>
      </c>
      <c r="F338" s="101"/>
      <c r="G338" s="101"/>
      <c r="H338" s="101"/>
      <c r="I338" s="101"/>
      <c r="J338" s="101"/>
      <c r="K338" s="101"/>
      <c r="L338" s="101"/>
      <c r="M338" s="101"/>
      <c r="N338" s="101"/>
      <c r="O338" s="101"/>
    </row>
    <row r="339" spans="2:16" s="64" customFormat="1" ht="12.75" customHeight="1">
      <c r="C339" s="671" t="s">
        <v>451</v>
      </c>
      <c r="D339" s="671"/>
      <c r="E339" s="671"/>
      <c r="F339" s="671"/>
      <c r="G339" s="671"/>
      <c r="H339" s="671"/>
      <c r="I339" s="671"/>
      <c r="J339" s="671"/>
      <c r="K339" s="671"/>
      <c r="L339" s="671"/>
      <c r="M339" s="671"/>
      <c r="N339" s="671"/>
      <c r="O339" s="671"/>
    </row>
    <row r="340" spans="2:16" s="101" customFormat="1">
      <c r="C340" s="671"/>
      <c r="D340" s="671"/>
      <c r="E340" s="671"/>
      <c r="F340" s="671"/>
      <c r="G340" s="671"/>
      <c r="H340" s="671"/>
      <c r="I340" s="671"/>
      <c r="J340" s="671"/>
      <c r="K340" s="671"/>
      <c r="L340" s="671"/>
      <c r="M340" s="671"/>
      <c r="N340" s="671"/>
      <c r="O340" s="671"/>
    </row>
    <row r="341" spans="2:16" s="101" customFormat="1">
      <c r="F341" s="100"/>
      <c r="G341" s="100"/>
      <c r="H341" s="100"/>
      <c r="I341" s="100"/>
      <c r="J341" s="100"/>
      <c r="K341" s="100"/>
      <c r="L341" s="100"/>
      <c r="M341" s="100"/>
      <c r="N341" s="100"/>
      <c r="O341" s="100"/>
    </row>
    <row r="342" spans="2:16" s="64" customFormat="1">
      <c r="B342" s="32" t="s">
        <v>425</v>
      </c>
      <c r="C342" s="32"/>
      <c r="D342" s="32"/>
      <c r="E342" s="32"/>
      <c r="F342" s="32"/>
      <c r="G342" s="32"/>
      <c r="H342" s="32"/>
      <c r="I342" s="32"/>
      <c r="J342" s="32"/>
      <c r="K342" s="32"/>
      <c r="L342" s="32"/>
      <c r="M342" s="32"/>
      <c r="N342" s="32"/>
      <c r="O342" s="32"/>
    </row>
    <row r="343" spans="2:16" s="64" customFormat="1">
      <c r="B343" s="33" t="s">
        <v>836</v>
      </c>
      <c r="C343" s="32"/>
      <c r="D343" s="32"/>
      <c r="E343" s="32"/>
      <c r="F343" s="32"/>
      <c r="G343" s="32"/>
      <c r="H343" s="32"/>
      <c r="I343" s="32"/>
      <c r="J343" s="32"/>
      <c r="K343" s="32"/>
      <c r="L343" s="32"/>
      <c r="M343" s="32"/>
      <c r="N343" s="32"/>
      <c r="O343" s="32"/>
    </row>
    <row r="344" spans="2:16" s="64" customFormat="1">
      <c r="B344" s="32" t="s">
        <v>82</v>
      </c>
      <c r="C344" s="32"/>
      <c r="D344" s="32"/>
      <c r="E344" s="32"/>
      <c r="F344" s="32"/>
      <c r="G344" s="32"/>
      <c r="H344" s="32"/>
      <c r="I344" s="32"/>
      <c r="J344" s="32"/>
      <c r="K344" s="32"/>
      <c r="L344" s="32"/>
      <c r="M344" s="32"/>
      <c r="N344" s="32"/>
      <c r="O344" s="32"/>
    </row>
    <row r="345" spans="2:16" s="64" customFormat="1"/>
    <row r="346" spans="2:16" s="64" customFormat="1" ht="15.75">
      <c r="B346" s="688" t="s">
        <v>83</v>
      </c>
      <c r="C346" s="688"/>
      <c r="D346" s="688"/>
      <c r="E346" s="688"/>
      <c r="F346" s="688"/>
      <c r="G346" s="688"/>
      <c r="H346" s="688"/>
      <c r="I346" s="688"/>
      <c r="J346" s="688"/>
      <c r="K346" s="688"/>
      <c r="L346" s="688"/>
      <c r="M346" s="688"/>
      <c r="N346" s="688"/>
      <c r="O346" s="688"/>
    </row>
    <row r="347" spans="2:16" s="64" customFormat="1"/>
    <row r="348" spans="2:16" s="64" customFormat="1">
      <c r="B348" s="714" t="s">
        <v>92</v>
      </c>
      <c r="C348" s="714"/>
      <c r="D348" s="749" t="s">
        <v>69</v>
      </c>
      <c r="E348" s="749"/>
      <c r="F348" s="749"/>
      <c r="G348" s="200" t="s">
        <v>5</v>
      </c>
      <c r="H348" s="714" t="s">
        <v>84</v>
      </c>
      <c r="I348" s="714"/>
      <c r="J348" s="714"/>
      <c r="K348" s="714"/>
      <c r="L348" s="714"/>
      <c r="M348" s="714"/>
      <c r="N348" s="714"/>
      <c r="O348" s="714"/>
    </row>
    <row r="349" spans="2:16" s="64" customFormat="1" ht="12.75" customHeight="1">
      <c r="B349" s="656">
        <v>1.04</v>
      </c>
      <c r="C349" s="657"/>
      <c r="D349" s="643">
        <v>39260</v>
      </c>
      <c r="E349" s="644"/>
      <c r="F349" s="645"/>
      <c r="G349" s="662" t="s">
        <v>85</v>
      </c>
      <c r="H349" s="639" t="s">
        <v>57</v>
      </c>
      <c r="I349" s="639"/>
      <c r="J349" s="639"/>
      <c r="K349" s="639"/>
      <c r="L349" s="639"/>
      <c r="M349" s="639"/>
      <c r="N349" s="639"/>
      <c r="O349" s="639"/>
    </row>
    <row r="350" spans="2:16" s="64" customFormat="1">
      <c r="B350" s="658"/>
      <c r="C350" s="659"/>
      <c r="D350" s="672"/>
      <c r="E350" s="673"/>
      <c r="F350" s="674"/>
      <c r="G350" s="663"/>
      <c r="H350" s="639"/>
      <c r="I350" s="639"/>
      <c r="J350" s="639"/>
      <c r="K350" s="639"/>
      <c r="L350" s="639"/>
      <c r="M350" s="639"/>
      <c r="N350" s="639"/>
      <c r="O350" s="639"/>
    </row>
    <row r="351" spans="2:16" s="64" customFormat="1">
      <c r="B351" s="658"/>
      <c r="C351" s="659"/>
      <c r="D351" s="672"/>
      <c r="E351" s="673"/>
      <c r="F351" s="674"/>
      <c r="G351" s="663"/>
      <c r="H351" s="639" t="s">
        <v>55</v>
      </c>
      <c r="I351" s="639"/>
      <c r="J351" s="639"/>
      <c r="K351" s="639"/>
      <c r="L351" s="639"/>
      <c r="M351" s="639"/>
      <c r="N351" s="639"/>
      <c r="O351" s="639"/>
    </row>
    <row r="352" spans="2:16" s="64" customFormat="1" ht="12.75" customHeight="1">
      <c r="B352" s="658"/>
      <c r="C352" s="659"/>
      <c r="D352" s="672"/>
      <c r="E352" s="673"/>
      <c r="F352" s="674"/>
      <c r="G352" s="663"/>
      <c r="H352" s="639" t="s">
        <v>52</v>
      </c>
      <c r="I352" s="639"/>
      <c r="J352" s="639"/>
      <c r="K352" s="639"/>
      <c r="L352" s="639"/>
      <c r="M352" s="639"/>
      <c r="N352" s="639"/>
      <c r="O352" s="639"/>
    </row>
    <row r="353" spans="2:15" s="64" customFormat="1">
      <c r="B353" s="658"/>
      <c r="C353" s="659"/>
      <c r="D353" s="672"/>
      <c r="E353" s="673"/>
      <c r="F353" s="674"/>
      <c r="G353" s="663"/>
      <c r="H353" s="639"/>
      <c r="I353" s="639"/>
      <c r="J353" s="639"/>
      <c r="K353" s="639"/>
      <c r="L353" s="639"/>
      <c r="M353" s="639"/>
      <c r="N353" s="639"/>
      <c r="O353" s="639"/>
    </row>
    <row r="354" spans="2:15" s="64" customFormat="1" ht="12.75" customHeight="1">
      <c r="B354" s="658"/>
      <c r="C354" s="659"/>
      <c r="D354" s="672"/>
      <c r="E354" s="673"/>
      <c r="F354" s="674"/>
      <c r="G354" s="663"/>
      <c r="H354" s="639" t="s">
        <v>53</v>
      </c>
      <c r="I354" s="639"/>
      <c r="J354" s="639"/>
      <c r="K354" s="639"/>
      <c r="L354" s="639"/>
      <c r="M354" s="639"/>
      <c r="N354" s="639"/>
      <c r="O354" s="639"/>
    </row>
    <row r="355" spans="2:15" s="64" customFormat="1" ht="12.75" customHeight="1">
      <c r="B355" s="658"/>
      <c r="C355" s="659"/>
      <c r="D355" s="672"/>
      <c r="E355" s="673"/>
      <c r="F355" s="674"/>
      <c r="G355" s="663"/>
      <c r="H355" s="639" t="s">
        <v>54</v>
      </c>
      <c r="I355" s="639"/>
      <c r="J355" s="639"/>
      <c r="K355" s="639"/>
      <c r="L355" s="639"/>
      <c r="M355" s="639"/>
      <c r="N355" s="639"/>
      <c r="O355" s="639"/>
    </row>
    <row r="356" spans="2:15" s="64" customFormat="1" ht="12.75" customHeight="1">
      <c r="B356" s="658"/>
      <c r="C356" s="659"/>
      <c r="D356" s="672"/>
      <c r="E356" s="673"/>
      <c r="F356" s="674"/>
      <c r="G356" s="663"/>
      <c r="H356" s="639" t="s">
        <v>59</v>
      </c>
      <c r="I356" s="639"/>
      <c r="J356" s="639"/>
      <c r="K356" s="639"/>
      <c r="L356" s="639"/>
      <c r="M356" s="639"/>
      <c r="N356" s="639"/>
      <c r="O356" s="639"/>
    </row>
    <row r="357" spans="2:15" s="64" customFormat="1">
      <c r="B357" s="660"/>
      <c r="C357" s="661"/>
      <c r="D357" s="636"/>
      <c r="E357" s="637"/>
      <c r="F357" s="638"/>
      <c r="G357" s="664"/>
      <c r="H357" s="639"/>
      <c r="I357" s="639"/>
      <c r="J357" s="639"/>
      <c r="K357" s="639"/>
      <c r="L357" s="639"/>
      <c r="M357" s="639"/>
      <c r="N357" s="639"/>
      <c r="O357" s="639"/>
    </row>
    <row r="358" spans="2:15" s="64" customFormat="1">
      <c r="B358" s="652">
        <v>1.05</v>
      </c>
      <c r="C358" s="652"/>
      <c r="D358" s="651">
        <v>39300</v>
      </c>
      <c r="E358" s="651"/>
      <c r="F358" s="651"/>
      <c r="G358" s="540" t="s">
        <v>85</v>
      </c>
      <c r="H358" s="639" t="s">
        <v>58</v>
      </c>
      <c r="I358" s="639"/>
      <c r="J358" s="639"/>
      <c r="K358" s="639"/>
      <c r="L358" s="639"/>
      <c r="M358" s="639"/>
      <c r="N358" s="639"/>
      <c r="O358" s="639"/>
    </row>
    <row r="359" spans="2:15" s="64" customFormat="1">
      <c r="B359" s="652">
        <v>2</v>
      </c>
      <c r="C359" s="652"/>
      <c r="D359" s="651">
        <v>39797</v>
      </c>
      <c r="E359" s="651"/>
      <c r="F359" s="651"/>
      <c r="G359" s="540" t="s">
        <v>85</v>
      </c>
      <c r="H359" s="639" t="s">
        <v>56</v>
      </c>
      <c r="I359" s="639"/>
      <c r="J359" s="639"/>
      <c r="K359" s="639"/>
      <c r="L359" s="639"/>
      <c r="M359" s="639"/>
      <c r="N359" s="639"/>
      <c r="O359" s="639"/>
    </row>
    <row r="360" spans="2:15" s="64" customFormat="1">
      <c r="B360" s="656">
        <v>2.1</v>
      </c>
      <c r="C360" s="657"/>
      <c r="D360" s="643">
        <v>41312</v>
      </c>
      <c r="E360" s="644"/>
      <c r="F360" s="645"/>
      <c r="G360" s="662" t="s">
        <v>65</v>
      </c>
      <c r="H360" s="639" t="s">
        <v>67</v>
      </c>
      <c r="I360" s="639"/>
      <c r="J360" s="639"/>
      <c r="K360" s="639"/>
      <c r="L360" s="639"/>
      <c r="M360" s="639"/>
      <c r="N360" s="639"/>
      <c r="O360" s="639"/>
    </row>
    <row r="361" spans="2:15" s="64" customFormat="1">
      <c r="B361" s="658"/>
      <c r="C361" s="659"/>
      <c r="D361" s="672"/>
      <c r="E361" s="673"/>
      <c r="F361" s="674"/>
      <c r="G361" s="663"/>
      <c r="H361" s="639"/>
      <c r="I361" s="639"/>
      <c r="J361" s="639"/>
      <c r="K361" s="639"/>
      <c r="L361" s="639"/>
      <c r="M361" s="639"/>
      <c r="N361" s="639"/>
      <c r="O361" s="639"/>
    </row>
    <row r="362" spans="2:15" s="64" customFormat="1">
      <c r="B362" s="658"/>
      <c r="C362" s="659"/>
      <c r="D362" s="672"/>
      <c r="E362" s="673"/>
      <c r="F362" s="674"/>
      <c r="G362" s="663"/>
      <c r="H362" s="639" t="s">
        <v>68</v>
      </c>
      <c r="I362" s="639"/>
      <c r="J362" s="639"/>
      <c r="K362" s="639"/>
      <c r="L362" s="639"/>
      <c r="M362" s="639"/>
      <c r="N362" s="639"/>
      <c r="O362" s="639"/>
    </row>
    <row r="363" spans="2:15" s="64" customFormat="1">
      <c r="B363" s="658"/>
      <c r="C363" s="659"/>
      <c r="D363" s="672"/>
      <c r="E363" s="673"/>
      <c r="F363" s="674"/>
      <c r="G363" s="663"/>
      <c r="H363" s="639" t="s">
        <v>87</v>
      </c>
      <c r="I363" s="639"/>
      <c r="J363" s="639"/>
      <c r="K363" s="639"/>
      <c r="L363" s="639"/>
      <c r="M363" s="639"/>
      <c r="N363" s="639"/>
      <c r="O363" s="639"/>
    </row>
    <row r="364" spans="2:15" s="64" customFormat="1">
      <c r="B364" s="658"/>
      <c r="C364" s="659"/>
      <c r="D364" s="672"/>
      <c r="E364" s="673"/>
      <c r="F364" s="674"/>
      <c r="G364" s="663"/>
      <c r="H364" s="639" t="s">
        <v>88</v>
      </c>
      <c r="I364" s="639"/>
      <c r="J364" s="639"/>
      <c r="K364" s="639"/>
      <c r="L364" s="639"/>
      <c r="M364" s="639"/>
      <c r="N364" s="639"/>
      <c r="O364" s="639"/>
    </row>
    <row r="365" spans="2:15" s="64" customFormat="1">
      <c r="B365" s="658"/>
      <c r="C365" s="659"/>
      <c r="D365" s="672"/>
      <c r="E365" s="673"/>
      <c r="F365" s="674"/>
      <c r="G365" s="663"/>
      <c r="H365" s="639" t="s">
        <v>89</v>
      </c>
      <c r="I365" s="639"/>
      <c r="J365" s="639"/>
      <c r="K365" s="639"/>
      <c r="L365" s="639"/>
      <c r="M365" s="639"/>
      <c r="N365" s="639"/>
      <c r="O365" s="639"/>
    </row>
    <row r="366" spans="2:15" s="64" customFormat="1">
      <c r="B366" s="658"/>
      <c r="C366" s="659"/>
      <c r="D366" s="672"/>
      <c r="E366" s="673"/>
      <c r="F366" s="674"/>
      <c r="G366" s="663"/>
      <c r="H366" s="639" t="s">
        <v>90</v>
      </c>
      <c r="I366" s="639"/>
      <c r="J366" s="639"/>
      <c r="K366" s="639"/>
      <c r="L366" s="639"/>
      <c r="M366" s="639"/>
      <c r="N366" s="639"/>
      <c r="O366" s="639"/>
    </row>
    <row r="367" spans="2:15" s="64" customFormat="1">
      <c r="B367" s="658"/>
      <c r="C367" s="659"/>
      <c r="D367" s="672"/>
      <c r="E367" s="673"/>
      <c r="F367" s="674"/>
      <c r="G367" s="663"/>
      <c r="H367" s="639" t="s">
        <v>91</v>
      </c>
      <c r="I367" s="639"/>
      <c r="J367" s="639"/>
      <c r="K367" s="639"/>
      <c r="L367" s="639"/>
      <c r="M367" s="639"/>
      <c r="N367" s="639"/>
      <c r="O367" s="639"/>
    </row>
    <row r="368" spans="2:15" s="64" customFormat="1">
      <c r="B368" s="660"/>
      <c r="C368" s="661"/>
      <c r="D368" s="636"/>
      <c r="E368" s="637"/>
      <c r="F368" s="638"/>
      <c r="G368" s="664"/>
      <c r="H368" s="639"/>
      <c r="I368" s="639"/>
      <c r="J368" s="639"/>
      <c r="K368" s="639"/>
      <c r="L368" s="639"/>
      <c r="M368" s="639"/>
      <c r="N368" s="639"/>
      <c r="O368" s="639"/>
    </row>
    <row r="369" spans="2:15" s="64" customFormat="1">
      <c r="B369" s="656">
        <v>2.11</v>
      </c>
      <c r="C369" s="657"/>
      <c r="D369" s="643">
        <v>41325</v>
      </c>
      <c r="E369" s="644"/>
      <c r="F369" s="645"/>
      <c r="G369" s="662" t="s">
        <v>65</v>
      </c>
      <c r="H369" s="639" t="s">
        <v>282</v>
      </c>
      <c r="I369" s="639"/>
      <c r="J369" s="639"/>
      <c r="K369" s="639"/>
      <c r="L369" s="639"/>
      <c r="M369" s="639"/>
      <c r="N369" s="639"/>
      <c r="O369" s="639"/>
    </row>
    <row r="370" spans="2:15" s="64" customFormat="1">
      <c r="B370" s="658"/>
      <c r="C370" s="659"/>
      <c r="D370" s="672"/>
      <c r="E370" s="673"/>
      <c r="F370" s="674"/>
      <c r="G370" s="663"/>
      <c r="H370" s="639"/>
      <c r="I370" s="639"/>
      <c r="J370" s="639"/>
      <c r="K370" s="639"/>
      <c r="L370" s="639"/>
      <c r="M370" s="639"/>
      <c r="N370" s="639"/>
      <c r="O370" s="639"/>
    </row>
    <row r="371" spans="2:15" s="64" customFormat="1">
      <c r="B371" s="658"/>
      <c r="C371" s="659"/>
      <c r="D371" s="672"/>
      <c r="E371" s="673"/>
      <c r="F371" s="674"/>
      <c r="G371" s="663"/>
      <c r="H371" s="639" t="s">
        <v>283</v>
      </c>
      <c r="I371" s="639"/>
      <c r="J371" s="639"/>
      <c r="K371" s="639"/>
      <c r="L371" s="639"/>
      <c r="M371" s="639"/>
      <c r="N371" s="639"/>
      <c r="O371" s="639"/>
    </row>
    <row r="372" spans="2:15" s="64" customFormat="1">
      <c r="B372" s="658"/>
      <c r="C372" s="659"/>
      <c r="D372" s="672"/>
      <c r="E372" s="673"/>
      <c r="F372" s="674"/>
      <c r="G372" s="663"/>
      <c r="H372" s="639" t="s">
        <v>280</v>
      </c>
      <c r="I372" s="639"/>
      <c r="J372" s="639"/>
      <c r="K372" s="639"/>
      <c r="L372" s="639"/>
      <c r="M372" s="639"/>
      <c r="N372" s="639"/>
      <c r="O372" s="639"/>
    </row>
    <row r="373" spans="2:15" s="64" customFormat="1">
      <c r="B373" s="658"/>
      <c r="C373" s="659"/>
      <c r="D373" s="672"/>
      <c r="E373" s="673"/>
      <c r="F373" s="674"/>
      <c r="G373" s="663"/>
      <c r="H373" s="639"/>
      <c r="I373" s="639"/>
      <c r="J373" s="639"/>
      <c r="K373" s="639"/>
      <c r="L373" s="639"/>
      <c r="M373" s="639"/>
      <c r="N373" s="639"/>
      <c r="O373" s="639"/>
    </row>
    <row r="374" spans="2:15" s="64" customFormat="1">
      <c r="B374" s="658"/>
      <c r="C374" s="659"/>
      <c r="D374" s="672"/>
      <c r="E374" s="673"/>
      <c r="F374" s="674"/>
      <c r="G374" s="663"/>
      <c r="H374" s="639" t="s">
        <v>284</v>
      </c>
      <c r="I374" s="639"/>
      <c r="J374" s="639"/>
      <c r="K374" s="639"/>
      <c r="L374" s="639"/>
      <c r="M374" s="639"/>
      <c r="N374" s="639"/>
      <c r="O374" s="639"/>
    </row>
    <row r="375" spans="2:15" s="64" customFormat="1">
      <c r="B375" s="658"/>
      <c r="C375" s="659"/>
      <c r="D375" s="672"/>
      <c r="E375" s="673"/>
      <c r="F375" s="674"/>
      <c r="G375" s="663"/>
      <c r="H375" s="639" t="s">
        <v>281</v>
      </c>
      <c r="I375" s="639"/>
      <c r="J375" s="639"/>
      <c r="K375" s="639"/>
      <c r="L375" s="639"/>
      <c r="M375" s="639"/>
      <c r="N375" s="639"/>
      <c r="O375" s="639"/>
    </row>
    <row r="376" spans="2:15" s="64" customFormat="1">
      <c r="B376" s="660"/>
      <c r="C376" s="661"/>
      <c r="D376" s="636"/>
      <c r="E376" s="637"/>
      <c r="F376" s="638"/>
      <c r="G376" s="664"/>
      <c r="H376" s="639"/>
      <c r="I376" s="639"/>
      <c r="J376" s="639"/>
      <c r="K376" s="639"/>
      <c r="L376" s="639"/>
      <c r="M376" s="639"/>
      <c r="N376" s="639"/>
      <c r="O376" s="639"/>
    </row>
    <row r="377" spans="2:15" s="64" customFormat="1">
      <c r="B377" s="650">
        <v>13.1</v>
      </c>
      <c r="C377" s="650"/>
      <c r="D377" s="651">
        <v>41556</v>
      </c>
      <c r="E377" s="651"/>
      <c r="F377" s="651"/>
      <c r="G377" s="652" t="s">
        <v>86</v>
      </c>
      <c r="H377" s="639" t="s">
        <v>133</v>
      </c>
      <c r="I377" s="639"/>
      <c r="J377" s="639"/>
      <c r="K377" s="639"/>
      <c r="L377" s="639"/>
      <c r="M377" s="639"/>
      <c r="N377" s="639"/>
      <c r="O377" s="639"/>
    </row>
    <row r="378" spans="2:15" s="64" customFormat="1">
      <c r="B378" s="650"/>
      <c r="C378" s="650"/>
      <c r="D378" s="651"/>
      <c r="E378" s="651"/>
      <c r="F378" s="651"/>
      <c r="G378" s="652"/>
      <c r="H378" s="639" t="s">
        <v>270</v>
      </c>
      <c r="I378" s="639"/>
      <c r="J378" s="639"/>
      <c r="K378" s="639"/>
      <c r="L378" s="639"/>
      <c r="M378" s="639"/>
      <c r="N378" s="639"/>
      <c r="O378" s="639"/>
    </row>
    <row r="379" spans="2:15" s="64" customFormat="1">
      <c r="B379" s="650"/>
      <c r="C379" s="650"/>
      <c r="D379" s="651"/>
      <c r="E379" s="651"/>
      <c r="F379" s="651"/>
      <c r="G379" s="652"/>
      <c r="H379" s="639" t="s">
        <v>271</v>
      </c>
      <c r="I379" s="639"/>
      <c r="J379" s="639"/>
      <c r="K379" s="639"/>
      <c r="L379" s="639"/>
      <c r="M379" s="639"/>
      <c r="N379" s="639"/>
      <c r="O379" s="639"/>
    </row>
    <row r="380" spans="2:15" s="64" customFormat="1" ht="24.95" customHeight="1">
      <c r="B380" s="650"/>
      <c r="C380" s="650"/>
      <c r="D380" s="651"/>
      <c r="E380" s="651"/>
      <c r="F380" s="651"/>
      <c r="G380" s="652"/>
      <c r="H380" s="653" t="s">
        <v>285</v>
      </c>
      <c r="I380" s="654"/>
      <c r="J380" s="654"/>
      <c r="K380" s="654"/>
      <c r="L380" s="654"/>
      <c r="M380" s="654"/>
      <c r="N380" s="654"/>
      <c r="O380" s="655"/>
    </row>
    <row r="381" spans="2:15" s="64" customFormat="1">
      <c r="B381" s="650"/>
      <c r="C381" s="650"/>
      <c r="D381" s="651"/>
      <c r="E381" s="651"/>
      <c r="F381" s="651"/>
      <c r="G381" s="652"/>
      <c r="H381" s="653" t="s">
        <v>273</v>
      </c>
      <c r="I381" s="654"/>
      <c r="J381" s="654"/>
      <c r="K381" s="654"/>
      <c r="L381" s="654"/>
      <c r="M381" s="654"/>
      <c r="N381" s="654"/>
      <c r="O381" s="655"/>
    </row>
    <row r="382" spans="2:15" s="64" customFormat="1">
      <c r="B382" s="650"/>
      <c r="C382" s="650"/>
      <c r="D382" s="651"/>
      <c r="E382" s="651"/>
      <c r="F382" s="651"/>
      <c r="G382" s="652"/>
      <c r="H382" s="653" t="s">
        <v>286</v>
      </c>
      <c r="I382" s="654"/>
      <c r="J382" s="654"/>
      <c r="K382" s="654"/>
      <c r="L382" s="654"/>
      <c r="M382" s="654"/>
      <c r="N382" s="654"/>
      <c r="O382" s="655"/>
    </row>
    <row r="383" spans="2:15" s="64" customFormat="1">
      <c r="B383" s="650"/>
      <c r="C383" s="650"/>
      <c r="D383" s="651"/>
      <c r="E383" s="651"/>
      <c r="F383" s="651"/>
      <c r="G383" s="652"/>
      <c r="H383" s="653" t="s">
        <v>274</v>
      </c>
      <c r="I383" s="654"/>
      <c r="J383" s="654"/>
      <c r="K383" s="654"/>
      <c r="L383" s="654"/>
      <c r="M383" s="654"/>
      <c r="N383" s="654"/>
      <c r="O383" s="655"/>
    </row>
    <row r="384" spans="2:15" s="64" customFormat="1">
      <c r="B384" s="650"/>
      <c r="C384" s="650"/>
      <c r="D384" s="651"/>
      <c r="E384" s="651"/>
      <c r="F384" s="651"/>
      <c r="G384" s="652"/>
      <c r="H384" s="653" t="s">
        <v>272</v>
      </c>
      <c r="I384" s="654"/>
      <c r="J384" s="654"/>
      <c r="K384" s="654"/>
      <c r="L384" s="654"/>
      <c r="M384" s="654"/>
      <c r="N384" s="654"/>
      <c r="O384" s="655"/>
    </row>
    <row r="385" spans="2:17" s="64" customFormat="1">
      <c r="B385" s="650"/>
      <c r="C385" s="650"/>
      <c r="D385" s="651"/>
      <c r="E385" s="651"/>
      <c r="F385" s="651"/>
      <c r="G385" s="652"/>
      <c r="H385" s="653" t="s">
        <v>275</v>
      </c>
      <c r="I385" s="654"/>
      <c r="J385" s="654"/>
      <c r="K385" s="654"/>
      <c r="L385" s="654"/>
      <c r="M385" s="654"/>
      <c r="N385" s="654"/>
      <c r="O385" s="655"/>
    </row>
    <row r="386" spans="2:17" s="64" customFormat="1">
      <c r="B386" s="652">
        <v>13.11</v>
      </c>
      <c r="C386" s="652"/>
      <c r="D386" s="651">
        <v>41579</v>
      </c>
      <c r="E386" s="651"/>
      <c r="F386" s="651"/>
      <c r="G386" s="652" t="s">
        <v>86</v>
      </c>
      <c r="H386" s="639" t="s">
        <v>287</v>
      </c>
      <c r="I386" s="639"/>
      <c r="J386" s="639"/>
      <c r="K386" s="639"/>
      <c r="L386" s="639"/>
      <c r="M386" s="639"/>
      <c r="N386" s="639"/>
      <c r="O386" s="639"/>
      <c r="Q386" s="65"/>
    </row>
    <row r="387" spans="2:17" s="64" customFormat="1" ht="24.95" customHeight="1">
      <c r="B387" s="652"/>
      <c r="C387" s="652"/>
      <c r="D387" s="651"/>
      <c r="E387" s="651"/>
      <c r="F387" s="651"/>
      <c r="G387" s="652"/>
      <c r="H387" s="639" t="s">
        <v>288</v>
      </c>
      <c r="I387" s="639"/>
      <c r="J387" s="639"/>
      <c r="K387" s="639"/>
      <c r="L387" s="639"/>
      <c r="M387" s="639"/>
      <c r="N387" s="639"/>
      <c r="O387" s="639"/>
    </row>
    <row r="388" spans="2:17" s="64" customFormat="1">
      <c r="B388" s="652"/>
      <c r="C388" s="652"/>
      <c r="D388" s="651"/>
      <c r="E388" s="651"/>
      <c r="F388" s="651"/>
      <c r="G388" s="652"/>
      <c r="H388" s="653" t="s">
        <v>291</v>
      </c>
      <c r="I388" s="654"/>
      <c r="J388" s="654"/>
      <c r="K388" s="654"/>
      <c r="L388" s="654"/>
      <c r="M388" s="654"/>
      <c r="N388" s="654"/>
      <c r="O388" s="655"/>
    </row>
    <row r="389" spans="2:17" s="79" customFormat="1">
      <c r="B389" s="652">
        <v>14.02</v>
      </c>
      <c r="C389" s="652"/>
      <c r="D389" s="651">
        <v>41675</v>
      </c>
      <c r="E389" s="651"/>
      <c r="F389" s="651"/>
      <c r="G389" s="652" t="s">
        <v>86</v>
      </c>
      <c r="H389" s="639" t="s">
        <v>408</v>
      </c>
      <c r="I389" s="639"/>
      <c r="J389" s="639"/>
      <c r="K389" s="639"/>
      <c r="L389" s="639"/>
      <c r="M389" s="639"/>
      <c r="N389" s="639"/>
      <c r="O389" s="639"/>
    </row>
    <row r="390" spans="2:17" s="79" customFormat="1">
      <c r="B390" s="652"/>
      <c r="C390" s="652"/>
      <c r="D390" s="651"/>
      <c r="E390" s="651"/>
      <c r="F390" s="651"/>
      <c r="G390" s="652"/>
      <c r="H390" s="639" t="s">
        <v>520</v>
      </c>
      <c r="I390" s="639"/>
      <c r="J390" s="639"/>
      <c r="K390" s="639"/>
      <c r="L390" s="639"/>
      <c r="M390" s="639"/>
      <c r="N390" s="639"/>
      <c r="O390" s="639"/>
    </row>
    <row r="391" spans="2:17" s="79" customFormat="1" ht="12.75" customHeight="1">
      <c r="B391" s="652"/>
      <c r="C391" s="652"/>
      <c r="D391" s="651"/>
      <c r="E391" s="651"/>
      <c r="F391" s="651"/>
      <c r="G391" s="652"/>
      <c r="H391" s="665" t="s">
        <v>521</v>
      </c>
      <c r="I391" s="666"/>
      <c r="J391" s="666"/>
      <c r="K391" s="666"/>
      <c r="L391" s="666"/>
      <c r="M391" s="666"/>
      <c r="N391" s="666"/>
      <c r="O391" s="667"/>
    </row>
    <row r="392" spans="2:17" s="79" customFormat="1">
      <c r="B392" s="652"/>
      <c r="C392" s="652"/>
      <c r="D392" s="651"/>
      <c r="E392" s="651"/>
      <c r="F392" s="651"/>
      <c r="G392" s="652"/>
      <c r="H392" s="653" t="s">
        <v>409</v>
      </c>
      <c r="I392" s="654"/>
      <c r="J392" s="654"/>
      <c r="K392" s="654"/>
      <c r="L392" s="654"/>
      <c r="M392" s="654"/>
      <c r="N392" s="654"/>
      <c r="O392" s="655"/>
    </row>
    <row r="393" spans="2:17" s="79" customFormat="1">
      <c r="B393" s="652"/>
      <c r="C393" s="652"/>
      <c r="D393" s="651"/>
      <c r="E393" s="651"/>
      <c r="F393" s="651"/>
      <c r="G393" s="652"/>
      <c r="H393" s="653" t="s">
        <v>410</v>
      </c>
      <c r="I393" s="654"/>
      <c r="J393" s="654"/>
      <c r="K393" s="654"/>
      <c r="L393" s="654"/>
      <c r="M393" s="654"/>
      <c r="N393" s="654"/>
      <c r="O393" s="655"/>
    </row>
    <row r="394" spans="2:17" s="118" customFormat="1">
      <c r="B394" s="652"/>
      <c r="C394" s="652"/>
      <c r="D394" s="651"/>
      <c r="E394" s="651"/>
      <c r="F394" s="651"/>
      <c r="G394" s="652"/>
      <c r="H394" s="653" t="s">
        <v>579</v>
      </c>
      <c r="I394" s="654"/>
      <c r="J394" s="654"/>
      <c r="K394" s="654"/>
      <c r="L394" s="654"/>
      <c r="M394" s="654"/>
      <c r="N394" s="654"/>
      <c r="O394" s="655"/>
    </row>
    <row r="395" spans="2:17" s="118" customFormat="1" ht="12.75" customHeight="1">
      <c r="B395" s="652"/>
      <c r="C395" s="652"/>
      <c r="D395" s="651"/>
      <c r="E395" s="651"/>
      <c r="F395" s="651"/>
      <c r="G395" s="652"/>
      <c r="H395" s="665" t="s">
        <v>580</v>
      </c>
      <c r="I395" s="666"/>
      <c r="J395" s="666"/>
      <c r="K395" s="666"/>
      <c r="L395" s="666"/>
      <c r="M395" s="666"/>
      <c r="N395" s="666"/>
      <c r="O395" s="667"/>
    </row>
    <row r="396" spans="2:17" s="118" customFormat="1">
      <c r="B396" s="652"/>
      <c r="C396" s="652"/>
      <c r="D396" s="651"/>
      <c r="E396" s="651"/>
      <c r="F396" s="651"/>
      <c r="G396" s="652"/>
      <c r="H396" s="668"/>
      <c r="I396" s="669"/>
      <c r="J396" s="669"/>
      <c r="K396" s="669"/>
      <c r="L396" s="669"/>
      <c r="M396" s="669"/>
      <c r="N396" s="669"/>
      <c r="O396" s="670"/>
    </row>
    <row r="397" spans="2:17" s="118" customFormat="1">
      <c r="B397" s="652"/>
      <c r="C397" s="652"/>
      <c r="D397" s="651"/>
      <c r="E397" s="651"/>
      <c r="F397" s="651"/>
      <c r="G397" s="652"/>
      <c r="H397" s="653" t="s">
        <v>658</v>
      </c>
      <c r="I397" s="654"/>
      <c r="J397" s="654"/>
      <c r="K397" s="654"/>
      <c r="L397" s="654"/>
      <c r="M397" s="654"/>
      <c r="N397" s="654"/>
      <c r="O397" s="655"/>
    </row>
    <row r="398" spans="2:17" s="79" customFormat="1">
      <c r="B398" s="652"/>
      <c r="C398" s="652"/>
      <c r="D398" s="651"/>
      <c r="E398" s="651"/>
      <c r="F398" s="651"/>
      <c r="G398" s="652"/>
      <c r="H398" s="653" t="s">
        <v>411</v>
      </c>
      <c r="I398" s="654"/>
      <c r="J398" s="654"/>
      <c r="K398" s="654"/>
      <c r="L398" s="654"/>
      <c r="M398" s="654"/>
      <c r="N398" s="654"/>
      <c r="O398" s="655"/>
    </row>
    <row r="399" spans="2:17" s="79" customFormat="1">
      <c r="B399" s="652">
        <v>14.04</v>
      </c>
      <c r="C399" s="652"/>
      <c r="D399" s="651">
        <v>41730</v>
      </c>
      <c r="E399" s="651"/>
      <c r="F399" s="651"/>
      <c r="G399" s="652" t="s">
        <v>86</v>
      </c>
      <c r="H399" s="639" t="s">
        <v>676</v>
      </c>
      <c r="I399" s="639"/>
      <c r="J399" s="639"/>
      <c r="K399" s="639"/>
      <c r="L399" s="639"/>
      <c r="M399" s="639"/>
      <c r="N399" s="639"/>
      <c r="O399" s="639"/>
    </row>
    <row r="400" spans="2:17" s="64" customFormat="1">
      <c r="B400" s="652"/>
      <c r="C400" s="652"/>
      <c r="D400" s="651"/>
      <c r="E400" s="651"/>
      <c r="F400" s="651"/>
      <c r="G400" s="652"/>
      <c r="H400" s="639" t="s">
        <v>696</v>
      </c>
      <c r="I400" s="639"/>
      <c r="J400" s="639"/>
      <c r="K400" s="639"/>
      <c r="L400" s="639"/>
      <c r="M400" s="639"/>
      <c r="N400" s="639"/>
      <c r="O400" s="639"/>
    </row>
    <row r="401" spans="2:15" s="64" customFormat="1">
      <c r="B401" s="652"/>
      <c r="C401" s="652"/>
      <c r="D401" s="651"/>
      <c r="E401" s="651"/>
      <c r="F401" s="651"/>
      <c r="G401" s="652"/>
      <c r="H401" s="665" t="s">
        <v>697</v>
      </c>
      <c r="I401" s="666"/>
      <c r="J401" s="666"/>
      <c r="K401" s="666"/>
      <c r="L401" s="666"/>
      <c r="M401" s="666"/>
      <c r="N401" s="666"/>
      <c r="O401" s="667"/>
    </row>
    <row r="402" spans="2:15" s="64" customFormat="1">
      <c r="B402" s="652"/>
      <c r="C402" s="652"/>
      <c r="D402" s="651"/>
      <c r="E402" s="651"/>
      <c r="F402" s="651"/>
      <c r="G402" s="652"/>
      <c r="H402" s="665" t="s">
        <v>698</v>
      </c>
      <c r="I402" s="666"/>
      <c r="J402" s="666"/>
      <c r="K402" s="666"/>
      <c r="L402" s="666"/>
      <c r="M402" s="666"/>
      <c r="N402" s="666"/>
      <c r="O402" s="667"/>
    </row>
    <row r="403" spans="2:15" s="118" customFormat="1">
      <c r="B403" s="652"/>
      <c r="C403" s="652"/>
      <c r="D403" s="651"/>
      <c r="E403" s="651"/>
      <c r="F403" s="651"/>
      <c r="G403" s="652"/>
      <c r="H403" s="668"/>
      <c r="I403" s="669"/>
      <c r="J403" s="669"/>
      <c r="K403" s="669"/>
      <c r="L403" s="669"/>
      <c r="M403" s="669"/>
      <c r="N403" s="669"/>
      <c r="O403" s="670"/>
    </row>
    <row r="404" spans="2:15" s="64" customFormat="1">
      <c r="B404" s="652"/>
      <c r="C404" s="652"/>
      <c r="D404" s="651"/>
      <c r="E404" s="651"/>
      <c r="F404" s="651"/>
      <c r="G404" s="652"/>
      <c r="H404" s="653" t="s">
        <v>699</v>
      </c>
      <c r="I404" s="654"/>
      <c r="J404" s="654"/>
      <c r="K404" s="654"/>
      <c r="L404" s="654"/>
      <c r="M404" s="654"/>
      <c r="N404" s="654"/>
      <c r="O404" s="655"/>
    </row>
    <row r="405" spans="2:15" s="64" customFormat="1">
      <c r="B405" s="652">
        <v>14.05</v>
      </c>
      <c r="C405" s="652"/>
      <c r="D405" s="651">
        <v>41785</v>
      </c>
      <c r="E405" s="651"/>
      <c r="F405" s="651"/>
      <c r="G405" s="204" t="s">
        <v>86</v>
      </c>
      <c r="H405" s="639" t="s">
        <v>716</v>
      </c>
      <c r="I405" s="639"/>
      <c r="J405" s="639"/>
      <c r="K405" s="639"/>
      <c r="L405" s="639"/>
      <c r="M405" s="639"/>
      <c r="N405" s="639"/>
      <c r="O405" s="639"/>
    </row>
    <row r="406" spans="2:15" s="64" customFormat="1">
      <c r="B406" s="652">
        <v>14.08</v>
      </c>
      <c r="C406" s="652"/>
      <c r="D406" s="651">
        <v>41863</v>
      </c>
      <c r="E406" s="651"/>
      <c r="F406" s="651"/>
      <c r="G406" s="652" t="s">
        <v>86</v>
      </c>
      <c r="H406" s="665" t="s">
        <v>766</v>
      </c>
      <c r="I406" s="666"/>
      <c r="J406" s="666"/>
      <c r="K406" s="666"/>
      <c r="L406" s="666"/>
      <c r="M406" s="666"/>
      <c r="N406" s="666"/>
      <c r="O406" s="667"/>
    </row>
    <row r="407" spans="2:15" s="64" customFormat="1">
      <c r="B407" s="652"/>
      <c r="C407" s="652"/>
      <c r="D407" s="651"/>
      <c r="E407" s="651"/>
      <c r="F407" s="651"/>
      <c r="G407" s="652"/>
      <c r="H407" s="668"/>
      <c r="I407" s="669"/>
      <c r="J407" s="669"/>
      <c r="K407" s="669"/>
      <c r="L407" s="669"/>
      <c r="M407" s="669"/>
      <c r="N407" s="669"/>
      <c r="O407" s="670"/>
    </row>
    <row r="408" spans="2:15" s="64" customFormat="1">
      <c r="B408" s="652"/>
      <c r="C408" s="652"/>
      <c r="D408" s="651"/>
      <c r="E408" s="651"/>
      <c r="F408" s="651"/>
      <c r="G408" s="652"/>
      <c r="H408" s="665" t="s">
        <v>767</v>
      </c>
      <c r="I408" s="666"/>
      <c r="J408" s="666"/>
      <c r="K408" s="666"/>
      <c r="L408" s="666"/>
      <c r="M408" s="666"/>
      <c r="N408" s="666"/>
      <c r="O408" s="667"/>
    </row>
    <row r="409" spans="2:15" s="64" customFormat="1">
      <c r="B409" s="652"/>
      <c r="C409" s="652"/>
      <c r="D409" s="651"/>
      <c r="E409" s="651"/>
      <c r="F409" s="651"/>
      <c r="G409" s="652"/>
      <c r="H409" s="668"/>
      <c r="I409" s="669"/>
      <c r="J409" s="669"/>
      <c r="K409" s="669"/>
      <c r="L409" s="669"/>
      <c r="M409" s="669"/>
      <c r="N409" s="669"/>
      <c r="O409" s="670"/>
    </row>
    <row r="410" spans="2:15" s="390" customFormat="1">
      <c r="B410" s="652"/>
      <c r="C410" s="652"/>
      <c r="D410" s="651"/>
      <c r="E410" s="651"/>
      <c r="F410" s="651"/>
      <c r="G410" s="652"/>
      <c r="H410" s="665" t="s">
        <v>768</v>
      </c>
      <c r="I410" s="666"/>
      <c r="J410" s="666"/>
      <c r="K410" s="666"/>
      <c r="L410" s="666"/>
      <c r="M410" s="666"/>
      <c r="N410" s="666"/>
      <c r="O410" s="667"/>
    </row>
    <row r="411" spans="2:15" s="390" customFormat="1">
      <c r="B411" s="652"/>
      <c r="C411" s="652"/>
      <c r="D411" s="651"/>
      <c r="E411" s="651"/>
      <c r="F411" s="651"/>
      <c r="G411" s="652"/>
      <c r="H411" s="665" t="s">
        <v>758</v>
      </c>
      <c r="I411" s="666"/>
      <c r="J411" s="666"/>
      <c r="K411" s="666"/>
      <c r="L411" s="666"/>
      <c r="M411" s="666"/>
      <c r="N411" s="666"/>
      <c r="O411" s="667"/>
    </row>
    <row r="412" spans="2:15" s="390" customFormat="1">
      <c r="B412" s="652"/>
      <c r="C412" s="652"/>
      <c r="D412" s="651"/>
      <c r="E412" s="651"/>
      <c r="F412" s="651"/>
      <c r="G412" s="652"/>
      <c r="H412" s="668"/>
      <c r="I412" s="669"/>
      <c r="J412" s="669"/>
      <c r="K412" s="669"/>
      <c r="L412" s="669"/>
      <c r="M412" s="669"/>
      <c r="N412" s="669"/>
      <c r="O412" s="670"/>
    </row>
    <row r="413" spans="2:15" s="390" customFormat="1">
      <c r="B413" s="652"/>
      <c r="C413" s="652"/>
      <c r="D413" s="651"/>
      <c r="E413" s="651"/>
      <c r="F413" s="651"/>
      <c r="G413" s="652"/>
      <c r="H413" s="653" t="s">
        <v>780</v>
      </c>
      <c r="I413" s="654"/>
      <c r="J413" s="654"/>
      <c r="K413" s="654"/>
      <c r="L413" s="654"/>
      <c r="M413" s="654"/>
      <c r="N413" s="654"/>
      <c r="O413" s="655"/>
    </row>
    <row r="414" spans="2:15" s="533" customFormat="1">
      <c r="B414" s="652"/>
      <c r="C414" s="652"/>
      <c r="D414" s="651"/>
      <c r="E414" s="651"/>
      <c r="F414" s="651"/>
      <c r="G414" s="652"/>
      <c r="H414" s="653" t="s">
        <v>769</v>
      </c>
      <c r="I414" s="654"/>
      <c r="J414" s="654"/>
      <c r="K414" s="654"/>
      <c r="L414" s="654"/>
      <c r="M414" s="654"/>
      <c r="N414" s="654"/>
      <c r="O414" s="655"/>
    </row>
    <row r="415" spans="2:15" s="390" customFormat="1" ht="12.75" customHeight="1">
      <c r="B415" s="652"/>
      <c r="C415" s="652"/>
      <c r="D415" s="651"/>
      <c r="E415" s="651"/>
      <c r="F415" s="651"/>
      <c r="G415" s="652"/>
      <c r="H415" s="653" t="s">
        <v>781</v>
      </c>
      <c r="I415" s="654"/>
      <c r="J415" s="654"/>
      <c r="K415" s="654"/>
      <c r="L415" s="654"/>
      <c r="M415" s="654"/>
      <c r="N415" s="654"/>
      <c r="O415" s="655"/>
    </row>
    <row r="416" spans="2:15" s="64" customFormat="1">
      <c r="B416" s="650">
        <v>14.1</v>
      </c>
      <c r="C416" s="650"/>
      <c r="D416" s="651">
        <v>41915</v>
      </c>
      <c r="E416" s="651"/>
      <c r="F416" s="651"/>
      <c r="G416" s="204" t="s">
        <v>86</v>
      </c>
      <c r="H416" s="639" t="s">
        <v>796</v>
      </c>
      <c r="I416" s="639"/>
      <c r="J416" s="639"/>
      <c r="K416" s="639"/>
      <c r="L416" s="639"/>
      <c r="M416" s="639"/>
      <c r="N416" s="639"/>
      <c r="O416" s="639"/>
    </row>
    <row r="417" spans="2:15" s="64" customFormat="1">
      <c r="B417" s="646">
        <v>14.11</v>
      </c>
      <c r="C417" s="646"/>
      <c r="D417" s="643">
        <v>41944</v>
      </c>
      <c r="E417" s="644"/>
      <c r="F417" s="645"/>
      <c r="G417" s="640" t="s">
        <v>86</v>
      </c>
      <c r="H417" s="639" t="s">
        <v>800</v>
      </c>
      <c r="I417" s="639"/>
      <c r="J417" s="639"/>
      <c r="K417" s="639"/>
      <c r="L417" s="639"/>
      <c r="M417" s="639"/>
      <c r="N417" s="639"/>
      <c r="O417" s="639"/>
    </row>
    <row r="418" spans="2:15" s="545" customFormat="1">
      <c r="B418" s="647"/>
      <c r="C418" s="647"/>
      <c r="D418" s="636"/>
      <c r="E418" s="637"/>
      <c r="F418" s="638"/>
      <c r="G418" s="641"/>
      <c r="H418" s="639" t="s">
        <v>816</v>
      </c>
      <c r="I418" s="639"/>
      <c r="J418" s="639"/>
      <c r="K418" s="639"/>
      <c r="L418" s="639"/>
      <c r="M418" s="639"/>
      <c r="N418" s="639"/>
      <c r="O418" s="639"/>
    </row>
    <row r="419" spans="2:15" s="64" customFormat="1" ht="24.95" customHeight="1">
      <c r="B419" s="648"/>
      <c r="C419" s="648"/>
      <c r="D419" s="636">
        <v>41954</v>
      </c>
      <c r="E419" s="637"/>
      <c r="F419" s="638"/>
      <c r="G419" s="642"/>
      <c r="H419" s="639" t="s">
        <v>817</v>
      </c>
      <c r="I419" s="639"/>
      <c r="J419" s="639"/>
      <c r="K419" s="639"/>
      <c r="L419" s="639"/>
      <c r="M419" s="639"/>
      <c r="N419" s="639"/>
      <c r="O419" s="639"/>
    </row>
    <row r="420" spans="2:15" s="64" customFormat="1">
      <c r="B420" s="652">
        <v>15.03</v>
      </c>
      <c r="C420" s="652"/>
      <c r="D420" s="651">
        <v>42094</v>
      </c>
      <c r="E420" s="651"/>
      <c r="F420" s="651"/>
      <c r="G420" s="652" t="s">
        <v>86</v>
      </c>
      <c r="H420" s="639" t="s">
        <v>818</v>
      </c>
      <c r="I420" s="639"/>
      <c r="J420" s="639"/>
      <c r="K420" s="639"/>
      <c r="L420" s="639"/>
      <c r="M420" s="639"/>
      <c r="N420" s="639"/>
      <c r="O420" s="639"/>
    </row>
    <row r="421" spans="2:15" s="64" customFormat="1">
      <c r="B421" s="652"/>
      <c r="C421" s="652"/>
      <c r="D421" s="651"/>
      <c r="E421" s="651"/>
      <c r="F421" s="651"/>
      <c r="G421" s="652"/>
      <c r="H421" s="639" t="s">
        <v>828</v>
      </c>
      <c r="I421" s="639"/>
      <c r="J421" s="639"/>
      <c r="K421" s="639"/>
      <c r="L421" s="639"/>
      <c r="M421" s="639"/>
      <c r="N421" s="639"/>
      <c r="O421" s="639"/>
    </row>
    <row r="422" spans="2:15" s="548" customFormat="1">
      <c r="B422" s="652"/>
      <c r="C422" s="652"/>
      <c r="D422" s="651"/>
      <c r="E422" s="651"/>
      <c r="F422" s="651"/>
      <c r="G422" s="652"/>
      <c r="H422" s="653" t="s">
        <v>837</v>
      </c>
      <c r="I422" s="654"/>
      <c r="J422" s="654"/>
      <c r="K422" s="654"/>
      <c r="L422" s="654"/>
      <c r="M422" s="654"/>
      <c r="N422" s="654"/>
      <c r="O422" s="655"/>
    </row>
    <row r="423" spans="2:15" s="64" customFormat="1" ht="12.75" customHeight="1">
      <c r="B423" s="652"/>
      <c r="C423" s="652"/>
      <c r="D423" s="651"/>
      <c r="E423" s="651"/>
      <c r="F423" s="651"/>
      <c r="G423" s="652"/>
      <c r="H423" s="653" t="s">
        <v>826</v>
      </c>
      <c r="I423" s="654"/>
      <c r="J423" s="654"/>
      <c r="K423" s="654"/>
      <c r="L423" s="654"/>
      <c r="M423" s="654"/>
      <c r="N423" s="654"/>
      <c r="O423" s="655"/>
    </row>
    <row r="424" spans="2:15" s="64" customFormat="1">
      <c r="B424" s="652">
        <v>15.06</v>
      </c>
      <c r="C424" s="652"/>
      <c r="D424" s="651">
        <v>42156</v>
      </c>
      <c r="E424" s="651"/>
      <c r="F424" s="651"/>
      <c r="G424" s="652" t="s">
        <v>86</v>
      </c>
      <c r="H424" s="639" t="s">
        <v>857</v>
      </c>
      <c r="I424" s="639"/>
      <c r="J424" s="639"/>
      <c r="K424" s="639"/>
      <c r="L424" s="639"/>
      <c r="M424" s="639"/>
      <c r="N424" s="639"/>
      <c r="O424" s="639"/>
    </row>
    <row r="425" spans="2:15" s="64" customFormat="1">
      <c r="B425" s="652"/>
      <c r="C425" s="652"/>
      <c r="D425" s="651"/>
      <c r="E425" s="651"/>
      <c r="F425" s="651"/>
      <c r="G425" s="652"/>
      <c r="H425" s="639" t="s">
        <v>843</v>
      </c>
      <c r="I425" s="639"/>
      <c r="J425" s="639"/>
      <c r="K425" s="639"/>
      <c r="L425" s="639"/>
      <c r="M425" s="639"/>
      <c r="N425" s="639"/>
      <c r="O425" s="639"/>
    </row>
    <row r="426" spans="2:15" s="598" customFormat="1">
      <c r="B426" s="652"/>
      <c r="C426" s="652"/>
      <c r="D426" s="651"/>
      <c r="E426" s="651"/>
      <c r="F426" s="651"/>
      <c r="G426" s="652"/>
      <c r="H426" s="665" t="s">
        <v>858</v>
      </c>
      <c r="I426" s="666"/>
      <c r="J426" s="666"/>
      <c r="K426" s="666"/>
      <c r="L426" s="666"/>
      <c r="M426" s="666"/>
      <c r="N426" s="666"/>
      <c r="O426" s="667"/>
    </row>
    <row r="427" spans="2:15" s="598" customFormat="1">
      <c r="B427" s="652"/>
      <c r="C427" s="652"/>
      <c r="D427" s="651"/>
      <c r="E427" s="651"/>
      <c r="F427" s="651"/>
      <c r="G427" s="652"/>
      <c r="H427" s="668"/>
      <c r="I427" s="669"/>
      <c r="J427" s="669"/>
      <c r="K427" s="669"/>
      <c r="L427" s="669"/>
      <c r="M427" s="669"/>
      <c r="N427" s="669"/>
      <c r="O427" s="670"/>
    </row>
    <row r="428" spans="2:15" s="598" customFormat="1">
      <c r="B428" s="652"/>
      <c r="C428" s="652"/>
      <c r="D428" s="651"/>
      <c r="E428" s="651"/>
      <c r="F428" s="651"/>
      <c r="G428" s="652"/>
      <c r="H428" s="750" t="s">
        <v>859</v>
      </c>
      <c r="I428" s="639"/>
      <c r="J428" s="639"/>
      <c r="K428" s="639"/>
      <c r="L428" s="639"/>
      <c r="M428" s="639"/>
      <c r="N428" s="639"/>
      <c r="O428" s="639"/>
    </row>
    <row r="429" spans="2:15" s="64" customFormat="1" ht="12.75" customHeight="1">
      <c r="B429" s="652"/>
      <c r="C429" s="652"/>
      <c r="D429" s="651"/>
      <c r="E429" s="651"/>
      <c r="F429" s="651"/>
      <c r="G429" s="652"/>
      <c r="H429" s="639" t="s">
        <v>855</v>
      </c>
      <c r="I429" s="639"/>
      <c r="J429" s="639"/>
      <c r="K429" s="639"/>
      <c r="L429" s="639"/>
      <c r="M429" s="639"/>
      <c r="N429" s="639"/>
      <c r="O429" s="639"/>
    </row>
    <row r="430" spans="2:15" s="64" customFormat="1"/>
    <row r="431" spans="2:15" s="64" customFormat="1"/>
    <row r="432" spans="2:15" s="64" customFormat="1"/>
    <row r="433" s="64" customFormat="1"/>
    <row r="434" s="64" customFormat="1"/>
    <row r="435" s="64" customFormat="1"/>
    <row r="436" s="64" customFormat="1"/>
    <row r="437" s="64" customFormat="1"/>
    <row r="438" s="64" customFormat="1"/>
    <row r="439" s="64" customFormat="1"/>
    <row r="440" s="64" customFormat="1"/>
    <row r="441" s="64" customFormat="1"/>
    <row r="442" s="64" customFormat="1"/>
    <row r="443" s="64" customFormat="1"/>
    <row r="444" s="64" customFormat="1"/>
    <row r="445" s="64" customFormat="1"/>
    <row r="446" s="64" customFormat="1"/>
    <row r="447" s="64" customFormat="1"/>
    <row r="448" s="64" customFormat="1"/>
    <row r="449" s="64" customFormat="1"/>
    <row r="450" s="64" customFormat="1"/>
    <row r="451" s="64" customFormat="1"/>
    <row r="452" s="64" customFormat="1"/>
    <row r="453" s="64" customFormat="1"/>
    <row r="454" s="64" customFormat="1"/>
    <row r="455" s="64" customFormat="1"/>
    <row r="456" s="64" customFormat="1"/>
    <row r="457" s="64" customFormat="1"/>
    <row r="458" s="64" customFormat="1"/>
    <row r="459" s="64" customFormat="1"/>
    <row r="460" s="64" customFormat="1"/>
    <row r="461" s="64" customFormat="1"/>
    <row r="462" s="64" customFormat="1"/>
    <row r="463" s="64" customFormat="1"/>
    <row r="464" s="64" customFormat="1"/>
    <row r="465" s="64" customFormat="1"/>
    <row r="466" s="64" customFormat="1"/>
    <row r="467" s="64" customFormat="1"/>
    <row r="468" s="64" customFormat="1"/>
    <row r="469" s="64" customFormat="1"/>
    <row r="470" s="64" customFormat="1"/>
    <row r="471" s="64" customFormat="1"/>
    <row r="472" s="64" customFormat="1"/>
    <row r="473" s="64" customFormat="1"/>
    <row r="474" s="64" customFormat="1"/>
    <row r="475" s="64" customFormat="1"/>
    <row r="476" s="64" customFormat="1"/>
    <row r="477" s="64" customFormat="1"/>
    <row r="478" s="64" customFormat="1"/>
    <row r="479" s="64" customFormat="1"/>
    <row r="480" s="64" customFormat="1"/>
    <row r="481" s="64" customFormat="1"/>
    <row r="482" s="64" customFormat="1"/>
    <row r="483" s="64" customFormat="1"/>
    <row r="484" s="64" customFormat="1"/>
    <row r="485" s="64" customFormat="1"/>
    <row r="486" s="64" customFormat="1"/>
    <row r="487" s="64" customFormat="1"/>
    <row r="488" s="64" customFormat="1"/>
    <row r="489" s="64" customFormat="1"/>
    <row r="490" s="64" customFormat="1"/>
    <row r="491" s="64" customFormat="1"/>
    <row r="492" s="64" customFormat="1"/>
    <row r="493" s="64" customFormat="1"/>
    <row r="494" s="64" customFormat="1"/>
    <row r="495" s="64" customFormat="1"/>
    <row r="496" s="64" customFormat="1"/>
    <row r="497" s="64" customFormat="1"/>
    <row r="498" s="64" customFormat="1"/>
    <row r="499" s="64" customFormat="1"/>
    <row r="500" s="64" customFormat="1"/>
    <row r="501" s="64" customFormat="1"/>
    <row r="502" s="64" customFormat="1"/>
    <row r="503" s="64" customFormat="1"/>
    <row r="504" s="64" customFormat="1"/>
    <row r="505" s="64" customFormat="1"/>
    <row r="506" s="64" customFormat="1"/>
    <row r="507" s="64" customFormat="1"/>
    <row r="508" s="64" customFormat="1"/>
    <row r="509" s="64" customFormat="1"/>
    <row r="510" s="64" customFormat="1"/>
    <row r="511" s="64" customFormat="1"/>
    <row r="512" s="64" customFormat="1"/>
    <row r="513" s="64" customFormat="1"/>
    <row r="514" s="64" customFormat="1"/>
    <row r="515" s="64" customFormat="1"/>
    <row r="516" s="64" customFormat="1"/>
    <row r="517" s="64" customFormat="1"/>
    <row r="518" s="64" customFormat="1"/>
    <row r="519" s="64" customFormat="1"/>
    <row r="520" s="64" customFormat="1"/>
    <row r="521" s="64" customFormat="1"/>
    <row r="522" s="64" customFormat="1"/>
    <row r="523" s="64" customFormat="1"/>
    <row r="524" s="64" customFormat="1"/>
    <row r="525" s="64" customFormat="1"/>
    <row r="526" s="64" customFormat="1"/>
    <row r="527" s="64" customFormat="1"/>
    <row r="528" s="64" customFormat="1"/>
    <row r="529" s="64" customFormat="1"/>
    <row r="530" s="64" customFormat="1"/>
    <row r="531" s="64" customFormat="1"/>
    <row r="532" s="64" customFormat="1"/>
    <row r="533" s="64" customFormat="1"/>
    <row r="534" s="64" customFormat="1"/>
    <row r="535" s="64" customFormat="1"/>
    <row r="536" s="64" customFormat="1"/>
    <row r="537" s="64" customFormat="1"/>
    <row r="538" s="64" customFormat="1"/>
    <row r="539" s="64" customFormat="1"/>
    <row r="540" s="64" customFormat="1"/>
    <row r="541" s="64" customFormat="1"/>
    <row r="542" s="64" customFormat="1"/>
    <row r="543" s="64" customFormat="1"/>
    <row r="544" s="64" customFormat="1"/>
    <row r="545" s="64" customFormat="1"/>
    <row r="546" s="64" customFormat="1"/>
    <row r="547" s="64" customFormat="1"/>
    <row r="548" s="64" customFormat="1"/>
    <row r="549" s="64" customFormat="1"/>
    <row r="550" s="64" customFormat="1"/>
    <row r="551" s="64" customFormat="1"/>
    <row r="552" s="64" customFormat="1"/>
    <row r="553" s="64" customFormat="1"/>
    <row r="554" s="64" customFormat="1"/>
    <row r="555" s="64" customFormat="1"/>
    <row r="556" s="64" customFormat="1"/>
    <row r="557" s="64" customFormat="1"/>
    <row r="558" s="64" customFormat="1"/>
    <row r="559" s="64" customFormat="1"/>
    <row r="560" s="64" customFormat="1"/>
    <row r="561" s="64" customFormat="1"/>
    <row r="562" s="64" customFormat="1"/>
    <row r="563" s="64" customFormat="1"/>
    <row r="564" s="64" customFormat="1"/>
    <row r="565" s="64" customFormat="1"/>
    <row r="566" s="64" customFormat="1"/>
    <row r="567" s="64" customFormat="1"/>
    <row r="568" s="64" customFormat="1"/>
    <row r="569" s="64" customFormat="1"/>
    <row r="570" s="64" customFormat="1"/>
    <row r="571" s="64" customFormat="1"/>
    <row r="572" s="64" customFormat="1"/>
    <row r="573" s="64" customFormat="1"/>
    <row r="574" s="64" customFormat="1"/>
    <row r="575" s="64" customFormat="1"/>
    <row r="576" s="64" customFormat="1"/>
    <row r="577" s="64" customFormat="1"/>
    <row r="578" s="64" customFormat="1"/>
    <row r="579" s="64" customFormat="1"/>
    <row r="580" s="64" customFormat="1"/>
    <row r="581" s="64" customFormat="1"/>
    <row r="582" s="64" customFormat="1"/>
    <row r="583" s="64" customFormat="1"/>
    <row r="584" s="64" customFormat="1"/>
    <row r="585" s="64" customFormat="1"/>
    <row r="586" s="64" customFormat="1"/>
    <row r="587" s="64" customFormat="1"/>
    <row r="588" s="64" customFormat="1"/>
    <row r="589" s="64" customFormat="1"/>
    <row r="590" s="64" customFormat="1"/>
    <row r="591" s="64" customFormat="1"/>
    <row r="592" s="64" customFormat="1"/>
    <row r="593" s="64" customFormat="1"/>
    <row r="594" s="64" customFormat="1"/>
    <row r="595" s="64" customFormat="1"/>
    <row r="596" s="64" customFormat="1"/>
    <row r="597" s="64" customFormat="1"/>
    <row r="598" s="64" customFormat="1"/>
    <row r="599" s="64" customFormat="1"/>
    <row r="600" s="64" customFormat="1"/>
    <row r="601" s="64" customFormat="1"/>
    <row r="602" s="64" customFormat="1"/>
    <row r="603" s="64" customFormat="1"/>
    <row r="604" s="64" customFormat="1"/>
    <row r="605" s="64" customFormat="1"/>
    <row r="606" s="64" customFormat="1"/>
    <row r="607" s="64" customFormat="1"/>
    <row r="608" s="64" customFormat="1"/>
    <row r="609" s="64" customFormat="1"/>
    <row r="610" s="64" customFormat="1"/>
    <row r="611" s="64" customFormat="1"/>
    <row r="612" s="64" customFormat="1"/>
    <row r="613" s="64" customFormat="1"/>
    <row r="614" s="64" customFormat="1"/>
    <row r="615" s="64" customFormat="1"/>
    <row r="616" s="64" customFormat="1"/>
    <row r="617" s="64" customFormat="1"/>
    <row r="618" s="64" customFormat="1"/>
    <row r="619" s="64" customFormat="1"/>
    <row r="620" s="64" customFormat="1"/>
    <row r="621" s="64" customFormat="1"/>
    <row r="622" s="64" customFormat="1"/>
    <row r="623" s="64" customFormat="1"/>
    <row r="624" s="64" customFormat="1"/>
    <row r="625" s="64" customFormat="1"/>
    <row r="626" s="64" customFormat="1"/>
    <row r="627" s="64" customFormat="1"/>
    <row r="628" s="64" customFormat="1"/>
    <row r="629" s="64" customFormat="1"/>
    <row r="630" s="64" customFormat="1"/>
    <row r="631" s="64" customFormat="1"/>
    <row r="632" s="64" customFormat="1"/>
    <row r="633" s="64" customFormat="1"/>
    <row r="634" s="64" customFormat="1"/>
    <row r="635" s="64" customFormat="1"/>
    <row r="636" s="64" customFormat="1"/>
    <row r="637" s="64" customFormat="1"/>
    <row r="638" s="64" customFormat="1"/>
    <row r="639" s="64" customFormat="1"/>
    <row r="640" s="64" customFormat="1"/>
    <row r="641" s="64" customFormat="1"/>
    <row r="642" s="64" customFormat="1"/>
    <row r="643" s="64" customFormat="1"/>
    <row r="644" s="64" customFormat="1"/>
    <row r="645" s="64" customFormat="1"/>
    <row r="646" s="64" customFormat="1"/>
    <row r="647" s="64" customFormat="1"/>
    <row r="648" s="64" customFormat="1"/>
    <row r="649" s="64" customFormat="1"/>
    <row r="650" s="64" customFormat="1"/>
    <row r="651" s="64" customFormat="1"/>
    <row r="652" s="64" customFormat="1"/>
    <row r="653" s="64" customFormat="1"/>
    <row r="654" s="64" customFormat="1"/>
    <row r="655" s="64" customFormat="1"/>
    <row r="656" s="64" customFormat="1"/>
    <row r="657" s="64" customFormat="1"/>
    <row r="658" s="64" customFormat="1"/>
    <row r="659" s="64" customFormat="1"/>
    <row r="660" s="64" customFormat="1"/>
    <row r="661" s="64" customFormat="1"/>
    <row r="662" s="64" customFormat="1"/>
    <row r="663" s="64" customFormat="1"/>
    <row r="664" s="64" customFormat="1"/>
    <row r="665" s="64" customFormat="1"/>
    <row r="666" s="64" customFormat="1"/>
    <row r="667" s="64" customFormat="1"/>
    <row r="668" s="64" customFormat="1"/>
    <row r="669" s="64" customFormat="1"/>
    <row r="670" s="64" customFormat="1"/>
    <row r="671" s="64" customFormat="1"/>
    <row r="672" s="64" customFormat="1"/>
    <row r="673" s="64" customFormat="1"/>
    <row r="674" s="64" customFormat="1"/>
    <row r="675" s="64" customFormat="1"/>
    <row r="676" s="64" customFormat="1"/>
    <row r="677" s="64" customFormat="1"/>
    <row r="678" s="64" customFormat="1"/>
    <row r="679" s="64" customFormat="1"/>
    <row r="680" s="64" customFormat="1"/>
    <row r="681" s="64" customFormat="1"/>
    <row r="682" s="64" customFormat="1"/>
    <row r="683" s="64" customFormat="1"/>
    <row r="684" s="64" customFormat="1"/>
    <row r="685" s="64" customFormat="1"/>
    <row r="686" s="64" customFormat="1"/>
    <row r="687" s="64" customFormat="1"/>
    <row r="688" s="64" customFormat="1"/>
    <row r="689" s="64" customFormat="1"/>
    <row r="690" s="64" customFormat="1"/>
    <row r="691" s="64" customFormat="1"/>
    <row r="692" s="64" customFormat="1"/>
    <row r="693" s="64" customFormat="1"/>
    <row r="694" s="64" customFormat="1"/>
    <row r="695" s="64" customFormat="1"/>
    <row r="696" s="64" customFormat="1"/>
    <row r="697" s="64" customFormat="1"/>
    <row r="698" s="64" customFormat="1"/>
    <row r="699" s="64" customFormat="1"/>
    <row r="700" s="64" customFormat="1"/>
    <row r="701" s="64" customFormat="1"/>
    <row r="702" s="64" customFormat="1"/>
    <row r="703" s="64" customFormat="1"/>
    <row r="704" s="64" customFormat="1"/>
    <row r="705" s="64" customFormat="1"/>
    <row r="706" s="64" customFormat="1"/>
    <row r="707" s="64" customFormat="1"/>
    <row r="708" s="64" customFormat="1"/>
    <row r="709" s="64" customFormat="1"/>
    <row r="710" s="64" customFormat="1"/>
    <row r="711" s="64" customFormat="1"/>
    <row r="712" s="64" customFormat="1"/>
    <row r="713" s="64" customFormat="1"/>
    <row r="714" s="64" customFormat="1"/>
    <row r="715" s="64" customFormat="1"/>
    <row r="716" s="64" customFormat="1"/>
    <row r="717" s="64" customFormat="1"/>
    <row r="718" s="64" customFormat="1"/>
    <row r="719" s="64" customFormat="1"/>
    <row r="720" s="64" customFormat="1"/>
    <row r="721" s="64" customFormat="1"/>
    <row r="722" s="64" customFormat="1"/>
    <row r="723" s="64" customFormat="1"/>
    <row r="724" s="64" customFormat="1"/>
    <row r="725" s="64" customFormat="1"/>
    <row r="726" s="64" customFormat="1"/>
    <row r="727" s="64" customFormat="1"/>
    <row r="728" s="64" customFormat="1"/>
    <row r="729" s="64" customFormat="1"/>
    <row r="730" s="64" customFormat="1"/>
    <row r="731" s="64" customFormat="1"/>
    <row r="732" s="64" customFormat="1"/>
    <row r="733" s="64" customFormat="1"/>
    <row r="734" s="64" customFormat="1"/>
    <row r="735" s="64" customFormat="1"/>
    <row r="736" s="64" customFormat="1"/>
    <row r="737" s="64" customFormat="1"/>
    <row r="738" s="64" customFormat="1"/>
    <row r="739" s="64" customFormat="1"/>
    <row r="740" s="64" customFormat="1"/>
    <row r="741" s="64" customFormat="1"/>
    <row r="742" s="64" customFormat="1"/>
    <row r="743" s="64" customFormat="1"/>
    <row r="744" s="64" customFormat="1"/>
    <row r="745" s="64" customFormat="1"/>
    <row r="746" s="64" customFormat="1"/>
    <row r="747" s="64" customFormat="1"/>
    <row r="748" s="64" customFormat="1"/>
    <row r="749" s="64" customFormat="1"/>
    <row r="750" s="64" customFormat="1"/>
    <row r="751" s="64" customFormat="1"/>
    <row r="752" s="64" customFormat="1"/>
    <row r="753" s="64" customFormat="1"/>
    <row r="754" s="64" customFormat="1"/>
    <row r="755" s="64" customFormat="1"/>
    <row r="756" s="64" customFormat="1"/>
    <row r="757" s="64" customFormat="1"/>
    <row r="758" s="64" customFormat="1"/>
    <row r="759" s="64" customFormat="1"/>
    <row r="760" s="64" customFormat="1"/>
    <row r="761" s="64" customFormat="1"/>
    <row r="762" s="64" customFormat="1"/>
    <row r="763" s="64" customFormat="1"/>
    <row r="764" s="64" customFormat="1"/>
    <row r="765" s="64" customFormat="1"/>
    <row r="766" s="64" customFormat="1"/>
    <row r="767" s="64" customFormat="1"/>
    <row r="768" s="64" customFormat="1"/>
    <row r="769" s="64" customFormat="1"/>
    <row r="770" s="64" customFormat="1"/>
    <row r="771" s="64" customFormat="1"/>
    <row r="772" s="64" customFormat="1"/>
    <row r="773" s="64" customFormat="1"/>
    <row r="774" s="64" customFormat="1"/>
    <row r="775" s="64" customFormat="1"/>
    <row r="776" s="64" customFormat="1"/>
    <row r="777" s="64" customFormat="1"/>
    <row r="778" s="64" customFormat="1"/>
    <row r="779" s="64" customFormat="1"/>
    <row r="780" s="64" customFormat="1"/>
    <row r="781" s="64" customFormat="1"/>
    <row r="782" s="64" customFormat="1"/>
    <row r="783" s="64" customFormat="1"/>
    <row r="784" s="64" customFormat="1"/>
    <row r="785" s="64" customFormat="1"/>
    <row r="786" s="64" customFormat="1"/>
    <row r="787" s="64" customFormat="1"/>
    <row r="788" s="64" customFormat="1"/>
    <row r="789" s="64" customFormat="1"/>
    <row r="790" s="64" customFormat="1"/>
    <row r="791" s="64" customFormat="1"/>
    <row r="792" s="64" customFormat="1"/>
    <row r="793" s="64" customFormat="1"/>
    <row r="794" s="64" customFormat="1"/>
    <row r="795" s="64" customFormat="1"/>
    <row r="796" s="64" customFormat="1"/>
    <row r="797" s="64" customFormat="1"/>
    <row r="798" s="64" customFormat="1"/>
    <row r="799" s="64" customFormat="1"/>
    <row r="800" s="64" customFormat="1"/>
    <row r="801" s="64" customFormat="1"/>
    <row r="802" s="64" customFormat="1"/>
    <row r="803" s="64" customFormat="1"/>
    <row r="804" s="64" customFormat="1"/>
    <row r="805" s="64" customFormat="1"/>
    <row r="806" s="64" customFormat="1"/>
    <row r="807" s="64" customFormat="1"/>
    <row r="808" s="64" customFormat="1"/>
    <row r="809" s="64" customFormat="1"/>
    <row r="810" s="64" customFormat="1"/>
    <row r="811" s="64" customFormat="1"/>
  </sheetData>
  <mergeCells count="301">
    <mergeCell ref="H426:O427"/>
    <mergeCell ref="H428:O428"/>
    <mergeCell ref="B420:C423"/>
    <mergeCell ref="D420:F423"/>
    <mergeCell ref="G420:G423"/>
    <mergeCell ref="H420:O420"/>
    <mergeCell ref="H421:O421"/>
    <mergeCell ref="H423:O423"/>
    <mergeCell ref="H422:O422"/>
    <mergeCell ref="B424:C429"/>
    <mergeCell ref="D424:F429"/>
    <mergeCell ref="G424:G429"/>
    <mergeCell ref="H424:O424"/>
    <mergeCell ref="H425:O425"/>
    <mergeCell ref="H429:O429"/>
    <mergeCell ref="D167:O169"/>
    <mergeCell ref="E171:O172"/>
    <mergeCell ref="D180:O181"/>
    <mergeCell ref="H413:O413"/>
    <mergeCell ref="H415:O415"/>
    <mergeCell ref="H411:O412"/>
    <mergeCell ref="H414:O414"/>
    <mergeCell ref="F258:O258"/>
    <mergeCell ref="H406:O407"/>
    <mergeCell ref="H392:O392"/>
    <mergeCell ref="E282:F282"/>
    <mergeCell ref="E283:F283"/>
    <mergeCell ref="E284:F284"/>
    <mergeCell ref="E285:F285"/>
    <mergeCell ref="D267:H267"/>
    <mergeCell ref="E268:O271"/>
    <mergeCell ref="G285:H285"/>
    <mergeCell ref="G276:O276"/>
    <mergeCell ref="E280:F280"/>
    <mergeCell ref="E281:F281"/>
    <mergeCell ref="E277:F277"/>
    <mergeCell ref="E278:F278"/>
    <mergeCell ref="E279:F279"/>
    <mergeCell ref="G277:H277"/>
    <mergeCell ref="H408:O409"/>
    <mergeCell ref="E308:O311"/>
    <mergeCell ref="C314:O314"/>
    <mergeCell ref="H397:O397"/>
    <mergeCell ref="H391:O391"/>
    <mergeCell ref="C339:O340"/>
    <mergeCell ref="C313:O313"/>
    <mergeCell ref="D348:F348"/>
    <mergeCell ref="H348:O348"/>
    <mergeCell ref="H394:O394"/>
    <mergeCell ref="B406:C415"/>
    <mergeCell ref="D406:F415"/>
    <mergeCell ref="H395:O396"/>
    <mergeCell ref="H364:O364"/>
    <mergeCell ref="H366:O366"/>
    <mergeCell ref="H363:O363"/>
    <mergeCell ref="H365:O365"/>
    <mergeCell ref="B358:C358"/>
    <mergeCell ref="D358:F358"/>
    <mergeCell ref="H410:O410"/>
    <mergeCell ref="G406:G415"/>
    <mergeCell ref="H360:O361"/>
    <mergeCell ref="B389:C398"/>
    <mergeCell ref="D389:F398"/>
    <mergeCell ref="D151:F151"/>
    <mergeCell ref="C132:O132"/>
    <mergeCell ref="K147:M147"/>
    <mergeCell ref="D147:F147"/>
    <mergeCell ref="D139:O141"/>
    <mergeCell ref="D137:O138"/>
    <mergeCell ref="C68:O69"/>
    <mergeCell ref="H393:O393"/>
    <mergeCell ref="E276:F276"/>
    <mergeCell ref="E295:F295"/>
    <mergeCell ref="E286:F286"/>
    <mergeCell ref="G286:O287"/>
    <mergeCell ref="I150:J150"/>
    <mergeCell ref="D160:G160"/>
    <mergeCell ref="I297:J297"/>
    <mergeCell ref="E200:O201"/>
    <mergeCell ref="D224:F224"/>
    <mergeCell ref="D225:F225"/>
    <mergeCell ref="K220:N220"/>
    <mergeCell ref="K221:N221"/>
    <mergeCell ref="G221:J221"/>
    <mergeCell ref="E273:O274"/>
    <mergeCell ref="E293:O294"/>
    <mergeCell ref="E242:O244"/>
    <mergeCell ref="C60:E60"/>
    <mergeCell ref="C61:E61"/>
    <mergeCell ref="K149:M149"/>
    <mergeCell ref="D149:F150"/>
    <mergeCell ref="D148:F148"/>
    <mergeCell ref="C62:E62"/>
    <mergeCell ref="C63:E63"/>
    <mergeCell ref="G148:J148"/>
    <mergeCell ref="G150:H150"/>
    <mergeCell ref="G149:J149"/>
    <mergeCell ref="D146:G146"/>
    <mergeCell ref="G147:H147"/>
    <mergeCell ref="D104:O105"/>
    <mergeCell ref="D136:F136"/>
    <mergeCell ref="C93:H93"/>
    <mergeCell ref="I93:K93"/>
    <mergeCell ref="K148:M148"/>
    <mergeCell ref="K150:M150"/>
    <mergeCell ref="I147:J147"/>
    <mergeCell ref="G389:G398"/>
    <mergeCell ref="H389:O389"/>
    <mergeCell ref="H390:O390"/>
    <mergeCell ref="H398:O398"/>
    <mergeCell ref="G224:J224"/>
    <mergeCell ref="B349:C357"/>
    <mergeCell ref="D349:F357"/>
    <mergeCell ref="G349:G357"/>
    <mergeCell ref="H349:O350"/>
    <mergeCell ref="H351:O351"/>
    <mergeCell ref="B346:O346"/>
    <mergeCell ref="H354:O354"/>
    <mergeCell ref="D301:O302"/>
    <mergeCell ref="K227:N227"/>
    <mergeCell ref="F248:H248"/>
    <mergeCell ref="H380:O380"/>
    <mergeCell ref="H382:O382"/>
    <mergeCell ref="H384:O384"/>
    <mergeCell ref="H372:O373"/>
    <mergeCell ref="B359:C359"/>
    <mergeCell ref="E245:H245"/>
    <mergeCell ref="H362:O362"/>
    <mergeCell ref="H367:O368"/>
    <mergeCell ref="E259:G259"/>
    <mergeCell ref="K151:M151"/>
    <mergeCell ref="G151:H151"/>
    <mergeCell ref="I151:J151"/>
    <mergeCell ref="E202:O203"/>
    <mergeCell ref="E304:O306"/>
    <mergeCell ref="D298:O300"/>
    <mergeCell ref="G289:O291"/>
    <mergeCell ref="E289:F289"/>
    <mergeCell ref="F247:O247"/>
    <mergeCell ref="F246:H246"/>
    <mergeCell ref="F249:O250"/>
    <mergeCell ref="E204:O206"/>
    <mergeCell ref="D230:O232"/>
    <mergeCell ref="G225:J225"/>
    <mergeCell ref="D222:F222"/>
    <mergeCell ref="G219:J219"/>
    <mergeCell ref="G220:J220"/>
    <mergeCell ref="G278:H278"/>
    <mergeCell ref="G279:H279"/>
    <mergeCell ref="G280:H280"/>
    <mergeCell ref="G281:H281"/>
    <mergeCell ref="G282:H282"/>
    <mergeCell ref="G283:H283"/>
    <mergeCell ref="G284:H284"/>
    <mergeCell ref="C6:N6"/>
    <mergeCell ref="C7:N9"/>
    <mergeCell ref="C10:E10"/>
    <mergeCell ref="C11:E11"/>
    <mergeCell ref="C12:E12"/>
    <mergeCell ref="B348:C348"/>
    <mergeCell ref="D106:O107"/>
    <mergeCell ref="B130:O130"/>
    <mergeCell ref="D121:F125"/>
    <mergeCell ref="G121:K125"/>
    <mergeCell ref="D127:J128"/>
    <mergeCell ref="B330:O330"/>
    <mergeCell ref="D134:O135"/>
    <mergeCell ref="D144:O144"/>
    <mergeCell ref="D116:J119"/>
    <mergeCell ref="C324:O324"/>
    <mergeCell ref="E174:O175"/>
    <mergeCell ref="E177:O178"/>
    <mergeCell ref="D44:O45"/>
    <mergeCell ref="I143:J143"/>
    <mergeCell ref="G226:J226"/>
    <mergeCell ref="D40:O42"/>
    <mergeCell ref="D183:O183"/>
    <mergeCell ref="D133:F133"/>
    <mergeCell ref="C13:E13"/>
    <mergeCell ref="C29:O29"/>
    <mergeCell ref="D25:O25"/>
    <mergeCell ref="D26:O26"/>
    <mergeCell ref="D27:O27"/>
    <mergeCell ref="C14:E14"/>
    <mergeCell ref="L18:M18"/>
    <mergeCell ref="B48:O48"/>
    <mergeCell ref="C50:E50"/>
    <mergeCell ref="C35:O35"/>
    <mergeCell ref="C24:O24"/>
    <mergeCell ref="E46:O46"/>
    <mergeCell ref="D36:O37"/>
    <mergeCell ref="B22:O22"/>
    <mergeCell ref="C30:O32"/>
    <mergeCell ref="C34:O34"/>
    <mergeCell ref="E39:O39"/>
    <mergeCell ref="E43:O43"/>
    <mergeCell ref="C51:E51"/>
    <mergeCell ref="C52:E52"/>
    <mergeCell ref="C53:E53"/>
    <mergeCell ref="C54:E54"/>
    <mergeCell ref="C55:E55"/>
    <mergeCell ref="C56:E56"/>
    <mergeCell ref="C57:E57"/>
    <mergeCell ref="C58:E58"/>
    <mergeCell ref="D377:F385"/>
    <mergeCell ref="B369:C376"/>
    <mergeCell ref="B65:O65"/>
    <mergeCell ref="C59:E59"/>
    <mergeCell ref="E184:O187"/>
    <mergeCell ref="E188:O190"/>
    <mergeCell ref="E241:G241"/>
    <mergeCell ref="D316:O321"/>
    <mergeCell ref="D325:O325"/>
    <mergeCell ref="D326:O328"/>
    <mergeCell ref="D240:O240"/>
    <mergeCell ref="C323:O323"/>
    <mergeCell ref="K223:N223"/>
    <mergeCell ref="K224:N224"/>
    <mergeCell ref="K226:N226"/>
    <mergeCell ref="E193:O199"/>
    <mergeCell ref="D221:F221"/>
    <mergeCell ref="D237:O238"/>
    <mergeCell ref="K222:N222"/>
    <mergeCell ref="G222:J222"/>
    <mergeCell ref="G223:J223"/>
    <mergeCell ref="D233:O235"/>
    <mergeCell ref="D227:F227"/>
    <mergeCell ref="K225:N225"/>
    <mergeCell ref="G227:J227"/>
    <mergeCell ref="D226:F226"/>
    <mergeCell ref="D223:F223"/>
    <mergeCell ref="F251:H251"/>
    <mergeCell ref="F260:O261"/>
    <mergeCell ref="F263:O265"/>
    <mergeCell ref="F262:O262"/>
    <mergeCell ref="H358:O358"/>
    <mergeCell ref="D359:F359"/>
    <mergeCell ref="H359:O359"/>
    <mergeCell ref="H355:O355"/>
    <mergeCell ref="H356:O357"/>
    <mergeCell ref="H352:O353"/>
    <mergeCell ref="D216:F216"/>
    <mergeCell ref="G218:J218"/>
    <mergeCell ref="G216:J216"/>
    <mergeCell ref="K216:N216"/>
    <mergeCell ref="K217:N217"/>
    <mergeCell ref="K218:N218"/>
    <mergeCell ref="G217:J217"/>
    <mergeCell ref="D219:F219"/>
    <mergeCell ref="D220:F220"/>
    <mergeCell ref="D217:F217"/>
    <mergeCell ref="D218:F218"/>
    <mergeCell ref="K219:N219"/>
    <mergeCell ref="H402:O403"/>
    <mergeCell ref="H377:O377"/>
    <mergeCell ref="H383:O383"/>
    <mergeCell ref="D386:F388"/>
    <mergeCell ref="F252:O254"/>
    <mergeCell ref="H378:O378"/>
    <mergeCell ref="D369:F376"/>
    <mergeCell ref="G386:G388"/>
    <mergeCell ref="H401:O401"/>
    <mergeCell ref="H387:O387"/>
    <mergeCell ref="H381:O381"/>
    <mergeCell ref="D399:F404"/>
    <mergeCell ref="G399:G404"/>
    <mergeCell ref="H399:O399"/>
    <mergeCell ref="H388:O388"/>
    <mergeCell ref="H386:O386"/>
    <mergeCell ref="H374:O374"/>
    <mergeCell ref="H385:O385"/>
    <mergeCell ref="H379:O379"/>
    <mergeCell ref="H375:O376"/>
    <mergeCell ref="D360:F368"/>
    <mergeCell ref="G360:G368"/>
    <mergeCell ref="E255:G255"/>
    <mergeCell ref="F256:O257"/>
    <mergeCell ref="D419:F419"/>
    <mergeCell ref="H418:O418"/>
    <mergeCell ref="H419:O419"/>
    <mergeCell ref="G417:G419"/>
    <mergeCell ref="H400:O400"/>
    <mergeCell ref="D417:F418"/>
    <mergeCell ref="B417:C419"/>
    <mergeCell ref="D315:H315"/>
    <mergeCell ref="H417:O417"/>
    <mergeCell ref="B416:C416"/>
    <mergeCell ref="D416:F416"/>
    <mergeCell ref="H416:O416"/>
    <mergeCell ref="H369:O370"/>
    <mergeCell ref="B405:C405"/>
    <mergeCell ref="D405:F405"/>
    <mergeCell ref="H405:O405"/>
    <mergeCell ref="H371:O371"/>
    <mergeCell ref="B386:C388"/>
    <mergeCell ref="H404:O404"/>
    <mergeCell ref="B399:C404"/>
    <mergeCell ref="B360:C368"/>
    <mergeCell ref="G369:G376"/>
    <mergeCell ref="G377:G385"/>
    <mergeCell ref="B377:C385"/>
  </mergeCells>
  <conditionalFormatting sqref="E276:F286">
    <cfRule type="colorScale" priority="1">
      <colorScale>
        <cfvo type="num" val="0"/>
        <cfvo type="formula" val="$E$295"/>
        <cfvo type="formula" val="$E$295/$E$295"/>
        <color rgb="FF63BE7B"/>
        <color rgb="FFFFEB84"/>
        <color rgb="FFF8696B"/>
      </colorScale>
    </cfRule>
  </conditionalFormatting>
  <dataValidations disablePrompts="1" count="1">
    <dataValidation type="list" allowBlank="1" showInputMessage="1" showErrorMessage="1" sqref="E295:F295">
      <formula1>$E$277:$E$285</formula1>
    </dataValidation>
  </dataValidations>
  <hyperlinks>
    <hyperlink ref="B343" r:id="rId1"/>
    <hyperlink ref="D38" location="Guidelines!StandardFuel" display="Click here to find the properties of 'standard fuel' (as described in section D of the 'Guidelines' sheet)."/>
    <hyperlink ref="I93:K93" location="Help!SPC" display="SPC (Support Process Costs)."/>
  </hyperlinks>
  <printOptions horizontalCentered="1"/>
  <pageMargins left="0.39370078740157483" right="0.39370078740157483" top="0.39370078740157483" bottom="0.39370078740157483" header="0" footer="0"/>
  <pageSetup paperSize="9" scale="96" fitToHeight="5"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tabColor theme="1" tint="0.34998626667073579"/>
    <outlinePr summaryBelow="0" summaryRight="0"/>
    <pageSetUpPr fitToPage="1"/>
  </sheetPr>
  <dimension ref="A1:DK268"/>
  <sheetViews>
    <sheetView showGridLines="0" tabSelected="1" zoomScale="80" zoomScaleNormal="80" zoomScaleSheetLayoutView="50" workbookViewId="0">
      <selection sqref="A1:C1"/>
    </sheetView>
  </sheetViews>
  <sheetFormatPr defaultColWidth="10.7109375" defaultRowHeight="14.25" customHeight="1" outlineLevelRow="1" outlineLevelCol="1"/>
  <cols>
    <col min="1" max="16" width="10.7109375" style="124" customWidth="1"/>
    <col min="17" max="17" width="10.7109375" style="124" customWidth="1" collapsed="1"/>
    <col min="18" max="22" width="10.7109375" style="124" hidden="1" customWidth="1" outlineLevel="1"/>
    <col min="23" max="23" width="10.7109375" style="124" customWidth="1"/>
    <col min="24" max="24" width="12.42578125" style="124" customWidth="1"/>
    <col min="25" max="25" width="12.140625" style="124" customWidth="1"/>
    <col min="26" max="28" width="10.7109375" style="124" hidden="1" customWidth="1"/>
    <col min="29" max="69" width="10.7109375" style="124" customWidth="1"/>
    <col min="70" max="70" width="10.7109375" style="125" customWidth="1"/>
    <col min="71" max="16384" width="10.7109375" style="124"/>
  </cols>
  <sheetData>
    <row r="1" spans="1:53" ht="26.25">
      <c r="A1" s="806" t="s">
        <v>354</v>
      </c>
      <c r="B1" s="806"/>
      <c r="C1" s="806"/>
      <c r="D1" s="560"/>
      <c r="E1" s="560"/>
      <c r="G1" s="123"/>
      <c r="AS1" s="125"/>
      <c r="AT1" s="125"/>
      <c r="AU1" s="125"/>
    </row>
    <row r="2" spans="1:53" s="127" customFormat="1" ht="14.25" customHeight="1" outlineLevel="1">
      <c r="A2" s="23" t="str">
        <f ca="1">"File: "&amp;MID(CELL("filename"),SEARCH("[",CELL("filename"))+1, SEARCH("]",CELL("filename"))-SEARCH("[",CELL("filename"))-1)</f>
        <v>File: FMO Case Study Solution.xlsx</v>
      </c>
      <c r="D2" s="126"/>
      <c r="E2" s="126"/>
      <c r="F2" s="126"/>
      <c r="G2" s="128"/>
      <c r="R2" s="129"/>
      <c r="S2" s="129"/>
      <c r="T2" s="129"/>
      <c r="U2" s="129"/>
      <c r="V2" s="129"/>
      <c r="W2" s="129"/>
      <c r="AZ2" s="126"/>
    </row>
    <row r="3" spans="1:53" s="127" customFormat="1" ht="14.25" customHeight="1" outlineLevel="1">
      <c r="A3" s="130"/>
      <c r="B3" s="130"/>
      <c r="D3" s="809" t="s">
        <v>339</v>
      </c>
      <c r="E3" s="810"/>
      <c r="K3" s="131" t="str">
        <f>D3</f>
        <v>Baseline</v>
      </c>
      <c r="O3" s="147"/>
      <c r="P3" s="147"/>
      <c r="R3" s="147"/>
      <c r="S3" s="147"/>
      <c r="T3" s="147"/>
      <c r="U3" s="147"/>
      <c r="V3" s="147"/>
      <c r="X3" s="147"/>
      <c r="Y3" s="343" t="str">
        <f>D3</f>
        <v>Baseline</v>
      </c>
      <c r="AZ3" s="126"/>
    </row>
    <row r="4" spans="1:53" s="127" customFormat="1" ht="14.25" customHeight="1" outlineLevel="1">
      <c r="A4" s="314" t="s">
        <v>94</v>
      </c>
      <c r="B4" s="315"/>
      <c r="C4" s="315"/>
      <c r="D4" s="777" t="s">
        <v>860</v>
      </c>
      <c r="E4" s="778"/>
      <c r="G4" s="316" t="s">
        <v>10</v>
      </c>
      <c r="H4" s="315"/>
      <c r="I4" s="132"/>
      <c r="J4" s="315"/>
      <c r="K4" s="133" t="s">
        <v>296</v>
      </c>
      <c r="N4" s="819" t="s">
        <v>621</v>
      </c>
      <c r="O4" s="820"/>
      <c r="P4" s="342" t="s">
        <v>614</v>
      </c>
      <c r="Q4" s="342"/>
      <c r="R4" s="342"/>
      <c r="S4" s="342"/>
      <c r="T4" s="342"/>
      <c r="U4" s="342"/>
      <c r="V4" s="342"/>
      <c r="W4" s="342"/>
      <c r="X4" s="342"/>
      <c r="Y4" s="338">
        <v>12</v>
      </c>
      <c r="AZ4" s="126"/>
    </row>
    <row r="5" spans="1:53" s="127" customFormat="1" ht="14.25" customHeight="1" outlineLevel="1">
      <c r="A5" s="311" t="s">
        <v>675</v>
      </c>
      <c r="B5" s="312"/>
      <c r="C5" s="364"/>
      <c r="D5" s="777">
        <v>1</v>
      </c>
      <c r="E5" s="778"/>
      <c r="G5" s="377" t="s">
        <v>720</v>
      </c>
      <c r="K5" s="133" t="s">
        <v>308</v>
      </c>
      <c r="N5" s="821"/>
      <c r="O5" s="822"/>
      <c r="P5" s="342" t="s">
        <v>615</v>
      </c>
      <c r="Q5" s="342"/>
      <c r="R5" s="342"/>
      <c r="S5" s="342"/>
      <c r="T5" s="342"/>
      <c r="U5" s="342"/>
      <c r="V5" s="342"/>
      <c r="W5" s="342"/>
      <c r="X5" s="342"/>
      <c r="Y5" s="338"/>
      <c r="AZ5" s="126"/>
    </row>
    <row r="6" spans="1:53" s="127" customFormat="1" ht="14.25" customHeight="1" outlineLevel="1">
      <c r="A6" s="311" t="s">
        <v>95</v>
      </c>
      <c r="B6" s="312"/>
      <c r="C6" s="312"/>
      <c r="D6" s="777" t="s">
        <v>877</v>
      </c>
      <c r="E6" s="778"/>
      <c r="G6" s="301" t="s">
        <v>97</v>
      </c>
      <c r="H6" s="312"/>
      <c r="I6" s="130"/>
      <c r="J6" s="312"/>
      <c r="K6" s="135">
        <v>4500</v>
      </c>
      <c r="N6" s="821"/>
      <c r="O6" s="822"/>
      <c r="P6" s="342" t="s">
        <v>616</v>
      </c>
      <c r="Q6" s="342"/>
      <c r="R6" s="342"/>
      <c r="S6" s="342"/>
      <c r="T6" s="342"/>
      <c r="U6" s="342"/>
      <c r="V6" s="342"/>
      <c r="W6" s="342"/>
      <c r="X6" s="342"/>
      <c r="Y6" s="338"/>
      <c r="AZ6" s="126"/>
    </row>
    <row r="7" spans="1:53" s="127" customFormat="1" ht="14.25" customHeight="1" outlineLevel="1">
      <c r="A7" s="311" t="s">
        <v>96</v>
      </c>
      <c r="B7" s="312"/>
      <c r="C7" s="312"/>
      <c r="D7" s="777" t="s">
        <v>861</v>
      </c>
      <c r="E7" s="778"/>
      <c r="G7" s="301" t="s">
        <v>714</v>
      </c>
      <c r="H7" s="312"/>
      <c r="I7" s="130"/>
      <c r="J7" s="312"/>
      <c r="K7" s="136">
        <v>95</v>
      </c>
      <c r="N7" s="821"/>
      <c r="O7" s="822"/>
      <c r="P7" s="342" t="s">
        <v>617</v>
      </c>
      <c r="Q7" s="342"/>
      <c r="R7" s="342"/>
      <c r="S7" s="342"/>
      <c r="T7" s="342"/>
      <c r="U7" s="342"/>
      <c r="V7" s="342"/>
      <c r="W7" s="342"/>
      <c r="X7" s="342"/>
      <c r="Y7" s="338"/>
      <c r="AZ7" s="126"/>
    </row>
    <row r="8" spans="1:53" s="127" customFormat="1" ht="14.25" customHeight="1" outlineLevel="1">
      <c r="A8" s="311" t="s">
        <v>69</v>
      </c>
      <c r="B8" s="312"/>
      <c r="C8" s="312"/>
      <c r="D8" s="813">
        <v>42332</v>
      </c>
      <c r="E8" s="814"/>
      <c r="G8" s="301" t="s">
        <v>98</v>
      </c>
      <c r="H8" s="312"/>
      <c r="I8" s="130"/>
      <c r="J8" s="312"/>
      <c r="K8" s="243">
        <f>K6*K7%</f>
        <v>4275</v>
      </c>
      <c r="N8" s="821"/>
      <c r="O8" s="822"/>
      <c r="P8" s="335" t="s">
        <v>618</v>
      </c>
      <c r="Q8" s="335"/>
      <c r="R8" s="335"/>
      <c r="S8" s="335"/>
      <c r="T8" s="335"/>
      <c r="U8" s="335"/>
      <c r="V8" s="335"/>
      <c r="W8" s="335"/>
      <c r="X8" s="335"/>
      <c r="Y8" s="338"/>
      <c r="AZ8" s="126"/>
    </row>
    <row r="9" spans="1:53" s="127" customFormat="1" ht="14.25" customHeight="1" outlineLevel="1">
      <c r="A9" s="311" t="s">
        <v>70</v>
      </c>
      <c r="B9" s="312"/>
      <c r="C9" s="312"/>
      <c r="D9" s="777">
        <v>0</v>
      </c>
      <c r="E9" s="778"/>
      <c r="G9" s="134" t="s">
        <v>715</v>
      </c>
      <c r="H9" s="312"/>
      <c r="I9" s="130"/>
      <c r="J9" s="312"/>
      <c r="K9" s="136">
        <v>89.5</v>
      </c>
      <c r="N9" s="821"/>
      <c r="O9" s="822"/>
      <c r="P9" s="335" t="s">
        <v>619</v>
      </c>
      <c r="Q9" s="335"/>
      <c r="R9" s="335"/>
      <c r="S9" s="335"/>
      <c r="T9" s="335"/>
      <c r="U9" s="335"/>
      <c r="V9" s="335"/>
      <c r="W9" s="335"/>
      <c r="X9" s="335"/>
      <c r="Y9" s="338"/>
      <c r="AZ9" s="126"/>
      <c r="BA9" s="126"/>
    </row>
    <row r="10" spans="1:53" s="127" customFormat="1" ht="14.25" customHeight="1" outlineLevel="1">
      <c r="A10" s="311" t="str">
        <f>D3&amp;" reference"</f>
        <v>Baseline reference</v>
      </c>
      <c r="B10" s="312"/>
      <c r="C10" s="312"/>
      <c r="D10" s="777" t="s">
        <v>866</v>
      </c>
      <c r="E10" s="778"/>
      <c r="G10" s="134" t="s">
        <v>100</v>
      </c>
      <c r="H10" s="312"/>
      <c r="I10" s="130"/>
      <c r="J10" s="312"/>
      <c r="K10" s="138">
        <v>3300</v>
      </c>
      <c r="N10" s="823"/>
      <c r="O10" s="824"/>
      <c r="P10" s="342" t="s">
        <v>620</v>
      </c>
      <c r="Q10" s="342"/>
      <c r="R10" s="342"/>
      <c r="S10" s="342"/>
      <c r="T10" s="342"/>
      <c r="U10" s="342"/>
      <c r="V10" s="342"/>
      <c r="W10" s="342"/>
      <c r="X10" s="342"/>
      <c r="Y10" s="339">
        <f>MIN(Y4:Y9)</f>
        <v>12</v>
      </c>
    </row>
    <row r="11" spans="1:53" s="127" customFormat="1" ht="14.25" customHeight="1" outlineLevel="1">
      <c r="A11" s="311" t="s">
        <v>841</v>
      </c>
      <c r="B11" s="312"/>
      <c r="C11" s="312"/>
      <c r="D11" s="783" t="s">
        <v>862</v>
      </c>
      <c r="E11" s="784"/>
      <c r="G11" s="134" t="str">
        <f>"Clinker production volume, t/"&amp;$D$13</f>
        <v>Clinker production volume, t/year</v>
      </c>
      <c r="H11" s="312"/>
      <c r="I11" s="130"/>
      <c r="J11" s="312"/>
      <c r="K11" s="139">
        <f>K6*K7%*D14*K9%</f>
        <v>1396535.625</v>
      </c>
      <c r="R11" s="315"/>
      <c r="S11" s="315"/>
      <c r="T11" s="315"/>
      <c r="U11" s="315"/>
      <c r="V11" s="315"/>
    </row>
    <row r="12" spans="1:53" s="127" customFormat="1" ht="14.25" customHeight="1" outlineLevel="1">
      <c r="A12" s="311" t="s">
        <v>840</v>
      </c>
      <c r="B12" s="312"/>
      <c r="C12" s="312"/>
      <c r="D12" s="783" t="s">
        <v>875</v>
      </c>
      <c r="E12" s="784"/>
      <c r="G12" s="140" t="s">
        <v>102</v>
      </c>
      <c r="H12" s="123"/>
      <c r="I12" s="123"/>
      <c r="J12" s="123"/>
      <c r="K12" s="141">
        <v>0.81</v>
      </c>
      <c r="L12" s="781" t="str">
        <f>IF(OR(CLI=0,AV113=0),"",IF(K12-AV137*2.5*(E70+E71)/CLI&lt;0,"SO3 balance implausible! Please crosscheck clinker SO3 and S content of all fuels.","SO3 balance OK!"))</f>
        <v>SO3 balance OK!</v>
      </c>
      <c r="M12" s="782"/>
      <c r="N12" s="782"/>
      <c r="O12" s="782"/>
      <c r="P12" s="782"/>
      <c r="Q12" s="782"/>
      <c r="R12" s="782"/>
      <c r="S12" s="782"/>
      <c r="T12" s="782"/>
      <c r="U12" s="782"/>
      <c r="V12" s="782"/>
      <c r="W12" s="782"/>
      <c r="X12" s="782"/>
      <c r="Y12" s="782"/>
    </row>
    <row r="13" spans="1:53" s="127" customFormat="1" ht="14.25" customHeight="1" outlineLevel="1">
      <c r="A13" s="311" t="s">
        <v>321</v>
      </c>
      <c r="B13" s="312"/>
      <c r="C13" s="312"/>
      <c r="D13" s="783" t="s">
        <v>320</v>
      </c>
      <c r="E13" s="784"/>
      <c r="G13" s="140" t="s">
        <v>103</v>
      </c>
      <c r="H13" s="123"/>
      <c r="I13" s="123"/>
      <c r="J13" s="123"/>
      <c r="K13" s="141">
        <v>0.67</v>
      </c>
      <c r="L13" s="341"/>
      <c r="M13" s="341"/>
      <c r="N13" s="340"/>
      <c r="O13" s="340"/>
      <c r="P13" s="340"/>
      <c r="Q13" s="340"/>
      <c r="R13" s="340"/>
      <c r="S13" s="340"/>
      <c r="T13" s="340"/>
      <c r="U13" s="340"/>
      <c r="V13" s="340"/>
      <c r="W13" s="285"/>
    </row>
    <row r="14" spans="1:53" s="127" customFormat="1" ht="14.25" customHeight="1" outlineLevel="1">
      <c r="A14" s="377" t="str">
        <f>IF(D13=AK148,"Calender days in an ","Calender days in a ")&amp;D13</f>
        <v>Calender days in an year</v>
      </c>
      <c r="B14" s="376"/>
      <c r="C14" s="312"/>
      <c r="D14" s="785">
        <v>365</v>
      </c>
      <c r="E14" s="786"/>
      <c r="G14" s="140" t="s">
        <v>104</v>
      </c>
      <c r="H14" s="123"/>
      <c r="I14" s="123"/>
      <c r="J14" s="123"/>
      <c r="K14" s="141">
        <v>0.24</v>
      </c>
      <c r="L14" s="341"/>
      <c r="M14" s="341"/>
      <c r="N14" s="147"/>
      <c r="O14" s="147"/>
      <c r="P14" s="147"/>
      <c r="Q14" s="147"/>
      <c r="R14" s="147"/>
      <c r="S14" s="147"/>
      <c r="T14" s="147"/>
      <c r="U14" s="147"/>
      <c r="V14" s="147"/>
      <c r="W14" s="147"/>
    </row>
    <row r="15" spans="1:53" s="127" customFormat="1" ht="14.25" customHeight="1" outlineLevel="1">
      <c r="A15" s="310" t="str">
        <f>"Price of CO2 emission rights, "&amp;LocCur&amp;"/t CO2"</f>
        <v>Price of CO2 emission rights, USD/t CO2</v>
      </c>
      <c r="B15" s="313"/>
      <c r="C15" s="313"/>
      <c r="D15" s="811">
        <v>0</v>
      </c>
      <c r="E15" s="812"/>
      <c r="G15" s="142" t="s">
        <v>99</v>
      </c>
      <c r="H15" s="143"/>
      <c r="I15" s="143"/>
      <c r="J15" s="143"/>
      <c r="K15" s="133">
        <v>50</v>
      </c>
      <c r="L15" s="341"/>
    </row>
    <row r="16" spans="1:53" s="127" customFormat="1" ht="14.25" customHeight="1" outlineLevel="1">
      <c r="K16" s="145"/>
    </row>
    <row r="17" spans="1:64" s="127" customFormat="1" ht="14.25" customHeight="1">
      <c r="A17" s="790" t="s">
        <v>129</v>
      </c>
      <c r="B17" s="791"/>
      <c r="C17" s="791"/>
      <c r="D17" s="791"/>
      <c r="E17" s="791"/>
      <c r="F17" s="791"/>
      <c r="G17" s="792"/>
      <c r="H17" s="588" t="s">
        <v>486</v>
      </c>
      <c r="I17" s="793" t="s">
        <v>854</v>
      </c>
      <c r="J17" s="794"/>
      <c r="K17" s="794"/>
      <c r="L17" s="795"/>
      <c r="M17" s="787" t="s">
        <v>476</v>
      </c>
      <c r="N17" s="788"/>
      <c r="O17" s="788"/>
      <c r="P17" s="788"/>
      <c r="Q17" s="788"/>
      <c r="R17" s="788"/>
      <c r="S17" s="788"/>
      <c r="T17" s="789"/>
      <c r="U17" s="146" t="s">
        <v>315</v>
      </c>
      <c r="V17" s="146" t="s">
        <v>317</v>
      </c>
      <c r="W17" s="805" t="s">
        <v>489</v>
      </c>
      <c r="X17" s="805"/>
      <c r="Y17" s="805"/>
      <c r="Z17" s="290" t="s">
        <v>322</v>
      </c>
      <c r="AA17" s="356" t="s">
        <v>668</v>
      </c>
      <c r="AB17" s="356" t="s">
        <v>669</v>
      </c>
      <c r="AC17" s="275"/>
      <c r="AD17" s="147"/>
      <c r="AE17" s="147"/>
      <c r="AF17" s="147"/>
      <c r="AG17" s="147"/>
      <c r="AH17" s="148"/>
      <c r="AI17" s="149"/>
      <c r="AJ17" s="149"/>
      <c r="AK17" s="149"/>
      <c r="AL17" s="149"/>
      <c r="AM17" s="149"/>
      <c r="AN17" s="149"/>
      <c r="AO17" s="149"/>
      <c r="AP17" s="149"/>
      <c r="AS17" s="149"/>
      <c r="AT17" s="149"/>
      <c r="AU17" s="149"/>
      <c r="AV17" s="149"/>
      <c r="BD17" s="148"/>
      <c r="BE17" s="148"/>
      <c r="BF17" s="148"/>
      <c r="BG17" s="148"/>
      <c r="BH17" s="149"/>
      <c r="BI17" s="149"/>
      <c r="BJ17" s="149"/>
      <c r="BK17" s="149"/>
      <c r="BL17" s="149"/>
    </row>
    <row r="18" spans="1:64" s="127" customFormat="1" ht="14.25" customHeight="1">
      <c r="A18" s="796" t="s">
        <v>5</v>
      </c>
      <c r="B18" s="797"/>
      <c r="C18" s="798"/>
      <c r="D18" s="790" t="s">
        <v>304</v>
      </c>
      <c r="E18" s="792"/>
      <c r="F18" s="296" t="s">
        <v>300</v>
      </c>
      <c r="G18" s="297" t="s">
        <v>502</v>
      </c>
      <c r="H18" s="587" t="s">
        <v>487</v>
      </c>
      <c r="I18" s="587" t="s">
        <v>852</v>
      </c>
      <c r="J18" s="587" t="s">
        <v>488</v>
      </c>
      <c r="K18" s="799" t="s">
        <v>60</v>
      </c>
      <c r="L18" s="799"/>
      <c r="M18" s="298" t="s">
        <v>12</v>
      </c>
      <c r="N18" s="300" t="s">
        <v>6</v>
      </c>
      <c r="O18" s="300" t="s">
        <v>8</v>
      </c>
      <c r="P18" s="300" t="s">
        <v>7</v>
      </c>
      <c r="Q18" s="300" t="s">
        <v>1</v>
      </c>
      <c r="R18" s="150" t="s">
        <v>20</v>
      </c>
      <c r="S18" s="150" t="s">
        <v>21</v>
      </c>
      <c r="T18" s="388" t="s">
        <v>721</v>
      </c>
      <c r="U18" s="150" t="s">
        <v>313</v>
      </c>
      <c r="V18" s="150" t="s">
        <v>316</v>
      </c>
      <c r="W18" s="150"/>
      <c r="X18" s="150"/>
      <c r="Y18" s="150"/>
      <c r="Z18" s="289" t="s">
        <v>426</v>
      </c>
      <c r="AA18" s="355" t="s">
        <v>114</v>
      </c>
      <c r="AB18" s="355" t="s">
        <v>114</v>
      </c>
      <c r="AC18" s="275"/>
      <c r="AD18" s="586"/>
      <c r="AE18" s="147"/>
      <c r="AF18" s="147"/>
      <c r="AG18" s="147"/>
      <c r="AH18" s="148"/>
      <c r="AI18" s="148"/>
      <c r="AJ18" s="148"/>
      <c r="AK18" s="149"/>
      <c r="AL18" s="149"/>
      <c r="AM18" s="149"/>
      <c r="AN18" s="149"/>
      <c r="AO18" s="149"/>
      <c r="AP18" s="149"/>
      <c r="AS18" s="148"/>
      <c r="AT18" s="148"/>
      <c r="AU18" s="148"/>
      <c r="AV18" s="148"/>
      <c r="BD18" s="148"/>
      <c r="BE18" s="148"/>
      <c r="BF18" s="148"/>
      <c r="BG18" s="148"/>
      <c r="BH18" s="148"/>
      <c r="BI18" s="148"/>
      <c r="BJ18" s="148"/>
      <c r="BK18" s="148"/>
      <c r="BL18" s="148"/>
    </row>
    <row r="19" spans="1:64" s="127" customFormat="1" ht="14.25" customHeight="1">
      <c r="A19" s="800"/>
      <c r="B19" s="801"/>
      <c r="C19" s="802"/>
      <c r="D19" s="587" t="s">
        <v>302</v>
      </c>
      <c r="E19" s="587" t="s">
        <v>294</v>
      </c>
      <c r="F19" s="296" t="s">
        <v>301</v>
      </c>
      <c r="G19" s="151" t="s">
        <v>114</v>
      </c>
      <c r="H19" s="587" t="s">
        <v>303</v>
      </c>
      <c r="I19" s="587" t="s">
        <v>305</v>
      </c>
      <c r="J19" s="587" t="s">
        <v>853</v>
      </c>
      <c r="K19" s="587" t="s">
        <v>114</v>
      </c>
      <c r="L19" s="587"/>
      <c r="M19" s="300"/>
      <c r="N19" s="300"/>
      <c r="O19" s="300"/>
      <c r="P19" s="300"/>
      <c r="Q19" s="300"/>
      <c r="R19" s="150"/>
      <c r="S19" s="150"/>
      <c r="T19" s="387"/>
      <c r="U19" s="150" t="s">
        <v>314</v>
      </c>
      <c r="V19" s="150"/>
      <c r="W19" s="150"/>
      <c r="X19" s="150"/>
      <c r="Y19" s="150"/>
      <c r="Z19" s="289" t="s">
        <v>548</v>
      </c>
      <c r="AA19" s="355" t="s">
        <v>114</v>
      </c>
      <c r="AB19" s="355" t="s">
        <v>114</v>
      </c>
      <c r="AC19" s="275"/>
      <c r="AD19" s="566"/>
      <c r="AE19" s="147"/>
      <c r="AF19" s="147"/>
      <c r="AG19" s="147"/>
      <c r="AH19" s="148"/>
      <c r="AI19" s="148"/>
      <c r="AJ19" s="148"/>
      <c r="AK19" s="149"/>
      <c r="AL19" s="149"/>
      <c r="AM19" s="149"/>
      <c r="AN19" s="149"/>
      <c r="AO19" s="149"/>
      <c r="AP19" s="149"/>
      <c r="AS19" s="148"/>
      <c r="AT19" s="148"/>
      <c r="AU19" s="148"/>
      <c r="AV19" s="148"/>
      <c r="BD19" s="148"/>
      <c r="BE19" s="148"/>
      <c r="BF19" s="148"/>
      <c r="BG19" s="148"/>
      <c r="BH19" s="148"/>
      <c r="BI19" s="148"/>
      <c r="BJ19" s="148"/>
      <c r="BK19" s="148"/>
      <c r="BL19" s="148"/>
    </row>
    <row r="20" spans="1:64" s="127" customFormat="1" ht="14.25" customHeight="1">
      <c r="A20" s="800"/>
      <c r="B20" s="801"/>
      <c r="C20" s="802"/>
      <c r="D20" s="152" t="str">
        <f>"t AF/"&amp;$D$13</f>
        <v>t AF/year</v>
      </c>
      <c r="E20" s="152" t="str">
        <f>"t AF/"&amp;$D$13</f>
        <v>t AF/year</v>
      </c>
      <c r="F20" s="153" t="s">
        <v>51</v>
      </c>
      <c r="G20" s="271" t="s">
        <v>51</v>
      </c>
      <c r="H20" s="152" t="s">
        <v>3</v>
      </c>
      <c r="I20" s="155" t="str">
        <f t="shared" ref="I20:K20" si="0" xml:space="preserve"> LocCur &amp; "/t AF"</f>
        <v>USD/t AF</v>
      </c>
      <c r="J20" s="155" t="str">
        <f t="shared" si="0"/>
        <v>USD/t AF</v>
      </c>
      <c r="K20" s="155" t="str">
        <f t="shared" si="0"/>
        <v>USD/t AF</v>
      </c>
      <c r="L20" s="155" t="str">
        <f xml:space="preserve"> LocCur &amp; "/GJ"</f>
        <v>USD/GJ</v>
      </c>
      <c r="M20" s="155" t="s">
        <v>820</v>
      </c>
      <c r="N20" s="155" t="s">
        <v>3</v>
      </c>
      <c r="O20" s="155" t="s">
        <v>3</v>
      </c>
      <c r="P20" s="155" t="s">
        <v>3</v>
      </c>
      <c r="Q20" s="155" t="s">
        <v>3</v>
      </c>
      <c r="R20" s="155" t="s">
        <v>3</v>
      </c>
      <c r="S20" s="155" t="s">
        <v>3</v>
      </c>
      <c r="T20" s="155" t="s">
        <v>3</v>
      </c>
      <c r="U20" s="155" t="s">
        <v>485</v>
      </c>
      <c r="V20" s="155" t="s">
        <v>64</v>
      </c>
      <c r="W20" s="155" t="str">
        <f xml:space="preserve"> LocCur &amp; "/" &amp; $D$13</f>
        <v>USD/year</v>
      </c>
      <c r="X20" s="155" t="str">
        <f xml:space="preserve"> LocCur &amp; "/GJ"</f>
        <v>USD/GJ</v>
      </c>
      <c r="Y20" s="155" t="str">
        <f xml:space="preserve"> LocCur &amp; "/t AF"</f>
        <v>USD/t AF</v>
      </c>
      <c r="Z20" s="152" t="s">
        <v>312</v>
      </c>
      <c r="AA20" s="152" t="str">
        <f xml:space="preserve"> LocCur &amp; "/t AF"</f>
        <v>USD/t AF</v>
      </c>
      <c r="AB20" s="152" t="str">
        <f xml:space="preserve"> LocCur &amp; "/t AF"</f>
        <v>USD/t AF</v>
      </c>
      <c r="AC20" s="276"/>
      <c r="AD20" s="566"/>
      <c r="AE20" s="147"/>
      <c r="AF20" s="147"/>
      <c r="AG20" s="147"/>
      <c r="AH20" s="148"/>
      <c r="AI20" s="156"/>
      <c r="AJ20" s="156"/>
      <c r="AK20" s="156"/>
      <c r="AL20" s="156"/>
      <c r="AM20" s="156"/>
      <c r="AN20" s="156"/>
      <c r="AO20" s="156"/>
      <c r="AP20" s="156"/>
      <c r="AS20" s="156"/>
      <c r="AT20" s="156"/>
      <c r="AU20" s="156"/>
      <c r="AV20" s="156"/>
      <c r="BD20" s="148"/>
      <c r="BE20" s="148"/>
      <c r="BF20" s="148"/>
      <c r="BG20" s="148"/>
      <c r="BH20" s="156"/>
      <c r="BI20" s="156"/>
      <c r="BJ20" s="156"/>
      <c r="BK20" s="156"/>
      <c r="BL20" s="156"/>
    </row>
    <row r="21" spans="1:64" s="127" customFormat="1" ht="14.25" customHeight="1">
      <c r="A21" s="157" t="s">
        <v>863</v>
      </c>
      <c r="B21" s="596"/>
      <c r="C21" s="158"/>
      <c r="D21" s="159">
        <v>1500</v>
      </c>
      <c r="E21" s="160">
        <v>1500</v>
      </c>
      <c r="F21" s="161" t="s">
        <v>105</v>
      </c>
      <c r="G21" s="161" t="s">
        <v>509</v>
      </c>
      <c r="H21" s="162">
        <f t="shared" ref="H21:H52" si="1">IF($AV$114=0,0,E21*M21/$AV$114*100)</f>
        <v>1.3084357325336038</v>
      </c>
      <c r="I21" s="163">
        <v>510</v>
      </c>
      <c r="J21" s="163">
        <v>20</v>
      </c>
      <c r="K21" s="165">
        <f>I21+J21</f>
        <v>530</v>
      </c>
      <c r="L21" s="165">
        <f t="shared" ref="L21:L69" si="2">IF(M21=0,0,K21/M21)</f>
        <v>13.184079601990049</v>
      </c>
      <c r="M21" s="278">
        <v>40.200000000000003</v>
      </c>
      <c r="N21" s="136"/>
      <c r="O21" s="136"/>
      <c r="P21" s="166"/>
      <c r="Q21" s="141">
        <v>1.4</v>
      </c>
      <c r="R21" s="141"/>
      <c r="S21" s="141"/>
      <c r="T21" s="141"/>
      <c r="U21" s="167"/>
      <c r="V21" s="167"/>
      <c r="W21" s="168">
        <f>IF(LEFT(G21,2)=$AN$147,IF(L21=0,0,($L$70-L21)*M21*E21+$D$15*($AV$146+$AV$147)/$AV$114*(E21*M21*V21/100)),0)</f>
        <v>0</v>
      </c>
      <c r="X21" s="169">
        <f t="shared" ref="X21:X52" si="3">IF(W21=0,0,W21/(M21*E21))</f>
        <v>0</v>
      </c>
      <c r="Y21" s="169">
        <f t="shared" ref="Y21:Y52" si="4">IF(W21=0,0,W21/E21)</f>
        <v>0</v>
      </c>
      <c r="Z21" s="227">
        <f t="shared" ref="Z21:Z69" si="5">IF(M21&lt;=0.1,-2.45*N21%,0)</f>
        <v>0</v>
      </c>
      <c r="AA21" s="226">
        <f t="shared" ref="AA21:AA52" si="6">IF(LEFT(G21,2)=$AN$147,-K21,0)</f>
        <v>0</v>
      </c>
      <c r="AB21" s="226">
        <f t="shared" ref="AB21:AB52" si="7">IF(LEFT(G21,2)=$AN$147,$L$70*M21,0)</f>
        <v>0</v>
      </c>
      <c r="AC21" s="277"/>
      <c r="AD21" s="277"/>
      <c r="AE21" s="147"/>
      <c r="AF21" s="149"/>
      <c r="AG21" s="570"/>
      <c r="AH21" s="156"/>
      <c r="AI21" s="156"/>
      <c r="AJ21" s="156"/>
      <c r="AK21" s="156"/>
      <c r="AL21" s="156"/>
      <c r="AM21" s="156"/>
      <c r="AN21" s="156"/>
      <c r="AO21" s="156"/>
      <c r="AP21" s="156"/>
      <c r="AS21" s="170"/>
      <c r="AT21" s="170"/>
      <c r="AU21" s="170"/>
      <c r="AV21" s="156"/>
      <c r="BD21" s="156"/>
      <c r="BE21" s="156"/>
      <c r="BF21" s="156"/>
      <c r="BG21" s="156"/>
      <c r="BH21" s="156"/>
      <c r="BI21" s="156"/>
      <c r="BJ21" s="156"/>
      <c r="BK21" s="156"/>
      <c r="BL21" s="156"/>
    </row>
    <row r="22" spans="1:64" s="127" customFormat="1" ht="14.25" customHeight="1">
      <c r="A22" s="157" t="s">
        <v>864</v>
      </c>
      <c r="B22" s="596"/>
      <c r="C22" s="158"/>
      <c r="D22" s="159">
        <v>200000</v>
      </c>
      <c r="E22" s="160">
        <v>69926</v>
      </c>
      <c r="F22" s="161" t="s">
        <v>105</v>
      </c>
      <c r="G22" s="161" t="s">
        <v>507</v>
      </c>
      <c r="H22" s="162">
        <f t="shared" si="1"/>
        <v>38.691355959290078</v>
      </c>
      <c r="I22" s="163">
        <v>125</v>
      </c>
      <c r="J22" s="163">
        <v>13</v>
      </c>
      <c r="K22" s="165">
        <f t="shared" ref="K22:K69" si="8">I22+J22</f>
        <v>138</v>
      </c>
      <c r="L22" s="165">
        <f t="shared" si="2"/>
        <v>5.4117647058823533</v>
      </c>
      <c r="M22" s="278">
        <v>25.5</v>
      </c>
      <c r="N22" s="136">
        <v>1.2</v>
      </c>
      <c r="O22" s="136">
        <v>16</v>
      </c>
      <c r="P22" s="166">
        <v>0.02</v>
      </c>
      <c r="Q22" s="141">
        <v>0.9</v>
      </c>
      <c r="R22" s="141">
        <v>0.21</v>
      </c>
      <c r="S22" s="141">
        <v>0.12</v>
      </c>
      <c r="T22" s="141"/>
      <c r="U22" s="167"/>
      <c r="V22" s="167"/>
      <c r="W22" s="168">
        <f t="shared" ref="W22:W69" si="9">IF(LEFT(G22,2)=$AN$147,IF(L22=0,0,($L$70-L22)*M22*E22+$D$15*($AV$146+$AV$147)/$AV$114*(E22*M22*V22/100)),0)</f>
        <v>0</v>
      </c>
      <c r="X22" s="169">
        <f t="shared" si="3"/>
        <v>0</v>
      </c>
      <c r="Y22" s="169">
        <f t="shared" si="4"/>
        <v>0</v>
      </c>
      <c r="Z22" s="227">
        <f t="shared" si="5"/>
        <v>0</v>
      </c>
      <c r="AA22" s="226">
        <f t="shared" si="6"/>
        <v>0</v>
      </c>
      <c r="AB22" s="226">
        <f t="shared" si="7"/>
        <v>0</v>
      </c>
      <c r="AC22" s="277"/>
      <c r="AD22" s="277"/>
      <c r="AE22" s="147"/>
      <c r="AF22" s="149"/>
      <c r="AG22" s="570"/>
      <c r="AH22" s="156"/>
      <c r="AI22" s="156"/>
      <c r="AJ22" s="156"/>
      <c r="AK22" s="156"/>
      <c r="AL22" s="156"/>
      <c r="AM22" s="156"/>
      <c r="AN22" s="156"/>
      <c r="AO22" s="156"/>
      <c r="AP22" s="156"/>
      <c r="AS22" s="170"/>
      <c r="AT22" s="170"/>
      <c r="AU22" s="170"/>
      <c r="AV22" s="156"/>
      <c r="BD22" s="156"/>
      <c r="BE22" s="156"/>
      <c r="BF22" s="156"/>
      <c r="BG22" s="156"/>
      <c r="BH22" s="156"/>
      <c r="BI22" s="156"/>
      <c r="BJ22" s="156"/>
      <c r="BK22" s="156"/>
      <c r="BL22" s="156"/>
    </row>
    <row r="23" spans="1:64" s="127" customFormat="1" ht="14.25" customHeight="1">
      <c r="A23" s="157" t="s">
        <v>864</v>
      </c>
      <c r="B23" s="596"/>
      <c r="C23" s="158"/>
      <c r="D23" s="159">
        <v>200000</v>
      </c>
      <c r="E23" s="160">
        <v>108437</v>
      </c>
      <c r="F23" s="161" t="s">
        <v>308</v>
      </c>
      <c r="G23" s="161" t="s">
        <v>507</v>
      </c>
      <c r="H23" s="162">
        <f t="shared" si="1"/>
        <v>60.000208308176326</v>
      </c>
      <c r="I23" s="163">
        <v>125</v>
      </c>
      <c r="J23" s="163">
        <v>13</v>
      </c>
      <c r="K23" s="165">
        <f t="shared" si="8"/>
        <v>138</v>
      </c>
      <c r="L23" s="165">
        <f t="shared" si="2"/>
        <v>5.4117647058823533</v>
      </c>
      <c r="M23" s="278">
        <v>25.5</v>
      </c>
      <c r="N23" s="136">
        <v>1.2</v>
      </c>
      <c r="O23" s="136">
        <v>16</v>
      </c>
      <c r="P23" s="166">
        <v>0.02</v>
      </c>
      <c r="Q23" s="141">
        <v>0.9</v>
      </c>
      <c r="R23" s="141">
        <v>0.21</v>
      </c>
      <c r="S23" s="141">
        <v>0.12</v>
      </c>
      <c r="T23" s="141"/>
      <c r="U23" s="167"/>
      <c r="V23" s="167"/>
      <c r="W23" s="168">
        <f t="shared" si="9"/>
        <v>0</v>
      </c>
      <c r="X23" s="169">
        <f t="shared" si="3"/>
        <v>0</v>
      </c>
      <c r="Y23" s="169">
        <f t="shared" si="4"/>
        <v>0</v>
      </c>
      <c r="Z23" s="227">
        <f t="shared" si="5"/>
        <v>0</v>
      </c>
      <c r="AA23" s="226">
        <f t="shared" si="6"/>
        <v>0</v>
      </c>
      <c r="AB23" s="226">
        <f t="shared" si="7"/>
        <v>0</v>
      </c>
      <c r="AC23" s="277"/>
      <c r="AD23" s="277"/>
      <c r="AE23" s="147"/>
      <c r="AF23" s="149"/>
      <c r="AG23" s="570"/>
      <c r="AH23" s="156"/>
      <c r="AI23" s="156"/>
      <c r="AJ23" s="156"/>
      <c r="AK23" s="156"/>
      <c r="AL23" s="156"/>
      <c r="AM23" s="156"/>
      <c r="AN23" s="156"/>
      <c r="AO23" s="156"/>
      <c r="AP23" s="156"/>
      <c r="AS23" s="170"/>
      <c r="AT23" s="170"/>
      <c r="AU23" s="170"/>
      <c r="AV23" s="156"/>
      <c r="BD23" s="156"/>
      <c r="BE23" s="156"/>
      <c r="BF23" s="156"/>
      <c r="BG23" s="156"/>
      <c r="BH23" s="156"/>
      <c r="BI23" s="156"/>
      <c r="BJ23" s="156"/>
      <c r="BK23" s="156"/>
      <c r="BL23" s="156"/>
    </row>
    <row r="24" spans="1:64" s="127" customFormat="1" ht="14.25" customHeight="1">
      <c r="A24" s="157"/>
      <c r="B24" s="596"/>
      <c r="C24" s="158"/>
      <c r="D24" s="159"/>
      <c r="E24" s="160"/>
      <c r="F24" s="161"/>
      <c r="G24" s="161"/>
      <c r="H24" s="162">
        <f t="shared" si="1"/>
        <v>0</v>
      </c>
      <c r="I24" s="163"/>
      <c r="J24" s="163"/>
      <c r="K24" s="165">
        <f t="shared" si="8"/>
        <v>0</v>
      </c>
      <c r="L24" s="165">
        <f t="shared" si="2"/>
        <v>0</v>
      </c>
      <c r="M24" s="278"/>
      <c r="N24" s="136"/>
      <c r="O24" s="136"/>
      <c r="P24" s="166"/>
      <c r="Q24" s="141"/>
      <c r="R24" s="141"/>
      <c r="S24" s="141"/>
      <c r="T24" s="141"/>
      <c r="U24" s="167"/>
      <c r="V24" s="167"/>
      <c r="W24" s="168">
        <f t="shared" si="9"/>
        <v>0</v>
      </c>
      <c r="X24" s="169">
        <f t="shared" si="3"/>
        <v>0</v>
      </c>
      <c r="Y24" s="169">
        <f t="shared" si="4"/>
        <v>0</v>
      </c>
      <c r="Z24" s="227">
        <f t="shared" si="5"/>
        <v>0</v>
      </c>
      <c r="AA24" s="226">
        <f t="shared" si="6"/>
        <v>0</v>
      </c>
      <c r="AB24" s="226">
        <f t="shared" si="7"/>
        <v>0</v>
      </c>
      <c r="AC24" s="277"/>
      <c r="AD24" s="277"/>
      <c r="AE24" s="147"/>
      <c r="AF24" s="149"/>
      <c r="AG24" s="570"/>
      <c r="AH24" s="156"/>
      <c r="AI24" s="156"/>
      <c r="AJ24" s="156"/>
      <c r="AK24" s="156"/>
      <c r="AL24" s="156"/>
      <c r="AM24" s="156"/>
      <c r="AN24" s="156"/>
      <c r="AO24" s="156"/>
      <c r="AP24" s="156"/>
      <c r="AS24" s="170"/>
      <c r="AT24" s="170"/>
      <c r="AU24" s="170"/>
      <c r="AV24" s="156"/>
      <c r="BD24" s="156"/>
      <c r="BE24" s="156"/>
      <c r="BF24" s="156"/>
      <c r="BG24" s="156"/>
      <c r="BH24" s="156"/>
      <c r="BI24" s="156"/>
      <c r="BJ24" s="156"/>
      <c r="BK24" s="156"/>
      <c r="BL24" s="156"/>
    </row>
    <row r="25" spans="1:64" s="127" customFormat="1" ht="14.25" customHeight="1">
      <c r="A25" s="157"/>
      <c r="B25" s="596"/>
      <c r="C25" s="158"/>
      <c r="D25" s="159"/>
      <c r="E25" s="160"/>
      <c r="F25" s="161"/>
      <c r="G25" s="161"/>
      <c r="H25" s="162">
        <f t="shared" si="1"/>
        <v>0</v>
      </c>
      <c r="I25" s="163"/>
      <c r="J25" s="163"/>
      <c r="K25" s="165">
        <f t="shared" si="8"/>
        <v>0</v>
      </c>
      <c r="L25" s="165">
        <f t="shared" si="2"/>
        <v>0</v>
      </c>
      <c r="M25" s="278"/>
      <c r="N25" s="136"/>
      <c r="O25" s="136"/>
      <c r="P25" s="166"/>
      <c r="Q25" s="141"/>
      <c r="R25" s="141"/>
      <c r="S25" s="141"/>
      <c r="T25" s="141"/>
      <c r="U25" s="167"/>
      <c r="V25" s="167"/>
      <c r="W25" s="168">
        <f t="shared" si="9"/>
        <v>0</v>
      </c>
      <c r="X25" s="169">
        <f t="shared" si="3"/>
        <v>0</v>
      </c>
      <c r="Y25" s="169">
        <f t="shared" si="4"/>
        <v>0</v>
      </c>
      <c r="Z25" s="227">
        <f t="shared" si="5"/>
        <v>0</v>
      </c>
      <c r="AA25" s="226">
        <f t="shared" si="6"/>
        <v>0</v>
      </c>
      <c r="AB25" s="226">
        <f t="shared" si="7"/>
        <v>0</v>
      </c>
      <c r="AC25" s="277"/>
      <c r="AD25" s="277"/>
      <c r="AE25" s="147"/>
      <c r="AF25" s="149"/>
      <c r="AG25" s="570"/>
      <c r="AH25" s="156"/>
      <c r="AI25" s="156"/>
      <c r="AJ25" s="156"/>
      <c r="AK25" s="156"/>
      <c r="AL25" s="156"/>
      <c r="AM25" s="156"/>
      <c r="AN25" s="156"/>
      <c r="AO25" s="156"/>
      <c r="AP25" s="156"/>
      <c r="AS25" s="170"/>
      <c r="AT25" s="170"/>
      <c r="AU25" s="170"/>
      <c r="AV25" s="156"/>
      <c r="BD25" s="156"/>
      <c r="BE25" s="156"/>
      <c r="BF25" s="156"/>
      <c r="BG25" s="156"/>
      <c r="BH25" s="156"/>
      <c r="BI25" s="156"/>
      <c r="BJ25" s="156"/>
      <c r="BK25" s="156"/>
      <c r="BL25" s="156"/>
    </row>
    <row r="26" spans="1:64" s="127" customFormat="1" ht="14.25" customHeight="1">
      <c r="A26" s="157"/>
      <c r="B26" s="596"/>
      <c r="C26" s="158"/>
      <c r="D26" s="159"/>
      <c r="E26" s="160"/>
      <c r="F26" s="161"/>
      <c r="G26" s="161"/>
      <c r="H26" s="162">
        <f t="shared" si="1"/>
        <v>0</v>
      </c>
      <c r="I26" s="163"/>
      <c r="J26" s="163"/>
      <c r="K26" s="165">
        <f t="shared" si="8"/>
        <v>0</v>
      </c>
      <c r="L26" s="165">
        <f t="shared" si="2"/>
        <v>0</v>
      </c>
      <c r="M26" s="278"/>
      <c r="N26" s="136"/>
      <c r="O26" s="136"/>
      <c r="P26" s="166"/>
      <c r="Q26" s="141"/>
      <c r="R26" s="141"/>
      <c r="S26" s="141"/>
      <c r="T26" s="141"/>
      <c r="U26" s="167"/>
      <c r="V26" s="167"/>
      <c r="W26" s="168">
        <f t="shared" si="9"/>
        <v>0</v>
      </c>
      <c r="X26" s="169">
        <f t="shared" si="3"/>
        <v>0</v>
      </c>
      <c r="Y26" s="169">
        <f t="shared" si="4"/>
        <v>0</v>
      </c>
      <c r="Z26" s="227">
        <f t="shared" si="5"/>
        <v>0</v>
      </c>
      <c r="AA26" s="226">
        <f t="shared" si="6"/>
        <v>0</v>
      </c>
      <c r="AB26" s="226">
        <f t="shared" si="7"/>
        <v>0</v>
      </c>
      <c r="AC26" s="277"/>
      <c r="AD26" s="277"/>
      <c r="AE26" s="147"/>
      <c r="AF26" s="149"/>
      <c r="AG26" s="570"/>
      <c r="AH26" s="156"/>
      <c r="AI26" s="156"/>
      <c r="AJ26" s="156"/>
      <c r="AK26" s="156"/>
      <c r="AL26" s="156"/>
      <c r="AM26" s="156"/>
      <c r="AN26" s="156"/>
      <c r="AO26" s="156"/>
      <c r="AP26" s="156"/>
      <c r="AS26" s="170"/>
      <c r="AT26" s="170"/>
      <c r="AU26" s="170"/>
      <c r="AV26" s="156"/>
      <c r="BD26" s="156"/>
      <c r="BE26" s="156"/>
      <c r="BF26" s="156"/>
      <c r="BG26" s="156"/>
      <c r="BH26" s="156"/>
      <c r="BI26" s="156"/>
      <c r="BJ26" s="156"/>
      <c r="BK26" s="156"/>
      <c r="BL26" s="156"/>
    </row>
    <row r="27" spans="1:64" s="127" customFormat="1" ht="14.25" customHeight="1">
      <c r="A27" s="157"/>
      <c r="B27" s="596"/>
      <c r="C27" s="158"/>
      <c r="D27" s="159"/>
      <c r="E27" s="160"/>
      <c r="F27" s="161"/>
      <c r="G27" s="161"/>
      <c r="H27" s="162">
        <f t="shared" si="1"/>
        <v>0</v>
      </c>
      <c r="I27" s="163"/>
      <c r="J27" s="163"/>
      <c r="K27" s="165">
        <f t="shared" si="8"/>
        <v>0</v>
      </c>
      <c r="L27" s="165">
        <f t="shared" si="2"/>
        <v>0</v>
      </c>
      <c r="M27" s="278"/>
      <c r="N27" s="136"/>
      <c r="O27" s="136"/>
      <c r="P27" s="166"/>
      <c r="Q27" s="141"/>
      <c r="R27" s="141"/>
      <c r="S27" s="141"/>
      <c r="T27" s="141"/>
      <c r="U27" s="167"/>
      <c r="V27" s="167"/>
      <c r="W27" s="168">
        <f t="shared" si="9"/>
        <v>0</v>
      </c>
      <c r="X27" s="169">
        <f t="shared" si="3"/>
        <v>0</v>
      </c>
      <c r="Y27" s="169">
        <f t="shared" si="4"/>
        <v>0</v>
      </c>
      <c r="Z27" s="227">
        <f t="shared" si="5"/>
        <v>0</v>
      </c>
      <c r="AA27" s="226">
        <f t="shared" si="6"/>
        <v>0</v>
      </c>
      <c r="AB27" s="226">
        <f t="shared" si="7"/>
        <v>0</v>
      </c>
      <c r="AC27" s="277"/>
      <c r="AD27" s="277"/>
      <c r="AE27" s="147"/>
      <c r="AF27" s="149"/>
      <c r="AG27" s="570"/>
      <c r="AH27" s="156"/>
      <c r="AI27" s="156"/>
      <c r="AJ27" s="156"/>
      <c r="AK27" s="156"/>
      <c r="AL27" s="156"/>
      <c r="AM27" s="156"/>
      <c r="AN27" s="156"/>
      <c r="AO27" s="156"/>
      <c r="AP27" s="156"/>
      <c r="AS27" s="170"/>
      <c r="AT27" s="170"/>
      <c r="AU27" s="170"/>
      <c r="AV27" s="156"/>
      <c r="BD27" s="156"/>
      <c r="BE27" s="156"/>
      <c r="BF27" s="156"/>
      <c r="BG27" s="156"/>
      <c r="BH27" s="156"/>
      <c r="BI27" s="156"/>
      <c r="BJ27" s="156"/>
      <c r="BK27" s="156"/>
      <c r="BL27" s="156"/>
    </row>
    <row r="28" spans="1:64" s="127" customFormat="1" ht="14.25" customHeight="1">
      <c r="A28" s="157"/>
      <c r="B28" s="596"/>
      <c r="C28" s="158"/>
      <c r="D28" s="159"/>
      <c r="E28" s="160"/>
      <c r="F28" s="161"/>
      <c r="G28" s="161"/>
      <c r="H28" s="162">
        <f t="shared" si="1"/>
        <v>0</v>
      </c>
      <c r="I28" s="163"/>
      <c r="J28" s="163"/>
      <c r="K28" s="165">
        <f t="shared" si="8"/>
        <v>0</v>
      </c>
      <c r="L28" s="165">
        <f t="shared" si="2"/>
        <v>0</v>
      </c>
      <c r="M28" s="278"/>
      <c r="N28" s="136"/>
      <c r="O28" s="136"/>
      <c r="P28" s="166"/>
      <c r="Q28" s="141"/>
      <c r="R28" s="141"/>
      <c r="S28" s="141"/>
      <c r="T28" s="141"/>
      <c r="U28" s="167"/>
      <c r="V28" s="167"/>
      <c r="W28" s="168">
        <f t="shared" si="9"/>
        <v>0</v>
      </c>
      <c r="X28" s="169">
        <f t="shared" si="3"/>
        <v>0</v>
      </c>
      <c r="Y28" s="169">
        <f t="shared" si="4"/>
        <v>0</v>
      </c>
      <c r="Z28" s="227">
        <f t="shared" si="5"/>
        <v>0</v>
      </c>
      <c r="AA28" s="226">
        <f t="shared" si="6"/>
        <v>0</v>
      </c>
      <c r="AB28" s="226">
        <f t="shared" si="7"/>
        <v>0</v>
      </c>
      <c r="AC28" s="277"/>
      <c r="AD28" s="277"/>
      <c r="AE28" s="147"/>
      <c r="AF28" s="149"/>
      <c r="AG28" s="570"/>
      <c r="AH28" s="156"/>
      <c r="AI28" s="156"/>
      <c r="AJ28" s="156"/>
      <c r="AK28" s="156"/>
      <c r="AL28" s="156"/>
      <c r="AM28" s="156"/>
      <c r="AN28" s="156"/>
      <c r="AO28" s="156"/>
      <c r="AP28" s="156"/>
      <c r="AS28" s="170"/>
      <c r="AT28" s="170"/>
      <c r="AU28" s="170"/>
      <c r="AV28" s="156"/>
      <c r="BD28" s="156"/>
      <c r="BE28" s="156"/>
      <c r="BF28" s="156"/>
      <c r="BG28" s="156"/>
      <c r="BH28" s="156"/>
      <c r="BI28" s="156"/>
      <c r="BJ28" s="156"/>
      <c r="BK28" s="156"/>
      <c r="BL28" s="156"/>
    </row>
    <row r="29" spans="1:64" s="127" customFormat="1" ht="14.25" customHeight="1">
      <c r="A29" s="157"/>
      <c r="B29" s="596"/>
      <c r="C29" s="158"/>
      <c r="D29" s="159"/>
      <c r="E29" s="160"/>
      <c r="F29" s="161"/>
      <c r="G29" s="161"/>
      <c r="H29" s="162">
        <f t="shared" si="1"/>
        <v>0</v>
      </c>
      <c r="I29" s="163"/>
      <c r="J29" s="163"/>
      <c r="K29" s="165">
        <f t="shared" si="8"/>
        <v>0</v>
      </c>
      <c r="L29" s="165">
        <f t="shared" si="2"/>
        <v>0</v>
      </c>
      <c r="M29" s="278"/>
      <c r="N29" s="136"/>
      <c r="O29" s="136"/>
      <c r="P29" s="166"/>
      <c r="Q29" s="141"/>
      <c r="R29" s="141"/>
      <c r="S29" s="141"/>
      <c r="T29" s="141"/>
      <c r="U29" s="167"/>
      <c r="V29" s="167"/>
      <c r="W29" s="168">
        <f t="shared" si="9"/>
        <v>0</v>
      </c>
      <c r="X29" s="169">
        <f t="shared" si="3"/>
        <v>0</v>
      </c>
      <c r="Y29" s="169">
        <f t="shared" si="4"/>
        <v>0</v>
      </c>
      <c r="Z29" s="227">
        <f t="shared" si="5"/>
        <v>0</v>
      </c>
      <c r="AA29" s="226">
        <f t="shared" si="6"/>
        <v>0</v>
      </c>
      <c r="AB29" s="226">
        <f t="shared" si="7"/>
        <v>0</v>
      </c>
      <c r="AC29" s="277"/>
      <c r="AD29" s="277"/>
      <c r="AE29" s="147"/>
      <c r="AF29" s="149"/>
      <c r="AG29" s="570"/>
      <c r="AH29" s="156"/>
      <c r="AI29" s="156"/>
      <c r="AJ29" s="156"/>
      <c r="AK29" s="156"/>
      <c r="AL29" s="156"/>
      <c r="AM29" s="156"/>
      <c r="AN29" s="156"/>
      <c r="AO29" s="156"/>
      <c r="AP29" s="156"/>
      <c r="AS29" s="170"/>
      <c r="AT29" s="170"/>
      <c r="AU29" s="170"/>
      <c r="AV29" s="156"/>
      <c r="BD29" s="156"/>
      <c r="BE29" s="156"/>
      <c r="BF29" s="156"/>
      <c r="BG29" s="156"/>
      <c r="BH29" s="156"/>
      <c r="BI29" s="156"/>
      <c r="BJ29" s="156"/>
      <c r="BK29" s="156"/>
      <c r="BL29" s="156"/>
    </row>
    <row r="30" spans="1:64" s="127" customFormat="1" ht="14.25" customHeight="1">
      <c r="A30" s="157"/>
      <c r="B30" s="596"/>
      <c r="C30" s="158"/>
      <c r="D30" s="159"/>
      <c r="E30" s="160"/>
      <c r="F30" s="161"/>
      <c r="G30" s="161"/>
      <c r="H30" s="162">
        <f t="shared" si="1"/>
        <v>0</v>
      </c>
      <c r="I30" s="163"/>
      <c r="J30" s="163"/>
      <c r="K30" s="165">
        <f t="shared" si="8"/>
        <v>0</v>
      </c>
      <c r="L30" s="165">
        <f t="shared" si="2"/>
        <v>0</v>
      </c>
      <c r="M30" s="278"/>
      <c r="N30" s="136"/>
      <c r="O30" s="136"/>
      <c r="P30" s="166"/>
      <c r="Q30" s="141"/>
      <c r="R30" s="141"/>
      <c r="S30" s="141"/>
      <c r="T30" s="141"/>
      <c r="U30" s="167"/>
      <c r="V30" s="167"/>
      <c r="W30" s="168">
        <f t="shared" si="9"/>
        <v>0</v>
      </c>
      <c r="X30" s="169">
        <f t="shared" si="3"/>
        <v>0</v>
      </c>
      <c r="Y30" s="169">
        <f t="shared" si="4"/>
        <v>0</v>
      </c>
      <c r="Z30" s="227">
        <f t="shared" si="5"/>
        <v>0</v>
      </c>
      <c r="AA30" s="226">
        <f t="shared" si="6"/>
        <v>0</v>
      </c>
      <c r="AB30" s="226">
        <f t="shared" si="7"/>
        <v>0</v>
      </c>
      <c r="AC30" s="277"/>
      <c r="AD30" s="277"/>
      <c r="AE30" s="147"/>
      <c r="AF30" s="149"/>
      <c r="AG30" s="570"/>
      <c r="AH30" s="156"/>
      <c r="AI30" s="156"/>
      <c r="AJ30" s="156"/>
      <c r="AK30" s="156"/>
      <c r="AL30" s="156"/>
      <c r="AM30" s="156"/>
      <c r="AN30" s="156"/>
      <c r="AO30" s="156"/>
      <c r="AP30" s="156"/>
      <c r="AS30" s="170"/>
      <c r="AT30" s="170"/>
      <c r="AU30" s="170"/>
      <c r="AV30" s="156"/>
      <c r="BD30" s="156"/>
      <c r="BE30" s="156"/>
      <c r="BF30" s="156"/>
      <c r="BG30" s="156"/>
      <c r="BH30" s="156"/>
      <c r="BI30" s="156"/>
      <c r="BJ30" s="156"/>
      <c r="BK30" s="156"/>
      <c r="BL30" s="156"/>
    </row>
    <row r="31" spans="1:64" s="127" customFormat="1" ht="14.25" customHeight="1">
      <c r="A31" s="157"/>
      <c r="B31" s="596"/>
      <c r="C31" s="158"/>
      <c r="D31" s="159"/>
      <c r="E31" s="160"/>
      <c r="F31" s="161"/>
      <c r="G31" s="161"/>
      <c r="H31" s="162">
        <f t="shared" si="1"/>
        <v>0</v>
      </c>
      <c r="I31" s="163"/>
      <c r="J31" s="163"/>
      <c r="K31" s="165">
        <f t="shared" si="8"/>
        <v>0</v>
      </c>
      <c r="L31" s="165">
        <f t="shared" si="2"/>
        <v>0</v>
      </c>
      <c r="M31" s="278"/>
      <c r="N31" s="136"/>
      <c r="O31" s="136"/>
      <c r="P31" s="166"/>
      <c r="Q31" s="141"/>
      <c r="R31" s="141"/>
      <c r="S31" s="141"/>
      <c r="T31" s="141"/>
      <c r="U31" s="167"/>
      <c r="V31" s="167"/>
      <c r="W31" s="168">
        <f t="shared" si="9"/>
        <v>0</v>
      </c>
      <c r="X31" s="169">
        <f t="shared" si="3"/>
        <v>0</v>
      </c>
      <c r="Y31" s="169">
        <f t="shared" si="4"/>
        <v>0</v>
      </c>
      <c r="Z31" s="227">
        <f t="shared" si="5"/>
        <v>0</v>
      </c>
      <c r="AA31" s="226">
        <f t="shared" si="6"/>
        <v>0</v>
      </c>
      <c r="AB31" s="226">
        <f t="shared" si="7"/>
        <v>0</v>
      </c>
      <c r="AC31" s="277"/>
      <c r="AD31" s="277"/>
      <c r="AE31" s="147"/>
      <c r="AF31" s="149"/>
      <c r="AG31" s="570"/>
      <c r="AH31" s="156"/>
      <c r="AI31" s="156"/>
      <c r="AJ31" s="156"/>
      <c r="AK31" s="156"/>
      <c r="AL31" s="156"/>
      <c r="AM31" s="156"/>
      <c r="AN31" s="156"/>
      <c r="AO31" s="156"/>
      <c r="AP31" s="156"/>
      <c r="AS31" s="170"/>
      <c r="AT31" s="170"/>
      <c r="AU31" s="170"/>
      <c r="AV31" s="156"/>
      <c r="BD31" s="156"/>
      <c r="BE31" s="156"/>
      <c r="BF31" s="156"/>
      <c r="BG31" s="156"/>
      <c r="BH31" s="156"/>
      <c r="BI31" s="156"/>
      <c r="BJ31" s="156"/>
      <c r="BK31" s="156"/>
      <c r="BL31" s="156"/>
    </row>
    <row r="32" spans="1:64" s="127" customFormat="1" ht="14.25" customHeight="1">
      <c r="A32" s="157"/>
      <c r="B32" s="596"/>
      <c r="C32" s="158"/>
      <c r="D32" s="159"/>
      <c r="E32" s="160"/>
      <c r="F32" s="161"/>
      <c r="G32" s="161"/>
      <c r="H32" s="162">
        <f t="shared" si="1"/>
        <v>0</v>
      </c>
      <c r="I32" s="163"/>
      <c r="J32" s="163"/>
      <c r="K32" s="165">
        <f t="shared" si="8"/>
        <v>0</v>
      </c>
      <c r="L32" s="165">
        <f t="shared" si="2"/>
        <v>0</v>
      </c>
      <c r="M32" s="278"/>
      <c r="N32" s="136"/>
      <c r="O32" s="136"/>
      <c r="P32" s="166"/>
      <c r="Q32" s="141"/>
      <c r="R32" s="141"/>
      <c r="S32" s="141"/>
      <c r="T32" s="141"/>
      <c r="U32" s="167"/>
      <c r="V32" s="167"/>
      <c r="W32" s="168">
        <f t="shared" si="9"/>
        <v>0</v>
      </c>
      <c r="X32" s="169">
        <f t="shared" si="3"/>
        <v>0</v>
      </c>
      <c r="Y32" s="169">
        <f t="shared" si="4"/>
        <v>0</v>
      </c>
      <c r="Z32" s="227">
        <f t="shared" si="5"/>
        <v>0</v>
      </c>
      <c r="AA32" s="226">
        <f t="shared" si="6"/>
        <v>0</v>
      </c>
      <c r="AB32" s="226">
        <f t="shared" si="7"/>
        <v>0</v>
      </c>
      <c r="AC32" s="277"/>
      <c r="AD32" s="277"/>
      <c r="AE32" s="147"/>
      <c r="AF32" s="149"/>
      <c r="AG32" s="570"/>
      <c r="AH32" s="156"/>
      <c r="AI32" s="156"/>
      <c r="AJ32" s="156"/>
      <c r="AK32" s="156"/>
      <c r="AL32" s="156"/>
      <c r="AM32" s="156"/>
      <c r="AN32" s="156"/>
      <c r="AO32" s="156"/>
      <c r="AP32" s="156"/>
      <c r="AS32" s="170"/>
      <c r="AT32" s="170"/>
      <c r="AU32" s="170"/>
      <c r="AV32" s="156"/>
      <c r="BD32" s="156"/>
      <c r="BE32" s="156"/>
      <c r="BF32" s="156"/>
      <c r="BG32" s="156"/>
      <c r="BH32" s="156"/>
      <c r="BI32" s="156"/>
      <c r="BJ32" s="156"/>
      <c r="BK32" s="156"/>
      <c r="BL32" s="156"/>
    </row>
    <row r="33" spans="1:64" s="127" customFormat="1" ht="14.25" customHeight="1">
      <c r="A33" s="157"/>
      <c r="B33" s="596"/>
      <c r="C33" s="158"/>
      <c r="D33" s="159"/>
      <c r="E33" s="160"/>
      <c r="F33" s="161"/>
      <c r="G33" s="161"/>
      <c r="H33" s="162">
        <f t="shared" si="1"/>
        <v>0</v>
      </c>
      <c r="I33" s="163"/>
      <c r="J33" s="163"/>
      <c r="K33" s="165">
        <f t="shared" si="8"/>
        <v>0</v>
      </c>
      <c r="L33" s="165">
        <f t="shared" si="2"/>
        <v>0</v>
      </c>
      <c r="M33" s="278"/>
      <c r="N33" s="136"/>
      <c r="O33" s="136"/>
      <c r="P33" s="166"/>
      <c r="Q33" s="141"/>
      <c r="R33" s="141"/>
      <c r="S33" s="141"/>
      <c r="T33" s="141"/>
      <c r="U33" s="167"/>
      <c r="V33" s="167"/>
      <c r="W33" s="168">
        <f t="shared" si="9"/>
        <v>0</v>
      </c>
      <c r="X33" s="169">
        <f t="shared" si="3"/>
        <v>0</v>
      </c>
      <c r="Y33" s="169">
        <f t="shared" si="4"/>
        <v>0</v>
      </c>
      <c r="Z33" s="227">
        <f t="shared" si="5"/>
        <v>0</v>
      </c>
      <c r="AA33" s="226">
        <f t="shared" si="6"/>
        <v>0</v>
      </c>
      <c r="AB33" s="226">
        <f t="shared" si="7"/>
        <v>0</v>
      </c>
      <c r="AC33" s="277"/>
      <c r="AD33" s="277"/>
      <c r="AE33" s="147"/>
      <c r="AF33" s="149"/>
      <c r="AG33" s="570"/>
      <c r="AH33" s="156"/>
      <c r="AI33" s="156"/>
      <c r="AJ33" s="156"/>
      <c r="AK33" s="156"/>
      <c r="AL33" s="156"/>
      <c r="AM33" s="156"/>
      <c r="AN33" s="156"/>
      <c r="AO33" s="156"/>
      <c r="AP33" s="156"/>
      <c r="AS33" s="170"/>
      <c r="AT33" s="170"/>
      <c r="AU33" s="170"/>
      <c r="AV33" s="156"/>
      <c r="BD33" s="156"/>
      <c r="BE33" s="156"/>
      <c r="BF33" s="156"/>
      <c r="BG33" s="156"/>
      <c r="BH33" s="156"/>
      <c r="BI33" s="156"/>
      <c r="BJ33" s="156"/>
      <c r="BK33" s="156"/>
      <c r="BL33" s="156"/>
    </row>
    <row r="34" spans="1:64" s="127" customFormat="1" ht="14.25" customHeight="1">
      <c r="A34" s="157"/>
      <c r="B34" s="596"/>
      <c r="C34" s="158"/>
      <c r="D34" s="159"/>
      <c r="E34" s="160"/>
      <c r="F34" s="161"/>
      <c r="G34" s="161"/>
      <c r="H34" s="162">
        <f t="shared" si="1"/>
        <v>0</v>
      </c>
      <c r="I34" s="163"/>
      <c r="J34" s="163"/>
      <c r="K34" s="165">
        <f t="shared" si="8"/>
        <v>0</v>
      </c>
      <c r="L34" s="165">
        <f t="shared" si="2"/>
        <v>0</v>
      </c>
      <c r="M34" s="278"/>
      <c r="N34" s="136"/>
      <c r="O34" s="136"/>
      <c r="P34" s="166"/>
      <c r="Q34" s="141"/>
      <c r="R34" s="141"/>
      <c r="S34" s="141"/>
      <c r="T34" s="141"/>
      <c r="U34" s="167"/>
      <c r="V34" s="167"/>
      <c r="W34" s="168">
        <f t="shared" si="9"/>
        <v>0</v>
      </c>
      <c r="X34" s="169">
        <f t="shared" si="3"/>
        <v>0</v>
      </c>
      <c r="Y34" s="169">
        <f t="shared" si="4"/>
        <v>0</v>
      </c>
      <c r="Z34" s="227">
        <f t="shared" si="5"/>
        <v>0</v>
      </c>
      <c r="AA34" s="226">
        <f t="shared" si="6"/>
        <v>0</v>
      </c>
      <c r="AB34" s="226">
        <f t="shared" si="7"/>
        <v>0</v>
      </c>
      <c r="AC34" s="277"/>
      <c r="AD34" s="277"/>
      <c r="AE34" s="147"/>
      <c r="AF34" s="149"/>
      <c r="AG34" s="570"/>
      <c r="AH34" s="156"/>
      <c r="AI34" s="156"/>
      <c r="AJ34" s="156"/>
      <c r="AK34" s="156"/>
      <c r="AL34" s="156"/>
      <c r="AM34" s="156"/>
      <c r="AN34" s="156"/>
      <c r="AO34" s="156"/>
      <c r="AP34" s="156"/>
      <c r="AS34" s="170"/>
      <c r="AT34" s="170"/>
      <c r="AU34" s="170"/>
      <c r="AV34" s="156"/>
      <c r="BD34" s="156"/>
      <c r="BE34" s="156"/>
      <c r="BF34" s="156"/>
      <c r="BG34" s="156"/>
      <c r="BH34" s="156"/>
      <c r="BI34" s="156"/>
      <c r="BJ34" s="156"/>
      <c r="BK34" s="156"/>
      <c r="BL34" s="156"/>
    </row>
    <row r="35" spans="1:64" s="127" customFormat="1" ht="14.25" hidden="1" customHeight="1">
      <c r="A35" s="157"/>
      <c r="B35" s="596"/>
      <c r="C35" s="158"/>
      <c r="D35" s="159"/>
      <c r="E35" s="160"/>
      <c r="F35" s="161"/>
      <c r="G35" s="161"/>
      <c r="H35" s="162">
        <f t="shared" si="1"/>
        <v>0</v>
      </c>
      <c r="I35" s="163"/>
      <c r="J35" s="164"/>
      <c r="K35" s="165">
        <f t="shared" si="8"/>
        <v>0</v>
      </c>
      <c r="L35" s="165">
        <f t="shared" si="2"/>
        <v>0</v>
      </c>
      <c r="M35" s="278"/>
      <c r="N35" s="136"/>
      <c r="O35" s="136"/>
      <c r="P35" s="166"/>
      <c r="Q35" s="141"/>
      <c r="R35" s="141"/>
      <c r="S35" s="141"/>
      <c r="T35" s="141"/>
      <c r="U35" s="167"/>
      <c r="V35" s="167"/>
      <c r="W35" s="168">
        <f t="shared" si="9"/>
        <v>0</v>
      </c>
      <c r="X35" s="169">
        <f t="shared" si="3"/>
        <v>0</v>
      </c>
      <c r="Y35" s="169">
        <f t="shared" si="4"/>
        <v>0</v>
      </c>
      <c r="Z35" s="227">
        <f t="shared" si="5"/>
        <v>0</v>
      </c>
      <c r="AA35" s="226">
        <f t="shared" si="6"/>
        <v>0</v>
      </c>
      <c r="AB35" s="226">
        <f t="shared" si="7"/>
        <v>0</v>
      </c>
      <c r="AC35" s="277"/>
      <c r="AD35" s="147"/>
      <c r="AE35" s="147"/>
      <c r="AF35" s="149"/>
      <c r="AG35" s="570">
        <f>M35*E35</f>
        <v>0</v>
      </c>
      <c r="AH35" s="156">
        <f t="shared" ref="AH35" si="10">AG35*L35</f>
        <v>0</v>
      </c>
      <c r="AI35" s="156"/>
      <c r="AJ35" s="156"/>
      <c r="AK35" s="156"/>
      <c r="AL35" s="156"/>
      <c r="AM35" s="156"/>
      <c r="AN35" s="156"/>
      <c r="AO35" s="156"/>
      <c r="AP35" s="156"/>
      <c r="AS35" s="170"/>
      <c r="AT35" s="170"/>
      <c r="AU35" s="170"/>
      <c r="AV35" s="156"/>
      <c r="BD35" s="156"/>
      <c r="BE35" s="156"/>
      <c r="BF35" s="156"/>
      <c r="BG35" s="156"/>
      <c r="BH35" s="156"/>
      <c r="BI35" s="156"/>
      <c r="BJ35" s="156"/>
      <c r="BK35" s="156"/>
      <c r="BL35" s="156"/>
    </row>
    <row r="36" spans="1:64" s="127" customFormat="1" ht="14.25" hidden="1" customHeight="1">
      <c r="A36" s="157"/>
      <c r="B36" s="596"/>
      <c r="C36" s="158"/>
      <c r="D36" s="159"/>
      <c r="E36" s="160"/>
      <c r="F36" s="161"/>
      <c r="G36" s="161"/>
      <c r="H36" s="162">
        <f t="shared" si="1"/>
        <v>0</v>
      </c>
      <c r="I36" s="163"/>
      <c r="J36" s="164"/>
      <c r="K36" s="165">
        <f t="shared" si="8"/>
        <v>0</v>
      </c>
      <c r="L36" s="165">
        <f t="shared" si="2"/>
        <v>0</v>
      </c>
      <c r="M36" s="278"/>
      <c r="N36" s="136"/>
      <c r="O36" s="136"/>
      <c r="P36" s="166"/>
      <c r="Q36" s="141"/>
      <c r="R36" s="141"/>
      <c r="S36" s="141"/>
      <c r="T36" s="141"/>
      <c r="U36" s="167"/>
      <c r="V36" s="167"/>
      <c r="W36" s="168">
        <f t="shared" si="9"/>
        <v>0</v>
      </c>
      <c r="X36" s="169">
        <f t="shared" si="3"/>
        <v>0</v>
      </c>
      <c r="Y36" s="169">
        <f t="shared" si="4"/>
        <v>0</v>
      </c>
      <c r="Z36" s="227">
        <f t="shared" si="5"/>
        <v>0</v>
      </c>
      <c r="AA36" s="226">
        <f t="shared" si="6"/>
        <v>0</v>
      </c>
      <c r="AB36" s="226">
        <f t="shared" si="7"/>
        <v>0</v>
      </c>
      <c r="AC36" s="277"/>
      <c r="AD36" s="147"/>
      <c r="AE36" s="147"/>
      <c r="AF36" s="149"/>
      <c r="AG36" s="149"/>
      <c r="AH36" s="170" t="e">
        <f>SUM(AH21:AH35)/SUM(AG21:AG35)</f>
        <v>#DIV/0!</v>
      </c>
      <c r="AI36" s="156"/>
      <c r="AJ36" s="156"/>
      <c r="AK36" s="156"/>
      <c r="AL36" s="156"/>
      <c r="AM36" s="156"/>
      <c r="AN36" s="156"/>
      <c r="AO36" s="156"/>
      <c r="AP36" s="156"/>
      <c r="AS36" s="170"/>
      <c r="AT36" s="170"/>
      <c r="AU36" s="170"/>
      <c r="AV36" s="156"/>
      <c r="BD36" s="156"/>
      <c r="BE36" s="156"/>
      <c r="BF36" s="156"/>
      <c r="BG36" s="156"/>
      <c r="BH36" s="156"/>
      <c r="BI36" s="156"/>
      <c r="BJ36" s="156"/>
      <c r="BK36" s="156"/>
      <c r="BL36" s="156"/>
    </row>
    <row r="37" spans="1:64" s="127" customFormat="1" ht="14.25" hidden="1" customHeight="1">
      <c r="A37" s="157"/>
      <c r="B37" s="596"/>
      <c r="C37" s="158"/>
      <c r="D37" s="159"/>
      <c r="E37" s="160"/>
      <c r="F37" s="161"/>
      <c r="G37" s="161"/>
      <c r="H37" s="162">
        <f t="shared" si="1"/>
        <v>0</v>
      </c>
      <c r="I37" s="163"/>
      <c r="J37" s="164"/>
      <c r="K37" s="165">
        <f t="shared" si="8"/>
        <v>0</v>
      </c>
      <c r="L37" s="165">
        <f t="shared" si="2"/>
        <v>0</v>
      </c>
      <c r="M37" s="278"/>
      <c r="N37" s="136"/>
      <c r="O37" s="136"/>
      <c r="P37" s="166"/>
      <c r="Q37" s="141"/>
      <c r="R37" s="141"/>
      <c r="S37" s="141"/>
      <c r="T37" s="141"/>
      <c r="U37" s="167"/>
      <c r="V37" s="167"/>
      <c r="W37" s="168">
        <f t="shared" si="9"/>
        <v>0</v>
      </c>
      <c r="X37" s="169">
        <f t="shared" si="3"/>
        <v>0</v>
      </c>
      <c r="Y37" s="169">
        <f t="shared" si="4"/>
        <v>0</v>
      </c>
      <c r="Z37" s="227">
        <f t="shared" si="5"/>
        <v>0</v>
      </c>
      <c r="AA37" s="226">
        <f t="shared" si="6"/>
        <v>0</v>
      </c>
      <c r="AB37" s="226">
        <f t="shared" si="7"/>
        <v>0</v>
      </c>
      <c r="AC37" s="277"/>
      <c r="AD37" s="147"/>
      <c r="AE37" s="147"/>
      <c r="AF37" s="149"/>
      <c r="AG37" s="149"/>
      <c r="AH37" s="156">
        <f>CLI*1000*(STECsf+AHtf)/1000000</f>
        <v>4608567.5625</v>
      </c>
      <c r="AI37" s="156"/>
      <c r="AJ37" s="156"/>
      <c r="AK37" s="156"/>
      <c r="AL37" s="156"/>
      <c r="AM37" s="156"/>
      <c r="AN37" s="156"/>
      <c r="AO37" s="156"/>
      <c r="AP37" s="156"/>
      <c r="AS37" s="170"/>
      <c r="AT37" s="170"/>
      <c r="AU37" s="170"/>
      <c r="AV37" s="156"/>
      <c r="BD37" s="156"/>
      <c r="BE37" s="156"/>
      <c r="BF37" s="156"/>
      <c r="BG37" s="156"/>
      <c r="BH37" s="156"/>
      <c r="BI37" s="156"/>
      <c r="BJ37" s="156"/>
      <c r="BK37" s="156"/>
      <c r="BL37" s="156"/>
    </row>
    <row r="38" spans="1:64" s="127" customFormat="1" ht="14.25" hidden="1" customHeight="1">
      <c r="A38" s="157"/>
      <c r="B38" s="596"/>
      <c r="C38" s="158"/>
      <c r="D38" s="159"/>
      <c r="E38" s="160"/>
      <c r="F38" s="161"/>
      <c r="G38" s="161"/>
      <c r="H38" s="162">
        <f t="shared" si="1"/>
        <v>0</v>
      </c>
      <c r="I38" s="163"/>
      <c r="J38" s="164"/>
      <c r="K38" s="165">
        <f t="shared" si="8"/>
        <v>0</v>
      </c>
      <c r="L38" s="165">
        <f t="shared" si="2"/>
        <v>0</v>
      </c>
      <c r="M38" s="278"/>
      <c r="N38" s="136"/>
      <c r="O38" s="136"/>
      <c r="P38" s="166"/>
      <c r="Q38" s="141"/>
      <c r="R38" s="141"/>
      <c r="S38" s="141"/>
      <c r="T38" s="141"/>
      <c r="U38" s="167"/>
      <c r="V38" s="167"/>
      <c r="W38" s="168">
        <f t="shared" si="9"/>
        <v>0</v>
      </c>
      <c r="X38" s="169">
        <f t="shared" si="3"/>
        <v>0</v>
      </c>
      <c r="Y38" s="169">
        <f t="shared" si="4"/>
        <v>0</v>
      </c>
      <c r="Z38" s="227">
        <f t="shared" si="5"/>
        <v>0</v>
      </c>
      <c r="AA38" s="226">
        <f t="shared" si="6"/>
        <v>0</v>
      </c>
      <c r="AB38" s="226">
        <f t="shared" si="7"/>
        <v>0</v>
      </c>
      <c r="AC38" s="277"/>
      <c r="AD38" s="147"/>
      <c r="AE38" s="147"/>
      <c r="AF38" s="149"/>
      <c r="AG38" s="149"/>
      <c r="AH38" s="156" t="e">
        <f>AH37*AH36</f>
        <v>#DIV/0!</v>
      </c>
      <c r="AI38" s="156"/>
      <c r="AJ38" s="156"/>
      <c r="AK38" s="156"/>
      <c r="AL38" s="156"/>
      <c r="AM38" s="156"/>
      <c r="AN38" s="156"/>
      <c r="AO38" s="156"/>
      <c r="AP38" s="156"/>
      <c r="AS38" s="170"/>
      <c r="AT38" s="170"/>
      <c r="AU38" s="170"/>
      <c r="AV38" s="156"/>
      <c r="BD38" s="156"/>
      <c r="BE38" s="156"/>
      <c r="BF38" s="156"/>
      <c r="BG38" s="156"/>
      <c r="BH38" s="156"/>
      <c r="BI38" s="156"/>
      <c r="BJ38" s="156"/>
      <c r="BK38" s="156"/>
      <c r="BL38" s="156"/>
    </row>
    <row r="39" spans="1:64" s="127" customFormat="1" ht="14.25" hidden="1" customHeight="1">
      <c r="A39" s="157"/>
      <c r="B39" s="596"/>
      <c r="C39" s="158"/>
      <c r="D39" s="159"/>
      <c r="E39" s="160"/>
      <c r="F39" s="161"/>
      <c r="G39" s="161"/>
      <c r="H39" s="162">
        <f t="shared" si="1"/>
        <v>0</v>
      </c>
      <c r="I39" s="163"/>
      <c r="J39" s="164"/>
      <c r="K39" s="165">
        <f t="shared" si="8"/>
        <v>0</v>
      </c>
      <c r="L39" s="165">
        <f t="shared" si="2"/>
        <v>0</v>
      </c>
      <c r="M39" s="278"/>
      <c r="N39" s="136"/>
      <c r="O39" s="136"/>
      <c r="P39" s="166"/>
      <c r="Q39" s="141"/>
      <c r="R39" s="141"/>
      <c r="S39" s="141"/>
      <c r="T39" s="141"/>
      <c r="U39" s="167"/>
      <c r="V39" s="167"/>
      <c r="W39" s="168">
        <f t="shared" si="9"/>
        <v>0</v>
      </c>
      <c r="X39" s="169">
        <f t="shared" si="3"/>
        <v>0</v>
      </c>
      <c r="Y39" s="169">
        <f t="shared" si="4"/>
        <v>0</v>
      </c>
      <c r="Z39" s="227">
        <f t="shared" si="5"/>
        <v>0</v>
      </c>
      <c r="AA39" s="226">
        <f t="shared" si="6"/>
        <v>0</v>
      </c>
      <c r="AB39" s="226">
        <f t="shared" si="7"/>
        <v>0</v>
      </c>
      <c r="AC39" s="277"/>
      <c r="AD39" s="147"/>
      <c r="AE39" s="147"/>
      <c r="AF39" s="149"/>
      <c r="AG39" s="149"/>
      <c r="AH39" s="156" t="e">
        <f>AH38-TECpY</f>
        <v>#DIV/0!</v>
      </c>
      <c r="AI39" s="156" t="e">
        <f>AH39/1000</f>
        <v>#DIV/0!</v>
      </c>
      <c r="AJ39" s="156"/>
      <c r="AK39" s="156"/>
      <c r="AL39" s="156"/>
      <c r="AM39" s="156"/>
      <c r="AN39" s="156"/>
      <c r="AO39" s="156"/>
      <c r="AP39" s="156"/>
      <c r="AS39" s="170"/>
      <c r="AT39" s="170"/>
      <c r="AU39" s="170"/>
      <c r="AV39" s="156"/>
      <c r="BD39" s="156"/>
      <c r="BE39" s="156"/>
      <c r="BF39" s="156"/>
      <c r="BG39" s="156"/>
      <c r="BH39" s="156"/>
      <c r="BI39" s="156"/>
      <c r="BJ39" s="156"/>
      <c r="BK39" s="156"/>
      <c r="BL39" s="156"/>
    </row>
    <row r="40" spans="1:64" s="127" customFormat="1" ht="14.25" hidden="1" customHeight="1">
      <c r="A40" s="157"/>
      <c r="B40" s="596"/>
      <c r="C40" s="158"/>
      <c r="D40" s="159"/>
      <c r="E40" s="160"/>
      <c r="F40" s="161"/>
      <c r="G40" s="161"/>
      <c r="H40" s="162">
        <f t="shared" si="1"/>
        <v>0</v>
      </c>
      <c r="I40" s="163"/>
      <c r="J40" s="164"/>
      <c r="K40" s="165">
        <f t="shared" si="8"/>
        <v>0</v>
      </c>
      <c r="L40" s="165">
        <f t="shared" si="2"/>
        <v>0</v>
      </c>
      <c r="M40" s="278"/>
      <c r="N40" s="136"/>
      <c r="O40" s="136"/>
      <c r="P40" s="166"/>
      <c r="Q40" s="141"/>
      <c r="R40" s="141"/>
      <c r="S40" s="141"/>
      <c r="T40" s="141"/>
      <c r="U40" s="167"/>
      <c r="V40" s="167"/>
      <c r="W40" s="168">
        <f t="shared" si="9"/>
        <v>0</v>
      </c>
      <c r="X40" s="169">
        <f t="shared" si="3"/>
        <v>0</v>
      </c>
      <c r="Y40" s="169">
        <f t="shared" si="4"/>
        <v>0</v>
      </c>
      <c r="Z40" s="227">
        <f t="shared" si="5"/>
        <v>0</v>
      </c>
      <c r="AA40" s="226">
        <f t="shared" si="6"/>
        <v>0</v>
      </c>
      <c r="AB40" s="226">
        <f t="shared" si="7"/>
        <v>0</v>
      </c>
      <c r="AC40" s="277"/>
      <c r="AD40" s="147"/>
      <c r="AE40" s="147"/>
      <c r="AF40" s="149"/>
      <c r="AG40" s="149"/>
      <c r="AH40" s="193" t="e">
        <f>AH39/Xrate/1000000</f>
        <v>#DIV/0!</v>
      </c>
      <c r="AI40" s="156"/>
      <c r="AJ40" s="156"/>
      <c r="AK40" s="156"/>
      <c r="AL40" s="156"/>
      <c r="AM40" s="156"/>
      <c r="AN40" s="156"/>
      <c r="AO40" s="156"/>
      <c r="AP40" s="156"/>
      <c r="AS40" s="170"/>
      <c r="AT40" s="170"/>
      <c r="AU40" s="170"/>
      <c r="AV40" s="156"/>
      <c r="BD40" s="156"/>
      <c r="BE40" s="156"/>
      <c r="BF40" s="156"/>
      <c r="BG40" s="156"/>
      <c r="BH40" s="156"/>
      <c r="BI40" s="156"/>
      <c r="BJ40" s="156"/>
      <c r="BK40" s="156"/>
      <c r="BL40" s="156"/>
    </row>
    <row r="41" spans="1:64" s="127" customFormat="1" ht="14.25" hidden="1" customHeight="1">
      <c r="A41" s="157"/>
      <c r="B41" s="596"/>
      <c r="C41" s="158"/>
      <c r="D41" s="159"/>
      <c r="E41" s="160"/>
      <c r="F41" s="161"/>
      <c r="G41" s="161"/>
      <c r="H41" s="162">
        <f t="shared" si="1"/>
        <v>0</v>
      </c>
      <c r="I41" s="163"/>
      <c r="J41" s="164"/>
      <c r="K41" s="165">
        <f t="shared" si="8"/>
        <v>0</v>
      </c>
      <c r="L41" s="165">
        <f t="shared" si="2"/>
        <v>0</v>
      </c>
      <c r="M41" s="278"/>
      <c r="N41" s="136"/>
      <c r="O41" s="141"/>
      <c r="P41" s="166"/>
      <c r="Q41" s="141"/>
      <c r="R41" s="141"/>
      <c r="S41" s="141"/>
      <c r="T41" s="141"/>
      <c r="U41" s="167"/>
      <c r="V41" s="167"/>
      <c r="W41" s="168">
        <f t="shared" si="9"/>
        <v>0</v>
      </c>
      <c r="X41" s="169">
        <f t="shared" si="3"/>
        <v>0</v>
      </c>
      <c r="Y41" s="169">
        <f t="shared" si="4"/>
        <v>0</v>
      </c>
      <c r="Z41" s="227">
        <f t="shared" si="5"/>
        <v>0</v>
      </c>
      <c r="AA41" s="226">
        <f t="shared" si="6"/>
        <v>0</v>
      </c>
      <c r="AB41" s="226">
        <f t="shared" si="7"/>
        <v>0</v>
      </c>
      <c r="AC41" s="277"/>
      <c r="AD41" s="147"/>
      <c r="AE41" s="147"/>
      <c r="AF41" s="149"/>
      <c r="AG41" s="149"/>
      <c r="AH41" s="156"/>
      <c r="AI41" s="156"/>
      <c r="AJ41" s="156"/>
      <c r="AK41" s="156"/>
      <c r="AL41" s="156"/>
      <c r="AM41" s="156"/>
      <c r="AN41" s="156"/>
      <c r="AO41" s="156"/>
      <c r="AP41" s="156"/>
      <c r="AS41" s="170"/>
      <c r="AT41" s="170"/>
      <c r="AU41" s="170"/>
      <c r="AV41" s="156"/>
      <c r="BD41" s="156"/>
      <c r="BE41" s="156"/>
      <c r="BF41" s="156"/>
      <c r="BG41" s="156"/>
      <c r="BH41" s="156"/>
      <c r="BI41" s="156"/>
      <c r="BJ41" s="156"/>
      <c r="BK41" s="156"/>
      <c r="BL41" s="156"/>
    </row>
    <row r="42" spans="1:64" s="127" customFormat="1" ht="14.25" hidden="1" customHeight="1">
      <c r="A42" s="157"/>
      <c r="B42" s="596"/>
      <c r="C42" s="158"/>
      <c r="D42" s="159"/>
      <c r="E42" s="160"/>
      <c r="F42" s="161"/>
      <c r="G42" s="161"/>
      <c r="H42" s="162">
        <f t="shared" si="1"/>
        <v>0</v>
      </c>
      <c r="I42" s="163"/>
      <c r="J42" s="164"/>
      <c r="K42" s="165">
        <f t="shared" si="8"/>
        <v>0</v>
      </c>
      <c r="L42" s="165">
        <f t="shared" si="2"/>
        <v>0</v>
      </c>
      <c r="M42" s="278"/>
      <c r="N42" s="136"/>
      <c r="O42" s="136"/>
      <c r="P42" s="166"/>
      <c r="Q42" s="141"/>
      <c r="R42" s="141"/>
      <c r="S42" s="141"/>
      <c r="T42" s="141"/>
      <c r="U42" s="167"/>
      <c r="V42" s="167"/>
      <c r="W42" s="168">
        <f t="shared" si="9"/>
        <v>0</v>
      </c>
      <c r="X42" s="169">
        <f t="shared" si="3"/>
        <v>0</v>
      </c>
      <c r="Y42" s="169">
        <f t="shared" si="4"/>
        <v>0</v>
      </c>
      <c r="Z42" s="227">
        <f t="shared" si="5"/>
        <v>0</v>
      </c>
      <c r="AA42" s="226">
        <f t="shared" si="6"/>
        <v>0</v>
      </c>
      <c r="AB42" s="226">
        <f t="shared" si="7"/>
        <v>0</v>
      </c>
      <c r="AC42" s="277"/>
      <c r="AD42" s="147"/>
      <c r="AE42" s="147"/>
      <c r="AF42" s="149"/>
      <c r="AG42" s="149"/>
      <c r="AH42" s="156"/>
      <c r="AI42" s="156"/>
      <c r="AJ42" s="156"/>
      <c r="AK42" s="156"/>
      <c r="AL42" s="156"/>
      <c r="AM42" s="156"/>
      <c r="AN42" s="156"/>
      <c r="AO42" s="156"/>
      <c r="AP42" s="156"/>
      <c r="AS42" s="170"/>
      <c r="AT42" s="170"/>
      <c r="AU42" s="170"/>
      <c r="AV42" s="156"/>
      <c r="BD42" s="156"/>
      <c r="BE42" s="156"/>
      <c r="BF42" s="156"/>
      <c r="BG42" s="156"/>
      <c r="BH42" s="156"/>
      <c r="BI42" s="156"/>
      <c r="BJ42" s="156"/>
      <c r="BK42" s="156"/>
      <c r="BL42" s="156"/>
    </row>
    <row r="43" spans="1:64" s="127" customFormat="1" ht="14.25" hidden="1" customHeight="1">
      <c r="A43" s="157"/>
      <c r="B43" s="596"/>
      <c r="C43" s="158"/>
      <c r="D43" s="159"/>
      <c r="E43" s="160"/>
      <c r="F43" s="161"/>
      <c r="G43" s="161"/>
      <c r="H43" s="162">
        <f t="shared" si="1"/>
        <v>0</v>
      </c>
      <c r="I43" s="163"/>
      <c r="J43" s="164"/>
      <c r="K43" s="165">
        <f t="shared" si="8"/>
        <v>0</v>
      </c>
      <c r="L43" s="165">
        <f t="shared" si="2"/>
        <v>0</v>
      </c>
      <c r="M43" s="278"/>
      <c r="N43" s="136"/>
      <c r="O43" s="136"/>
      <c r="P43" s="166"/>
      <c r="Q43" s="141"/>
      <c r="R43" s="141"/>
      <c r="S43" s="141"/>
      <c r="T43" s="141"/>
      <c r="U43" s="167"/>
      <c r="V43" s="167"/>
      <c r="W43" s="168">
        <f t="shared" si="9"/>
        <v>0</v>
      </c>
      <c r="X43" s="169">
        <f t="shared" si="3"/>
        <v>0</v>
      </c>
      <c r="Y43" s="169">
        <f t="shared" si="4"/>
        <v>0</v>
      </c>
      <c r="Z43" s="227">
        <f t="shared" si="5"/>
        <v>0</v>
      </c>
      <c r="AA43" s="226">
        <f t="shared" si="6"/>
        <v>0</v>
      </c>
      <c r="AB43" s="226">
        <f t="shared" si="7"/>
        <v>0</v>
      </c>
      <c r="AC43" s="277"/>
      <c r="AD43" s="147"/>
      <c r="AE43" s="147"/>
      <c r="AF43" s="149"/>
      <c r="AG43" s="149"/>
      <c r="AH43" s="156"/>
      <c r="AI43" s="156"/>
      <c r="AJ43" s="156"/>
      <c r="AK43" s="156"/>
      <c r="AL43" s="156"/>
      <c r="AM43" s="156"/>
      <c r="AN43" s="156"/>
      <c r="AO43" s="156"/>
      <c r="AP43" s="156"/>
      <c r="AS43" s="170"/>
      <c r="AT43" s="170"/>
      <c r="AU43" s="170"/>
      <c r="AV43" s="156"/>
      <c r="BD43" s="156"/>
      <c r="BE43" s="156"/>
      <c r="BF43" s="156"/>
      <c r="BG43" s="156"/>
      <c r="BH43" s="156"/>
      <c r="BI43" s="156"/>
      <c r="BJ43" s="156"/>
      <c r="BK43" s="156"/>
      <c r="BL43" s="156"/>
    </row>
    <row r="44" spans="1:64" s="127" customFormat="1" ht="14.25" hidden="1" customHeight="1">
      <c r="A44" s="157"/>
      <c r="B44" s="596"/>
      <c r="C44" s="158"/>
      <c r="D44" s="159"/>
      <c r="E44" s="160"/>
      <c r="F44" s="161"/>
      <c r="G44" s="161"/>
      <c r="H44" s="162">
        <f t="shared" si="1"/>
        <v>0</v>
      </c>
      <c r="I44" s="163"/>
      <c r="J44" s="164"/>
      <c r="K44" s="165">
        <f t="shared" si="8"/>
        <v>0</v>
      </c>
      <c r="L44" s="165">
        <f t="shared" si="2"/>
        <v>0</v>
      </c>
      <c r="M44" s="278"/>
      <c r="N44" s="136"/>
      <c r="O44" s="136"/>
      <c r="P44" s="166"/>
      <c r="Q44" s="141"/>
      <c r="R44" s="141"/>
      <c r="S44" s="141"/>
      <c r="T44" s="141"/>
      <c r="U44" s="167"/>
      <c r="V44" s="167"/>
      <c r="W44" s="168">
        <f t="shared" si="9"/>
        <v>0</v>
      </c>
      <c r="X44" s="169">
        <f t="shared" si="3"/>
        <v>0</v>
      </c>
      <c r="Y44" s="169">
        <f t="shared" si="4"/>
        <v>0</v>
      </c>
      <c r="Z44" s="227">
        <f t="shared" si="5"/>
        <v>0</v>
      </c>
      <c r="AA44" s="226">
        <f t="shared" si="6"/>
        <v>0</v>
      </c>
      <c r="AB44" s="226">
        <f t="shared" si="7"/>
        <v>0</v>
      </c>
      <c r="AC44" s="277"/>
      <c r="AD44" s="147"/>
      <c r="AE44" s="147"/>
      <c r="AF44" s="149"/>
      <c r="AG44" s="149"/>
      <c r="AH44" s="156"/>
      <c r="AI44" s="156"/>
      <c r="AJ44" s="156"/>
      <c r="AK44" s="156"/>
      <c r="AL44" s="156"/>
      <c r="AM44" s="156"/>
      <c r="AN44" s="156"/>
      <c r="AO44" s="156"/>
      <c r="AP44" s="156"/>
      <c r="AS44" s="170"/>
      <c r="AT44" s="170"/>
      <c r="AU44" s="170"/>
      <c r="AV44" s="156"/>
      <c r="BD44" s="156"/>
      <c r="BE44" s="156"/>
      <c r="BF44" s="156"/>
      <c r="BG44" s="156"/>
      <c r="BH44" s="156"/>
      <c r="BI44" s="156"/>
      <c r="BJ44" s="156"/>
      <c r="BK44" s="156"/>
      <c r="BL44" s="156"/>
    </row>
    <row r="45" spans="1:64" s="127" customFormat="1" ht="14.25" hidden="1" customHeight="1">
      <c r="A45" s="157"/>
      <c r="B45" s="596"/>
      <c r="C45" s="158"/>
      <c r="D45" s="159"/>
      <c r="E45" s="160"/>
      <c r="F45" s="161"/>
      <c r="G45" s="161"/>
      <c r="H45" s="162">
        <f t="shared" si="1"/>
        <v>0</v>
      </c>
      <c r="I45" s="163"/>
      <c r="J45" s="164"/>
      <c r="K45" s="165">
        <f t="shared" si="8"/>
        <v>0</v>
      </c>
      <c r="L45" s="165">
        <f t="shared" si="2"/>
        <v>0</v>
      </c>
      <c r="M45" s="278"/>
      <c r="N45" s="136"/>
      <c r="O45" s="136"/>
      <c r="P45" s="166"/>
      <c r="Q45" s="141"/>
      <c r="R45" s="141"/>
      <c r="S45" s="141"/>
      <c r="T45" s="141"/>
      <c r="U45" s="167"/>
      <c r="V45" s="167"/>
      <c r="W45" s="168">
        <f t="shared" si="9"/>
        <v>0</v>
      </c>
      <c r="X45" s="169">
        <f t="shared" si="3"/>
        <v>0</v>
      </c>
      <c r="Y45" s="169">
        <f t="shared" si="4"/>
        <v>0</v>
      </c>
      <c r="Z45" s="227">
        <f t="shared" si="5"/>
        <v>0</v>
      </c>
      <c r="AA45" s="226">
        <f t="shared" si="6"/>
        <v>0</v>
      </c>
      <c r="AB45" s="226">
        <f t="shared" si="7"/>
        <v>0</v>
      </c>
      <c r="AC45" s="277"/>
      <c r="AD45" s="147"/>
      <c r="AE45" s="147"/>
      <c r="AF45" s="149"/>
      <c r="AG45" s="149"/>
      <c r="AH45" s="156"/>
      <c r="AI45" s="156"/>
      <c r="AJ45" s="156"/>
      <c r="AK45" s="156"/>
      <c r="AL45" s="156"/>
      <c r="AM45" s="156"/>
      <c r="AN45" s="156"/>
      <c r="AO45" s="156"/>
      <c r="AP45" s="156"/>
      <c r="AS45" s="170"/>
      <c r="AT45" s="170"/>
      <c r="AU45" s="170"/>
      <c r="AV45" s="156"/>
      <c r="BD45" s="156"/>
      <c r="BE45" s="156"/>
      <c r="BF45" s="156"/>
      <c r="BG45" s="156"/>
      <c r="BH45" s="156"/>
      <c r="BI45" s="156"/>
      <c r="BJ45" s="156"/>
      <c r="BK45" s="156"/>
      <c r="BL45" s="156"/>
    </row>
    <row r="46" spans="1:64" s="127" customFormat="1" ht="14.25" hidden="1" customHeight="1">
      <c r="A46" s="157"/>
      <c r="B46" s="596"/>
      <c r="C46" s="158"/>
      <c r="D46" s="159"/>
      <c r="E46" s="160"/>
      <c r="F46" s="161"/>
      <c r="G46" s="161"/>
      <c r="H46" s="162">
        <f t="shared" si="1"/>
        <v>0</v>
      </c>
      <c r="I46" s="163"/>
      <c r="J46" s="164"/>
      <c r="K46" s="165">
        <f t="shared" si="8"/>
        <v>0</v>
      </c>
      <c r="L46" s="165">
        <f t="shared" si="2"/>
        <v>0</v>
      </c>
      <c r="M46" s="278"/>
      <c r="N46" s="136"/>
      <c r="O46" s="136"/>
      <c r="P46" s="166"/>
      <c r="Q46" s="141"/>
      <c r="R46" s="141"/>
      <c r="S46" s="141"/>
      <c r="T46" s="141"/>
      <c r="U46" s="167"/>
      <c r="V46" s="167"/>
      <c r="W46" s="168">
        <f t="shared" si="9"/>
        <v>0</v>
      </c>
      <c r="X46" s="169">
        <f t="shared" si="3"/>
        <v>0</v>
      </c>
      <c r="Y46" s="169">
        <f t="shared" si="4"/>
        <v>0</v>
      </c>
      <c r="Z46" s="227">
        <f t="shared" si="5"/>
        <v>0</v>
      </c>
      <c r="AA46" s="226">
        <f t="shared" si="6"/>
        <v>0</v>
      </c>
      <c r="AB46" s="226">
        <f t="shared" si="7"/>
        <v>0</v>
      </c>
      <c r="AC46" s="277"/>
      <c r="AD46" s="147"/>
      <c r="AE46" s="147"/>
      <c r="AF46" s="149"/>
      <c r="AG46" s="149"/>
      <c r="AH46" s="156"/>
      <c r="AI46" s="156"/>
      <c r="AJ46" s="156"/>
      <c r="AK46" s="156"/>
      <c r="AL46" s="156"/>
      <c r="AM46" s="156"/>
      <c r="AN46" s="156"/>
      <c r="AO46" s="156"/>
      <c r="AP46" s="156"/>
      <c r="AS46" s="170"/>
      <c r="AT46" s="170"/>
      <c r="AU46" s="170"/>
      <c r="AV46" s="156"/>
      <c r="BD46" s="156"/>
      <c r="BE46" s="156"/>
      <c r="BF46" s="156"/>
      <c r="BG46" s="156"/>
      <c r="BH46" s="156"/>
      <c r="BI46" s="156"/>
      <c r="BJ46" s="156"/>
      <c r="BK46" s="156"/>
      <c r="BL46" s="156"/>
    </row>
    <row r="47" spans="1:64" s="127" customFormat="1" ht="14.25" hidden="1" customHeight="1">
      <c r="A47" s="157"/>
      <c r="B47" s="596"/>
      <c r="C47" s="158"/>
      <c r="D47" s="159"/>
      <c r="E47" s="160"/>
      <c r="F47" s="161"/>
      <c r="G47" s="161"/>
      <c r="H47" s="162">
        <f t="shared" si="1"/>
        <v>0</v>
      </c>
      <c r="I47" s="163"/>
      <c r="J47" s="164"/>
      <c r="K47" s="165">
        <f t="shared" si="8"/>
        <v>0</v>
      </c>
      <c r="L47" s="165">
        <f t="shared" si="2"/>
        <v>0</v>
      </c>
      <c r="M47" s="278"/>
      <c r="N47" s="136"/>
      <c r="O47" s="136"/>
      <c r="P47" s="166"/>
      <c r="Q47" s="141"/>
      <c r="R47" s="141"/>
      <c r="S47" s="141"/>
      <c r="T47" s="141"/>
      <c r="U47" s="167"/>
      <c r="V47" s="167"/>
      <c r="W47" s="168">
        <f t="shared" si="9"/>
        <v>0</v>
      </c>
      <c r="X47" s="169">
        <f t="shared" si="3"/>
        <v>0</v>
      </c>
      <c r="Y47" s="169">
        <f t="shared" si="4"/>
        <v>0</v>
      </c>
      <c r="Z47" s="227">
        <f t="shared" si="5"/>
        <v>0</v>
      </c>
      <c r="AA47" s="226">
        <f t="shared" si="6"/>
        <v>0</v>
      </c>
      <c r="AB47" s="226">
        <f t="shared" si="7"/>
        <v>0</v>
      </c>
      <c r="AC47" s="277"/>
      <c r="AD47" s="147"/>
      <c r="AE47" s="147"/>
      <c r="AF47" s="149"/>
      <c r="AG47" s="149"/>
      <c r="AH47" s="156"/>
      <c r="AI47" s="156"/>
      <c r="AJ47" s="156"/>
      <c r="AK47" s="156"/>
      <c r="AL47" s="156"/>
      <c r="AM47" s="156"/>
      <c r="AN47" s="156"/>
      <c r="AO47" s="156"/>
      <c r="AP47" s="156"/>
      <c r="AS47" s="170"/>
      <c r="AT47" s="170"/>
      <c r="AU47" s="170"/>
      <c r="AV47" s="156"/>
      <c r="BD47" s="156"/>
      <c r="BE47" s="156"/>
      <c r="BF47" s="156"/>
      <c r="BG47" s="156"/>
      <c r="BH47" s="156"/>
      <c r="BI47" s="156"/>
      <c r="BJ47" s="156"/>
      <c r="BK47" s="156"/>
      <c r="BL47" s="156"/>
    </row>
    <row r="48" spans="1:64" s="127" customFormat="1" ht="14.25" hidden="1" customHeight="1">
      <c r="A48" s="157"/>
      <c r="B48" s="596"/>
      <c r="C48" s="158"/>
      <c r="D48" s="159"/>
      <c r="E48" s="160"/>
      <c r="F48" s="161"/>
      <c r="G48" s="161"/>
      <c r="H48" s="162">
        <f t="shared" si="1"/>
        <v>0</v>
      </c>
      <c r="I48" s="163"/>
      <c r="J48" s="164"/>
      <c r="K48" s="165">
        <f t="shared" si="8"/>
        <v>0</v>
      </c>
      <c r="L48" s="165">
        <f t="shared" si="2"/>
        <v>0</v>
      </c>
      <c r="M48" s="278"/>
      <c r="N48" s="136"/>
      <c r="O48" s="136"/>
      <c r="P48" s="166"/>
      <c r="Q48" s="141"/>
      <c r="R48" s="141"/>
      <c r="S48" s="141"/>
      <c r="T48" s="141"/>
      <c r="U48" s="167"/>
      <c r="V48" s="167"/>
      <c r="W48" s="168">
        <f t="shared" si="9"/>
        <v>0</v>
      </c>
      <c r="X48" s="169">
        <f t="shared" si="3"/>
        <v>0</v>
      </c>
      <c r="Y48" s="169">
        <f t="shared" si="4"/>
        <v>0</v>
      </c>
      <c r="Z48" s="227">
        <f t="shared" si="5"/>
        <v>0</v>
      </c>
      <c r="AA48" s="226">
        <f t="shared" si="6"/>
        <v>0</v>
      </c>
      <c r="AB48" s="226">
        <f t="shared" si="7"/>
        <v>0</v>
      </c>
      <c r="AC48" s="277"/>
      <c r="AD48" s="147"/>
      <c r="AE48" s="147"/>
      <c r="AF48" s="149"/>
      <c r="AG48" s="149"/>
      <c r="AH48" s="156"/>
      <c r="AI48" s="156"/>
      <c r="AJ48" s="156"/>
      <c r="AK48" s="156"/>
      <c r="AL48" s="156"/>
      <c r="AM48" s="156"/>
      <c r="AN48" s="156"/>
      <c r="AO48" s="156"/>
      <c r="AP48" s="156"/>
      <c r="AS48" s="170"/>
      <c r="AT48" s="170"/>
      <c r="AU48" s="170"/>
      <c r="AV48" s="156"/>
      <c r="BD48" s="156"/>
      <c r="BE48" s="156"/>
      <c r="BF48" s="156"/>
      <c r="BG48" s="156"/>
      <c r="BH48" s="156"/>
      <c r="BI48" s="156"/>
      <c r="BJ48" s="156"/>
      <c r="BK48" s="156"/>
      <c r="BL48" s="156"/>
    </row>
    <row r="49" spans="1:64" s="127" customFormat="1" ht="14.25" hidden="1" customHeight="1">
      <c r="A49" s="157"/>
      <c r="B49" s="596"/>
      <c r="C49" s="158"/>
      <c r="D49" s="159"/>
      <c r="E49" s="160"/>
      <c r="F49" s="161"/>
      <c r="G49" s="161"/>
      <c r="H49" s="162">
        <f t="shared" si="1"/>
        <v>0</v>
      </c>
      <c r="I49" s="163"/>
      <c r="J49" s="164"/>
      <c r="K49" s="165">
        <f t="shared" si="8"/>
        <v>0</v>
      </c>
      <c r="L49" s="165">
        <f t="shared" si="2"/>
        <v>0</v>
      </c>
      <c r="M49" s="278"/>
      <c r="N49" s="136"/>
      <c r="O49" s="136"/>
      <c r="P49" s="166"/>
      <c r="Q49" s="141"/>
      <c r="R49" s="141"/>
      <c r="S49" s="141"/>
      <c r="T49" s="141"/>
      <c r="U49" s="167"/>
      <c r="V49" s="167"/>
      <c r="W49" s="168">
        <f t="shared" si="9"/>
        <v>0</v>
      </c>
      <c r="X49" s="169">
        <f t="shared" si="3"/>
        <v>0</v>
      </c>
      <c r="Y49" s="169">
        <f t="shared" si="4"/>
        <v>0</v>
      </c>
      <c r="Z49" s="227">
        <f t="shared" si="5"/>
        <v>0</v>
      </c>
      <c r="AA49" s="226">
        <f t="shared" si="6"/>
        <v>0</v>
      </c>
      <c r="AB49" s="226">
        <f t="shared" si="7"/>
        <v>0</v>
      </c>
      <c r="AC49" s="277"/>
      <c r="AD49" s="147"/>
      <c r="AE49" s="147"/>
      <c r="AF49" s="149"/>
      <c r="AG49" s="149"/>
      <c r="AH49" s="156"/>
      <c r="AI49" s="156"/>
      <c r="AJ49" s="156"/>
      <c r="AK49" s="156"/>
      <c r="AL49" s="156"/>
      <c r="AM49" s="156"/>
      <c r="AN49" s="156"/>
      <c r="AO49" s="156"/>
      <c r="AP49" s="156"/>
      <c r="AS49" s="170"/>
      <c r="AT49" s="170"/>
      <c r="AU49" s="170"/>
      <c r="AV49" s="156"/>
      <c r="BD49" s="156"/>
      <c r="BE49" s="156"/>
      <c r="BF49" s="156"/>
      <c r="BG49" s="156"/>
      <c r="BH49" s="156"/>
      <c r="BI49" s="156"/>
      <c r="BJ49" s="156"/>
      <c r="BK49" s="156"/>
      <c r="BL49" s="156"/>
    </row>
    <row r="50" spans="1:64" s="127" customFormat="1" ht="14.25" hidden="1" customHeight="1">
      <c r="A50" s="157"/>
      <c r="B50" s="596"/>
      <c r="C50" s="158"/>
      <c r="D50" s="159"/>
      <c r="E50" s="160"/>
      <c r="F50" s="161"/>
      <c r="G50" s="161"/>
      <c r="H50" s="162">
        <f t="shared" si="1"/>
        <v>0</v>
      </c>
      <c r="I50" s="163"/>
      <c r="J50" s="164"/>
      <c r="K50" s="165">
        <f t="shared" si="8"/>
        <v>0</v>
      </c>
      <c r="L50" s="165">
        <f t="shared" si="2"/>
        <v>0</v>
      </c>
      <c r="M50" s="278"/>
      <c r="N50" s="136"/>
      <c r="O50" s="136"/>
      <c r="P50" s="166"/>
      <c r="Q50" s="141"/>
      <c r="R50" s="141"/>
      <c r="S50" s="141"/>
      <c r="T50" s="141"/>
      <c r="U50" s="167"/>
      <c r="V50" s="167"/>
      <c r="W50" s="168">
        <f t="shared" si="9"/>
        <v>0</v>
      </c>
      <c r="X50" s="169">
        <f t="shared" si="3"/>
        <v>0</v>
      </c>
      <c r="Y50" s="169">
        <f t="shared" si="4"/>
        <v>0</v>
      </c>
      <c r="Z50" s="227">
        <f t="shared" si="5"/>
        <v>0</v>
      </c>
      <c r="AA50" s="226">
        <f t="shared" si="6"/>
        <v>0</v>
      </c>
      <c r="AB50" s="226">
        <f t="shared" si="7"/>
        <v>0</v>
      </c>
      <c r="AC50" s="277"/>
      <c r="AD50" s="147"/>
      <c r="AE50" s="147"/>
      <c r="AF50" s="149"/>
      <c r="AG50" s="149"/>
      <c r="AH50" s="156"/>
      <c r="AI50" s="156"/>
      <c r="AJ50" s="156"/>
      <c r="AK50" s="156"/>
      <c r="AL50" s="156"/>
      <c r="AM50" s="156"/>
      <c r="AN50" s="156"/>
      <c r="AO50" s="156"/>
      <c r="AP50" s="156"/>
      <c r="AS50" s="170"/>
      <c r="AT50" s="170"/>
      <c r="AU50" s="170"/>
      <c r="AV50" s="156"/>
      <c r="BD50" s="156"/>
      <c r="BE50" s="156"/>
      <c r="BF50" s="156"/>
      <c r="BG50" s="156"/>
      <c r="BH50" s="156"/>
      <c r="BI50" s="156"/>
      <c r="BJ50" s="156"/>
      <c r="BK50" s="156"/>
      <c r="BL50" s="156"/>
    </row>
    <row r="51" spans="1:64" s="127" customFormat="1" ht="14.25" hidden="1" customHeight="1">
      <c r="A51" s="157"/>
      <c r="B51" s="596"/>
      <c r="C51" s="158"/>
      <c r="D51" s="159"/>
      <c r="E51" s="160"/>
      <c r="F51" s="161"/>
      <c r="G51" s="161"/>
      <c r="H51" s="162">
        <f t="shared" si="1"/>
        <v>0</v>
      </c>
      <c r="I51" s="163"/>
      <c r="J51" s="164"/>
      <c r="K51" s="165">
        <f t="shared" si="8"/>
        <v>0</v>
      </c>
      <c r="L51" s="165">
        <f t="shared" si="2"/>
        <v>0</v>
      </c>
      <c r="M51" s="278"/>
      <c r="N51" s="136"/>
      <c r="O51" s="136"/>
      <c r="P51" s="166"/>
      <c r="Q51" s="141"/>
      <c r="R51" s="141"/>
      <c r="S51" s="141"/>
      <c r="T51" s="141"/>
      <c r="U51" s="167"/>
      <c r="V51" s="167"/>
      <c r="W51" s="168">
        <f t="shared" si="9"/>
        <v>0</v>
      </c>
      <c r="X51" s="169">
        <f t="shared" si="3"/>
        <v>0</v>
      </c>
      <c r="Y51" s="169">
        <f t="shared" si="4"/>
        <v>0</v>
      </c>
      <c r="Z51" s="227">
        <f t="shared" si="5"/>
        <v>0</v>
      </c>
      <c r="AA51" s="226">
        <f t="shared" si="6"/>
        <v>0</v>
      </c>
      <c r="AB51" s="226">
        <f t="shared" si="7"/>
        <v>0</v>
      </c>
      <c r="AC51" s="277"/>
      <c r="AD51" s="147"/>
      <c r="AE51" s="147"/>
      <c r="AF51" s="149"/>
      <c r="AG51" s="149"/>
      <c r="AH51" s="156"/>
      <c r="AI51" s="156"/>
      <c r="AJ51" s="156"/>
      <c r="AK51" s="156"/>
      <c r="AL51" s="156"/>
      <c r="AM51" s="156"/>
      <c r="AN51" s="156"/>
      <c r="AO51" s="156"/>
      <c r="AP51" s="156"/>
      <c r="AS51" s="170"/>
      <c r="AT51" s="170"/>
      <c r="AU51" s="170"/>
      <c r="AV51" s="156"/>
      <c r="BD51" s="156"/>
      <c r="BE51" s="156"/>
      <c r="BF51" s="156"/>
      <c r="BG51" s="156"/>
      <c r="BH51" s="156"/>
      <c r="BI51" s="156"/>
      <c r="BJ51" s="156"/>
      <c r="BK51" s="156"/>
      <c r="BL51" s="156"/>
    </row>
    <row r="52" spans="1:64" s="127" customFormat="1" ht="14.25" hidden="1" customHeight="1">
      <c r="A52" s="157"/>
      <c r="B52" s="596"/>
      <c r="C52" s="158"/>
      <c r="D52" s="159"/>
      <c r="E52" s="160"/>
      <c r="F52" s="161"/>
      <c r="G52" s="161"/>
      <c r="H52" s="162">
        <f t="shared" si="1"/>
        <v>0</v>
      </c>
      <c r="I52" s="163"/>
      <c r="J52" s="164"/>
      <c r="K52" s="165">
        <f t="shared" si="8"/>
        <v>0</v>
      </c>
      <c r="L52" s="165">
        <f t="shared" si="2"/>
        <v>0</v>
      </c>
      <c r="M52" s="278"/>
      <c r="N52" s="136"/>
      <c r="O52" s="136"/>
      <c r="P52" s="166"/>
      <c r="Q52" s="141"/>
      <c r="R52" s="141"/>
      <c r="S52" s="141"/>
      <c r="T52" s="141"/>
      <c r="U52" s="167"/>
      <c r="V52" s="167"/>
      <c r="W52" s="168">
        <f t="shared" si="9"/>
        <v>0</v>
      </c>
      <c r="X52" s="169">
        <f t="shared" si="3"/>
        <v>0</v>
      </c>
      <c r="Y52" s="169">
        <f t="shared" si="4"/>
        <v>0</v>
      </c>
      <c r="Z52" s="227">
        <f t="shared" si="5"/>
        <v>0</v>
      </c>
      <c r="AA52" s="226">
        <f t="shared" si="6"/>
        <v>0</v>
      </c>
      <c r="AB52" s="226">
        <f t="shared" si="7"/>
        <v>0</v>
      </c>
      <c r="AC52" s="277"/>
      <c r="AD52" s="147"/>
      <c r="AE52" s="147"/>
      <c r="AF52" s="149"/>
      <c r="AG52" s="149"/>
      <c r="AH52" s="156"/>
      <c r="AI52" s="156"/>
      <c r="AJ52" s="156"/>
      <c r="AK52" s="156"/>
      <c r="AL52" s="156"/>
      <c r="AM52" s="156"/>
      <c r="AN52" s="156"/>
      <c r="AO52" s="156"/>
      <c r="AP52" s="156"/>
      <c r="AS52" s="170"/>
      <c r="AT52" s="170"/>
      <c r="AU52" s="170"/>
      <c r="AV52" s="156"/>
      <c r="BD52" s="156"/>
      <c r="BE52" s="156"/>
      <c r="BF52" s="156"/>
      <c r="BG52" s="156"/>
      <c r="BH52" s="156"/>
      <c r="BI52" s="156"/>
      <c r="BJ52" s="156"/>
      <c r="BK52" s="156"/>
      <c r="BL52" s="156"/>
    </row>
    <row r="53" spans="1:64" s="127" customFormat="1" ht="14.25" hidden="1" customHeight="1">
      <c r="A53" s="157"/>
      <c r="B53" s="596"/>
      <c r="C53" s="158"/>
      <c r="D53" s="159"/>
      <c r="E53" s="160"/>
      <c r="F53" s="161"/>
      <c r="G53" s="161"/>
      <c r="H53" s="162">
        <f t="shared" ref="H53:H69" si="11">IF($AV$114=0,0,E53*M53/$AV$114*100)</f>
        <v>0</v>
      </c>
      <c r="I53" s="163"/>
      <c r="J53" s="164"/>
      <c r="K53" s="165">
        <f t="shared" si="8"/>
        <v>0</v>
      </c>
      <c r="L53" s="165">
        <f t="shared" ref="L53:L67" si="12">IF(M53=0,0,K53/M53)</f>
        <v>0</v>
      </c>
      <c r="M53" s="278"/>
      <c r="N53" s="136"/>
      <c r="O53" s="136"/>
      <c r="P53" s="166"/>
      <c r="Q53" s="141"/>
      <c r="R53" s="141"/>
      <c r="S53" s="141"/>
      <c r="T53" s="141"/>
      <c r="U53" s="167"/>
      <c r="V53" s="167"/>
      <c r="W53" s="168">
        <f t="shared" si="9"/>
        <v>0</v>
      </c>
      <c r="X53" s="169">
        <f t="shared" ref="X53:X69" si="13">IF(W53=0,0,W53/(M53*E53))</f>
        <v>0</v>
      </c>
      <c r="Y53" s="169">
        <f t="shared" ref="Y53:Y69" si="14">IF(W53=0,0,W53/E53)</f>
        <v>0</v>
      </c>
      <c r="Z53" s="227">
        <f t="shared" ref="Z53:Z67" si="15">IF(M53&lt;=0.1,-2.45*N53%,0)</f>
        <v>0</v>
      </c>
      <c r="AA53" s="226">
        <f t="shared" ref="AA53:AA69" si="16">IF(LEFT(G53,2)=$AN$147,-K53,0)</f>
        <v>0</v>
      </c>
      <c r="AB53" s="226">
        <f t="shared" ref="AB53:AB69" si="17">IF(LEFT(G53,2)=$AN$147,$L$70*M53,0)</f>
        <v>0</v>
      </c>
      <c r="AC53" s="277"/>
      <c r="AD53" s="147"/>
      <c r="AE53" s="147"/>
      <c r="AF53" s="149"/>
      <c r="AG53" s="149"/>
      <c r="AH53" s="156"/>
      <c r="AI53" s="156"/>
      <c r="AJ53" s="156"/>
      <c r="AK53" s="156"/>
      <c r="AL53" s="156"/>
      <c r="AM53" s="156"/>
      <c r="AN53" s="156"/>
      <c r="AO53" s="156"/>
      <c r="AP53" s="156"/>
      <c r="AS53" s="170"/>
      <c r="AT53" s="170"/>
      <c r="AU53" s="170"/>
      <c r="AV53" s="156"/>
      <c r="BD53" s="156"/>
      <c r="BE53" s="156"/>
      <c r="BF53" s="156"/>
      <c r="BG53" s="156"/>
      <c r="BH53" s="156"/>
      <c r="BI53" s="156"/>
      <c r="BJ53" s="156"/>
      <c r="BK53" s="156"/>
      <c r="BL53" s="156"/>
    </row>
    <row r="54" spans="1:64" s="127" customFormat="1" ht="14.25" hidden="1" customHeight="1">
      <c r="A54" s="157"/>
      <c r="B54" s="596"/>
      <c r="C54" s="158"/>
      <c r="D54" s="159"/>
      <c r="E54" s="160"/>
      <c r="F54" s="161"/>
      <c r="G54" s="161"/>
      <c r="H54" s="162">
        <f t="shared" si="11"/>
        <v>0</v>
      </c>
      <c r="I54" s="163"/>
      <c r="J54" s="164"/>
      <c r="K54" s="165">
        <f t="shared" si="8"/>
        <v>0</v>
      </c>
      <c r="L54" s="165">
        <f t="shared" si="12"/>
        <v>0</v>
      </c>
      <c r="M54" s="278"/>
      <c r="N54" s="136"/>
      <c r="O54" s="136"/>
      <c r="P54" s="166"/>
      <c r="Q54" s="141"/>
      <c r="R54" s="141"/>
      <c r="S54" s="141"/>
      <c r="T54" s="141"/>
      <c r="U54" s="167"/>
      <c r="V54" s="167"/>
      <c r="W54" s="168">
        <f t="shared" si="9"/>
        <v>0</v>
      </c>
      <c r="X54" s="169">
        <f t="shared" si="13"/>
        <v>0</v>
      </c>
      <c r="Y54" s="169">
        <f t="shared" si="14"/>
        <v>0</v>
      </c>
      <c r="Z54" s="227">
        <f t="shared" si="15"/>
        <v>0</v>
      </c>
      <c r="AA54" s="226">
        <f t="shared" si="16"/>
        <v>0</v>
      </c>
      <c r="AB54" s="226">
        <f t="shared" si="17"/>
        <v>0</v>
      </c>
      <c r="AC54" s="277"/>
      <c r="AD54" s="147"/>
      <c r="AE54" s="147"/>
      <c r="AF54" s="149"/>
      <c r="AG54" s="149"/>
      <c r="AH54" s="156"/>
      <c r="AI54" s="156"/>
      <c r="AJ54" s="156"/>
      <c r="AK54" s="156"/>
      <c r="AL54" s="156"/>
      <c r="AM54" s="156"/>
      <c r="AN54" s="156"/>
      <c r="AO54" s="156"/>
      <c r="AP54" s="156"/>
      <c r="AS54" s="170"/>
      <c r="AT54" s="170"/>
      <c r="AU54" s="170"/>
      <c r="AV54" s="156"/>
      <c r="BD54" s="156"/>
      <c r="BE54" s="156"/>
      <c r="BF54" s="156"/>
      <c r="BG54" s="156"/>
      <c r="BH54" s="156"/>
      <c r="BI54" s="156"/>
      <c r="BJ54" s="156"/>
      <c r="BK54" s="156"/>
      <c r="BL54" s="156"/>
    </row>
    <row r="55" spans="1:64" s="127" customFormat="1" ht="14.25" hidden="1" customHeight="1">
      <c r="A55" s="157"/>
      <c r="B55" s="596"/>
      <c r="C55" s="158"/>
      <c r="D55" s="159"/>
      <c r="E55" s="160"/>
      <c r="F55" s="161"/>
      <c r="G55" s="161"/>
      <c r="H55" s="162">
        <f t="shared" si="11"/>
        <v>0</v>
      </c>
      <c r="I55" s="163"/>
      <c r="J55" s="164"/>
      <c r="K55" s="165">
        <f t="shared" si="8"/>
        <v>0</v>
      </c>
      <c r="L55" s="165">
        <f t="shared" si="12"/>
        <v>0</v>
      </c>
      <c r="M55" s="278"/>
      <c r="N55" s="136"/>
      <c r="O55" s="136"/>
      <c r="P55" s="166"/>
      <c r="Q55" s="141"/>
      <c r="R55" s="141"/>
      <c r="S55" s="141"/>
      <c r="T55" s="141"/>
      <c r="U55" s="167"/>
      <c r="V55" s="167"/>
      <c r="W55" s="168">
        <f t="shared" si="9"/>
        <v>0</v>
      </c>
      <c r="X55" s="169">
        <f t="shared" si="13"/>
        <v>0</v>
      </c>
      <c r="Y55" s="169">
        <f t="shared" si="14"/>
        <v>0</v>
      </c>
      <c r="Z55" s="227">
        <f t="shared" si="15"/>
        <v>0</v>
      </c>
      <c r="AA55" s="226">
        <f t="shared" si="16"/>
        <v>0</v>
      </c>
      <c r="AB55" s="226">
        <f t="shared" si="17"/>
        <v>0</v>
      </c>
      <c r="AC55" s="277"/>
      <c r="AD55" s="147"/>
      <c r="AE55" s="147"/>
      <c r="AF55" s="149"/>
      <c r="AG55" s="149"/>
      <c r="AH55" s="156"/>
      <c r="AI55" s="156"/>
      <c r="AJ55" s="156"/>
      <c r="AK55" s="156"/>
      <c r="AL55" s="156"/>
      <c r="AM55" s="156"/>
      <c r="AN55" s="156"/>
      <c r="AO55" s="156"/>
      <c r="AP55" s="156"/>
      <c r="AS55" s="170"/>
      <c r="AT55" s="170"/>
      <c r="AU55" s="170"/>
      <c r="AV55" s="156"/>
      <c r="BD55" s="156"/>
      <c r="BE55" s="156"/>
      <c r="BF55" s="156"/>
      <c r="BG55" s="156"/>
      <c r="BH55" s="156"/>
      <c r="BI55" s="156"/>
      <c r="BJ55" s="156"/>
      <c r="BK55" s="156"/>
      <c r="BL55" s="156"/>
    </row>
    <row r="56" spans="1:64" s="127" customFormat="1" ht="14.25" hidden="1" customHeight="1">
      <c r="A56" s="157"/>
      <c r="B56" s="596"/>
      <c r="C56" s="158"/>
      <c r="D56" s="159"/>
      <c r="E56" s="160"/>
      <c r="F56" s="161"/>
      <c r="G56" s="161"/>
      <c r="H56" s="162">
        <f t="shared" si="11"/>
        <v>0</v>
      </c>
      <c r="I56" s="163"/>
      <c r="J56" s="164"/>
      <c r="K56" s="165">
        <f t="shared" si="8"/>
        <v>0</v>
      </c>
      <c r="L56" s="165">
        <f t="shared" si="12"/>
        <v>0</v>
      </c>
      <c r="M56" s="278"/>
      <c r="N56" s="136"/>
      <c r="O56" s="136"/>
      <c r="P56" s="166"/>
      <c r="Q56" s="141"/>
      <c r="R56" s="141"/>
      <c r="S56" s="141"/>
      <c r="T56" s="141"/>
      <c r="U56" s="167"/>
      <c r="V56" s="167"/>
      <c r="W56" s="168">
        <f t="shared" si="9"/>
        <v>0</v>
      </c>
      <c r="X56" s="169">
        <f t="shared" si="13"/>
        <v>0</v>
      </c>
      <c r="Y56" s="169">
        <f t="shared" si="14"/>
        <v>0</v>
      </c>
      <c r="Z56" s="227">
        <f t="shared" si="15"/>
        <v>0</v>
      </c>
      <c r="AA56" s="226">
        <f t="shared" si="16"/>
        <v>0</v>
      </c>
      <c r="AB56" s="226">
        <f t="shared" si="17"/>
        <v>0</v>
      </c>
      <c r="AC56" s="277"/>
      <c r="AD56" s="147"/>
      <c r="AE56" s="147"/>
      <c r="AF56" s="149"/>
      <c r="AG56" s="149"/>
      <c r="AH56" s="156"/>
      <c r="AI56" s="156"/>
      <c r="AJ56" s="156"/>
      <c r="AK56" s="156"/>
      <c r="AL56" s="156"/>
      <c r="AM56" s="156"/>
      <c r="AN56" s="156"/>
      <c r="AO56" s="156"/>
      <c r="AP56" s="156"/>
      <c r="AS56" s="170"/>
      <c r="AT56" s="170"/>
      <c r="AU56" s="170"/>
      <c r="AV56" s="156"/>
      <c r="BD56" s="156"/>
      <c r="BE56" s="156"/>
      <c r="BF56" s="156"/>
      <c r="BG56" s="156"/>
      <c r="BH56" s="156"/>
      <c r="BI56" s="156"/>
      <c r="BJ56" s="156"/>
      <c r="BK56" s="156"/>
      <c r="BL56" s="156"/>
    </row>
    <row r="57" spans="1:64" s="127" customFormat="1" ht="14.25" hidden="1" customHeight="1">
      <c r="A57" s="157"/>
      <c r="B57" s="596"/>
      <c r="C57" s="158"/>
      <c r="D57" s="159"/>
      <c r="E57" s="160"/>
      <c r="F57" s="161"/>
      <c r="G57" s="161"/>
      <c r="H57" s="162">
        <f t="shared" si="11"/>
        <v>0</v>
      </c>
      <c r="I57" s="163"/>
      <c r="J57" s="164"/>
      <c r="K57" s="165">
        <f t="shared" si="8"/>
        <v>0</v>
      </c>
      <c r="L57" s="165">
        <f t="shared" si="12"/>
        <v>0</v>
      </c>
      <c r="M57" s="278"/>
      <c r="N57" s="136"/>
      <c r="O57" s="136"/>
      <c r="P57" s="166"/>
      <c r="Q57" s="141"/>
      <c r="R57" s="141"/>
      <c r="S57" s="141"/>
      <c r="T57" s="141"/>
      <c r="U57" s="167"/>
      <c r="V57" s="167"/>
      <c r="W57" s="168">
        <f t="shared" si="9"/>
        <v>0</v>
      </c>
      <c r="X57" s="169">
        <f t="shared" si="13"/>
        <v>0</v>
      </c>
      <c r="Y57" s="169">
        <f t="shared" si="14"/>
        <v>0</v>
      </c>
      <c r="Z57" s="227">
        <f t="shared" si="15"/>
        <v>0</v>
      </c>
      <c r="AA57" s="226">
        <f t="shared" si="16"/>
        <v>0</v>
      </c>
      <c r="AB57" s="226">
        <f t="shared" si="17"/>
        <v>0</v>
      </c>
      <c r="AC57" s="277"/>
      <c r="AD57" s="147"/>
      <c r="AE57" s="147"/>
      <c r="AF57" s="149"/>
      <c r="AG57" s="149"/>
      <c r="AH57" s="156"/>
      <c r="AI57" s="156"/>
      <c r="AJ57" s="156"/>
      <c r="AK57" s="156"/>
      <c r="AL57" s="156"/>
      <c r="AM57" s="156"/>
      <c r="AN57" s="156"/>
      <c r="AO57" s="156"/>
      <c r="AP57" s="156"/>
      <c r="AS57" s="170"/>
      <c r="AT57" s="170"/>
      <c r="AU57" s="170"/>
      <c r="AV57" s="156"/>
      <c r="BD57" s="156"/>
      <c r="BE57" s="156"/>
      <c r="BF57" s="156"/>
      <c r="BG57" s="156"/>
      <c r="BH57" s="156"/>
      <c r="BI57" s="156"/>
      <c r="BJ57" s="156"/>
      <c r="BK57" s="156"/>
      <c r="BL57" s="156"/>
    </row>
    <row r="58" spans="1:64" s="127" customFormat="1" ht="14.25" hidden="1" customHeight="1">
      <c r="A58" s="157"/>
      <c r="B58" s="596"/>
      <c r="C58" s="158"/>
      <c r="D58" s="159"/>
      <c r="E58" s="160"/>
      <c r="F58" s="161"/>
      <c r="G58" s="161"/>
      <c r="H58" s="162">
        <f t="shared" si="11"/>
        <v>0</v>
      </c>
      <c r="I58" s="163"/>
      <c r="J58" s="164"/>
      <c r="K58" s="165">
        <f t="shared" si="8"/>
        <v>0</v>
      </c>
      <c r="L58" s="165">
        <f t="shared" si="12"/>
        <v>0</v>
      </c>
      <c r="M58" s="278"/>
      <c r="N58" s="136"/>
      <c r="O58" s="136"/>
      <c r="P58" s="166"/>
      <c r="Q58" s="141"/>
      <c r="R58" s="141"/>
      <c r="S58" s="141"/>
      <c r="T58" s="141"/>
      <c r="U58" s="167"/>
      <c r="V58" s="167"/>
      <c r="W58" s="168">
        <f t="shared" si="9"/>
        <v>0</v>
      </c>
      <c r="X58" s="169">
        <f t="shared" si="13"/>
        <v>0</v>
      </c>
      <c r="Y58" s="169">
        <f t="shared" si="14"/>
        <v>0</v>
      </c>
      <c r="Z58" s="227">
        <f t="shared" si="15"/>
        <v>0</v>
      </c>
      <c r="AA58" s="226">
        <f t="shared" si="16"/>
        <v>0</v>
      </c>
      <c r="AB58" s="226">
        <f t="shared" si="17"/>
        <v>0</v>
      </c>
      <c r="AC58" s="277"/>
      <c r="AD58" s="147"/>
      <c r="AE58" s="147"/>
      <c r="AF58" s="149"/>
      <c r="AG58" s="149"/>
      <c r="AH58" s="156"/>
      <c r="AI58" s="156"/>
      <c r="AJ58" s="156"/>
      <c r="AK58" s="156"/>
      <c r="AL58" s="156"/>
      <c r="AM58" s="156"/>
      <c r="AN58" s="156"/>
      <c r="AO58" s="156"/>
      <c r="AP58" s="156"/>
      <c r="AS58" s="170"/>
      <c r="AT58" s="170"/>
      <c r="AU58" s="170"/>
      <c r="AV58" s="156"/>
      <c r="BD58" s="156"/>
      <c r="BE58" s="156"/>
      <c r="BF58" s="156"/>
      <c r="BG58" s="156"/>
      <c r="BH58" s="156"/>
      <c r="BI58" s="156"/>
      <c r="BJ58" s="156"/>
      <c r="BK58" s="156"/>
      <c r="BL58" s="156"/>
    </row>
    <row r="59" spans="1:64" s="127" customFormat="1" ht="14.25" hidden="1" customHeight="1">
      <c r="A59" s="157"/>
      <c r="B59" s="596"/>
      <c r="C59" s="158"/>
      <c r="D59" s="159"/>
      <c r="E59" s="160"/>
      <c r="F59" s="161"/>
      <c r="G59" s="161"/>
      <c r="H59" s="162">
        <f t="shared" si="11"/>
        <v>0</v>
      </c>
      <c r="I59" s="163"/>
      <c r="J59" s="164"/>
      <c r="K59" s="165">
        <f t="shared" si="8"/>
        <v>0</v>
      </c>
      <c r="L59" s="165">
        <f t="shared" si="12"/>
        <v>0</v>
      </c>
      <c r="M59" s="278"/>
      <c r="N59" s="136"/>
      <c r="O59" s="136"/>
      <c r="P59" s="166"/>
      <c r="Q59" s="141"/>
      <c r="R59" s="141"/>
      <c r="S59" s="141"/>
      <c r="T59" s="141"/>
      <c r="U59" s="167"/>
      <c r="V59" s="167"/>
      <c r="W59" s="168">
        <f t="shared" si="9"/>
        <v>0</v>
      </c>
      <c r="X59" s="169">
        <f t="shared" si="13"/>
        <v>0</v>
      </c>
      <c r="Y59" s="169">
        <f t="shared" si="14"/>
        <v>0</v>
      </c>
      <c r="Z59" s="227">
        <f t="shared" si="15"/>
        <v>0</v>
      </c>
      <c r="AA59" s="226">
        <f t="shared" si="16"/>
        <v>0</v>
      </c>
      <c r="AB59" s="226">
        <f t="shared" si="17"/>
        <v>0</v>
      </c>
      <c r="AC59" s="277"/>
      <c r="AD59" s="147"/>
      <c r="AE59" s="147"/>
      <c r="AF59" s="149"/>
      <c r="AG59" s="149"/>
      <c r="AH59" s="156"/>
      <c r="AI59" s="156"/>
      <c r="AJ59" s="156"/>
      <c r="AK59" s="156"/>
      <c r="AL59" s="156"/>
      <c r="AM59" s="156"/>
      <c r="AN59" s="156"/>
      <c r="AO59" s="156"/>
      <c r="AP59" s="156"/>
      <c r="AS59" s="170"/>
      <c r="AT59" s="170"/>
      <c r="AU59" s="170"/>
      <c r="AV59" s="156"/>
      <c r="BD59" s="156"/>
      <c r="BE59" s="156"/>
      <c r="BF59" s="156"/>
      <c r="BG59" s="156"/>
      <c r="BH59" s="156"/>
      <c r="BI59" s="156"/>
      <c r="BJ59" s="156"/>
      <c r="BK59" s="156"/>
      <c r="BL59" s="156"/>
    </row>
    <row r="60" spans="1:64" s="127" customFormat="1" ht="14.25" hidden="1" customHeight="1">
      <c r="A60" s="157"/>
      <c r="B60" s="596"/>
      <c r="C60" s="158"/>
      <c r="D60" s="159"/>
      <c r="E60" s="160"/>
      <c r="F60" s="161"/>
      <c r="G60" s="161"/>
      <c r="H60" s="162">
        <f t="shared" si="11"/>
        <v>0</v>
      </c>
      <c r="I60" s="163"/>
      <c r="J60" s="164"/>
      <c r="K60" s="165">
        <f t="shared" si="8"/>
        <v>0</v>
      </c>
      <c r="L60" s="165">
        <f t="shared" si="12"/>
        <v>0</v>
      </c>
      <c r="M60" s="278"/>
      <c r="N60" s="136"/>
      <c r="O60" s="136"/>
      <c r="P60" s="166"/>
      <c r="Q60" s="141"/>
      <c r="R60" s="141"/>
      <c r="S60" s="141"/>
      <c r="T60" s="141"/>
      <c r="U60" s="167"/>
      <c r="V60" s="167"/>
      <c r="W60" s="168">
        <f t="shared" si="9"/>
        <v>0</v>
      </c>
      <c r="X60" s="169">
        <f t="shared" si="13"/>
        <v>0</v>
      </c>
      <c r="Y60" s="169">
        <f t="shared" si="14"/>
        <v>0</v>
      </c>
      <c r="Z60" s="227">
        <f t="shared" si="15"/>
        <v>0</v>
      </c>
      <c r="AA60" s="226">
        <f t="shared" si="16"/>
        <v>0</v>
      </c>
      <c r="AB60" s="226">
        <f t="shared" si="17"/>
        <v>0</v>
      </c>
      <c r="AC60" s="277"/>
      <c r="AD60" s="147"/>
      <c r="AE60" s="147"/>
      <c r="AF60" s="149"/>
      <c r="AG60" s="149"/>
      <c r="AH60" s="156"/>
      <c r="AI60" s="156"/>
      <c r="AJ60" s="156"/>
      <c r="AK60" s="156"/>
      <c r="AL60" s="156"/>
      <c r="AM60" s="156"/>
      <c r="AN60" s="156"/>
      <c r="AO60" s="156"/>
      <c r="AP60" s="156"/>
      <c r="AS60" s="170"/>
      <c r="AT60" s="170"/>
      <c r="AU60" s="170"/>
      <c r="AV60" s="156"/>
      <c r="BD60" s="156"/>
      <c r="BE60" s="156"/>
      <c r="BF60" s="156"/>
      <c r="BG60" s="156"/>
      <c r="BH60" s="156"/>
      <c r="BI60" s="156"/>
      <c r="BJ60" s="156"/>
      <c r="BK60" s="156"/>
      <c r="BL60" s="156"/>
    </row>
    <row r="61" spans="1:64" s="127" customFormat="1" ht="14.25" hidden="1" customHeight="1">
      <c r="A61" s="157"/>
      <c r="B61" s="596"/>
      <c r="C61" s="158"/>
      <c r="D61" s="159"/>
      <c r="E61" s="160"/>
      <c r="F61" s="161"/>
      <c r="G61" s="161"/>
      <c r="H61" s="162">
        <f t="shared" si="11"/>
        <v>0</v>
      </c>
      <c r="I61" s="163"/>
      <c r="J61" s="164"/>
      <c r="K61" s="165">
        <f t="shared" si="8"/>
        <v>0</v>
      </c>
      <c r="L61" s="165">
        <f t="shared" si="12"/>
        <v>0</v>
      </c>
      <c r="M61" s="278"/>
      <c r="N61" s="136"/>
      <c r="O61" s="136"/>
      <c r="P61" s="166"/>
      <c r="Q61" s="141"/>
      <c r="R61" s="141"/>
      <c r="S61" s="141"/>
      <c r="T61" s="141"/>
      <c r="U61" s="167"/>
      <c r="V61" s="167"/>
      <c r="W61" s="168">
        <f t="shared" si="9"/>
        <v>0</v>
      </c>
      <c r="X61" s="169">
        <f t="shared" si="13"/>
        <v>0</v>
      </c>
      <c r="Y61" s="169">
        <f t="shared" si="14"/>
        <v>0</v>
      </c>
      <c r="Z61" s="227">
        <f t="shared" si="15"/>
        <v>0</v>
      </c>
      <c r="AA61" s="226">
        <f t="shared" si="16"/>
        <v>0</v>
      </c>
      <c r="AB61" s="226">
        <f t="shared" si="17"/>
        <v>0</v>
      </c>
      <c r="AC61" s="277"/>
      <c r="AD61" s="147"/>
      <c r="AE61" s="147"/>
      <c r="AF61" s="149"/>
      <c r="AG61" s="149"/>
      <c r="AH61" s="156"/>
      <c r="AI61" s="156"/>
      <c r="AJ61" s="156"/>
      <c r="AK61" s="156"/>
      <c r="AL61" s="156"/>
      <c r="AM61" s="156"/>
      <c r="AN61" s="156"/>
      <c r="AO61" s="156"/>
      <c r="AP61" s="156"/>
      <c r="AS61" s="170"/>
      <c r="AT61" s="170"/>
      <c r="AU61" s="170"/>
      <c r="AV61" s="156"/>
      <c r="BD61" s="156"/>
      <c r="BE61" s="156"/>
      <c r="BF61" s="156"/>
      <c r="BG61" s="156"/>
      <c r="BH61" s="156"/>
      <c r="BI61" s="156"/>
      <c r="BJ61" s="156"/>
      <c r="BK61" s="156"/>
      <c r="BL61" s="156"/>
    </row>
    <row r="62" spans="1:64" s="127" customFormat="1" ht="14.25" hidden="1" customHeight="1">
      <c r="A62" s="157"/>
      <c r="B62" s="596"/>
      <c r="C62" s="158"/>
      <c r="D62" s="159"/>
      <c r="E62" s="160"/>
      <c r="F62" s="161"/>
      <c r="G62" s="161"/>
      <c r="H62" s="162">
        <f t="shared" si="11"/>
        <v>0</v>
      </c>
      <c r="I62" s="163"/>
      <c r="J62" s="164"/>
      <c r="K62" s="165">
        <f t="shared" si="8"/>
        <v>0</v>
      </c>
      <c r="L62" s="165">
        <f t="shared" si="12"/>
        <v>0</v>
      </c>
      <c r="M62" s="278"/>
      <c r="N62" s="136"/>
      <c r="O62" s="136"/>
      <c r="P62" s="166"/>
      <c r="Q62" s="141"/>
      <c r="R62" s="141"/>
      <c r="S62" s="141"/>
      <c r="T62" s="141"/>
      <c r="U62" s="167"/>
      <c r="V62" s="167"/>
      <c r="W62" s="168">
        <f t="shared" si="9"/>
        <v>0</v>
      </c>
      <c r="X62" s="169">
        <f t="shared" si="13"/>
        <v>0</v>
      </c>
      <c r="Y62" s="169">
        <f t="shared" si="14"/>
        <v>0</v>
      </c>
      <c r="Z62" s="227">
        <f t="shared" si="15"/>
        <v>0</v>
      </c>
      <c r="AA62" s="226">
        <f t="shared" si="16"/>
        <v>0</v>
      </c>
      <c r="AB62" s="226">
        <f t="shared" si="17"/>
        <v>0</v>
      </c>
      <c r="AC62" s="277"/>
      <c r="AD62" s="147"/>
      <c r="AE62" s="147"/>
      <c r="AF62" s="149"/>
      <c r="AG62" s="149"/>
      <c r="AH62" s="156"/>
      <c r="AI62" s="156"/>
      <c r="AJ62" s="156"/>
      <c r="AK62" s="156"/>
      <c r="AL62" s="156"/>
      <c r="AM62" s="156"/>
      <c r="AN62" s="156"/>
      <c r="AO62" s="156"/>
      <c r="AP62" s="156"/>
      <c r="AS62" s="170"/>
      <c r="AT62" s="170"/>
      <c r="AU62" s="170"/>
      <c r="AV62" s="156"/>
      <c r="BD62" s="156"/>
      <c r="BE62" s="156"/>
      <c r="BF62" s="156"/>
      <c r="BG62" s="156"/>
      <c r="BH62" s="156"/>
      <c r="BI62" s="156"/>
      <c r="BJ62" s="156"/>
      <c r="BK62" s="156"/>
      <c r="BL62" s="156"/>
    </row>
    <row r="63" spans="1:64" s="127" customFormat="1" ht="14.25" hidden="1" customHeight="1">
      <c r="A63" s="157"/>
      <c r="B63" s="596"/>
      <c r="C63" s="158"/>
      <c r="D63" s="159"/>
      <c r="E63" s="160"/>
      <c r="F63" s="161"/>
      <c r="G63" s="161"/>
      <c r="H63" s="162">
        <f t="shared" si="11"/>
        <v>0</v>
      </c>
      <c r="I63" s="163"/>
      <c r="J63" s="164"/>
      <c r="K63" s="165">
        <f t="shared" si="8"/>
        <v>0</v>
      </c>
      <c r="L63" s="165">
        <f t="shared" si="12"/>
        <v>0</v>
      </c>
      <c r="M63" s="278"/>
      <c r="N63" s="136"/>
      <c r="O63" s="136"/>
      <c r="P63" s="166"/>
      <c r="Q63" s="141"/>
      <c r="R63" s="141"/>
      <c r="S63" s="141"/>
      <c r="T63" s="141"/>
      <c r="U63" s="167"/>
      <c r="V63" s="167"/>
      <c r="W63" s="168">
        <f t="shared" si="9"/>
        <v>0</v>
      </c>
      <c r="X63" s="169">
        <f t="shared" si="13"/>
        <v>0</v>
      </c>
      <c r="Y63" s="169">
        <f t="shared" si="14"/>
        <v>0</v>
      </c>
      <c r="Z63" s="227">
        <f t="shared" si="15"/>
        <v>0</v>
      </c>
      <c r="AA63" s="226">
        <f t="shared" si="16"/>
        <v>0</v>
      </c>
      <c r="AB63" s="226">
        <f t="shared" si="17"/>
        <v>0</v>
      </c>
      <c r="AC63" s="277"/>
      <c r="AD63" s="147"/>
      <c r="AE63" s="147"/>
      <c r="AF63" s="149"/>
      <c r="AG63" s="149"/>
      <c r="AH63" s="156"/>
      <c r="AI63" s="156"/>
      <c r="AJ63" s="156"/>
      <c r="AK63" s="156"/>
      <c r="AL63" s="156"/>
      <c r="AM63" s="156"/>
      <c r="AN63" s="156"/>
      <c r="AO63" s="156"/>
      <c r="AP63" s="156"/>
      <c r="AS63" s="170"/>
      <c r="AT63" s="170"/>
      <c r="AU63" s="170"/>
      <c r="AV63" s="156"/>
      <c r="BD63" s="156"/>
      <c r="BE63" s="156"/>
      <c r="BF63" s="156"/>
      <c r="BG63" s="156"/>
      <c r="BH63" s="156"/>
      <c r="BI63" s="156"/>
      <c r="BJ63" s="156"/>
      <c r="BK63" s="156"/>
      <c r="BL63" s="156"/>
    </row>
    <row r="64" spans="1:64" s="127" customFormat="1" ht="14.25" hidden="1" customHeight="1">
      <c r="A64" s="157"/>
      <c r="B64" s="596"/>
      <c r="C64" s="158"/>
      <c r="D64" s="159"/>
      <c r="E64" s="160"/>
      <c r="F64" s="161"/>
      <c r="G64" s="161"/>
      <c r="H64" s="162">
        <f t="shared" si="11"/>
        <v>0</v>
      </c>
      <c r="I64" s="163"/>
      <c r="J64" s="164"/>
      <c r="K64" s="165">
        <f t="shared" si="8"/>
        <v>0</v>
      </c>
      <c r="L64" s="165">
        <f t="shared" si="12"/>
        <v>0</v>
      </c>
      <c r="M64" s="278"/>
      <c r="N64" s="136"/>
      <c r="O64" s="136"/>
      <c r="P64" s="166"/>
      <c r="Q64" s="141"/>
      <c r="R64" s="141"/>
      <c r="S64" s="141"/>
      <c r="T64" s="141"/>
      <c r="U64" s="167"/>
      <c r="V64" s="167"/>
      <c r="W64" s="168">
        <f t="shared" si="9"/>
        <v>0</v>
      </c>
      <c r="X64" s="169">
        <f t="shared" si="13"/>
        <v>0</v>
      </c>
      <c r="Y64" s="169">
        <f t="shared" si="14"/>
        <v>0</v>
      </c>
      <c r="Z64" s="227">
        <f t="shared" si="15"/>
        <v>0</v>
      </c>
      <c r="AA64" s="226">
        <f t="shared" si="16"/>
        <v>0</v>
      </c>
      <c r="AB64" s="226">
        <f t="shared" si="17"/>
        <v>0</v>
      </c>
      <c r="AC64" s="277"/>
      <c r="AD64" s="147"/>
      <c r="AE64" s="147"/>
      <c r="AF64" s="149"/>
      <c r="AG64" s="149"/>
      <c r="AH64" s="156"/>
      <c r="AI64" s="156"/>
      <c r="AJ64" s="156"/>
      <c r="AK64" s="156"/>
      <c r="AL64" s="156"/>
      <c r="AM64" s="156"/>
      <c r="AN64" s="156"/>
      <c r="AO64" s="156"/>
      <c r="AP64" s="156"/>
      <c r="AS64" s="170"/>
      <c r="AT64" s="170"/>
      <c r="AU64" s="170"/>
      <c r="AV64" s="156"/>
      <c r="BD64" s="156"/>
      <c r="BE64" s="156"/>
      <c r="BF64" s="156"/>
      <c r="BG64" s="156"/>
      <c r="BH64" s="156"/>
      <c r="BI64" s="156"/>
      <c r="BJ64" s="156"/>
      <c r="BK64" s="156"/>
      <c r="BL64" s="156"/>
    </row>
    <row r="65" spans="1:72" s="127" customFormat="1" ht="14.25" hidden="1" customHeight="1">
      <c r="A65" s="157"/>
      <c r="B65" s="596"/>
      <c r="C65" s="158"/>
      <c r="D65" s="159"/>
      <c r="E65" s="160"/>
      <c r="F65" s="161"/>
      <c r="G65" s="161"/>
      <c r="H65" s="162">
        <f t="shared" si="11"/>
        <v>0</v>
      </c>
      <c r="I65" s="163"/>
      <c r="J65" s="164"/>
      <c r="K65" s="165">
        <f t="shared" si="8"/>
        <v>0</v>
      </c>
      <c r="L65" s="165">
        <f t="shared" si="12"/>
        <v>0</v>
      </c>
      <c r="M65" s="278"/>
      <c r="N65" s="136"/>
      <c r="O65" s="136"/>
      <c r="P65" s="166"/>
      <c r="Q65" s="141"/>
      <c r="R65" s="141"/>
      <c r="S65" s="141"/>
      <c r="T65" s="141"/>
      <c r="U65" s="167"/>
      <c r="V65" s="167"/>
      <c r="W65" s="168">
        <f t="shared" si="9"/>
        <v>0</v>
      </c>
      <c r="X65" s="169">
        <f t="shared" si="13"/>
        <v>0</v>
      </c>
      <c r="Y65" s="169">
        <f t="shared" si="14"/>
        <v>0</v>
      </c>
      <c r="Z65" s="227">
        <f t="shared" si="15"/>
        <v>0</v>
      </c>
      <c r="AA65" s="226">
        <f t="shared" si="16"/>
        <v>0</v>
      </c>
      <c r="AB65" s="226">
        <f t="shared" si="17"/>
        <v>0</v>
      </c>
      <c r="AC65" s="277"/>
      <c r="AD65" s="147"/>
      <c r="AE65" s="147"/>
      <c r="AF65" s="149"/>
      <c r="AG65" s="149"/>
      <c r="AH65" s="156"/>
      <c r="AI65" s="156"/>
      <c r="AJ65" s="156"/>
      <c r="AK65" s="156"/>
      <c r="AL65" s="156"/>
      <c r="AM65" s="156"/>
      <c r="AN65" s="156"/>
      <c r="AO65" s="156"/>
      <c r="AP65" s="156"/>
      <c r="AS65" s="170"/>
      <c r="AT65" s="170"/>
      <c r="AU65" s="170"/>
      <c r="AV65" s="156"/>
      <c r="BD65" s="156"/>
      <c r="BE65" s="156"/>
      <c r="BF65" s="156"/>
      <c r="BG65" s="156"/>
      <c r="BH65" s="156"/>
      <c r="BI65" s="156"/>
      <c r="BJ65" s="156"/>
      <c r="BK65" s="156"/>
      <c r="BL65" s="156"/>
    </row>
    <row r="66" spans="1:72" s="127" customFormat="1" ht="14.25" hidden="1" customHeight="1">
      <c r="A66" s="157"/>
      <c r="B66" s="596"/>
      <c r="C66" s="158"/>
      <c r="D66" s="159"/>
      <c r="E66" s="160"/>
      <c r="F66" s="161"/>
      <c r="G66" s="161"/>
      <c r="H66" s="162">
        <f t="shared" si="11"/>
        <v>0</v>
      </c>
      <c r="I66" s="163"/>
      <c r="J66" s="164"/>
      <c r="K66" s="165">
        <f t="shared" si="8"/>
        <v>0</v>
      </c>
      <c r="L66" s="165">
        <f t="shared" si="12"/>
        <v>0</v>
      </c>
      <c r="M66" s="278"/>
      <c r="N66" s="136"/>
      <c r="O66" s="136"/>
      <c r="P66" s="166"/>
      <c r="Q66" s="141"/>
      <c r="R66" s="141"/>
      <c r="S66" s="141"/>
      <c r="T66" s="141"/>
      <c r="U66" s="167"/>
      <c r="V66" s="167"/>
      <c r="W66" s="168">
        <f t="shared" si="9"/>
        <v>0</v>
      </c>
      <c r="X66" s="169">
        <f t="shared" si="13"/>
        <v>0</v>
      </c>
      <c r="Y66" s="169">
        <f t="shared" si="14"/>
        <v>0</v>
      </c>
      <c r="Z66" s="227">
        <f t="shared" si="15"/>
        <v>0</v>
      </c>
      <c r="AA66" s="226">
        <f t="shared" si="16"/>
        <v>0</v>
      </c>
      <c r="AB66" s="226">
        <f t="shared" si="17"/>
        <v>0</v>
      </c>
      <c r="AC66" s="277"/>
      <c r="AD66" s="147"/>
      <c r="AE66" s="147"/>
      <c r="AF66" s="149"/>
      <c r="AG66" s="149"/>
      <c r="AH66" s="156"/>
      <c r="AI66" s="156"/>
      <c r="AJ66" s="156"/>
      <c r="AK66" s="156"/>
      <c r="AL66" s="156"/>
      <c r="AM66" s="156"/>
      <c r="AN66" s="156"/>
      <c r="AO66" s="156"/>
      <c r="AP66" s="156"/>
      <c r="AS66" s="170"/>
      <c r="AT66" s="170"/>
      <c r="AU66" s="170"/>
      <c r="AV66" s="156"/>
      <c r="BD66" s="156"/>
      <c r="BE66" s="156"/>
      <c r="BF66" s="156"/>
      <c r="BG66" s="156"/>
      <c r="BH66" s="156"/>
      <c r="BI66" s="156"/>
      <c r="BJ66" s="156"/>
      <c r="BK66" s="156"/>
      <c r="BL66" s="156"/>
    </row>
    <row r="67" spans="1:72" s="127" customFormat="1" ht="14.25" hidden="1" customHeight="1">
      <c r="A67" s="157"/>
      <c r="B67" s="596"/>
      <c r="C67" s="158"/>
      <c r="D67" s="159"/>
      <c r="E67" s="160"/>
      <c r="F67" s="161"/>
      <c r="G67" s="161"/>
      <c r="H67" s="162">
        <f t="shared" si="11"/>
        <v>0</v>
      </c>
      <c r="I67" s="163"/>
      <c r="J67" s="164"/>
      <c r="K67" s="165">
        <f t="shared" si="8"/>
        <v>0</v>
      </c>
      <c r="L67" s="165">
        <f t="shared" si="12"/>
        <v>0</v>
      </c>
      <c r="M67" s="278"/>
      <c r="N67" s="136"/>
      <c r="O67" s="136"/>
      <c r="P67" s="166"/>
      <c r="Q67" s="141"/>
      <c r="R67" s="141"/>
      <c r="S67" s="141"/>
      <c r="T67" s="141"/>
      <c r="U67" s="167"/>
      <c r="V67" s="167"/>
      <c r="W67" s="168">
        <f t="shared" si="9"/>
        <v>0</v>
      </c>
      <c r="X67" s="169">
        <f t="shared" si="13"/>
        <v>0</v>
      </c>
      <c r="Y67" s="169">
        <f t="shared" si="14"/>
        <v>0</v>
      </c>
      <c r="Z67" s="227">
        <f t="shared" si="15"/>
        <v>0</v>
      </c>
      <c r="AA67" s="226">
        <f t="shared" si="16"/>
        <v>0</v>
      </c>
      <c r="AB67" s="226">
        <f t="shared" si="17"/>
        <v>0</v>
      </c>
      <c r="AC67" s="277"/>
      <c r="AD67" s="147"/>
      <c r="AE67" s="147"/>
      <c r="AF67" s="149"/>
      <c r="AG67" s="149"/>
      <c r="AH67" s="156"/>
      <c r="AI67" s="156"/>
      <c r="AJ67" s="156"/>
      <c r="AK67" s="156"/>
      <c r="AL67" s="156"/>
      <c r="AM67" s="156"/>
      <c r="AN67" s="156"/>
      <c r="AO67" s="156"/>
      <c r="AP67" s="156"/>
      <c r="AS67" s="170"/>
      <c r="AT67" s="170"/>
      <c r="AU67" s="170"/>
      <c r="AV67" s="156"/>
      <c r="BD67" s="156"/>
      <c r="BE67" s="156"/>
      <c r="BF67" s="156"/>
      <c r="BG67" s="156"/>
      <c r="BH67" s="156"/>
      <c r="BI67" s="156"/>
      <c r="BJ67" s="156"/>
      <c r="BK67" s="156"/>
      <c r="BL67" s="156"/>
    </row>
    <row r="68" spans="1:72" s="127" customFormat="1" ht="14.25" hidden="1" customHeight="1">
      <c r="A68" s="157"/>
      <c r="B68" s="596"/>
      <c r="C68" s="158"/>
      <c r="D68" s="159"/>
      <c r="E68" s="160"/>
      <c r="F68" s="161"/>
      <c r="G68" s="161"/>
      <c r="H68" s="162">
        <f t="shared" si="11"/>
        <v>0</v>
      </c>
      <c r="I68" s="163"/>
      <c r="J68" s="164"/>
      <c r="K68" s="165">
        <f t="shared" si="8"/>
        <v>0</v>
      </c>
      <c r="L68" s="165">
        <f t="shared" si="2"/>
        <v>0</v>
      </c>
      <c r="M68" s="278"/>
      <c r="N68" s="136"/>
      <c r="O68" s="136"/>
      <c r="P68" s="166"/>
      <c r="Q68" s="141"/>
      <c r="R68" s="141"/>
      <c r="S68" s="141"/>
      <c r="T68" s="141"/>
      <c r="U68" s="167"/>
      <c r="V68" s="167"/>
      <c r="W68" s="168">
        <f t="shared" si="9"/>
        <v>0</v>
      </c>
      <c r="X68" s="169">
        <f t="shared" si="13"/>
        <v>0</v>
      </c>
      <c r="Y68" s="169">
        <f t="shared" si="14"/>
        <v>0</v>
      </c>
      <c r="Z68" s="227">
        <f t="shared" si="5"/>
        <v>0</v>
      </c>
      <c r="AA68" s="226">
        <f t="shared" si="16"/>
        <v>0</v>
      </c>
      <c r="AB68" s="226">
        <f t="shared" si="17"/>
        <v>0</v>
      </c>
      <c r="AC68" s="277"/>
      <c r="AD68" s="147"/>
      <c r="AE68" s="147"/>
      <c r="AF68" s="149"/>
      <c r="AG68" s="149"/>
      <c r="AH68" s="156"/>
      <c r="AI68" s="156"/>
      <c r="AJ68" s="156"/>
      <c r="AK68" s="156"/>
      <c r="AL68" s="156"/>
      <c r="AM68" s="156"/>
      <c r="AN68" s="156"/>
      <c r="AO68" s="156"/>
      <c r="AP68" s="156"/>
      <c r="AS68" s="170"/>
      <c r="AT68" s="170"/>
      <c r="AU68" s="170"/>
      <c r="AV68" s="156"/>
      <c r="BD68" s="156"/>
      <c r="BE68" s="156"/>
      <c r="BF68" s="156"/>
      <c r="BG68" s="156"/>
      <c r="BH68" s="156"/>
      <c r="BI68" s="156"/>
      <c r="BJ68" s="156"/>
      <c r="BK68" s="156"/>
      <c r="BL68" s="156"/>
    </row>
    <row r="69" spans="1:72" s="127" customFormat="1" ht="14.25" customHeight="1">
      <c r="A69" s="157"/>
      <c r="B69" s="596"/>
      <c r="C69" s="158"/>
      <c r="D69" s="159"/>
      <c r="E69" s="160"/>
      <c r="F69" s="161"/>
      <c r="G69" s="161"/>
      <c r="H69" s="162">
        <f t="shared" si="11"/>
        <v>0</v>
      </c>
      <c r="I69" s="163"/>
      <c r="J69" s="164"/>
      <c r="K69" s="165">
        <f t="shared" si="8"/>
        <v>0</v>
      </c>
      <c r="L69" s="165">
        <f t="shared" si="2"/>
        <v>0</v>
      </c>
      <c r="M69" s="278"/>
      <c r="N69" s="136"/>
      <c r="O69" s="136"/>
      <c r="P69" s="166"/>
      <c r="Q69" s="141"/>
      <c r="R69" s="141"/>
      <c r="S69" s="141"/>
      <c r="T69" s="141"/>
      <c r="U69" s="167"/>
      <c r="V69" s="167"/>
      <c r="W69" s="168">
        <f t="shared" si="9"/>
        <v>0</v>
      </c>
      <c r="X69" s="169">
        <f t="shared" si="13"/>
        <v>0</v>
      </c>
      <c r="Y69" s="169">
        <f t="shared" si="14"/>
        <v>0</v>
      </c>
      <c r="Z69" s="227">
        <f t="shared" si="5"/>
        <v>0</v>
      </c>
      <c r="AA69" s="226">
        <f t="shared" si="16"/>
        <v>0</v>
      </c>
      <c r="AB69" s="226">
        <f t="shared" si="17"/>
        <v>0</v>
      </c>
      <c r="AC69" s="277"/>
      <c r="AD69" s="147"/>
      <c r="AE69" s="147"/>
      <c r="AF69" s="149"/>
      <c r="AG69" s="149"/>
      <c r="AH69" s="156"/>
      <c r="AI69" s="156"/>
      <c r="AJ69" s="156"/>
      <c r="AK69" s="156"/>
      <c r="AL69" s="156"/>
      <c r="AM69" s="156"/>
      <c r="AN69" s="156"/>
      <c r="AO69" s="156"/>
      <c r="AP69" s="156"/>
      <c r="AS69" s="170"/>
      <c r="AT69" s="170"/>
      <c r="AU69" s="170"/>
      <c r="AV69" s="156"/>
      <c r="BD69" s="156"/>
      <c r="BE69" s="156"/>
      <c r="BF69" s="156"/>
      <c r="BG69" s="156"/>
      <c r="BH69" s="156"/>
      <c r="BI69" s="156"/>
      <c r="BJ69" s="156"/>
      <c r="BK69" s="156"/>
      <c r="BL69" s="156"/>
    </row>
    <row r="70" spans="1:72" s="127" customFormat="1" ht="14.25" customHeight="1">
      <c r="A70" s="171" t="s">
        <v>337</v>
      </c>
      <c r="B70" s="597"/>
      <c r="C70" s="172"/>
      <c r="D70" s="173"/>
      <c r="E70" s="174">
        <f>AT113</f>
        <v>179863</v>
      </c>
      <c r="F70" s="175"/>
      <c r="G70" s="176"/>
      <c r="H70" s="178">
        <f>IF(AV114=0,0,AT114/AV114*100)</f>
        <v>100</v>
      </c>
      <c r="I70" s="176"/>
      <c r="J70" s="177"/>
      <c r="K70" s="178">
        <f>AT131</f>
        <v>141.2691548567521</v>
      </c>
      <c r="L70" s="178">
        <f>AT132</f>
        <v>5.5134604512280578</v>
      </c>
      <c r="M70" s="181">
        <f>AT133</f>
        <v>25.622593307128202</v>
      </c>
      <c r="N70" s="178">
        <f>AT134</f>
        <v>1.1899923830915753</v>
      </c>
      <c r="O70" s="178">
        <f>AT135</f>
        <v>15.86656510788767</v>
      </c>
      <c r="P70" s="180">
        <f>AT136</f>
        <v>1.9833206384859588E-2</v>
      </c>
      <c r="Q70" s="181">
        <f>AT137</f>
        <v>0.90416984037851034</v>
      </c>
      <c r="R70" s="181">
        <f>AT138</f>
        <v>0.20824866704102565</v>
      </c>
      <c r="S70" s="181">
        <f>AT139</f>
        <v>0.11899923830915751</v>
      </c>
      <c r="T70" s="181">
        <f>AT140</f>
        <v>0</v>
      </c>
      <c r="U70" s="179"/>
      <c r="V70" s="177"/>
      <c r="W70" s="174" t="s">
        <v>51</v>
      </c>
      <c r="X70" s="174" t="s">
        <v>51</v>
      </c>
      <c r="Y70" s="174" t="s">
        <v>51</v>
      </c>
      <c r="AB70" s="147"/>
      <c r="AC70" s="147"/>
      <c r="AD70" s="147"/>
      <c r="AE70" s="147"/>
      <c r="AF70" s="147"/>
      <c r="AG70" s="147"/>
      <c r="AH70" s="156"/>
      <c r="AI70" s="156"/>
      <c r="AJ70" s="156"/>
      <c r="AK70" s="156"/>
      <c r="AL70" s="156"/>
      <c r="AM70" s="156"/>
      <c r="AN70" s="156"/>
      <c r="AO70" s="156"/>
      <c r="AP70" s="156"/>
      <c r="AQ70" s="182"/>
      <c r="AR70" s="182"/>
      <c r="AS70" s="183"/>
      <c r="AT70" s="183"/>
      <c r="AU70" s="183"/>
      <c r="AV70" s="147"/>
      <c r="BD70" s="156"/>
      <c r="BE70" s="156"/>
      <c r="BF70" s="156"/>
      <c r="BG70" s="156"/>
      <c r="BH70" s="156"/>
      <c r="BI70" s="156"/>
      <c r="BJ70" s="156"/>
      <c r="BK70" s="156"/>
      <c r="BL70" s="156"/>
    </row>
    <row r="71" spans="1:72" s="127" customFormat="1" ht="14.25" customHeight="1">
      <c r="A71" s="171" t="s">
        <v>338</v>
      </c>
      <c r="B71" s="597"/>
      <c r="C71" s="172"/>
      <c r="D71" s="184"/>
      <c r="E71" s="174">
        <f>AU113</f>
        <v>0</v>
      </c>
      <c r="F71" s="185"/>
      <c r="G71" s="147"/>
      <c r="H71" s="181">
        <f>IF(AV114=0,0,AU114/AV114*100)</f>
        <v>0</v>
      </c>
      <c r="I71" s="147"/>
      <c r="J71" s="186"/>
      <c r="K71" s="178">
        <f>AU131</f>
        <v>0</v>
      </c>
      <c r="L71" s="178">
        <f>AU132</f>
        <v>0</v>
      </c>
      <c r="M71" s="181">
        <f>AU133</f>
        <v>0</v>
      </c>
      <c r="N71" s="178">
        <f>AU134</f>
        <v>0</v>
      </c>
      <c r="O71" s="178">
        <f>AU135</f>
        <v>0</v>
      </c>
      <c r="P71" s="180">
        <f>AU136</f>
        <v>0</v>
      </c>
      <c r="Q71" s="181">
        <f>AU137</f>
        <v>0</v>
      </c>
      <c r="R71" s="181">
        <f>AU138</f>
        <v>0</v>
      </c>
      <c r="S71" s="181">
        <f>AU139</f>
        <v>0</v>
      </c>
      <c r="T71" s="181">
        <f>AU140</f>
        <v>0</v>
      </c>
      <c r="U71" s="187"/>
      <c r="V71" s="186"/>
      <c r="W71" s="174">
        <f>SUM(W21:W69)</f>
        <v>0</v>
      </c>
      <c r="X71" s="178">
        <f>IF(AU114=0,0,W71/AU114)</f>
        <v>0</v>
      </c>
      <c r="Y71" s="178">
        <f>IF(E71=0,0,W71/E71)</f>
        <v>0</v>
      </c>
      <c r="AA71" s="147"/>
      <c r="AB71" s="147"/>
      <c r="AC71" s="147"/>
      <c r="AD71" s="147"/>
      <c r="AE71" s="147"/>
      <c r="AF71" s="147"/>
      <c r="AG71" s="147"/>
      <c r="AH71" s="156"/>
      <c r="AI71" s="156"/>
      <c r="AJ71" s="156"/>
      <c r="AK71" s="156"/>
      <c r="AL71" s="156"/>
      <c r="AM71" s="156"/>
      <c r="AN71" s="156"/>
      <c r="AO71" s="156"/>
      <c r="AP71" s="156"/>
      <c r="AQ71" s="182"/>
      <c r="AR71" s="182"/>
      <c r="AS71" s="183"/>
      <c r="AT71" s="183"/>
      <c r="AU71" s="183"/>
      <c r="AV71" s="147"/>
      <c r="BD71" s="156"/>
      <c r="BE71" s="156"/>
      <c r="BF71" s="156"/>
      <c r="BG71" s="156"/>
      <c r="BH71" s="156"/>
      <c r="BI71" s="156"/>
      <c r="BJ71" s="156"/>
      <c r="BK71" s="156"/>
      <c r="BL71" s="156"/>
    </row>
    <row r="72" spans="1:72" s="127" customFormat="1" ht="14.25" customHeight="1">
      <c r="D72" s="144"/>
      <c r="E72" s="130"/>
      <c r="G72" s="189"/>
      <c r="W72" s="190"/>
      <c r="X72" s="191"/>
      <c r="AA72" s="147"/>
      <c r="AB72" s="147"/>
      <c r="AC72" s="147"/>
      <c r="AD72" s="147"/>
      <c r="AE72" s="147"/>
      <c r="AF72" s="147"/>
      <c r="AG72" s="147"/>
      <c r="AH72" s="156"/>
      <c r="AI72" s="156"/>
      <c r="AJ72" s="156"/>
      <c r="AK72" s="156"/>
      <c r="AL72" s="156"/>
      <c r="AM72" s="156"/>
      <c r="AN72" s="156"/>
      <c r="AO72" s="156"/>
      <c r="AP72" s="156"/>
      <c r="AQ72" s="182"/>
      <c r="AR72" s="182"/>
      <c r="AS72" s="183"/>
      <c r="AT72" s="183"/>
      <c r="AU72" s="183"/>
      <c r="AV72" s="147"/>
      <c r="BD72" s="156"/>
      <c r="BE72" s="156"/>
      <c r="BF72" s="156"/>
      <c r="BG72" s="156"/>
      <c r="BH72" s="156"/>
      <c r="BI72" s="156"/>
      <c r="BJ72" s="156"/>
      <c r="BK72" s="156"/>
      <c r="BL72" s="156"/>
    </row>
    <row r="73" spans="1:72" s="127" customFormat="1" ht="14.25" customHeight="1">
      <c r="A73" s="779" t="s">
        <v>804</v>
      </c>
      <c r="B73" s="780"/>
      <c r="C73" s="131" t="str">
        <f>D3</f>
        <v>Baseline</v>
      </c>
      <c r="D73" s="319" t="s">
        <v>334</v>
      </c>
      <c r="E73" s="134"/>
      <c r="F73" s="779" t="s">
        <v>678</v>
      </c>
      <c r="G73" s="830"/>
      <c r="H73" s="131" t="str">
        <f>D3</f>
        <v>Baseline</v>
      </c>
      <c r="I73" s="319" t="str">
        <f>$D$73</f>
        <v>Reported</v>
      </c>
      <c r="K73" s="261" t="s">
        <v>332</v>
      </c>
      <c r="L73" s="809" t="str">
        <f>D3</f>
        <v>Baseline</v>
      </c>
      <c r="M73" s="810"/>
      <c r="N73" s="818" t="str">
        <f>$D$73</f>
        <v>Reported</v>
      </c>
      <c r="O73" s="817"/>
      <c r="Q73" s="807" t="s">
        <v>547</v>
      </c>
      <c r="R73" s="807"/>
      <c r="S73" s="807"/>
      <c r="T73" s="807"/>
      <c r="U73" s="807"/>
      <c r="V73" s="807"/>
      <c r="W73" s="808"/>
      <c r="X73" s="192" t="str">
        <f>D3</f>
        <v>Baseline</v>
      </c>
      <c r="Y73" s="319" t="str">
        <f>$D$73</f>
        <v>Reported</v>
      </c>
      <c r="AA73" s="147"/>
      <c r="AB73" s="147"/>
      <c r="AC73" s="147"/>
      <c r="AD73" s="147"/>
      <c r="AE73" s="147"/>
      <c r="AF73" s="147"/>
      <c r="AG73" s="147"/>
      <c r="AH73" s="156"/>
      <c r="AI73" s="193"/>
      <c r="AJ73" s="170"/>
      <c r="AK73" s="170"/>
      <c r="AL73" s="170"/>
      <c r="AM73" s="170"/>
      <c r="AN73" s="170"/>
      <c r="AO73" s="170"/>
      <c r="AP73" s="193"/>
      <c r="AQ73" s="145"/>
      <c r="AR73" s="145"/>
      <c r="AS73" s="183"/>
      <c r="AT73" s="183"/>
      <c r="AU73" s="183"/>
      <c r="AV73" s="147"/>
      <c r="BD73" s="156"/>
      <c r="BE73" s="156"/>
      <c r="BF73" s="156"/>
      <c r="BG73" s="156"/>
      <c r="BH73" s="194"/>
      <c r="BI73" s="156"/>
      <c r="BJ73" s="194"/>
      <c r="BK73" s="195"/>
      <c r="BL73" s="156"/>
    </row>
    <row r="74" spans="1:72" s="127" customFormat="1" ht="14.25" customHeight="1">
      <c r="A74" s="541" t="s">
        <v>801</v>
      </c>
      <c r="B74" s="521" t="s">
        <v>550</v>
      </c>
      <c r="C74" s="197">
        <f>C80-SUM(C75:C79)</f>
        <v>3296.3211127374148</v>
      </c>
      <c r="D74" s="198" t="s">
        <v>51</v>
      </c>
      <c r="F74" s="199" t="s">
        <v>336</v>
      </c>
      <c r="G74" s="196"/>
      <c r="H74" s="160" t="s">
        <v>290</v>
      </c>
      <c r="I74" s="198" t="s">
        <v>51</v>
      </c>
      <c r="K74" s="262"/>
      <c r="L74" s="200" t="s">
        <v>110</v>
      </c>
      <c r="M74" s="200" t="s">
        <v>333</v>
      </c>
      <c r="N74" s="154" t="s">
        <v>110</v>
      </c>
      <c r="O74" s="154" t="s">
        <v>333</v>
      </c>
      <c r="Q74" s="769" t="s">
        <v>689</v>
      </c>
      <c r="R74" s="293"/>
      <c r="S74" s="293"/>
      <c r="T74" s="293"/>
      <c r="U74" s="293"/>
      <c r="V74" s="293"/>
      <c r="W74" s="288" t="str">
        <f>LocCur&amp;"/t cli"</f>
        <v>USD/t cli</v>
      </c>
      <c r="X74" s="201">
        <f>IF(K11=0,0,SUMPRODUCT(K21:K69,E21:E69)/K11)</f>
        <v>18.194375814795272</v>
      </c>
      <c r="Y74" s="202"/>
      <c r="AJ74" s="156"/>
      <c r="AK74" s="156"/>
      <c r="AL74" s="156"/>
      <c r="AM74" s="156"/>
      <c r="AN74" s="156"/>
      <c r="AO74" s="156"/>
      <c r="AP74" s="156"/>
      <c r="AQ74" s="182" t="s">
        <v>114</v>
      </c>
      <c r="AR74" s="182"/>
      <c r="AS74" s="183"/>
      <c r="AT74" s="183"/>
      <c r="AU74" s="183"/>
      <c r="AV74" s="149"/>
      <c r="BD74" s="156"/>
      <c r="BE74" s="156"/>
      <c r="BF74" s="156"/>
      <c r="BG74" s="156"/>
      <c r="BH74" s="147"/>
      <c r="BI74" s="156"/>
      <c r="BJ74" s="203"/>
      <c r="BK74" s="147"/>
      <c r="BL74" s="156"/>
    </row>
    <row r="75" spans="1:72" s="127" customFormat="1" ht="14.25" customHeight="1">
      <c r="A75" s="827" t="s">
        <v>802</v>
      </c>
      <c r="B75" s="288" t="s">
        <v>754</v>
      </c>
      <c r="C75" s="197">
        <f>AT130-AG130</f>
        <v>3.678887262585409</v>
      </c>
      <c r="D75" s="198" t="s">
        <v>51</v>
      </c>
      <c r="F75" s="372" t="s">
        <v>692</v>
      </c>
      <c r="G75" s="288"/>
      <c r="H75" s="163">
        <v>0</v>
      </c>
      <c r="I75" s="139" t="s">
        <v>51</v>
      </c>
      <c r="K75" s="205" t="str">
        <f>AG146</f>
        <v>BZ</v>
      </c>
      <c r="L75" s="206">
        <f>IF($AV$114=0,0,AU104/$AV$114*100)</f>
        <v>0</v>
      </c>
      <c r="M75" s="206">
        <f>SUMIFS($H$21:$H$69,$F$21:$F$69,"="&amp;K75)</f>
        <v>39.999791691823681</v>
      </c>
      <c r="N75" s="167"/>
      <c r="O75" s="167"/>
      <c r="Q75" s="771"/>
      <c r="R75" s="389"/>
      <c r="S75" s="389"/>
      <c r="T75" s="389"/>
      <c r="U75" s="389"/>
      <c r="V75" s="389"/>
      <c r="W75" s="288" t="str">
        <f>LocCur&amp;"/GJ"</f>
        <v>USD/GJ</v>
      </c>
      <c r="X75" s="207">
        <f>IF(SUMPRODUCT(E21:E69,M21:M69)=0,0,SUMPRODUCT(E21:E69,K21:K69)/SUMPRODUCT(E21:E69,M21:M69))</f>
        <v>5.5134604512280578</v>
      </c>
      <c r="Y75" s="208"/>
      <c r="AJ75" s="124"/>
      <c r="AK75" s="124"/>
      <c r="AL75" s="124"/>
      <c r="AM75" s="124"/>
      <c r="AN75" s="124"/>
      <c r="AO75" s="124"/>
      <c r="AP75" s="124"/>
      <c r="AQ75" s="182"/>
      <c r="AR75" s="182"/>
      <c r="AS75" s="183"/>
      <c r="AT75" s="183"/>
      <c r="AU75" s="183"/>
      <c r="AV75" s="149"/>
      <c r="BD75" s="156"/>
      <c r="BE75" s="156"/>
      <c r="BF75" s="156"/>
      <c r="BG75" s="156"/>
      <c r="BH75" s="124"/>
      <c r="BI75" s="124"/>
      <c r="BJ75" s="124"/>
      <c r="BK75" s="124"/>
      <c r="BL75" s="124"/>
    </row>
    <row r="76" spans="1:72" s="127" customFormat="1" ht="14.25" customHeight="1">
      <c r="A76" s="803"/>
      <c r="B76" s="288" t="s">
        <v>755</v>
      </c>
      <c r="C76" s="197">
        <f>AU130</f>
        <v>0</v>
      </c>
      <c r="D76" s="198" t="s">
        <v>51</v>
      </c>
      <c r="F76" s="372" t="s">
        <v>693</v>
      </c>
      <c r="G76" s="196"/>
      <c r="H76" s="163">
        <v>0</v>
      </c>
      <c r="I76" s="139" t="s">
        <v>51</v>
      </c>
      <c r="K76" s="205" t="str">
        <f>AG147</f>
        <v>ILC</v>
      </c>
      <c r="L76" s="206">
        <f>IF($AV$114=0,0,AU106/$AV$114*100)</f>
        <v>0</v>
      </c>
      <c r="M76" s="206">
        <f>SUMIFS($H$21:$H$69,$F$21:$F$69,"="&amp;K76)</f>
        <v>60.000208308176326</v>
      </c>
      <c r="N76" s="167"/>
      <c r="O76" s="167"/>
      <c r="Q76" s="370" t="s">
        <v>722</v>
      </c>
      <c r="W76" s="288" t="str">
        <f>LocCur&amp;"/"&amp;D13</f>
        <v>USD/year</v>
      </c>
      <c r="X76" s="242">
        <f>CLI*TECpT</f>
        <v>25409094</v>
      </c>
      <c r="Y76" s="378"/>
      <c r="AD76" s="544"/>
      <c r="AE76" s="544"/>
      <c r="AJ76" s="182"/>
      <c r="AK76" s="124"/>
      <c r="AL76" s="124"/>
      <c r="AM76" s="124"/>
      <c r="AN76" s="124"/>
      <c r="AO76" s="124"/>
      <c r="AP76" s="124"/>
      <c r="AQ76" s="183"/>
      <c r="AR76" s="183"/>
      <c r="AS76" s="183"/>
      <c r="AT76" s="183"/>
      <c r="AU76" s="183"/>
      <c r="AV76" s="147"/>
      <c r="BD76" s="147"/>
      <c r="BE76" s="147"/>
      <c r="BF76" s="147"/>
      <c r="BG76" s="147"/>
      <c r="BH76" s="182"/>
      <c r="BI76" s="182"/>
      <c r="BJ76" s="147"/>
      <c r="BK76" s="147"/>
      <c r="BL76" s="147"/>
    </row>
    <row r="77" spans="1:72" s="127" customFormat="1" ht="14.25" customHeight="1">
      <c r="A77" s="803"/>
      <c r="B77" s="521" t="s">
        <v>756</v>
      </c>
      <c r="C77" s="197">
        <f>H75*Guidelines!$M$233+H76*Guidelines!$M$234</f>
        <v>0</v>
      </c>
      <c r="D77" s="198" t="s">
        <v>51</v>
      </c>
      <c r="K77" s="205" t="str">
        <f>AG148</f>
        <v>SLC/OLC/MFC</v>
      </c>
      <c r="L77" s="206">
        <f>IF($AV$114=0,0,AU108/$AV$114*100)</f>
        <v>0</v>
      </c>
      <c r="M77" s="206">
        <f>SUMIFS($H$21:$H$69,$F$21:$F$69,"="&amp;K77)</f>
        <v>0</v>
      </c>
      <c r="N77" s="167"/>
      <c r="O77" s="167"/>
      <c r="Q77" s="318" t="s">
        <v>111</v>
      </c>
      <c r="R77" s="211"/>
      <c r="S77" s="211"/>
      <c r="T77" s="211"/>
      <c r="U77" s="211"/>
      <c r="V77" s="211"/>
      <c r="W77" s="288"/>
      <c r="X77" s="213">
        <f>IF(SUMPRODUCT(AH113:AM113,AH131:AM131)=0,0,(1-(SUMPRODUCT(K21:K69,E21:E69)*(1-X78/100)/SUMPRODUCT(AH113:AM113,AH131:AM131)))*100)</f>
        <v>0</v>
      </c>
      <c r="Y77" s="562"/>
      <c r="AJ77" s="182"/>
      <c r="AK77" s="124"/>
      <c r="AL77" s="124"/>
      <c r="AM77" s="124"/>
      <c r="AN77" s="124"/>
      <c r="AO77" s="124"/>
      <c r="AP77" s="124"/>
      <c r="AQ77" s="124"/>
      <c r="AR77" s="124"/>
      <c r="AS77" s="183"/>
      <c r="AT77" s="183"/>
      <c r="AU77" s="183"/>
      <c r="AV77" s="124"/>
      <c r="BD77" s="147"/>
      <c r="BE77" s="147"/>
      <c r="BF77" s="147"/>
      <c r="BG77" s="147"/>
      <c r="BH77" s="182"/>
      <c r="BI77" s="182"/>
      <c r="BJ77" s="124"/>
      <c r="BK77" s="124"/>
      <c r="BL77" s="147"/>
    </row>
    <row r="78" spans="1:72" s="127" customFormat="1" ht="14.25" customHeight="1">
      <c r="A78" s="803"/>
      <c r="B78" s="521" t="s">
        <v>753</v>
      </c>
      <c r="C78" s="197">
        <f>SUM(E86:E90)</f>
        <v>0</v>
      </c>
      <c r="D78" s="198" t="s">
        <v>51</v>
      </c>
      <c r="F78" s="815" t="s">
        <v>679</v>
      </c>
      <c r="G78" s="816"/>
      <c r="H78" s="817"/>
      <c r="K78" s="205" t="str">
        <f>AG149</f>
        <v>PCC</v>
      </c>
      <c r="L78" s="206">
        <f>IF($AV$114=0,0,AU110/$AV$114*100)</f>
        <v>0</v>
      </c>
      <c r="M78" s="206">
        <f>SUMIFS($H$21:$H$69,$F$21:$F$69,"="&amp;K78)</f>
        <v>0</v>
      </c>
      <c r="N78" s="167"/>
      <c r="O78" s="167"/>
      <c r="Q78" s="318" t="s">
        <v>110</v>
      </c>
      <c r="R78" s="211"/>
      <c r="S78" s="211"/>
      <c r="T78" s="211"/>
      <c r="U78" s="211"/>
      <c r="V78" s="211"/>
      <c r="W78" s="288"/>
      <c r="X78" s="213">
        <f>H71</f>
        <v>0</v>
      </c>
      <c r="Y78" s="562"/>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82"/>
      <c r="BI78" s="182"/>
      <c r="BJ78" s="145"/>
      <c r="BK78" s="182"/>
      <c r="BL78" s="182"/>
      <c r="BM78" s="182"/>
      <c r="BN78" s="182"/>
      <c r="BO78" s="182"/>
      <c r="BP78" s="182"/>
      <c r="BQ78" s="182"/>
      <c r="BR78" s="183"/>
      <c r="BS78" s="124"/>
      <c r="BT78" s="124"/>
    </row>
    <row r="79" spans="1:72" s="127" customFormat="1" ht="14.25" customHeight="1">
      <c r="A79" s="804"/>
      <c r="B79" s="288" t="s">
        <v>677</v>
      </c>
      <c r="C79" s="369">
        <v>0</v>
      </c>
      <c r="D79" s="198" t="s">
        <v>51</v>
      </c>
      <c r="F79" s="751" t="s">
        <v>754</v>
      </c>
      <c r="G79" s="288" t="s">
        <v>306</v>
      </c>
      <c r="H79" s="210">
        <f>AT123</f>
        <v>0</v>
      </c>
      <c r="K79" s="205" t="str">
        <f>AG150</f>
        <v>SF</v>
      </c>
      <c r="L79" s="206">
        <f>IF($AV$114=0,0,AU112/$AV$114*100)</f>
        <v>0</v>
      </c>
      <c r="M79" s="206">
        <f>SUMIFS($H$21:$H$69,$F$21:$F$69,"="&amp;K79)</f>
        <v>0</v>
      </c>
      <c r="N79" s="167"/>
      <c r="O79" s="167"/>
      <c r="Q79" s="287" t="s">
        <v>259</v>
      </c>
      <c r="R79" s="211"/>
      <c r="S79" s="211"/>
      <c r="T79" s="211"/>
      <c r="U79" s="211"/>
      <c r="V79" s="211"/>
      <c r="W79" s="288"/>
      <c r="X79" s="213">
        <f>IF(X78=0,0,X77/X78)</f>
        <v>0</v>
      </c>
      <c r="Y79" s="214" t="str">
        <f>IF(Y78=0,"-",Y77/Y78)</f>
        <v>-</v>
      </c>
      <c r="Z79" s="218"/>
      <c r="BE79" s="124"/>
      <c r="BF79" s="182"/>
      <c r="BG79" s="182"/>
      <c r="BH79" s="182"/>
      <c r="BI79" s="182"/>
      <c r="BJ79" s="145"/>
      <c r="BK79" s="182"/>
      <c r="BL79" s="182"/>
      <c r="BM79" s="182"/>
      <c r="BN79" s="182"/>
      <c r="BO79" s="182"/>
      <c r="BP79" s="182"/>
      <c r="BQ79" s="182"/>
      <c r="BR79" s="183"/>
      <c r="BS79" s="124"/>
      <c r="BT79" s="124"/>
    </row>
    <row r="80" spans="1:72" s="127" customFormat="1" ht="14.25" customHeight="1">
      <c r="A80" s="803" t="s">
        <v>803</v>
      </c>
      <c r="B80" s="288" t="s">
        <v>490</v>
      </c>
      <c r="C80" s="197">
        <f>K10</f>
        <v>3300</v>
      </c>
      <c r="D80" s="198" t="s">
        <v>51</v>
      </c>
      <c r="F80" s="752"/>
      <c r="G80" s="288" t="s">
        <v>310</v>
      </c>
      <c r="H80" s="212"/>
      <c r="K80" s="205" t="s">
        <v>60</v>
      </c>
      <c r="L80" s="206">
        <f>SUM(L75:L79)</f>
        <v>0</v>
      </c>
      <c r="M80" s="206">
        <f>SUM(M75:M79)</f>
        <v>100</v>
      </c>
      <c r="N80" s="206" t="str">
        <f>IF(SUM(N75:N79)=0,"-",SUM(N75:N79))</f>
        <v>-</v>
      </c>
      <c r="O80" s="206" t="str">
        <f>IF(SUM(O75:O79)=0,"-",SUM(O75:O79))</f>
        <v>-</v>
      </c>
      <c r="Q80" s="593" t="str">
        <f>"SPCs, "&amp;LocCur&amp;"/a"</f>
        <v>SPCs, USD/a</v>
      </c>
      <c r="R80" s="211"/>
      <c r="S80" s="211"/>
      <c r="T80" s="211"/>
      <c r="U80" s="211"/>
      <c r="V80" s="211"/>
      <c r="W80" s="288"/>
      <c r="X80" s="594">
        <v>0</v>
      </c>
      <c r="Y80" s="217"/>
      <c r="Z80" s="218"/>
      <c r="AC80" s="563"/>
      <c r="BE80" s="124"/>
      <c r="BF80" s="182"/>
      <c r="BG80" s="182"/>
      <c r="BH80" s="182"/>
      <c r="BI80" s="182"/>
      <c r="BJ80" s="145"/>
      <c r="BK80" s="182"/>
      <c r="BL80" s="182"/>
      <c r="BM80" s="182"/>
      <c r="BN80" s="182"/>
      <c r="BO80" s="182"/>
      <c r="BP80" s="182"/>
      <c r="BQ80" s="182"/>
      <c r="BR80" s="183"/>
      <c r="BS80" s="124"/>
      <c r="BT80" s="124"/>
    </row>
    <row r="81" spans="1:72" s="127" customFormat="1" ht="14.25" customHeight="1">
      <c r="A81" s="804"/>
      <c r="B81" s="288" t="s">
        <v>549</v>
      </c>
      <c r="C81" s="198">
        <f>IF(K11=0,,(SUMPRODUCT(M21:M69,E21:E69))*1000/K11)</f>
        <v>3299.9920786123876</v>
      </c>
      <c r="D81" s="216"/>
      <c r="E81" s="487"/>
      <c r="F81" s="751" t="s">
        <v>755</v>
      </c>
      <c r="G81" s="196" t="s">
        <v>306</v>
      </c>
      <c r="H81" s="210">
        <f>AU123</f>
        <v>0</v>
      </c>
      <c r="Q81" s="522" t="str">
        <f>IF(SPC=0,"Op. GAV AF, ","GAV AF, ")&amp;LocCur&amp;"/a"</f>
        <v>Op. GAV AF, USD/a</v>
      </c>
      <c r="R81" s="211"/>
      <c r="S81" s="211"/>
      <c r="T81" s="211"/>
      <c r="U81" s="211"/>
      <c r="V81" s="211"/>
      <c r="W81" s="288"/>
      <c r="X81" s="198">
        <f>IF(AV114=0,0,SUMPRODUCT(AH113:AM113,AH131:AM131)/(1-X78/100)-SUMPRODUCT(AH113:AM113,AH131:AM131)-SUMPRODUCT(AN113:AS113,AN131:AS131)+$D$15*(AV146+AV147)/AV114*AV150)+X80</f>
        <v>0</v>
      </c>
      <c r="Y81" s="217"/>
      <c r="AF81" s="124"/>
      <c r="AG81" s="124"/>
      <c r="AH81" s="182"/>
      <c r="AI81" s="182"/>
      <c r="BE81" s="124"/>
      <c r="BF81" s="182"/>
      <c r="BG81" s="182"/>
      <c r="BH81" s="182"/>
      <c r="BI81" s="182"/>
      <c r="BJ81" s="182"/>
      <c r="BK81" s="182"/>
      <c r="BL81" s="182"/>
      <c r="BM81" s="182"/>
      <c r="BN81" s="182"/>
      <c r="BO81" s="182"/>
      <c r="BP81" s="182"/>
      <c r="BQ81" s="182"/>
      <c r="BR81" s="183"/>
      <c r="BS81" s="124"/>
      <c r="BT81" s="124"/>
    </row>
    <row r="82" spans="1:72" s="127" customFormat="1" ht="14.25" customHeight="1">
      <c r="A82" s="209" t="s">
        <v>335</v>
      </c>
      <c r="B82" s="215"/>
      <c r="C82" s="197">
        <f>C81-C80</f>
        <v>-7.9213876124413218E-3</v>
      </c>
      <c r="D82" s="198" t="s">
        <v>51</v>
      </c>
      <c r="E82" s="487"/>
      <c r="F82" s="752"/>
      <c r="G82" s="196" t="s">
        <v>310</v>
      </c>
      <c r="H82" s="212"/>
      <c r="Q82" s="287" t="str">
        <f>LocCur&amp;":"&amp;IntCur&amp;" exchange rate"</f>
        <v>USD:CHF exchange rate</v>
      </c>
      <c r="R82" s="551"/>
      <c r="S82" s="551"/>
      <c r="T82" s="551"/>
      <c r="U82" s="551"/>
      <c r="V82" s="551"/>
      <c r="W82" s="288"/>
      <c r="X82" s="552">
        <v>1.05</v>
      </c>
      <c r="Y82" s="553"/>
      <c r="AF82" s="124"/>
      <c r="AG82" s="124"/>
      <c r="AH82" s="182"/>
      <c r="AI82" s="182"/>
      <c r="BE82" s="124"/>
      <c r="BF82" s="182"/>
      <c r="BG82" s="182"/>
      <c r="BH82" s="182"/>
      <c r="BI82" s="182"/>
      <c r="BJ82" s="182"/>
      <c r="BK82" s="182"/>
      <c r="BL82" s="182"/>
      <c r="BM82" s="182"/>
      <c r="BN82" s="182"/>
      <c r="BO82" s="182"/>
      <c r="BP82" s="182"/>
      <c r="BQ82" s="182"/>
      <c r="BR82" s="183"/>
      <c r="BS82" s="124"/>
      <c r="BT82" s="124"/>
    </row>
    <row r="83" spans="1:72" s="127" customFormat="1" ht="14.25" customHeight="1" collapsed="1">
      <c r="E83" s="219"/>
      <c r="Q83" s="522" t="str">
        <f>IF(SPC=0,"Op. GAV AF, ","GAV AF, ")&amp;IntCur&amp;"/a"</f>
        <v>Op. GAV AF, CHF/a</v>
      </c>
      <c r="R83" s="551"/>
      <c r="S83" s="551"/>
      <c r="T83" s="551"/>
      <c r="U83" s="551"/>
      <c r="V83" s="551"/>
      <c r="W83" s="288"/>
      <c r="X83" s="198">
        <f>IF(X82=0,0,X81/X82)</f>
        <v>0</v>
      </c>
      <c r="Y83" s="198">
        <f>IF(Y82=0,0,Y81/Y82)</f>
        <v>0</v>
      </c>
      <c r="AF83" s="124"/>
      <c r="AG83" s="124"/>
      <c r="AH83" s="182"/>
      <c r="AI83" s="182"/>
      <c r="BE83" s="124"/>
      <c r="BF83" s="182"/>
      <c r="BG83" s="182"/>
      <c r="BH83" s="182"/>
      <c r="BI83" s="182"/>
      <c r="BJ83" s="182"/>
      <c r="BK83" s="182"/>
      <c r="BL83" s="182"/>
      <c r="BM83" s="182"/>
      <c r="BN83" s="182"/>
      <c r="BO83" s="182"/>
      <c r="BP83" s="182"/>
      <c r="BQ83" s="182"/>
      <c r="BR83" s="183"/>
      <c r="BS83" s="124"/>
      <c r="BT83" s="124"/>
    </row>
    <row r="84" spans="1:72" s="127" customFormat="1" ht="14.25" hidden="1" customHeight="1" outlineLevel="1">
      <c r="A84" s="767" t="s">
        <v>759</v>
      </c>
      <c r="B84" s="757" t="s">
        <v>815</v>
      </c>
      <c r="C84" s="758"/>
      <c r="D84" s="270" t="s">
        <v>735</v>
      </c>
      <c r="E84" s="270" t="s">
        <v>736</v>
      </c>
      <c r="AF84" s="124"/>
      <c r="AG84" s="124"/>
      <c r="AH84" s="182"/>
      <c r="AI84" s="182"/>
      <c r="BE84" s="124"/>
      <c r="BF84" s="182"/>
      <c r="BG84" s="182"/>
      <c r="BH84" s="182"/>
      <c r="BI84" s="182"/>
      <c r="BJ84" s="182"/>
      <c r="BK84" s="182"/>
      <c r="BL84" s="182"/>
      <c r="BM84" s="182"/>
      <c r="BN84" s="182"/>
      <c r="BO84" s="182"/>
      <c r="BP84" s="182"/>
      <c r="BQ84" s="182"/>
      <c r="BR84" s="183"/>
      <c r="BS84" s="124"/>
      <c r="BT84" s="124"/>
    </row>
    <row r="85" spans="1:72" s="127" customFormat="1" ht="14.25" hidden="1" customHeight="1" outlineLevel="1">
      <c r="A85" s="768"/>
      <c r="B85" s="759" t="s">
        <v>747</v>
      </c>
      <c r="C85" s="760"/>
      <c r="D85" s="271" t="s">
        <v>734</v>
      </c>
      <c r="E85" s="271" t="s">
        <v>358</v>
      </c>
      <c r="AF85" s="124"/>
      <c r="AG85" s="124"/>
      <c r="AH85" s="182"/>
      <c r="AI85" s="182"/>
      <c r="BE85" s="124"/>
      <c r="BF85" s="182"/>
      <c r="BG85" s="182"/>
      <c r="BH85" s="182"/>
      <c r="BI85" s="182"/>
      <c r="BJ85" s="182"/>
      <c r="BK85" s="182"/>
      <c r="BL85" s="182"/>
      <c r="BM85" s="182"/>
      <c r="BN85" s="182"/>
      <c r="BO85" s="182"/>
      <c r="BP85" s="182"/>
      <c r="BQ85" s="182"/>
      <c r="BR85" s="183"/>
      <c r="BS85" s="124"/>
      <c r="BT85" s="124"/>
    </row>
    <row r="86" spans="1:72" s="127" customFormat="1" ht="14.25" hidden="1" customHeight="1" outlineLevel="1">
      <c r="A86" s="205" t="s">
        <v>737</v>
      </c>
      <c r="B86" s="755"/>
      <c r="C86" s="756"/>
      <c r="D86" s="397"/>
      <c r="E86" s="398">
        <f>IF(OR(B86=$AE$154,B86=0),0,VLOOKUP(B86,Guidelines!$A$253:$H$260,6,FALSE)*D86*$K$9*$D$14*24*Guidelines!$M$232/CLI/100)</f>
        <v>0</v>
      </c>
      <c r="F86" s="544"/>
      <c r="AF86" s="124"/>
      <c r="AG86" s="124"/>
      <c r="AH86" s="182"/>
      <c r="AI86" s="182"/>
      <c r="BE86" s="124"/>
      <c r="BF86" s="182"/>
      <c r="BG86" s="182"/>
      <c r="BH86" s="182"/>
      <c r="BI86" s="182"/>
      <c r="BJ86" s="182"/>
      <c r="BK86" s="182"/>
      <c r="BL86" s="182"/>
      <c r="BM86" s="182"/>
      <c r="BN86" s="182"/>
      <c r="BO86" s="182"/>
      <c r="BP86" s="182"/>
      <c r="BQ86" s="182"/>
      <c r="BR86" s="183"/>
      <c r="BS86" s="124"/>
      <c r="BT86" s="124"/>
    </row>
    <row r="87" spans="1:72" s="127" customFormat="1" ht="14.25" hidden="1" customHeight="1" outlineLevel="1">
      <c r="A87" s="205" t="s">
        <v>738</v>
      </c>
      <c r="B87" s="755"/>
      <c r="C87" s="756"/>
      <c r="D87" s="397"/>
      <c r="E87" s="398">
        <f>IF(OR(B87=$AE$154,B87=0),0,VLOOKUP(B87,Guidelines!$A$253:$H$260,6,FALSE)*D87*$K$9*$D$14*24*Guidelines!$M$232/CLI/100)</f>
        <v>0</v>
      </c>
      <c r="F87" s="544"/>
      <c r="AF87" s="124"/>
      <c r="AG87" s="124"/>
      <c r="AH87" s="182"/>
      <c r="AI87" s="182"/>
      <c r="BE87" s="124"/>
      <c r="BF87" s="182"/>
      <c r="BG87" s="182"/>
      <c r="BH87" s="182"/>
      <c r="BI87" s="182"/>
      <c r="BJ87" s="182"/>
      <c r="BK87" s="182"/>
      <c r="BL87" s="182"/>
      <c r="BM87" s="182"/>
      <c r="BN87" s="182"/>
      <c r="BO87" s="182"/>
      <c r="BP87" s="182"/>
      <c r="BQ87" s="182"/>
      <c r="BR87" s="183"/>
      <c r="BS87" s="124"/>
      <c r="BT87" s="124"/>
    </row>
    <row r="88" spans="1:72" s="127" customFormat="1" ht="14.25" hidden="1" customHeight="1" outlineLevel="1">
      <c r="A88" s="205" t="s">
        <v>739</v>
      </c>
      <c r="B88" s="755"/>
      <c r="C88" s="756"/>
      <c r="D88" s="397"/>
      <c r="E88" s="398">
        <f>IF(OR(B88=$AE$154,B88=0),0,VLOOKUP(B88,Guidelines!$A$253:$H$260,6,FALSE)*D88*$K$9*$D$14*24*Guidelines!$M$232/CLI/100)</f>
        <v>0</v>
      </c>
      <c r="F88" s="544"/>
      <c r="AF88" s="124"/>
      <c r="AG88" s="124"/>
      <c r="AH88" s="182"/>
      <c r="AI88" s="182"/>
      <c r="BE88" s="124"/>
      <c r="BF88" s="182"/>
      <c r="BG88" s="182"/>
      <c r="BH88" s="182"/>
      <c r="BI88" s="182"/>
      <c r="BJ88" s="182"/>
      <c r="BK88" s="182"/>
      <c r="BL88" s="182"/>
      <c r="BM88" s="182"/>
      <c r="BN88" s="182"/>
      <c r="BO88" s="182"/>
      <c r="BP88" s="182"/>
      <c r="BQ88" s="182"/>
      <c r="BR88" s="183"/>
      <c r="BS88" s="124"/>
      <c r="BT88" s="124"/>
    </row>
    <row r="89" spans="1:72" s="127" customFormat="1" ht="14.25" hidden="1" customHeight="1" outlineLevel="1">
      <c r="A89" s="205" t="s">
        <v>745</v>
      </c>
      <c r="B89" s="755"/>
      <c r="C89" s="756"/>
      <c r="D89" s="397"/>
      <c r="E89" s="398">
        <f>IF(OR(B89=$AE$154,B89=0),0,VLOOKUP(B89,Guidelines!$A$253:$H$260,6,FALSE)*D89*$K$9*$D$14*24*Guidelines!$M$232/CLI/100)</f>
        <v>0</v>
      </c>
      <c r="F89" s="544"/>
      <c r="AF89" s="124"/>
      <c r="AG89" s="124"/>
      <c r="AH89" s="182"/>
      <c r="AI89" s="182"/>
      <c r="BE89" s="124"/>
      <c r="BF89" s="182"/>
      <c r="BG89" s="182"/>
      <c r="BH89" s="182"/>
      <c r="BI89" s="182"/>
      <c r="BJ89" s="182"/>
      <c r="BK89" s="182"/>
      <c r="BL89" s="182"/>
      <c r="BM89" s="182"/>
      <c r="BN89" s="182"/>
      <c r="BO89" s="182"/>
      <c r="BP89" s="182"/>
      <c r="BQ89" s="182"/>
      <c r="BR89" s="183"/>
      <c r="BS89" s="124"/>
      <c r="BT89" s="124"/>
    </row>
    <row r="90" spans="1:72" s="127" customFormat="1" ht="14.25" hidden="1" customHeight="1" outlineLevel="1">
      <c r="A90" s="205" t="s">
        <v>746</v>
      </c>
      <c r="B90" s="755"/>
      <c r="C90" s="756"/>
      <c r="D90" s="397"/>
      <c r="E90" s="398">
        <f>IF(OR(B90=$AE$154,B90=0),0,VLOOKUP(B90,Guidelines!$A$253:$H$260,6,FALSE)*D90*$K$9*$D$14*24*Guidelines!$M$232/CLI/100)</f>
        <v>0</v>
      </c>
      <c r="F90" s="544"/>
      <c r="AF90" s="124"/>
      <c r="AG90" s="124"/>
      <c r="AH90" s="182"/>
      <c r="AI90" s="182"/>
      <c r="BE90" s="124"/>
      <c r="BF90" s="182"/>
      <c r="BG90" s="182"/>
      <c r="BH90" s="182"/>
      <c r="BI90" s="182"/>
      <c r="BJ90" s="182"/>
      <c r="BK90" s="182"/>
      <c r="BL90" s="182"/>
      <c r="BM90" s="182"/>
      <c r="BN90" s="182"/>
      <c r="BO90" s="182"/>
      <c r="BP90" s="182"/>
      <c r="BQ90" s="182"/>
      <c r="BR90" s="183"/>
      <c r="BS90" s="124"/>
      <c r="BT90" s="124"/>
    </row>
    <row r="91" spans="1:72" s="127" customFormat="1" ht="14.25" customHeight="1">
      <c r="E91" s="219"/>
      <c r="AF91" s="124"/>
      <c r="AG91" s="124"/>
      <c r="AH91" s="182"/>
      <c r="AI91" s="182"/>
      <c r="BE91" s="124"/>
      <c r="BF91" s="182"/>
      <c r="BG91" s="182"/>
      <c r="BH91" s="182"/>
      <c r="BI91" s="182"/>
      <c r="BJ91" s="182"/>
      <c r="BK91" s="182"/>
      <c r="BL91" s="182"/>
      <c r="BM91" s="182"/>
      <c r="BN91" s="182"/>
      <c r="BO91" s="182"/>
      <c r="BP91" s="182"/>
      <c r="BQ91" s="182"/>
      <c r="BR91" s="183"/>
      <c r="BS91" s="124"/>
      <c r="BT91" s="124"/>
    </row>
    <row r="92" spans="1:72" s="127" customFormat="1" ht="14.25" customHeight="1">
      <c r="A92" s="763" t="s">
        <v>581</v>
      </c>
      <c r="B92" s="764"/>
      <c r="C92" s="775" t="s">
        <v>491</v>
      </c>
      <c r="D92" s="776"/>
      <c r="E92" s="221" t="s">
        <v>541</v>
      </c>
      <c r="F92" s="825" t="s">
        <v>261</v>
      </c>
      <c r="G92" s="826"/>
      <c r="H92" s="825" t="s">
        <v>101</v>
      </c>
      <c r="I92" s="842"/>
      <c r="J92" s="826"/>
      <c r="K92" s="220" t="s">
        <v>60</v>
      </c>
      <c r="L92" s="825" t="s">
        <v>109</v>
      </c>
      <c r="M92" s="842"/>
      <c r="N92" s="826"/>
      <c r="O92" s="825" t="s">
        <v>544</v>
      </c>
      <c r="P92" s="842"/>
      <c r="Q92" s="842"/>
      <c r="R92" s="842"/>
      <c r="S92" s="842"/>
      <c r="T92" s="842"/>
      <c r="U92" s="842"/>
      <c r="V92" s="842"/>
      <c r="W92" s="842"/>
      <c r="X92" s="842"/>
      <c r="Y92" s="826"/>
      <c r="BM92" s="182"/>
      <c r="BN92" s="182"/>
      <c r="BO92" s="182"/>
      <c r="BP92" s="182"/>
      <c r="BQ92" s="182"/>
      <c r="BR92" s="183"/>
      <c r="BS92" s="124"/>
      <c r="BT92" s="124"/>
    </row>
    <row r="93" spans="1:72" s="127" customFormat="1" ht="14.25" customHeight="1">
      <c r="A93" s="765"/>
      <c r="B93" s="766"/>
      <c r="C93" s="222" t="s">
        <v>771</v>
      </c>
      <c r="D93" s="222" t="s">
        <v>772</v>
      </c>
      <c r="E93" s="222" t="s">
        <v>114</v>
      </c>
      <c r="F93" s="222" t="s">
        <v>262</v>
      </c>
      <c r="G93" s="222" t="s">
        <v>60</v>
      </c>
      <c r="H93" s="222" t="s">
        <v>23</v>
      </c>
      <c r="I93" s="222" t="s">
        <v>340</v>
      </c>
      <c r="J93" s="222" t="s">
        <v>330</v>
      </c>
      <c r="K93" s="222" t="s">
        <v>260</v>
      </c>
      <c r="L93" s="222" t="s">
        <v>6</v>
      </c>
      <c r="M93" s="222" t="s">
        <v>8</v>
      </c>
      <c r="N93" s="283" t="s">
        <v>12</v>
      </c>
      <c r="O93" s="260"/>
      <c r="P93" s="260"/>
      <c r="Q93" s="260"/>
      <c r="R93" s="260"/>
      <c r="S93" s="260"/>
      <c r="T93" s="283"/>
      <c r="U93" s="260"/>
      <c r="V93" s="260"/>
      <c r="W93" s="260"/>
      <c r="X93" s="260"/>
      <c r="Y93" s="260"/>
      <c r="BM93" s="182"/>
      <c r="BN93" s="182"/>
      <c r="BO93" s="182"/>
      <c r="BP93" s="182"/>
      <c r="BQ93" s="182"/>
      <c r="BR93" s="183"/>
      <c r="BS93" s="182"/>
      <c r="BT93" s="182"/>
    </row>
    <row r="94" spans="1:72" s="127" customFormat="1" ht="14.25" customHeight="1">
      <c r="A94" s="223"/>
      <c r="B94" s="224"/>
      <c r="C94" s="225" t="s">
        <v>22</v>
      </c>
      <c r="D94" s="225" t="s">
        <v>22</v>
      </c>
      <c r="E94" s="225" t="s">
        <v>22</v>
      </c>
      <c r="F94" s="225" t="s">
        <v>26</v>
      </c>
      <c r="G94" s="225" t="s">
        <v>26</v>
      </c>
      <c r="H94" s="283" t="s">
        <v>3</v>
      </c>
      <c r="I94" s="283" t="s">
        <v>51</v>
      </c>
      <c r="J94" s="283" t="s">
        <v>3</v>
      </c>
      <c r="K94" s="283" t="s">
        <v>4</v>
      </c>
      <c r="L94" s="283" t="s">
        <v>3</v>
      </c>
      <c r="M94" s="283" t="s">
        <v>26</v>
      </c>
      <c r="N94" s="283" t="s">
        <v>312</v>
      </c>
      <c r="O94" s="260"/>
      <c r="P94" s="260"/>
      <c r="Q94" s="260"/>
      <c r="R94" s="260"/>
      <c r="S94" s="260"/>
      <c r="T94" s="283"/>
      <c r="U94" s="260"/>
      <c r="V94" s="260"/>
      <c r="W94" s="260"/>
      <c r="X94" s="260"/>
      <c r="Y94" s="260"/>
      <c r="BN94" s="182"/>
      <c r="BO94" s="182"/>
      <c r="BP94" s="182"/>
      <c r="BQ94" s="182"/>
      <c r="BR94" s="183"/>
      <c r="BS94" s="182"/>
      <c r="BT94" s="182"/>
    </row>
    <row r="95" spans="1:72" s="127" customFormat="1" ht="14.25" customHeight="1">
      <c r="A95" s="773" t="str">
        <f>D3</f>
        <v>Baseline</v>
      </c>
      <c r="B95" s="774"/>
      <c r="C95" s="226">
        <f>IF(AV114=0,0,AO104/AV114*100)</f>
        <v>0</v>
      </c>
      <c r="D95" s="226">
        <f>IF(AV114=0,0,(AO114+AP114-AO104-AP104)/AV114*100)</f>
        <v>0</v>
      </c>
      <c r="E95" s="226">
        <f>IF(AV114=0,0,AQ112/AV114*100)</f>
        <v>0</v>
      </c>
      <c r="F95" s="226">
        <f>IF(K11=0,0,SUMPRODUCT(($E$21:$E$69*$O$21:$O$69)*(G21:G69=AD155))/$K$11)</f>
        <v>0</v>
      </c>
      <c r="G95" s="226">
        <f>IF(K11=0,0,SUMPRODUCT($E$21:$E$69*$O$21:$O$69)/$K$11)</f>
        <v>2.0434910137004203</v>
      </c>
      <c r="H95" s="227">
        <f>IF(K12=0,,K12)</f>
        <v>0.81</v>
      </c>
      <c r="I95" s="227">
        <f>IF(K12=0,0,(K13/94+K14/62)/(K12/80))</f>
        <v>1.0862841793978835</v>
      </c>
      <c r="J95" s="227">
        <f>K14+0.658*K13</f>
        <v>0.68086000000000002</v>
      </c>
      <c r="K95" s="139">
        <f>IF(K11=0,0,(SUMPRODUCT(P21:P69,E21:E69))*10000/K11+$K$15)</f>
        <v>75.543637671255254</v>
      </c>
      <c r="L95" s="226">
        <f>IF(K11=0,0,SUMPRODUCT(($E$21:$E$69*$N$21:$N$69)*($F$21:$F$69=$AG$146))/$K$11)</f>
        <v>6.0085255612437383E-2</v>
      </c>
      <c r="M95" s="226">
        <f>IF(K11=0,0,SUMPRODUCT(($E$21:$E$69*$O$21:$O$69)*($F$21:$F$69=$AG$146))/$K$11)</f>
        <v>0.80113674149916514</v>
      </c>
      <c r="N95" s="227">
        <f>IF(SUMIF(F21:F69,AG146,E21:E69)=0,0,SUMPRODUCT((E21:E69*M21:M69)*(F21:F69=AG146))/SUMIF(F21:F69,AG146,E21:E69))</f>
        <v>25.80871111360009</v>
      </c>
      <c r="O95" s="226"/>
      <c r="P95" s="226"/>
      <c r="Q95" s="226"/>
      <c r="R95" s="226"/>
      <c r="S95" s="226"/>
      <c r="T95" s="226"/>
      <c r="U95" s="226"/>
      <c r="V95" s="226"/>
      <c r="W95" s="226"/>
      <c r="X95" s="226"/>
      <c r="Y95" s="226"/>
      <c r="BN95" s="182"/>
      <c r="BO95" s="182"/>
      <c r="BP95" s="182"/>
      <c r="BQ95" s="182"/>
      <c r="BR95" s="183"/>
      <c r="BS95" s="182"/>
      <c r="BT95" s="182"/>
    </row>
    <row r="96" spans="1:72" s="127" customFormat="1" ht="14.25" customHeight="1">
      <c r="A96" s="845" t="str">
        <f>$D$73</f>
        <v>Reported</v>
      </c>
      <c r="B96" s="846"/>
      <c r="C96" s="228"/>
      <c r="D96" s="228"/>
      <c r="E96" s="228"/>
      <c r="F96" s="228"/>
      <c r="G96" s="228"/>
      <c r="H96" s="229"/>
      <c r="I96" s="229"/>
      <c r="J96" s="229"/>
      <c r="K96" s="230"/>
      <c r="L96" s="228"/>
      <c r="M96" s="228"/>
      <c r="N96" s="229"/>
      <c r="O96" s="228"/>
      <c r="P96" s="228"/>
      <c r="Q96" s="228"/>
      <c r="R96" s="228"/>
      <c r="S96" s="228"/>
      <c r="T96" s="228"/>
      <c r="U96" s="228"/>
      <c r="V96" s="228"/>
      <c r="W96" s="228"/>
      <c r="X96" s="228"/>
      <c r="Y96" s="228"/>
      <c r="BN96" s="182"/>
      <c r="BO96" s="182"/>
      <c r="BP96" s="182"/>
      <c r="BQ96" s="182"/>
      <c r="BR96" s="183"/>
      <c r="BS96" s="182"/>
      <c r="BT96" s="182"/>
    </row>
    <row r="97" spans="1:115" s="127" customFormat="1" ht="14.25" customHeight="1">
      <c r="A97" s="769" t="s">
        <v>292</v>
      </c>
      <c r="B97" s="770"/>
      <c r="C97" s="226">
        <f>IF(ISBLANK(C99),Guidelines!$M$242,C99)</f>
        <v>12</v>
      </c>
      <c r="D97" s="226">
        <f>IF(ISBLANK(D99),Guidelines!$M$243,D99)</f>
        <v>30</v>
      </c>
      <c r="E97" s="226">
        <f>IF(ISBLANK(E99),Guidelines!$M$244,E99)</f>
        <v>5</v>
      </c>
      <c r="F97" s="226" t="str">
        <f>IF(ISBLANK(F99),"-",F99)</f>
        <v>-</v>
      </c>
      <c r="G97" s="226" t="str">
        <f>IF(ISBLANK(G99),"-",G99)</f>
        <v>-</v>
      </c>
      <c r="H97" s="227">
        <f>IF(ISBLANK(H99),Guidelines!$M$247,H99)</f>
        <v>2</v>
      </c>
      <c r="I97" s="227">
        <f>IF(ISBLANK(I99),Guidelines!$M$246,I99)</f>
        <v>0.4</v>
      </c>
      <c r="J97" s="227">
        <f>IF(ISBLANK(J99),Guidelines!$M$248,J99)</f>
        <v>1.2</v>
      </c>
      <c r="K97" s="139">
        <f>IF(ISBLANK(K99),IF(H74=AM146,Guidelines!$M$245+100+(H75*150)+(H76*100),Guidelines!$M$245+(H75*150)+(H76*100)),K99)</f>
        <v>300</v>
      </c>
      <c r="L97" s="226">
        <f>IF(ISBLANK(L99),Guidelines!$M$235,L99)</f>
        <v>2</v>
      </c>
      <c r="M97" s="226">
        <f>IF(ISBLANK(M99),Guidelines!$M$236,M99)</f>
        <v>3</v>
      </c>
      <c r="N97" s="227" t="s">
        <v>51</v>
      </c>
      <c r="O97" s="226" t="s">
        <v>51</v>
      </c>
      <c r="P97" s="226" t="s">
        <v>51</v>
      </c>
      <c r="Q97" s="226" t="s">
        <v>51</v>
      </c>
      <c r="R97" s="226" t="s">
        <v>51</v>
      </c>
      <c r="S97" s="226" t="s">
        <v>51</v>
      </c>
      <c r="T97" s="226"/>
      <c r="U97" s="226" t="s">
        <v>51</v>
      </c>
      <c r="V97" s="226" t="s">
        <v>51</v>
      </c>
      <c r="W97" s="226" t="s">
        <v>51</v>
      </c>
      <c r="X97" s="226" t="s">
        <v>51</v>
      </c>
      <c r="Y97" s="226" t="s">
        <v>51</v>
      </c>
      <c r="BN97" s="182"/>
      <c r="BO97" s="182"/>
      <c r="BP97" s="182"/>
      <c r="BQ97" s="182"/>
      <c r="BR97" s="183"/>
      <c r="BS97" s="182"/>
      <c r="BT97" s="182"/>
    </row>
    <row r="98" spans="1:115" s="127" customFormat="1" ht="14.25" customHeight="1">
      <c r="A98" s="771"/>
      <c r="B98" s="772"/>
      <c r="C98" s="231" t="s">
        <v>265</v>
      </c>
      <c r="D98" s="231" t="s">
        <v>265</v>
      </c>
      <c r="E98" s="231" t="s">
        <v>265</v>
      </c>
      <c r="F98" s="231" t="s">
        <v>265</v>
      </c>
      <c r="G98" s="231" t="s">
        <v>265</v>
      </c>
      <c r="H98" s="231" t="s">
        <v>265</v>
      </c>
      <c r="I98" s="231" t="s">
        <v>264</v>
      </c>
      <c r="J98" s="231" t="s">
        <v>265</v>
      </c>
      <c r="K98" s="231" t="s">
        <v>265</v>
      </c>
      <c r="L98" s="231" t="s">
        <v>265</v>
      </c>
      <c r="M98" s="231" t="s">
        <v>265</v>
      </c>
      <c r="N98" s="404" t="s">
        <v>51</v>
      </c>
      <c r="O98" s="231" t="s">
        <v>51</v>
      </c>
      <c r="P98" s="231" t="s">
        <v>51</v>
      </c>
      <c r="Q98" s="231" t="s">
        <v>51</v>
      </c>
      <c r="R98" s="231" t="s">
        <v>51</v>
      </c>
      <c r="S98" s="231" t="s">
        <v>51</v>
      </c>
      <c r="T98" s="231"/>
      <c r="U98" s="231" t="s">
        <v>51</v>
      </c>
      <c r="V98" s="231" t="s">
        <v>51</v>
      </c>
      <c r="W98" s="231" t="s">
        <v>51</v>
      </c>
      <c r="X98" s="231" t="s">
        <v>51</v>
      </c>
      <c r="Y98" s="231" t="s">
        <v>51</v>
      </c>
      <c r="BN98" s="182"/>
      <c r="BO98" s="182"/>
      <c r="BP98" s="182"/>
      <c r="BQ98" s="182"/>
      <c r="BR98" s="183"/>
      <c r="BS98" s="182"/>
      <c r="BT98" s="182"/>
    </row>
    <row r="99" spans="1:115" s="127" customFormat="1" ht="14.25" customHeight="1">
      <c r="A99" s="843" t="s">
        <v>293</v>
      </c>
      <c r="B99" s="844"/>
      <c r="C99" s="232"/>
      <c r="D99" s="232"/>
      <c r="E99" s="232"/>
      <c r="F99" s="232"/>
      <c r="G99" s="232"/>
      <c r="H99" s="233"/>
      <c r="I99" s="233"/>
      <c r="J99" s="233"/>
      <c r="K99" s="234"/>
      <c r="L99" s="232"/>
      <c r="M99" s="232"/>
      <c r="N99" s="233"/>
      <c r="O99" s="232"/>
      <c r="P99" s="232"/>
      <c r="Q99" s="235"/>
      <c r="R99" s="235"/>
      <c r="S99" s="235"/>
      <c r="T99" s="235"/>
      <c r="U99" s="235"/>
      <c r="V99" s="235"/>
      <c r="W99" s="232"/>
      <c r="X99" s="232"/>
      <c r="Y99" s="232"/>
    </row>
    <row r="100" spans="1:115" s="127" customFormat="1" ht="14.25" customHeight="1">
      <c r="A100" s="236"/>
      <c r="B100" s="236"/>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AD100" s="412"/>
      <c r="AE100" s="412"/>
      <c r="AF100" s="412"/>
      <c r="AG100" s="412"/>
      <c r="AH100" s="412"/>
      <c r="AI100" s="412"/>
      <c r="AJ100" s="412"/>
      <c r="AK100" s="412"/>
      <c r="AL100" s="412"/>
      <c r="AM100" s="412"/>
      <c r="AN100" s="412"/>
      <c r="AO100" s="412"/>
      <c r="AP100" s="412"/>
      <c r="AQ100" s="412"/>
      <c r="AR100" s="412"/>
      <c r="AS100" s="412"/>
      <c r="AT100" s="412"/>
      <c r="AU100" s="412"/>
      <c r="AV100" s="412"/>
      <c r="AW100" s="412"/>
      <c r="AX100" s="412"/>
      <c r="AY100" s="412"/>
      <c r="AZ100" s="412"/>
      <c r="BA100" s="412"/>
      <c r="BB100" s="412"/>
      <c r="BC100" s="412"/>
      <c r="BD100" s="412"/>
      <c r="BE100" s="412"/>
      <c r="BF100" s="412"/>
      <c r="BG100" s="412"/>
      <c r="BH100" s="413"/>
      <c r="BI100" s="413"/>
      <c r="BJ100" s="413"/>
      <c r="BK100" s="413"/>
      <c r="BL100" s="413"/>
      <c r="BM100" s="413"/>
      <c r="BN100" s="413"/>
      <c r="BO100" s="413"/>
      <c r="BP100" s="413"/>
      <c r="BQ100" s="413"/>
      <c r="BR100" s="414"/>
      <c r="BS100" s="413"/>
      <c r="BT100" s="413"/>
      <c r="BU100" s="412"/>
      <c r="BV100" s="412"/>
      <c r="BW100" s="412"/>
      <c r="BX100" s="412"/>
      <c r="BY100" s="412"/>
      <c r="BZ100" s="412"/>
      <c r="CA100" s="412"/>
      <c r="CB100" s="412"/>
      <c r="CC100" s="412"/>
      <c r="CD100" s="412"/>
      <c r="CE100" s="412"/>
      <c r="CF100" s="412"/>
      <c r="CG100" s="412"/>
      <c r="CH100" s="412"/>
      <c r="CI100" s="412"/>
      <c r="CJ100" s="412"/>
      <c r="CK100" s="412"/>
      <c r="CL100" s="412"/>
      <c r="CM100" s="412"/>
      <c r="CN100" s="412"/>
      <c r="CO100" s="412"/>
      <c r="CP100" s="412"/>
      <c r="CQ100" s="412"/>
      <c r="CR100" s="412"/>
      <c r="CS100" s="412"/>
      <c r="CT100" s="412"/>
      <c r="CU100" s="412"/>
      <c r="CV100" s="412"/>
      <c r="CW100" s="412"/>
      <c r="CX100" s="412"/>
      <c r="CY100" s="412"/>
      <c r="CZ100" s="412"/>
      <c r="DA100" s="412"/>
      <c r="DB100" s="412"/>
      <c r="DC100" s="412"/>
      <c r="DD100" s="412"/>
      <c r="DE100" s="412"/>
      <c r="DF100" s="412"/>
      <c r="DG100" s="412"/>
      <c r="DH100" s="412"/>
      <c r="DI100" s="412"/>
      <c r="DJ100" s="412"/>
      <c r="DK100" s="412"/>
    </row>
    <row r="101" spans="1:115" ht="14.25" customHeight="1">
      <c r="B101" s="238"/>
      <c r="C101" s="238"/>
      <c r="E101" s="409"/>
      <c r="F101" s="409"/>
      <c r="H101" s="410"/>
      <c r="J101" s="410"/>
      <c r="K101" s="411"/>
      <c r="L101" s="409"/>
      <c r="M101" s="409"/>
      <c r="N101" s="410"/>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5"/>
      <c r="BV101" s="413"/>
      <c r="BW101" s="413"/>
      <c r="BX101" s="413"/>
      <c r="BY101" s="413"/>
      <c r="BZ101" s="413"/>
      <c r="CA101" s="413"/>
      <c r="CB101" s="413"/>
      <c r="CC101" s="413"/>
      <c r="CD101" s="413"/>
      <c r="CE101" s="413"/>
      <c r="CF101" s="413"/>
      <c r="CG101" s="413"/>
      <c r="CH101" s="413"/>
      <c r="CI101" s="413"/>
      <c r="CJ101" s="413"/>
      <c r="CK101" s="413"/>
      <c r="CL101" s="413"/>
      <c r="CM101" s="413"/>
      <c r="CN101" s="413"/>
      <c r="CO101" s="413"/>
      <c r="CP101" s="413"/>
      <c r="CQ101" s="413"/>
      <c r="CR101" s="413"/>
      <c r="CS101" s="413"/>
      <c r="CT101" s="413"/>
      <c r="CU101" s="413"/>
      <c r="CV101" s="413"/>
      <c r="CW101" s="413"/>
      <c r="CX101" s="413"/>
      <c r="CY101" s="413"/>
      <c r="CZ101" s="413"/>
      <c r="DA101" s="413"/>
      <c r="DB101" s="413"/>
      <c r="DC101" s="413"/>
      <c r="DD101" s="413"/>
      <c r="DE101" s="413"/>
      <c r="DF101" s="413"/>
      <c r="DG101" s="413"/>
      <c r="DH101" s="413"/>
      <c r="DI101" s="413"/>
      <c r="DJ101" s="413"/>
      <c r="DK101" s="413"/>
    </row>
    <row r="102" spans="1:115" ht="14.25" customHeight="1">
      <c r="E102" s="125"/>
      <c r="F102" s="125"/>
      <c r="G102" s="125"/>
      <c r="H102" s="125"/>
      <c r="I102" s="410"/>
      <c r="J102" s="125"/>
      <c r="K102" s="125"/>
      <c r="L102" s="125"/>
      <c r="M102" s="125"/>
      <c r="N102" s="125"/>
      <c r="AD102" s="413"/>
      <c r="AE102" s="413"/>
      <c r="AF102" s="412"/>
      <c r="AG102" s="416" t="s">
        <v>359</v>
      </c>
      <c r="AH102" s="416" t="str">
        <f>AD146</f>
        <v>TF (coal)</v>
      </c>
      <c r="AI102" s="416" t="str">
        <f>AD147</f>
        <v>TF (lignite)</v>
      </c>
      <c r="AJ102" s="416" t="str">
        <f>AD148</f>
        <v>TF (petcoke)</v>
      </c>
      <c r="AK102" s="416" t="str">
        <f>AD149</f>
        <v>TF (liquid)</v>
      </c>
      <c r="AL102" s="416" t="str">
        <f>AD150</f>
        <v>TF (gas)</v>
      </c>
      <c r="AM102" s="416" t="str">
        <f>AD151</f>
        <v>TF (other)</v>
      </c>
      <c r="AN102" s="416" t="str">
        <f>AD152</f>
        <v>AF (v.fine)</v>
      </c>
      <c r="AO102" s="416" t="str">
        <f>AD153</f>
        <v>AF (fine)</v>
      </c>
      <c r="AP102" s="416" t="str">
        <f>AD154</f>
        <v>AF (coarse)</v>
      </c>
      <c r="AQ102" s="416" t="str">
        <f>AD155</f>
        <v>AF (lumps)</v>
      </c>
      <c r="AR102" s="416" t="str">
        <f>AD156</f>
        <v>AF (liquid)</v>
      </c>
      <c r="AS102" s="416" t="str">
        <f>AD157</f>
        <v>AF (gas)</v>
      </c>
      <c r="AT102" s="417" t="s">
        <v>536</v>
      </c>
      <c r="AU102" s="417" t="s">
        <v>537</v>
      </c>
      <c r="AV102" s="416" t="s">
        <v>538</v>
      </c>
      <c r="AW102" s="413"/>
      <c r="AX102" s="413"/>
      <c r="AY102" s="413"/>
      <c r="AZ102" s="413"/>
      <c r="BA102" s="413"/>
      <c r="BB102" s="413"/>
      <c r="BC102" s="413"/>
      <c r="BD102" s="413"/>
      <c r="BE102" s="413"/>
      <c r="BF102" s="413"/>
      <c r="BG102" s="413"/>
      <c r="BH102" s="413"/>
      <c r="BI102" s="413"/>
      <c r="BJ102" s="413"/>
      <c r="BK102" s="413"/>
      <c r="BL102" s="413"/>
      <c r="BM102" s="413"/>
      <c r="BN102" s="413"/>
      <c r="BO102" s="413"/>
      <c r="BP102" s="413"/>
      <c r="BQ102" s="413"/>
      <c r="BR102" s="414"/>
      <c r="BS102" s="413"/>
      <c r="BT102" s="413"/>
      <c r="BU102" s="413"/>
      <c r="BV102" s="413"/>
      <c r="BW102" s="413"/>
      <c r="BX102" s="413"/>
      <c r="BY102" s="413"/>
      <c r="BZ102" s="413"/>
      <c r="CA102" s="413"/>
      <c r="CB102" s="413"/>
      <c r="CC102" s="413"/>
      <c r="CD102" s="413"/>
      <c r="CE102" s="413"/>
      <c r="CF102" s="413"/>
      <c r="CG102" s="413"/>
      <c r="CH102" s="413"/>
      <c r="CI102" s="413"/>
      <c r="CJ102" s="413"/>
      <c r="CK102" s="413"/>
      <c r="CL102" s="413"/>
      <c r="CM102" s="413"/>
      <c r="CN102" s="413"/>
      <c r="CO102" s="413"/>
      <c r="CP102" s="413"/>
      <c r="CQ102" s="413"/>
      <c r="CR102" s="413"/>
      <c r="CS102" s="413"/>
      <c r="CT102" s="413"/>
      <c r="CU102" s="413"/>
      <c r="CV102" s="413"/>
      <c r="CW102" s="413"/>
      <c r="CX102" s="413"/>
      <c r="CY102" s="413"/>
      <c r="CZ102" s="413"/>
      <c r="DA102" s="413"/>
      <c r="DB102" s="413"/>
      <c r="DC102" s="413"/>
      <c r="DD102" s="413"/>
      <c r="DE102" s="413"/>
      <c r="DF102" s="413"/>
      <c r="DG102" s="413"/>
      <c r="DH102" s="413"/>
      <c r="DI102" s="413"/>
      <c r="DJ102" s="413"/>
      <c r="DK102" s="413"/>
    </row>
    <row r="103" spans="1:115" ht="14.25" customHeight="1">
      <c r="E103" s="125"/>
      <c r="F103" s="125"/>
      <c r="G103" s="125"/>
      <c r="H103" s="125"/>
      <c r="I103" s="125"/>
      <c r="J103" s="125"/>
      <c r="K103" s="125"/>
      <c r="L103" s="125"/>
      <c r="M103" s="125"/>
      <c r="N103" s="125"/>
      <c r="AD103" s="838" t="str">
        <f>"Inputs"&amp;CHAR(10)&amp;"Volume (t/"&amp;D13&amp;"), Heat (GJ/"&amp;D13&amp;")"</f>
        <v>Inputs
Volume (t/year), Heat (GJ/year)</v>
      </c>
      <c r="AE103" s="835" t="str">
        <f>$AG$146</f>
        <v>BZ</v>
      </c>
      <c r="AF103" s="418" t="s">
        <v>325</v>
      </c>
      <c r="AG103" s="427" t="s">
        <v>51</v>
      </c>
      <c r="AH103" s="419">
        <f t="shared" ref="AH103:AS103" si="18">SUMIFS($E$21:$E$69,$F$21:$F$69,"="&amp;$AE103,$G$21:$G$69,"="&amp;AH$102)</f>
        <v>69926</v>
      </c>
      <c r="AI103" s="419">
        <f t="shared" si="18"/>
        <v>0</v>
      </c>
      <c r="AJ103" s="419">
        <f t="shared" si="18"/>
        <v>0</v>
      </c>
      <c r="AK103" s="419">
        <f t="shared" si="18"/>
        <v>1500</v>
      </c>
      <c r="AL103" s="419">
        <f t="shared" si="18"/>
        <v>0</v>
      </c>
      <c r="AM103" s="419">
        <f t="shared" si="18"/>
        <v>0</v>
      </c>
      <c r="AN103" s="419">
        <f t="shared" si="18"/>
        <v>0</v>
      </c>
      <c r="AO103" s="419">
        <f t="shared" si="18"/>
        <v>0</v>
      </c>
      <c r="AP103" s="419">
        <f t="shared" si="18"/>
        <v>0</v>
      </c>
      <c r="AQ103" s="419">
        <f t="shared" si="18"/>
        <v>0</v>
      </c>
      <c r="AR103" s="419">
        <f t="shared" si="18"/>
        <v>0</v>
      </c>
      <c r="AS103" s="419">
        <f t="shared" si="18"/>
        <v>0</v>
      </c>
      <c r="AT103" s="420">
        <f>SUM(AH103:AM103)</f>
        <v>71426</v>
      </c>
      <c r="AU103" s="420">
        <f>SUM(AN103:AS103)</f>
        <v>0</v>
      </c>
      <c r="AV103" s="419">
        <f>AT103+AU103</f>
        <v>71426</v>
      </c>
      <c r="AW103" s="413"/>
      <c r="AX103" s="413"/>
      <c r="AY103" s="413"/>
      <c r="AZ103" s="413"/>
      <c r="BA103" s="413"/>
      <c r="BB103" s="413"/>
      <c r="BC103" s="413"/>
      <c r="BD103" s="413"/>
      <c r="BE103" s="413"/>
      <c r="BF103" s="413"/>
      <c r="BG103" s="413"/>
      <c r="BH103" s="413"/>
      <c r="BI103" s="413"/>
      <c r="BJ103" s="413"/>
      <c r="BK103" s="413"/>
      <c r="BL103" s="413"/>
      <c r="BM103" s="413"/>
      <c r="BN103" s="413"/>
      <c r="BO103" s="413"/>
      <c r="BP103" s="413"/>
      <c r="BQ103" s="413"/>
      <c r="BR103" s="414"/>
      <c r="BS103" s="413"/>
      <c r="BT103" s="413"/>
      <c r="BU103" s="413"/>
      <c r="BV103" s="413"/>
      <c r="BW103" s="413"/>
      <c r="BX103" s="413"/>
      <c r="BY103" s="413"/>
      <c r="BZ103" s="413"/>
      <c r="CA103" s="413"/>
      <c r="CB103" s="413"/>
      <c r="CC103" s="413"/>
      <c r="CD103" s="413"/>
      <c r="CE103" s="413"/>
      <c r="CF103" s="413"/>
      <c r="CG103" s="413"/>
      <c r="CH103" s="413"/>
      <c r="CI103" s="413"/>
      <c r="CJ103" s="413"/>
      <c r="CK103" s="413"/>
      <c r="CL103" s="413"/>
      <c r="CM103" s="413"/>
      <c r="CN103" s="413"/>
      <c r="CO103" s="413"/>
      <c r="CP103" s="413"/>
      <c r="CQ103" s="413"/>
      <c r="CR103" s="413"/>
      <c r="CS103" s="413"/>
      <c r="CT103" s="413"/>
      <c r="CU103" s="413"/>
      <c r="CV103" s="413"/>
      <c r="CW103" s="413"/>
      <c r="CX103" s="413"/>
      <c r="CY103" s="413"/>
      <c r="CZ103" s="413"/>
      <c r="DA103" s="413"/>
      <c r="DB103" s="413"/>
      <c r="DC103" s="413"/>
      <c r="DD103" s="413"/>
      <c r="DE103" s="413"/>
      <c r="DF103" s="413"/>
      <c r="DG103" s="413"/>
      <c r="DH103" s="413"/>
      <c r="DI103" s="413"/>
      <c r="DJ103" s="413"/>
      <c r="DK103" s="413"/>
    </row>
    <row r="104" spans="1:115" ht="14.25" customHeight="1">
      <c r="AD104" s="839"/>
      <c r="AE104" s="835"/>
      <c r="AF104" s="418" t="s">
        <v>326</v>
      </c>
      <c r="AG104" s="427" t="s">
        <v>51</v>
      </c>
      <c r="AH104" s="419">
        <f t="shared" ref="AH104:AS104" si="19">SUMPRODUCT(($E$21:$E$69*$M$21:$M$69)*($F$21:$F$69=$AE103)*($G$21:$G$69=AH$102))</f>
        <v>1783113</v>
      </c>
      <c r="AI104" s="419">
        <f t="shared" si="19"/>
        <v>0</v>
      </c>
      <c r="AJ104" s="419">
        <f t="shared" si="19"/>
        <v>0</v>
      </c>
      <c r="AK104" s="419">
        <f t="shared" si="19"/>
        <v>60300.000000000007</v>
      </c>
      <c r="AL104" s="419">
        <f t="shared" si="19"/>
        <v>0</v>
      </c>
      <c r="AM104" s="419">
        <f t="shared" si="19"/>
        <v>0</v>
      </c>
      <c r="AN104" s="419">
        <f t="shared" si="19"/>
        <v>0</v>
      </c>
      <c r="AO104" s="419">
        <f t="shared" si="19"/>
        <v>0</v>
      </c>
      <c r="AP104" s="419">
        <f t="shared" si="19"/>
        <v>0</v>
      </c>
      <c r="AQ104" s="419">
        <f t="shared" si="19"/>
        <v>0</v>
      </c>
      <c r="AR104" s="419">
        <f t="shared" si="19"/>
        <v>0</v>
      </c>
      <c r="AS104" s="419">
        <f t="shared" si="19"/>
        <v>0</v>
      </c>
      <c r="AT104" s="420">
        <f>SUM(AH104:AM104)</f>
        <v>1843413</v>
      </c>
      <c r="AU104" s="420">
        <f>SUM(AN104:AS104)</f>
        <v>0</v>
      </c>
      <c r="AV104" s="419">
        <f>AT104+AU104</f>
        <v>1843413</v>
      </c>
      <c r="AW104" s="413"/>
      <c r="AX104" s="413"/>
      <c r="AY104" s="413"/>
      <c r="AZ104" s="413"/>
      <c r="BA104" s="413"/>
      <c r="BB104" s="413"/>
      <c r="BC104" s="413"/>
      <c r="BD104" s="413"/>
      <c r="BE104" s="413"/>
      <c r="BF104" s="413"/>
      <c r="BG104" s="413"/>
      <c r="BH104" s="413"/>
      <c r="BI104" s="413"/>
      <c r="BJ104" s="413"/>
      <c r="BK104" s="413"/>
      <c r="BL104" s="413"/>
      <c r="BM104" s="413"/>
      <c r="BN104" s="413"/>
      <c r="BO104" s="413"/>
      <c r="BP104" s="413"/>
      <c r="BQ104" s="413"/>
      <c r="BR104" s="414"/>
      <c r="BS104" s="413"/>
      <c r="BT104" s="413"/>
      <c r="BU104" s="413"/>
      <c r="BV104" s="413"/>
      <c r="BW104" s="413"/>
      <c r="BX104" s="413"/>
      <c r="BY104" s="413"/>
      <c r="BZ104" s="413"/>
      <c r="CA104" s="413"/>
      <c r="CB104" s="413"/>
      <c r="CC104" s="413"/>
      <c r="CD104" s="413"/>
      <c r="CE104" s="413"/>
      <c r="CF104" s="413"/>
      <c r="CG104" s="413"/>
      <c r="CH104" s="413"/>
      <c r="CI104" s="413"/>
      <c r="CJ104" s="413"/>
      <c r="CK104" s="413"/>
      <c r="CL104" s="413"/>
      <c r="CM104" s="413"/>
      <c r="CN104" s="413"/>
      <c r="CO104" s="413"/>
      <c r="CP104" s="413"/>
      <c r="CQ104" s="413"/>
      <c r="CR104" s="413"/>
      <c r="CS104" s="413"/>
      <c r="CT104" s="413"/>
      <c r="CU104" s="413"/>
      <c r="CV104" s="413"/>
      <c r="CW104" s="413"/>
      <c r="CX104" s="413"/>
      <c r="CY104" s="413"/>
      <c r="CZ104" s="413"/>
      <c r="DA104" s="413"/>
      <c r="DB104" s="413"/>
      <c r="DC104" s="413"/>
      <c r="DD104" s="413"/>
      <c r="DE104" s="413"/>
      <c r="DF104" s="413"/>
      <c r="DG104" s="413"/>
      <c r="DH104" s="413"/>
      <c r="DI104" s="413"/>
      <c r="DJ104" s="413"/>
      <c r="DK104" s="413"/>
    </row>
    <row r="105" spans="1:115" ht="14.25" customHeight="1">
      <c r="AD105" s="839"/>
      <c r="AE105" s="835" t="str">
        <f>$AG$147</f>
        <v>ILC</v>
      </c>
      <c r="AF105" s="418" t="s">
        <v>325</v>
      </c>
      <c r="AG105" s="427" t="s">
        <v>51</v>
      </c>
      <c r="AH105" s="419">
        <f t="shared" ref="AH105:AS105" si="20">SUMIFS($E$21:$E$69,$F$21:$F$69,"="&amp;$AE105,$G$21:$G$69,"="&amp;AH$102)</f>
        <v>108437</v>
      </c>
      <c r="AI105" s="419">
        <f t="shared" si="20"/>
        <v>0</v>
      </c>
      <c r="AJ105" s="419">
        <f t="shared" si="20"/>
        <v>0</v>
      </c>
      <c r="AK105" s="419">
        <f t="shared" si="20"/>
        <v>0</v>
      </c>
      <c r="AL105" s="419">
        <f t="shared" si="20"/>
        <v>0</v>
      </c>
      <c r="AM105" s="419">
        <f t="shared" si="20"/>
        <v>0</v>
      </c>
      <c r="AN105" s="419">
        <f t="shared" si="20"/>
        <v>0</v>
      </c>
      <c r="AO105" s="419">
        <f t="shared" si="20"/>
        <v>0</v>
      </c>
      <c r="AP105" s="419">
        <f t="shared" si="20"/>
        <v>0</v>
      </c>
      <c r="AQ105" s="419">
        <f t="shared" si="20"/>
        <v>0</v>
      </c>
      <c r="AR105" s="419">
        <f t="shared" si="20"/>
        <v>0</v>
      </c>
      <c r="AS105" s="419">
        <f t="shared" si="20"/>
        <v>0</v>
      </c>
      <c r="AT105" s="420">
        <f t="shared" ref="AT105:AT114" si="21">SUM(AH105:AM105)</f>
        <v>108437</v>
      </c>
      <c r="AU105" s="420">
        <f t="shared" ref="AU105:AU114" si="22">SUM(AN105:AS105)</f>
        <v>0</v>
      </c>
      <c r="AV105" s="419">
        <f t="shared" ref="AV105:AV114" si="23">AT105+AU105</f>
        <v>108437</v>
      </c>
      <c r="AW105" s="413"/>
      <c r="AX105" s="413"/>
      <c r="AY105" s="413"/>
      <c r="AZ105" s="413"/>
      <c r="BA105" s="413"/>
      <c r="BB105" s="413"/>
      <c r="BC105" s="413"/>
      <c r="BD105" s="413"/>
      <c r="BE105" s="413"/>
      <c r="BF105" s="413"/>
      <c r="BG105" s="413"/>
      <c r="BH105" s="413"/>
      <c r="BI105" s="413"/>
      <c r="BJ105" s="413"/>
      <c r="BK105" s="413"/>
      <c r="BL105" s="413"/>
      <c r="BM105" s="413"/>
      <c r="BN105" s="413"/>
      <c r="BO105" s="413"/>
      <c r="BP105" s="413"/>
      <c r="BQ105" s="413"/>
      <c r="BR105" s="414"/>
      <c r="BS105" s="413"/>
      <c r="BT105" s="413"/>
      <c r="BU105" s="413"/>
      <c r="BV105" s="413"/>
      <c r="BW105" s="413"/>
      <c r="BX105" s="413"/>
      <c r="BY105" s="413"/>
      <c r="BZ105" s="413"/>
      <c r="CA105" s="413"/>
      <c r="CB105" s="413"/>
      <c r="CC105" s="413"/>
      <c r="CD105" s="413"/>
      <c r="CE105" s="413"/>
      <c r="CF105" s="413"/>
      <c r="CG105" s="413"/>
      <c r="CH105" s="413"/>
      <c r="CI105" s="413"/>
      <c r="CJ105" s="413"/>
      <c r="CK105" s="413"/>
      <c r="CL105" s="413"/>
      <c r="CM105" s="413"/>
      <c r="CN105" s="413"/>
      <c r="CO105" s="413"/>
      <c r="CP105" s="413"/>
      <c r="CQ105" s="413"/>
      <c r="CR105" s="413"/>
      <c r="CS105" s="413"/>
      <c r="CT105" s="413"/>
      <c r="CU105" s="413"/>
      <c r="CV105" s="413"/>
      <c r="CW105" s="413"/>
      <c r="CX105" s="413"/>
      <c r="CY105" s="413"/>
      <c r="CZ105" s="413"/>
      <c r="DA105" s="413"/>
      <c r="DB105" s="413"/>
      <c r="DC105" s="413"/>
      <c r="DD105" s="413"/>
      <c r="DE105" s="413"/>
      <c r="DF105" s="413"/>
      <c r="DG105" s="413"/>
      <c r="DH105" s="413"/>
      <c r="DI105" s="413"/>
      <c r="DJ105" s="413"/>
      <c r="DK105" s="413"/>
    </row>
    <row r="106" spans="1:115" ht="14.25" customHeight="1">
      <c r="AD106" s="839"/>
      <c r="AE106" s="835"/>
      <c r="AF106" s="418" t="s">
        <v>326</v>
      </c>
      <c r="AG106" s="427" t="s">
        <v>51</v>
      </c>
      <c r="AH106" s="419">
        <f t="shared" ref="AH106:AS106" si="24">SUMPRODUCT(($E$21:$E$69*$M$21:$M$69)*($F$21:$F$69=$AE105)*($G$21:$G$69=AH$102))</f>
        <v>2765143.5</v>
      </c>
      <c r="AI106" s="419">
        <f t="shared" si="24"/>
        <v>0</v>
      </c>
      <c r="AJ106" s="419">
        <f t="shared" si="24"/>
        <v>0</v>
      </c>
      <c r="AK106" s="419">
        <f t="shared" si="24"/>
        <v>0</v>
      </c>
      <c r="AL106" s="419">
        <f t="shared" si="24"/>
        <v>0</v>
      </c>
      <c r="AM106" s="419">
        <f t="shared" si="24"/>
        <v>0</v>
      </c>
      <c r="AN106" s="419">
        <f t="shared" si="24"/>
        <v>0</v>
      </c>
      <c r="AO106" s="419">
        <f t="shared" si="24"/>
        <v>0</v>
      </c>
      <c r="AP106" s="419">
        <f t="shared" si="24"/>
        <v>0</v>
      </c>
      <c r="AQ106" s="419">
        <f t="shared" si="24"/>
        <v>0</v>
      </c>
      <c r="AR106" s="419">
        <f t="shared" si="24"/>
        <v>0</v>
      </c>
      <c r="AS106" s="419">
        <f t="shared" si="24"/>
        <v>0</v>
      </c>
      <c r="AT106" s="420">
        <f t="shared" si="21"/>
        <v>2765143.5</v>
      </c>
      <c r="AU106" s="420">
        <f t="shared" si="22"/>
        <v>0</v>
      </c>
      <c r="AV106" s="419">
        <f t="shared" si="23"/>
        <v>2765143.5</v>
      </c>
      <c r="AW106" s="413"/>
      <c r="AX106" s="413"/>
      <c r="AY106" s="413"/>
      <c r="AZ106" s="413"/>
      <c r="BA106" s="413"/>
      <c r="BB106" s="413"/>
      <c r="BC106" s="413"/>
      <c r="BD106" s="413"/>
      <c r="BE106" s="413"/>
      <c r="BF106" s="413"/>
      <c r="BG106" s="413"/>
      <c r="BH106" s="413"/>
      <c r="BI106" s="413"/>
      <c r="BJ106" s="413"/>
      <c r="BK106" s="413"/>
      <c r="BL106" s="413"/>
      <c r="BM106" s="413"/>
      <c r="BN106" s="413"/>
      <c r="BO106" s="413"/>
      <c r="BP106" s="413"/>
      <c r="BQ106" s="413"/>
      <c r="BR106" s="414"/>
      <c r="BS106" s="413"/>
      <c r="BT106" s="413"/>
      <c r="BU106" s="413"/>
      <c r="BV106" s="413"/>
      <c r="BW106" s="413"/>
      <c r="BX106" s="413"/>
      <c r="BY106" s="413"/>
      <c r="BZ106" s="413"/>
      <c r="CA106" s="413"/>
      <c r="CB106" s="413"/>
      <c r="CC106" s="413"/>
      <c r="CD106" s="413"/>
      <c r="CE106" s="413"/>
      <c r="CF106" s="413"/>
      <c r="CG106" s="413"/>
      <c r="CH106" s="413"/>
      <c r="CI106" s="413"/>
      <c r="CJ106" s="413"/>
      <c r="CK106" s="413"/>
      <c r="CL106" s="413"/>
      <c r="CM106" s="413"/>
      <c r="CN106" s="413"/>
      <c r="CO106" s="413"/>
      <c r="CP106" s="413"/>
      <c r="CQ106" s="413"/>
      <c r="CR106" s="413"/>
      <c r="CS106" s="413"/>
      <c r="CT106" s="413"/>
      <c r="CU106" s="413"/>
      <c r="CV106" s="413"/>
      <c r="CW106" s="413"/>
      <c r="CX106" s="413"/>
      <c r="CY106" s="413"/>
      <c r="CZ106" s="413"/>
      <c r="DA106" s="413"/>
      <c r="DB106" s="413"/>
      <c r="DC106" s="413"/>
      <c r="DD106" s="413"/>
      <c r="DE106" s="413"/>
      <c r="DF106" s="413"/>
      <c r="DG106" s="413"/>
      <c r="DH106" s="413"/>
      <c r="DI106" s="413"/>
      <c r="DJ106" s="413"/>
      <c r="DK106" s="413"/>
    </row>
    <row r="107" spans="1:115" ht="14.25" customHeight="1">
      <c r="AD107" s="839"/>
      <c r="AE107" s="836" t="str">
        <f>$AG$148</f>
        <v>SLC/OLC/MFC</v>
      </c>
      <c r="AF107" s="418" t="s">
        <v>325</v>
      </c>
      <c r="AG107" s="427" t="s">
        <v>51</v>
      </c>
      <c r="AH107" s="419">
        <f t="shared" ref="AH107:AS107" si="25">SUMIFS($E$21:$E$69,$F$21:$F$69,"="&amp;$AE107,$G$21:$G$69,"="&amp;AH$102)</f>
        <v>0</v>
      </c>
      <c r="AI107" s="419">
        <f t="shared" si="25"/>
        <v>0</v>
      </c>
      <c r="AJ107" s="419">
        <f t="shared" si="25"/>
        <v>0</v>
      </c>
      <c r="AK107" s="419">
        <f t="shared" si="25"/>
        <v>0</v>
      </c>
      <c r="AL107" s="419">
        <f t="shared" si="25"/>
        <v>0</v>
      </c>
      <c r="AM107" s="419">
        <f t="shared" si="25"/>
        <v>0</v>
      </c>
      <c r="AN107" s="419">
        <f t="shared" si="25"/>
        <v>0</v>
      </c>
      <c r="AO107" s="419">
        <f t="shared" si="25"/>
        <v>0</v>
      </c>
      <c r="AP107" s="419">
        <f t="shared" si="25"/>
        <v>0</v>
      </c>
      <c r="AQ107" s="419">
        <f t="shared" si="25"/>
        <v>0</v>
      </c>
      <c r="AR107" s="419">
        <f t="shared" si="25"/>
        <v>0</v>
      </c>
      <c r="AS107" s="419">
        <f t="shared" si="25"/>
        <v>0</v>
      </c>
      <c r="AT107" s="420">
        <f t="shared" si="21"/>
        <v>0</v>
      </c>
      <c r="AU107" s="420">
        <f t="shared" si="22"/>
        <v>0</v>
      </c>
      <c r="AV107" s="419">
        <f t="shared" si="23"/>
        <v>0</v>
      </c>
      <c r="AW107" s="413"/>
      <c r="AX107" s="413"/>
      <c r="AY107" s="413"/>
      <c r="AZ107" s="413"/>
      <c r="BA107" s="413"/>
      <c r="BB107" s="413"/>
      <c r="BC107" s="413"/>
      <c r="BD107" s="413"/>
      <c r="BE107" s="413"/>
      <c r="BF107" s="413"/>
      <c r="BG107" s="413"/>
      <c r="BH107" s="413"/>
      <c r="BI107" s="413"/>
      <c r="BJ107" s="413"/>
      <c r="BK107" s="413"/>
      <c r="BL107" s="413"/>
      <c r="BM107" s="413"/>
      <c r="BN107" s="413"/>
      <c r="BO107" s="413"/>
      <c r="BP107" s="413"/>
      <c r="BQ107" s="413"/>
      <c r="BR107" s="414"/>
      <c r="BS107" s="413"/>
      <c r="BT107" s="413"/>
      <c r="BU107" s="413"/>
      <c r="BV107" s="413"/>
      <c r="BW107" s="413"/>
      <c r="BX107" s="413"/>
      <c r="BY107" s="413"/>
      <c r="BZ107" s="413"/>
      <c r="CA107" s="413"/>
      <c r="CB107" s="413"/>
      <c r="CC107" s="413"/>
      <c r="CD107" s="413"/>
      <c r="CE107" s="413"/>
      <c r="CF107" s="413"/>
      <c r="CG107" s="413"/>
      <c r="CH107" s="413"/>
      <c r="CI107" s="413"/>
      <c r="CJ107" s="413"/>
      <c r="CK107" s="413"/>
      <c r="CL107" s="413"/>
      <c r="CM107" s="413"/>
      <c r="CN107" s="413"/>
      <c r="CO107" s="413"/>
      <c r="CP107" s="413"/>
      <c r="CQ107" s="413"/>
      <c r="CR107" s="413"/>
      <c r="CS107" s="413"/>
      <c r="CT107" s="413"/>
      <c r="CU107" s="413"/>
      <c r="CV107" s="413"/>
      <c r="CW107" s="413"/>
      <c r="CX107" s="413"/>
      <c r="CY107" s="413"/>
      <c r="CZ107" s="413"/>
      <c r="DA107" s="413"/>
      <c r="DB107" s="413"/>
      <c r="DC107" s="413"/>
      <c r="DD107" s="413"/>
      <c r="DE107" s="413"/>
      <c r="DF107" s="413"/>
      <c r="DG107" s="413"/>
      <c r="DH107" s="413"/>
      <c r="DI107" s="413"/>
      <c r="DJ107" s="413"/>
      <c r="DK107" s="413"/>
    </row>
    <row r="108" spans="1:115" ht="14.25" customHeight="1">
      <c r="AD108" s="839"/>
      <c r="AE108" s="837"/>
      <c r="AF108" s="418" t="s">
        <v>326</v>
      </c>
      <c r="AG108" s="427" t="s">
        <v>51</v>
      </c>
      <c r="AH108" s="419">
        <f t="shared" ref="AH108:AS108" si="26">SUMPRODUCT(($E$21:$E$69*$M$21:$M$69)*($F$21:$F$69=$AE107)*($G$21:$G$69=AH$102))</f>
        <v>0</v>
      </c>
      <c r="AI108" s="419">
        <f t="shared" si="26"/>
        <v>0</v>
      </c>
      <c r="AJ108" s="419">
        <f t="shared" si="26"/>
        <v>0</v>
      </c>
      <c r="AK108" s="419">
        <f t="shared" si="26"/>
        <v>0</v>
      </c>
      <c r="AL108" s="419">
        <f t="shared" si="26"/>
        <v>0</v>
      </c>
      <c r="AM108" s="419">
        <f t="shared" si="26"/>
        <v>0</v>
      </c>
      <c r="AN108" s="419">
        <f t="shared" si="26"/>
        <v>0</v>
      </c>
      <c r="AO108" s="419">
        <f t="shared" si="26"/>
        <v>0</v>
      </c>
      <c r="AP108" s="419">
        <f t="shared" si="26"/>
        <v>0</v>
      </c>
      <c r="AQ108" s="419">
        <f t="shared" si="26"/>
        <v>0</v>
      </c>
      <c r="AR108" s="419">
        <f t="shared" si="26"/>
        <v>0</v>
      </c>
      <c r="AS108" s="419">
        <f t="shared" si="26"/>
        <v>0</v>
      </c>
      <c r="AT108" s="420">
        <f t="shared" si="21"/>
        <v>0</v>
      </c>
      <c r="AU108" s="420">
        <f t="shared" si="22"/>
        <v>0</v>
      </c>
      <c r="AV108" s="419">
        <f t="shared" si="23"/>
        <v>0</v>
      </c>
      <c r="AW108" s="413"/>
      <c r="AX108" s="413"/>
      <c r="AY108" s="413"/>
      <c r="AZ108" s="413"/>
      <c r="BA108" s="413"/>
      <c r="BB108" s="413"/>
      <c r="BC108" s="413"/>
      <c r="BD108" s="413"/>
      <c r="BE108" s="413"/>
      <c r="BF108" s="413"/>
      <c r="BG108" s="413"/>
      <c r="BH108" s="413"/>
      <c r="BI108" s="413"/>
      <c r="BJ108" s="413"/>
      <c r="BK108" s="413"/>
      <c r="BL108" s="413"/>
      <c r="BM108" s="413"/>
      <c r="BN108" s="413"/>
      <c r="BO108" s="413"/>
      <c r="BP108" s="413"/>
      <c r="BQ108" s="413"/>
      <c r="BR108" s="414"/>
      <c r="BS108" s="413"/>
      <c r="BT108" s="413"/>
      <c r="BU108" s="413"/>
      <c r="BV108" s="413"/>
      <c r="BW108" s="413"/>
      <c r="BX108" s="413"/>
      <c r="BY108" s="413"/>
      <c r="BZ108" s="413"/>
      <c r="CA108" s="413"/>
      <c r="CB108" s="413"/>
      <c r="CC108" s="413"/>
      <c r="CD108" s="413"/>
      <c r="CE108" s="413"/>
      <c r="CF108" s="413"/>
      <c r="CG108" s="413"/>
      <c r="CH108" s="413"/>
      <c r="CI108" s="413"/>
      <c r="CJ108" s="413"/>
      <c r="CK108" s="413"/>
      <c r="CL108" s="413"/>
      <c r="CM108" s="413"/>
      <c r="CN108" s="413"/>
      <c r="CO108" s="413"/>
      <c r="CP108" s="413"/>
      <c r="CQ108" s="413"/>
      <c r="CR108" s="413"/>
      <c r="CS108" s="413"/>
      <c r="CT108" s="413"/>
      <c r="CU108" s="413"/>
      <c r="CV108" s="413"/>
      <c r="CW108" s="413"/>
      <c r="CX108" s="413"/>
      <c r="CY108" s="413"/>
      <c r="CZ108" s="413"/>
      <c r="DA108" s="413"/>
      <c r="DB108" s="413"/>
      <c r="DC108" s="413"/>
      <c r="DD108" s="413"/>
      <c r="DE108" s="413"/>
      <c r="DF108" s="413"/>
      <c r="DG108" s="413"/>
      <c r="DH108" s="413"/>
      <c r="DI108" s="413"/>
      <c r="DJ108" s="413"/>
      <c r="DK108" s="413"/>
    </row>
    <row r="109" spans="1:115" ht="14.25" customHeight="1">
      <c r="AD109" s="839"/>
      <c r="AE109" s="835" t="str">
        <f>$AG$149</f>
        <v>PCC</v>
      </c>
      <c r="AF109" s="418" t="s">
        <v>325</v>
      </c>
      <c r="AG109" s="427" t="s">
        <v>51</v>
      </c>
      <c r="AH109" s="419">
        <f t="shared" ref="AH109:AS109" si="27">SUMIFS($E$21:$E$69,$F$21:$F$69,"="&amp;$AE109,$G$21:$G$69,"="&amp;AH$102)</f>
        <v>0</v>
      </c>
      <c r="AI109" s="419">
        <f t="shared" si="27"/>
        <v>0</v>
      </c>
      <c r="AJ109" s="419">
        <f t="shared" si="27"/>
        <v>0</v>
      </c>
      <c r="AK109" s="419">
        <f t="shared" si="27"/>
        <v>0</v>
      </c>
      <c r="AL109" s="419">
        <f t="shared" si="27"/>
        <v>0</v>
      </c>
      <c r="AM109" s="419">
        <f t="shared" si="27"/>
        <v>0</v>
      </c>
      <c r="AN109" s="419">
        <f t="shared" si="27"/>
        <v>0</v>
      </c>
      <c r="AO109" s="419">
        <f t="shared" si="27"/>
        <v>0</v>
      </c>
      <c r="AP109" s="419">
        <f t="shared" si="27"/>
        <v>0</v>
      </c>
      <c r="AQ109" s="419">
        <f t="shared" si="27"/>
        <v>0</v>
      </c>
      <c r="AR109" s="419">
        <f t="shared" si="27"/>
        <v>0</v>
      </c>
      <c r="AS109" s="419">
        <f t="shared" si="27"/>
        <v>0</v>
      </c>
      <c r="AT109" s="420">
        <f t="shared" si="21"/>
        <v>0</v>
      </c>
      <c r="AU109" s="420">
        <f t="shared" si="22"/>
        <v>0</v>
      </c>
      <c r="AV109" s="419">
        <f t="shared" si="23"/>
        <v>0</v>
      </c>
      <c r="AW109" s="413"/>
      <c r="AX109" s="413"/>
      <c r="AY109" s="413"/>
      <c r="AZ109" s="413"/>
      <c r="BA109" s="413"/>
      <c r="BB109" s="413"/>
      <c r="BC109" s="413"/>
      <c r="BD109" s="421"/>
      <c r="BE109" s="421"/>
      <c r="BF109" s="414"/>
      <c r="BG109" s="414"/>
      <c r="BH109" s="414"/>
      <c r="BI109" s="414"/>
      <c r="BJ109" s="414"/>
      <c r="BK109" s="414"/>
      <c r="BL109" s="414"/>
      <c r="BM109" s="413"/>
      <c r="BN109" s="413"/>
      <c r="BO109" s="413"/>
      <c r="BP109" s="413"/>
      <c r="BQ109" s="413"/>
      <c r="BR109" s="414"/>
      <c r="BS109" s="413"/>
      <c r="BT109" s="413"/>
      <c r="BU109" s="413"/>
      <c r="BV109" s="413"/>
      <c r="BW109" s="413"/>
      <c r="BX109" s="413"/>
      <c r="BY109" s="413"/>
      <c r="BZ109" s="413"/>
      <c r="CA109" s="413"/>
      <c r="CB109" s="413"/>
      <c r="CC109" s="413"/>
      <c r="CD109" s="413"/>
      <c r="CE109" s="413"/>
      <c r="CF109" s="413"/>
      <c r="CG109" s="413"/>
      <c r="CH109" s="413"/>
      <c r="CI109" s="413"/>
      <c r="CJ109" s="413"/>
      <c r="CK109" s="413"/>
      <c r="CL109" s="413"/>
      <c r="CM109" s="413"/>
      <c r="CN109" s="413"/>
      <c r="CO109" s="413"/>
      <c r="CP109" s="413"/>
      <c r="CQ109" s="413"/>
      <c r="CR109" s="413"/>
      <c r="CS109" s="413"/>
      <c r="CT109" s="413"/>
      <c r="CU109" s="413"/>
      <c r="CV109" s="413"/>
      <c r="CW109" s="413"/>
      <c r="CX109" s="413"/>
      <c r="CY109" s="413"/>
      <c r="CZ109" s="413"/>
      <c r="DA109" s="413"/>
      <c r="DB109" s="413"/>
      <c r="DC109" s="413"/>
      <c r="DD109" s="413"/>
      <c r="DE109" s="413"/>
      <c r="DF109" s="413"/>
      <c r="DG109" s="413"/>
      <c r="DH109" s="413"/>
      <c r="DI109" s="413"/>
      <c r="DJ109" s="413"/>
      <c r="DK109" s="413"/>
    </row>
    <row r="110" spans="1:115" ht="14.25" customHeight="1">
      <c r="AD110" s="839"/>
      <c r="AE110" s="835"/>
      <c r="AF110" s="418" t="s">
        <v>326</v>
      </c>
      <c r="AG110" s="427" t="s">
        <v>51</v>
      </c>
      <c r="AH110" s="419">
        <f t="shared" ref="AH110:AS110" si="28">SUMPRODUCT(($E$21:$E$69*$M$21:$M$69)*($F$21:$F$69=$AE109)*($G$21:$G$69=AH$102))</f>
        <v>0</v>
      </c>
      <c r="AI110" s="419">
        <f t="shared" si="28"/>
        <v>0</v>
      </c>
      <c r="AJ110" s="419">
        <f t="shared" si="28"/>
        <v>0</v>
      </c>
      <c r="AK110" s="419">
        <f t="shared" si="28"/>
        <v>0</v>
      </c>
      <c r="AL110" s="419">
        <f t="shared" si="28"/>
        <v>0</v>
      </c>
      <c r="AM110" s="419">
        <f t="shared" si="28"/>
        <v>0</v>
      </c>
      <c r="AN110" s="419">
        <f t="shared" si="28"/>
        <v>0</v>
      </c>
      <c r="AO110" s="419">
        <f t="shared" si="28"/>
        <v>0</v>
      </c>
      <c r="AP110" s="419">
        <f t="shared" si="28"/>
        <v>0</v>
      </c>
      <c r="AQ110" s="419">
        <f t="shared" si="28"/>
        <v>0</v>
      </c>
      <c r="AR110" s="419">
        <f t="shared" si="28"/>
        <v>0</v>
      </c>
      <c r="AS110" s="419">
        <f t="shared" si="28"/>
        <v>0</v>
      </c>
      <c r="AT110" s="420">
        <f t="shared" si="21"/>
        <v>0</v>
      </c>
      <c r="AU110" s="420">
        <f t="shared" si="22"/>
        <v>0</v>
      </c>
      <c r="AV110" s="419">
        <f t="shared" si="23"/>
        <v>0</v>
      </c>
      <c r="AW110" s="413"/>
      <c r="AX110" s="413"/>
      <c r="AY110" s="413"/>
      <c r="AZ110" s="413"/>
      <c r="BA110" s="413"/>
      <c r="BB110" s="413"/>
      <c r="BC110" s="413"/>
      <c r="BD110" s="421"/>
      <c r="BE110" s="421"/>
      <c r="BF110" s="414"/>
      <c r="BG110" s="414"/>
      <c r="BH110" s="414"/>
      <c r="BI110" s="414"/>
      <c r="BJ110" s="414"/>
      <c r="BK110" s="414"/>
      <c r="BL110" s="414"/>
      <c r="BM110" s="413"/>
      <c r="BN110" s="413"/>
      <c r="BO110" s="413"/>
      <c r="BP110" s="413"/>
      <c r="BQ110" s="413"/>
      <c r="BR110" s="414"/>
      <c r="BS110" s="413"/>
      <c r="BT110" s="413"/>
      <c r="BU110" s="413"/>
      <c r="BV110" s="413"/>
      <c r="BW110" s="413"/>
      <c r="BX110" s="413"/>
      <c r="BY110" s="413"/>
      <c r="BZ110" s="413"/>
      <c r="CA110" s="413"/>
      <c r="CB110" s="413"/>
      <c r="CC110" s="413"/>
      <c r="CD110" s="413"/>
      <c r="CE110" s="413"/>
      <c r="CF110" s="413"/>
      <c r="CG110" s="413"/>
      <c r="CH110" s="413"/>
      <c r="CI110" s="413"/>
      <c r="CJ110" s="413"/>
      <c r="CK110" s="413"/>
      <c r="CL110" s="413"/>
      <c r="CM110" s="413"/>
      <c r="CN110" s="413"/>
      <c r="CO110" s="413"/>
      <c r="CP110" s="413"/>
      <c r="CQ110" s="413"/>
      <c r="CR110" s="413"/>
      <c r="CS110" s="413"/>
      <c r="CT110" s="413"/>
      <c r="CU110" s="413"/>
      <c r="CV110" s="413"/>
      <c r="CW110" s="413"/>
      <c r="CX110" s="413"/>
      <c r="CY110" s="413"/>
      <c r="CZ110" s="413"/>
      <c r="DA110" s="413"/>
      <c r="DB110" s="413"/>
      <c r="DC110" s="413"/>
      <c r="DD110" s="413"/>
      <c r="DE110" s="413"/>
      <c r="DF110" s="413"/>
      <c r="DG110" s="413"/>
      <c r="DH110" s="413"/>
      <c r="DI110" s="413"/>
      <c r="DJ110" s="413"/>
      <c r="DK110" s="413"/>
    </row>
    <row r="111" spans="1:115" ht="14.25" customHeight="1">
      <c r="AD111" s="839"/>
      <c r="AE111" s="835" t="str">
        <f>$AG$150</f>
        <v>SF</v>
      </c>
      <c r="AF111" s="418" t="s">
        <v>325</v>
      </c>
      <c r="AG111" s="427" t="s">
        <v>51</v>
      </c>
      <c r="AH111" s="419">
        <f t="shared" ref="AH111:AS111" si="29">SUMIFS($E$21:$E$69,$F$21:$F$69,"="&amp;$AE111,$G$21:$G$69,"="&amp;AH$102)</f>
        <v>0</v>
      </c>
      <c r="AI111" s="419">
        <f t="shared" si="29"/>
        <v>0</v>
      </c>
      <c r="AJ111" s="419">
        <f t="shared" si="29"/>
        <v>0</v>
      </c>
      <c r="AK111" s="419">
        <f t="shared" si="29"/>
        <v>0</v>
      </c>
      <c r="AL111" s="419">
        <f t="shared" si="29"/>
        <v>0</v>
      </c>
      <c r="AM111" s="419">
        <f t="shared" si="29"/>
        <v>0</v>
      </c>
      <c r="AN111" s="419">
        <f t="shared" si="29"/>
        <v>0</v>
      </c>
      <c r="AO111" s="419">
        <f t="shared" si="29"/>
        <v>0</v>
      </c>
      <c r="AP111" s="419">
        <f t="shared" si="29"/>
        <v>0</v>
      </c>
      <c r="AQ111" s="419">
        <f t="shared" si="29"/>
        <v>0</v>
      </c>
      <c r="AR111" s="419">
        <f t="shared" si="29"/>
        <v>0</v>
      </c>
      <c r="AS111" s="419">
        <f t="shared" si="29"/>
        <v>0</v>
      </c>
      <c r="AT111" s="420">
        <f t="shared" si="21"/>
        <v>0</v>
      </c>
      <c r="AU111" s="420">
        <f t="shared" si="22"/>
        <v>0</v>
      </c>
      <c r="AV111" s="419">
        <f t="shared" si="23"/>
        <v>0</v>
      </c>
      <c r="AW111" s="413"/>
      <c r="AX111" s="413"/>
      <c r="AY111" s="413"/>
      <c r="AZ111" s="413"/>
      <c r="BA111" s="413"/>
      <c r="BB111" s="413"/>
      <c r="BC111" s="413"/>
      <c r="BD111" s="421"/>
      <c r="BE111" s="421"/>
      <c r="BF111" s="414"/>
      <c r="BG111" s="414"/>
      <c r="BH111" s="414"/>
      <c r="BI111" s="414"/>
      <c r="BJ111" s="414"/>
      <c r="BK111" s="414"/>
      <c r="BL111" s="414"/>
      <c r="BM111" s="413"/>
      <c r="BN111" s="413"/>
      <c r="BO111" s="413"/>
      <c r="BP111" s="413"/>
      <c r="BQ111" s="413"/>
      <c r="BR111" s="414"/>
      <c r="BS111" s="413"/>
      <c r="BT111" s="413"/>
      <c r="BU111" s="413"/>
      <c r="BV111" s="413"/>
      <c r="BW111" s="413"/>
      <c r="BX111" s="413"/>
      <c r="BY111" s="413"/>
      <c r="BZ111" s="413"/>
      <c r="CA111" s="413"/>
      <c r="CB111" s="413"/>
      <c r="CC111" s="413"/>
      <c r="CD111" s="413"/>
      <c r="CE111" s="413"/>
      <c r="CF111" s="413"/>
      <c r="CG111" s="413"/>
      <c r="CH111" s="413"/>
      <c r="CI111" s="413"/>
      <c r="CJ111" s="413"/>
      <c r="CK111" s="413"/>
      <c r="CL111" s="413"/>
      <c r="CM111" s="413"/>
      <c r="CN111" s="413"/>
      <c r="CO111" s="413"/>
      <c r="CP111" s="413"/>
      <c r="CQ111" s="413"/>
      <c r="CR111" s="413"/>
      <c r="CS111" s="413"/>
      <c r="CT111" s="413"/>
      <c r="CU111" s="413"/>
      <c r="CV111" s="413"/>
      <c r="CW111" s="413"/>
      <c r="CX111" s="413"/>
      <c r="CY111" s="413"/>
      <c r="CZ111" s="413"/>
      <c r="DA111" s="413"/>
      <c r="DB111" s="413"/>
      <c r="DC111" s="413"/>
      <c r="DD111" s="413"/>
      <c r="DE111" s="413"/>
      <c r="DF111" s="413"/>
      <c r="DG111" s="413"/>
      <c r="DH111" s="413"/>
      <c r="DI111" s="413"/>
      <c r="DJ111" s="413"/>
      <c r="DK111" s="413"/>
    </row>
    <row r="112" spans="1:115" ht="14.25" customHeight="1">
      <c r="AD112" s="839"/>
      <c r="AE112" s="835"/>
      <c r="AF112" s="418" t="s">
        <v>326</v>
      </c>
      <c r="AG112" s="427" t="s">
        <v>51</v>
      </c>
      <c r="AH112" s="419">
        <f t="shared" ref="AH112:AS112" si="30">SUMPRODUCT(($E$21:$E$69*$M$21:$M$69)*($F$21:$F$69=$AE111)*($G$21:$G$69=AH$102))</f>
        <v>0</v>
      </c>
      <c r="AI112" s="419">
        <f t="shared" si="30"/>
        <v>0</v>
      </c>
      <c r="AJ112" s="419">
        <f t="shared" si="30"/>
        <v>0</v>
      </c>
      <c r="AK112" s="419">
        <f t="shared" si="30"/>
        <v>0</v>
      </c>
      <c r="AL112" s="419">
        <f t="shared" si="30"/>
        <v>0</v>
      </c>
      <c r="AM112" s="419">
        <f t="shared" si="30"/>
        <v>0</v>
      </c>
      <c r="AN112" s="419">
        <f t="shared" si="30"/>
        <v>0</v>
      </c>
      <c r="AO112" s="419">
        <f t="shared" si="30"/>
        <v>0</v>
      </c>
      <c r="AP112" s="419">
        <f t="shared" si="30"/>
        <v>0</v>
      </c>
      <c r="AQ112" s="419">
        <f t="shared" si="30"/>
        <v>0</v>
      </c>
      <c r="AR112" s="419">
        <f t="shared" si="30"/>
        <v>0</v>
      </c>
      <c r="AS112" s="419">
        <f t="shared" si="30"/>
        <v>0</v>
      </c>
      <c r="AT112" s="420">
        <f t="shared" si="21"/>
        <v>0</v>
      </c>
      <c r="AU112" s="420">
        <f t="shared" si="22"/>
        <v>0</v>
      </c>
      <c r="AV112" s="419">
        <f t="shared" si="23"/>
        <v>0</v>
      </c>
      <c r="AW112" s="413"/>
      <c r="AX112" s="413"/>
      <c r="AY112" s="413"/>
      <c r="AZ112" s="413"/>
      <c r="BA112" s="413"/>
      <c r="BB112" s="413"/>
      <c r="BC112" s="413"/>
      <c r="BD112" s="421"/>
      <c r="BE112" s="421"/>
      <c r="BF112" s="414"/>
      <c r="BG112" s="414"/>
      <c r="BH112" s="414"/>
      <c r="BI112" s="414"/>
      <c r="BJ112" s="414"/>
      <c r="BK112" s="414"/>
      <c r="BL112" s="414"/>
      <c r="BM112" s="413"/>
      <c r="BN112" s="413"/>
      <c r="BO112" s="413"/>
      <c r="BP112" s="413"/>
      <c r="BQ112" s="413"/>
      <c r="BR112" s="414"/>
      <c r="BS112" s="413"/>
      <c r="BT112" s="413"/>
      <c r="BU112" s="413"/>
      <c r="BV112" s="413"/>
      <c r="BW112" s="413"/>
      <c r="BX112" s="413"/>
      <c r="BY112" s="413"/>
      <c r="BZ112" s="413"/>
      <c r="CA112" s="413"/>
      <c r="CB112" s="413"/>
      <c r="CC112" s="413"/>
      <c r="CD112" s="413"/>
      <c r="CE112" s="413"/>
      <c r="CF112" s="413"/>
      <c r="CG112" s="413"/>
      <c r="CH112" s="413"/>
      <c r="CI112" s="413"/>
      <c r="CJ112" s="413"/>
      <c r="CK112" s="413"/>
      <c r="CL112" s="413"/>
      <c r="CM112" s="413"/>
      <c r="CN112" s="413"/>
      <c r="CO112" s="413"/>
      <c r="CP112" s="413"/>
      <c r="CQ112" s="413"/>
      <c r="CR112" s="413"/>
      <c r="CS112" s="413"/>
      <c r="CT112" s="413"/>
      <c r="CU112" s="413"/>
      <c r="CV112" s="413"/>
      <c r="CW112" s="413"/>
      <c r="CX112" s="413"/>
      <c r="CY112" s="413"/>
      <c r="CZ112" s="413"/>
      <c r="DA112" s="413"/>
      <c r="DB112" s="413"/>
      <c r="DC112" s="413"/>
      <c r="DD112" s="413"/>
      <c r="DE112" s="413"/>
      <c r="DF112" s="413"/>
      <c r="DG112" s="413"/>
      <c r="DH112" s="413"/>
      <c r="DI112" s="413"/>
      <c r="DJ112" s="413"/>
      <c r="DK112" s="413"/>
    </row>
    <row r="113" spans="25:115" ht="14.25" customHeight="1">
      <c r="AC113" s="488"/>
      <c r="AD113" s="839"/>
      <c r="AE113" s="836" t="s">
        <v>60</v>
      </c>
      <c r="AF113" s="418" t="s">
        <v>325</v>
      </c>
      <c r="AG113" s="427">
        <f>AG114/Guidelines!D119</f>
        <v>169327.37950370371</v>
      </c>
      <c r="AH113" s="419">
        <f>AH103+AH105+AH107+AH109+AH111</f>
        <v>178363</v>
      </c>
      <c r="AI113" s="419">
        <f t="shared" ref="AI113:AS113" si="31">AI103+AI105+AI107+AI109+AI111</f>
        <v>0</v>
      </c>
      <c r="AJ113" s="419">
        <f t="shared" si="31"/>
        <v>0</v>
      </c>
      <c r="AK113" s="419">
        <f t="shared" si="31"/>
        <v>1500</v>
      </c>
      <c r="AL113" s="419">
        <f t="shared" si="31"/>
        <v>0</v>
      </c>
      <c r="AM113" s="419">
        <f t="shared" si="31"/>
        <v>0</v>
      </c>
      <c r="AN113" s="419">
        <f t="shared" si="31"/>
        <v>0</v>
      </c>
      <c r="AO113" s="419">
        <f t="shared" si="31"/>
        <v>0</v>
      </c>
      <c r="AP113" s="419">
        <f t="shared" si="31"/>
        <v>0</v>
      </c>
      <c r="AQ113" s="419">
        <f t="shared" si="31"/>
        <v>0</v>
      </c>
      <c r="AR113" s="419">
        <f t="shared" si="31"/>
        <v>0</v>
      </c>
      <c r="AS113" s="419">
        <f t="shared" si="31"/>
        <v>0</v>
      </c>
      <c r="AT113" s="420">
        <f t="shared" si="21"/>
        <v>179863</v>
      </c>
      <c r="AU113" s="420">
        <f t="shared" si="22"/>
        <v>0</v>
      </c>
      <c r="AV113" s="419">
        <f t="shared" si="23"/>
        <v>179863</v>
      </c>
      <c r="AW113" s="413"/>
      <c r="AX113" s="413"/>
      <c r="AY113" s="413"/>
      <c r="AZ113" s="413"/>
      <c r="BA113" s="413"/>
      <c r="BB113" s="413"/>
      <c r="BC113" s="413"/>
      <c r="BD113" s="413"/>
      <c r="BE113" s="413"/>
      <c r="BF113" s="415"/>
      <c r="BG113" s="422"/>
      <c r="BH113" s="413"/>
      <c r="BI113" s="413"/>
      <c r="BJ113" s="413"/>
      <c r="BK113" s="413"/>
      <c r="BL113" s="413"/>
      <c r="BM113" s="413"/>
      <c r="BN113" s="413"/>
      <c r="BO113" s="413"/>
      <c r="BP113" s="413"/>
      <c r="BQ113" s="413"/>
      <c r="BR113" s="414"/>
      <c r="BS113" s="413"/>
      <c r="BT113" s="413"/>
      <c r="BU113" s="413"/>
      <c r="BV113" s="413"/>
      <c r="BW113" s="413"/>
      <c r="BX113" s="413"/>
      <c r="BY113" s="413"/>
      <c r="BZ113" s="413"/>
      <c r="CA113" s="413"/>
      <c r="CB113" s="413"/>
      <c r="CC113" s="413"/>
      <c r="CD113" s="413"/>
      <c r="CE113" s="413"/>
      <c r="CF113" s="413"/>
      <c r="CG113" s="413"/>
      <c r="CH113" s="413"/>
      <c r="CI113" s="413"/>
      <c r="CJ113" s="413"/>
      <c r="CK113" s="413"/>
      <c r="CL113" s="413"/>
      <c r="CM113" s="413"/>
      <c r="CN113" s="413"/>
      <c r="CO113" s="413"/>
      <c r="CP113" s="413"/>
      <c r="CQ113" s="413"/>
      <c r="CR113" s="413"/>
      <c r="CS113" s="413"/>
      <c r="CT113" s="413"/>
      <c r="CU113" s="413"/>
      <c r="CV113" s="413"/>
      <c r="CW113" s="413"/>
      <c r="CX113" s="413"/>
      <c r="CY113" s="413"/>
      <c r="CZ113" s="413"/>
      <c r="DA113" s="413"/>
      <c r="DB113" s="413"/>
      <c r="DC113" s="413"/>
      <c r="DD113" s="413"/>
      <c r="DE113" s="413"/>
      <c r="DF113" s="413"/>
      <c r="DG113" s="413"/>
      <c r="DH113" s="413"/>
      <c r="DI113" s="413"/>
      <c r="DJ113" s="413"/>
      <c r="DK113" s="413"/>
    </row>
    <row r="114" spans="25:115" ht="14.25" customHeight="1">
      <c r="Y114" s="483"/>
      <c r="AC114" s="489"/>
      <c r="AD114" s="839"/>
      <c r="AE114" s="841"/>
      <c r="AF114" s="418" t="s">
        <v>326</v>
      </c>
      <c r="AG114" s="427">
        <f>AV114-AV129</f>
        <v>4571839.2466000002</v>
      </c>
      <c r="AH114" s="419">
        <f>AH104+AH106+AH108+AH110+AH112</f>
        <v>4548256.5</v>
      </c>
      <c r="AI114" s="419">
        <f t="shared" ref="AI114:AS114" si="32">AI104+AI106+AI108+AI110+AI112</f>
        <v>0</v>
      </c>
      <c r="AJ114" s="419">
        <f t="shared" si="32"/>
        <v>0</v>
      </c>
      <c r="AK114" s="419">
        <f t="shared" si="32"/>
        <v>60300.000000000007</v>
      </c>
      <c r="AL114" s="419">
        <f t="shared" si="32"/>
        <v>0</v>
      </c>
      <c r="AM114" s="419">
        <f t="shared" si="32"/>
        <v>0</v>
      </c>
      <c r="AN114" s="419">
        <f t="shared" si="32"/>
        <v>0</v>
      </c>
      <c r="AO114" s="419">
        <f t="shared" si="32"/>
        <v>0</v>
      </c>
      <c r="AP114" s="419">
        <f t="shared" si="32"/>
        <v>0</v>
      </c>
      <c r="AQ114" s="419">
        <f t="shared" si="32"/>
        <v>0</v>
      </c>
      <c r="AR114" s="419">
        <f t="shared" si="32"/>
        <v>0</v>
      </c>
      <c r="AS114" s="419">
        <f t="shared" si="32"/>
        <v>0</v>
      </c>
      <c r="AT114" s="420">
        <f t="shared" si="21"/>
        <v>4608556.5</v>
      </c>
      <c r="AU114" s="420">
        <f t="shared" si="22"/>
        <v>0</v>
      </c>
      <c r="AV114" s="419">
        <f t="shared" si="23"/>
        <v>4608556.5</v>
      </c>
      <c r="AW114" s="413"/>
      <c r="AX114" s="413"/>
      <c r="AY114" s="413"/>
      <c r="AZ114" s="413"/>
      <c r="BA114" s="413"/>
      <c r="BB114" s="413"/>
      <c r="BC114" s="413"/>
      <c r="BD114" s="413"/>
      <c r="BE114" s="413"/>
      <c r="BF114" s="415"/>
      <c r="BG114" s="422"/>
      <c r="BH114" s="413"/>
      <c r="BI114" s="413"/>
      <c r="BJ114" s="413"/>
      <c r="BK114" s="413"/>
      <c r="BL114" s="413"/>
      <c r="BM114" s="413"/>
      <c r="BN114" s="413"/>
      <c r="BO114" s="413"/>
      <c r="BP114" s="413"/>
      <c r="BQ114" s="413"/>
      <c r="BR114" s="414"/>
      <c r="BS114" s="413"/>
      <c r="BT114" s="413"/>
      <c r="BU114" s="413"/>
      <c r="BV114" s="413"/>
      <c r="BW114" s="413"/>
      <c r="BX114" s="413"/>
      <c r="BY114" s="413"/>
      <c r="BZ114" s="413"/>
      <c r="CA114" s="413"/>
      <c r="CB114" s="413"/>
      <c r="CC114" s="413"/>
      <c r="CD114" s="413"/>
      <c r="CE114" s="413"/>
      <c r="CF114" s="413"/>
      <c r="CG114" s="413"/>
      <c r="CH114" s="413"/>
      <c r="CI114" s="413"/>
      <c r="CJ114" s="413"/>
      <c r="CK114" s="413"/>
      <c r="CL114" s="413"/>
      <c r="CM114" s="413"/>
      <c r="CN114" s="413"/>
      <c r="CO114" s="413"/>
      <c r="CP114" s="413"/>
      <c r="CQ114" s="413"/>
      <c r="CR114" s="413"/>
      <c r="CS114" s="413"/>
      <c r="CT114" s="413"/>
      <c r="CU114" s="413"/>
      <c r="CV114" s="413"/>
      <c r="CW114" s="413"/>
      <c r="CX114" s="413"/>
      <c r="CY114" s="413"/>
      <c r="CZ114" s="413"/>
      <c r="DA114" s="413"/>
      <c r="DB114" s="413"/>
      <c r="DC114" s="413"/>
      <c r="DD114" s="413"/>
      <c r="DE114" s="413"/>
      <c r="DF114" s="413"/>
      <c r="DG114" s="413"/>
      <c r="DH114" s="413"/>
      <c r="DI114" s="413"/>
      <c r="DJ114" s="413"/>
      <c r="DK114" s="413"/>
    </row>
    <row r="115" spans="25:115" ht="14.25" customHeight="1">
      <c r="Y115" s="483"/>
      <c r="AD115" s="840"/>
      <c r="AE115" s="837"/>
      <c r="AF115" s="418" t="s">
        <v>764</v>
      </c>
      <c r="AG115" s="427">
        <f t="shared" ref="AG115:AV115" si="33">IF(CLI=0,0,AG114*1000/CLI)</f>
        <v>3273.7004088957633</v>
      </c>
      <c r="AH115" s="427">
        <f t="shared" si="33"/>
        <v>3256.813803085045</v>
      </c>
      <c r="AI115" s="427">
        <f t="shared" si="33"/>
        <v>0</v>
      </c>
      <c r="AJ115" s="427">
        <f t="shared" si="33"/>
        <v>0</v>
      </c>
      <c r="AK115" s="427">
        <f t="shared" si="33"/>
        <v>43.17827552734289</v>
      </c>
      <c r="AL115" s="427">
        <f t="shared" si="33"/>
        <v>0</v>
      </c>
      <c r="AM115" s="427">
        <f t="shared" si="33"/>
        <v>0</v>
      </c>
      <c r="AN115" s="427">
        <f t="shared" si="33"/>
        <v>0</v>
      </c>
      <c r="AO115" s="427">
        <f t="shared" si="33"/>
        <v>0</v>
      </c>
      <c r="AP115" s="427">
        <f t="shared" si="33"/>
        <v>0</v>
      </c>
      <c r="AQ115" s="427">
        <f t="shared" si="33"/>
        <v>0</v>
      </c>
      <c r="AR115" s="427">
        <f t="shared" si="33"/>
        <v>0</v>
      </c>
      <c r="AS115" s="427">
        <f t="shared" si="33"/>
        <v>0</v>
      </c>
      <c r="AT115" s="427">
        <f t="shared" si="33"/>
        <v>3299.9920786123876</v>
      </c>
      <c r="AU115" s="427">
        <f t="shared" si="33"/>
        <v>0</v>
      </c>
      <c r="AV115" s="427">
        <f t="shared" si="33"/>
        <v>3299.9920786123876</v>
      </c>
      <c r="AW115" s="413"/>
      <c r="AX115" s="413"/>
      <c r="AY115" s="413"/>
      <c r="AZ115" s="413"/>
      <c r="BA115" s="413"/>
      <c r="BB115" s="413"/>
      <c r="BC115" s="413"/>
      <c r="BD115" s="413"/>
      <c r="BE115" s="413"/>
      <c r="BF115" s="415"/>
      <c r="BG115" s="422"/>
      <c r="BH115" s="413"/>
      <c r="BI115" s="413"/>
      <c r="BJ115" s="413"/>
      <c r="BK115" s="413"/>
      <c r="BL115" s="413"/>
      <c r="BM115" s="413"/>
      <c r="BN115" s="413"/>
      <c r="BO115" s="413"/>
      <c r="BP115" s="413"/>
      <c r="BQ115" s="413"/>
      <c r="BR115" s="414"/>
      <c r="BS115" s="413"/>
      <c r="BT115" s="413"/>
      <c r="BU115" s="413"/>
      <c r="BV115" s="413"/>
      <c r="BW115" s="413"/>
      <c r="BX115" s="413"/>
      <c r="BY115" s="413"/>
      <c r="BZ115" s="413"/>
      <c r="CA115" s="413"/>
      <c r="CB115" s="413"/>
      <c r="CC115" s="413"/>
      <c r="CD115" s="413"/>
      <c r="CE115" s="413"/>
      <c r="CF115" s="413"/>
      <c r="CG115" s="413"/>
      <c r="CH115" s="413"/>
      <c r="CI115" s="413"/>
      <c r="CJ115" s="413"/>
      <c r="CK115" s="413"/>
      <c r="CL115" s="413"/>
      <c r="CM115" s="413"/>
      <c r="CN115" s="413"/>
      <c r="CO115" s="413"/>
      <c r="CP115" s="413"/>
      <c r="CQ115" s="413"/>
      <c r="CR115" s="413"/>
      <c r="CS115" s="413"/>
      <c r="CT115" s="413"/>
      <c r="CU115" s="413"/>
      <c r="CV115" s="413"/>
      <c r="CW115" s="413"/>
      <c r="CX115" s="413"/>
      <c r="CY115" s="413"/>
      <c r="CZ115" s="413"/>
      <c r="DA115" s="413"/>
      <c r="DB115" s="413"/>
      <c r="DC115" s="413"/>
      <c r="DD115" s="413"/>
      <c r="DE115" s="413"/>
      <c r="DF115" s="413"/>
      <c r="DG115" s="413"/>
      <c r="DH115" s="413"/>
      <c r="DI115" s="413"/>
      <c r="DJ115" s="413"/>
      <c r="DK115" s="413"/>
    </row>
    <row r="116" spans="25:115" ht="14.25" customHeight="1">
      <c r="AD116" s="831" t="str">
        <f>"Impacts"&amp;CHAR(10)&amp;"Production (t/"&amp;D13&amp;"), Heat (GJ/"&amp;D13&amp;")"</f>
        <v>Impacts
Production (t/year), Heat (GJ/year)</v>
      </c>
      <c r="AE116" s="834" t="s">
        <v>6</v>
      </c>
      <c r="AF116" s="423" t="s">
        <v>539</v>
      </c>
      <c r="AG116" s="427">
        <f>-(AG113*Guidelines!F119/100)*Guidelines!M225</f>
        <v>-3352.682114173333</v>
      </c>
      <c r="AH116" s="424">
        <f>-SUMPRODUCT(($E$21:$E$69*$N$21:$N$69)*Guidelines!$M$225/100*($G$21:$G$69=AH$102))</f>
        <v>-4237.90488</v>
      </c>
      <c r="AI116" s="424">
        <f>-SUMPRODUCT(($E$21:$E$69*$N$21:$N$69)*Guidelines!$M$225/100*($G$21:$G$69=AI$102))</f>
        <v>0</v>
      </c>
      <c r="AJ116" s="424">
        <f>-SUMPRODUCT(($E$21:$E$69*$N$21:$N$69)*Guidelines!$M$225/100*($G$21:$G$69=AJ$102))</f>
        <v>0</v>
      </c>
      <c r="AK116" s="424">
        <f>-SUMPRODUCT(($E$21:$E$69*$N$21:$N$69)*Guidelines!$M$225/100*($G$21:$G$69=AK$102))</f>
        <v>0</v>
      </c>
      <c r="AL116" s="424">
        <f>-SUMPRODUCT(($E$21:$E$69*$N$21:$N$69)*Guidelines!$M$225/100*($G$21:$G$69=AL$102))</f>
        <v>0</v>
      </c>
      <c r="AM116" s="424">
        <f>-SUMPRODUCT(($E$21:$E$69*$N$21:$N$69)*Guidelines!$M$225/100*($G$21:$G$69=AM$102))</f>
        <v>0</v>
      </c>
      <c r="AN116" s="424">
        <f>-SUMPRODUCT(($E$21:$E$69*$N$21:$N$69)*Guidelines!$M$225/100*($G$21:$G$69=AN$102))</f>
        <v>0</v>
      </c>
      <c r="AO116" s="424">
        <f>-SUMPRODUCT(($E$21:$E$69*$N$21:$N$69)*Guidelines!$M$225/100*($G$21:$G$69=AO$102))</f>
        <v>0</v>
      </c>
      <c r="AP116" s="424">
        <f>-SUMPRODUCT(($E$21:$E$69*$N$21:$N$69)*Guidelines!$M$225/100*($G$21:$G$69=AP$102))</f>
        <v>0</v>
      </c>
      <c r="AQ116" s="424">
        <f>-SUMPRODUCT(($E$21:$E$69*$N$21:$N$69)*Guidelines!$M$225/100*($G$21:$G$69=AQ$102))</f>
        <v>0</v>
      </c>
      <c r="AR116" s="424">
        <f>-SUMPRODUCT(($E$21:$E$69*$N$21:$N$69)*Guidelines!$M$225/100*($G$21:$G$69=AR$102))</f>
        <v>0</v>
      </c>
      <c r="AS116" s="424">
        <f>-SUMPRODUCT(($E$21:$E$69*$N$21:$N$69)*Guidelines!$M$225/100*($G$21:$G$69=AS$102))</f>
        <v>0</v>
      </c>
      <c r="AT116" s="420">
        <f>SUM(AH116:AM116)</f>
        <v>-4237.90488</v>
      </c>
      <c r="AU116" s="420">
        <f>SUM(AN116:AS116)</f>
        <v>0</v>
      </c>
      <c r="AV116" s="419">
        <f>AT116+AU116</f>
        <v>-4237.90488</v>
      </c>
      <c r="AW116" s="413"/>
      <c r="AX116" s="413"/>
      <c r="AY116" s="413"/>
      <c r="AZ116" s="413"/>
      <c r="BA116" s="413"/>
      <c r="BB116" s="413"/>
      <c r="BC116" s="413"/>
      <c r="BD116" s="415"/>
      <c r="BE116" s="415"/>
      <c r="BF116" s="415"/>
      <c r="BG116" s="415"/>
      <c r="BH116" s="413"/>
      <c r="BI116" s="413"/>
      <c r="BJ116" s="413"/>
      <c r="BK116" s="413"/>
      <c r="BL116" s="413"/>
      <c r="BM116" s="413"/>
      <c r="BN116" s="413"/>
      <c r="BO116" s="413"/>
      <c r="BP116" s="413"/>
      <c r="BQ116" s="413"/>
      <c r="BR116" s="414"/>
      <c r="BS116" s="413"/>
      <c r="BT116" s="413"/>
      <c r="BU116" s="413"/>
      <c r="BV116" s="413"/>
      <c r="BW116" s="413"/>
      <c r="BX116" s="413"/>
      <c r="BY116" s="413"/>
      <c r="BZ116" s="413"/>
      <c r="CA116" s="413"/>
      <c r="CB116" s="413"/>
      <c r="CC116" s="413"/>
      <c r="CD116" s="413"/>
      <c r="CE116" s="413"/>
      <c r="CF116" s="413"/>
      <c r="CG116" s="413"/>
      <c r="CH116" s="413"/>
      <c r="CI116" s="413"/>
      <c r="CJ116" s="413"/>
      <c r="CK116" s="413"/>
      <c r="CL116" s="413"/>
      <c r="CM116" s="413"/>
      <c r="CN116" s="413"/>
      <c r="CO116" s="413"/>
      <c r="CP116" s="413"/>
      <c r="CQ116" s="413"/>
      <c r="CR116" s="413"/>
      <c r="CS116" s="413"/>
      <c r="CT116" s="413"/>
      <c r="CU116" s="413"/>
      <c r="CV116" s="413"/>
      <c r="CW116" s="413"/>
      <c r="CX116" s="413"/>
      <c r="CY116" s="413"/>
      <c r="CZ116" s="413"/>
      <c r="DA116" s="413"/>
      <c r="DB116" s="413"/>
      <c r="DC116" s="413"/>
      <c r="DD116" s="413"/>
      <c r="DE116" s="413"/>
      <c r="DF116" s="413"/>
      <c r="DG116" s="413"/>
      <c r="DH116" s="413"/>
      <c r="DI116" s="413"/>
      <c r="DJ116" s="413"/>
      <c r="DK116" s="413"/>
    </row>
    <row r="117" spans="25:115" ht="14.25" customHeight="1">
      <c r="AD117" s="832"/>
      <c r="AE117" s="834"/>
      <c r="AF117" s="423" t="s">
        <v>326</v>
      </c>
      <c r="AG117" s="427">
        <f>(AG113*Guidelines!F119/100)*Guidelines!M228</f>
        <v>3640.5386593296294</v>
      </c>
      <c r="AH117" s="424">
        <f>SUMPRODUCT(($E$21:$E$69*$N$21:$N$69)*Guidelines!$M$228/100*($G$21:$G$69=AH$102))-SUMPRODUCT(($E$21:$E$69*$Z$21:$Z$69)*($G$21:$G$69=AH$102))</f>
        <v>4601.7654000000002</v>
      </c>
      <c r="AI117" s="424">
        <f>SUMPRODUCT(($E$21:$E$69*$N$21:$N$69)*Guidelines!$M$228/100*($G$21:$G$69=AI$102))-SUMPRODUCT(($E$21:$E$69*$Z$21:$Z$69)*($G$21:$G$69=AI$102))</f>
        <v>0</v>
      </c>
      <c r="AJ117" s="424">
        <f>SUMPRODUCT(($E$21:$E$69*$N$21:$N$69)*Guidelines!$M$228/100*($G$21:$G$69=AJ$102))-SUMPRODUCT(($E$21:$E$69*$Z$21:$Z$69)*($G$21:$G$69=AJ$102))</f>
        <v>0</v>
      </c>
      <c r="AK117" s="424">
        <f>SUMPRODUCT(($E$21:$E$69*$N$21:$N$69)*Guidelines!$M$228/100*($G$21:$G$69=AK$102))-SUMPRODUCT(($E$21:$E$69*$Z$21:$Z$69)*($G$21:$G$69=AK$102))</f>
        <v>0</v>
      </c>
      <c r="AL117" s="424">
        <f>SUMPRODUCT(($E$21:$E$69*$N$21:$N$69)*Guidelines!$M$228/100*($G$21:$G$69=AL$102))-SUMPRODUCT(($E$21:$E$69*$Z$21:$Z$69)*($G$21:$G$69=AL$102))</f>
        <v>0</v>
      </c>
      <c r="AM117" s="424">
        <f>SUMPRODUCT(($E$21:$E$69*$N$21:$N$69)*Guidelines!$M$228/100*($G$21:$G$69=AM$102))-SUMPRODUCT(($E$21:$E$69*$Z$21:$Z$69)*($G$21:$G$69=AM$102))</f>
        <v>0</v>
      </c>
      <c r="AN117" s="424">
        <f>SUMPRODUCT(($E$21:$E$69*$N$21:$N$69)*Guidelines!$M$228/100*($G$21:$G$69=AN$102))-SUMPRODUCT(($E$21:$E$69*$Z$21:$Z$69)*($G$21:$G$69=AN$102))</f>
        <v>0</v>
      </c>
      <c r="AO117" s="424">
        <f>SUMPRODUCT(($E$21:$E$69*$N$21:$N$69)*Guidelines!$M$228/100*($G$21:$G$69=AO$102))-SUMPRODUCT(($E$21:$E$69*$Z$21:$Z$69)*($G$21:$G$69=AO$102))</f>
        <v>0</v>
      </c>
      <c r="AP117" s="424">
        <f>SUMPRODUCT(($E$21:$E$69*$N$21:$N$69)*Guidelines!$M$228/100*($G$21:$G$69=AP$102))-SUMPRODUCT(($E$21:$E$69*$Z$21:$Z$69)*($G$21:$G$69=AP$102))</f>
        <v>0</v>
      </c>
      <c r="AQ117" s="424">
        <f>SUMPRODUCT(($E$21:$E$69*$N$21:$N$69)*Guidelines!$M$228/100*($G$21:$G$69=AQ$102))-SUMPRODUCT(($E$21:$E$69*$Z$21:$Z$69)*($G$21:$G$69=AQ$102))</f>
        <v>0</v>
      </c>
      <c r="AR117" s="424">
        <f>SUMPRODUCT(($E$21:$E$69*$N$21:$N$69)*Guidelines!$M$228/100*($G$21:$G$69=AR$102))-SUMPRODUCT(($E$21:$E$69*$Z$21:$Z$69)*($G$21:$G$69=AR$102))</f>
        <v>0</v>
      </c>
      <c r="AS117" s="424">
        <f>SUMPRODUCT(($E$21:$E$69*$N$21:$N$69)*Guidelines!$M$228/100*($G$21:$G$69=AS$102))-SUMPRODUCT(($E$21:$E$69*$Z$21:$Z$69)*($G$21:$G$69=AS$102))</f>
        <v>0</v>
      </c>
      <c r="AT117" s="420">
        <f t="shared" ref="AT117:AT127" si="34">SUM(AH117:AM117)</f>
        <v>4601.7654000000002</v>
      </c>
      <c r="AU117" s="420">
        <f t="shared" ref="AU117:AU127" si="35">SUM(AN117:AS117)</f>
        <v>0</v>
      </c>
      <c r="AV117" s="419">
        <f t="shared" ref="AV117:AV129" si="36">AT117+AU117</f>
        <v>4601.7654000000002</v>
      </c>
      <c r="AW117" s="413"/>
      <c r="AX117" s="413"/>
      <c r="AY117" s="413"/>
      <c r="AZ117" s="413"/>
      <c r="BA117" s="413"/>
      <c r="BB117" s="413"/>
      <c r="BC117" s="413"/>
      <c r="BD117" s="415"/>
      <c r="BE117" s="415"/>
      <c r="BF117" s="415"/>
      <c r="BG117" s="415"/>
      <c r="BH117" s="413"/>
      <c r="BI117" s="413"/>
      <c r="BJ117" s="413"/>
      <c r="BK117" s="413"/>
      <c r="BL117" s="413"/>
      <c r="BM117" s="413"/>
      <c r="BN117" s="413"/>
      <c r="BO117" s="413"/>
      <c r="BP117" s="413"/>
      <c r="BQ117" s="413"/>
      <c r="BR117" s="414"/>
      <c r="BS117" s="413"/>
      <c r="BT117" s="413"/>
      <c r="BU117" s="413"/>
      <c r="BV117" s="413"/>
      <c r="BW117" s="413"/>
      <c r="BX117" s="413"/>
      <c r="BY117" s="413"/>
      <c r="BZ117" s="413"/>
      <c r="CA117" s="413"/>
      <c r="CB117" s="413"/>
      <c r="CC117" s="413"/>
      <c r="CD117" s="413"/>
      <c r="CE117" s="413"/>
      <c r="CF117" s="413"/>
      <c r="CG117" s="413"/>
      <c r="CH117" s="413"/>
      <c r="CI117" s="413"/>
      <c r="CJ117" s="413"/>
      <c r="CK117" s="413"/>
      <c r="CL117" s="413"/>
      <c r="CM117" s="413"/>
      <c r="CN117" s="413"/>
      <c r="CO117" s="413"/>
      <c r="CP117" s="413"/>
      <c r="CQ117" s="413"/>
      <c r="CR117" s="413"/>
      <c r="CS117" s="413"/>
      <c r="CT117" s="413"/>
      <c r="CU117" s="413"/>
      <c r="CV117" s="413"/>
      <c r="CW117" s="413"/>
      <c r="CX117" s="413"/>
      <c r="CY117" s="413"/>
      <c r="CZ117" s="413"/>
      <c r="DA117" s="413"/>
      <c r="DB117" s="413"/>
      <c r="DC117" s="413"/>
      <c r="DD117" s="413"/>
      <c r="DE117" s="413"/>
      <c r="DF117" s="413"/>
      <c r="DG117" s="413"/>
      <c r="DH117" s="413"/>
      <c r="DI117" s="413"/>
      <c r="DJ117" s="413"/>
      <c r="DK117" s="413"/>
    </row>
    <row r="118" spans="25:115" ht="14.25" customHeight="1">
      <c r="AD118" s="832"/>
      <c r="AE118" s="834" t="s">
        <v>8</v>
      </c>
      <c r="AF118" s="423" t="s">
        <v>539</v>
      </c>
      <c r="AG118" s="427">
        <f>-(AG113*Guidelines!H119/100)*Guidelines!M226</f>
        <v>-6603.7678006444448</v>
      </c>
      <c r="AH118" s="424">
        <f>-SUMPRODUCT(($E$21:$E$69*$O$21:$O$69)*Guidelines!$M$226/100*($G$21:$G$69=AH$102))</f>
        <v>-7419.9008000000013</v>
      </c>
      <c r="AI118" s="424">
        <f>-SUMPRODUCT(($E$21:$E$69*$O$21:$O$69)*Guidelines!$M$226/100*($G$21:$G$69=AI$102))</f>
        <v>0</v>
      </c>
      <c r="AJ118" s="424">
        <f>-SUMPRODUCT(($E$21:$E$69*$O$21:$O$69)*Guidelines!$M$226/100*($G$21:$G$69=AJ$102))</f>
        <v>0</v>
      </c>
      <c r="AK118" s="424">
        <f>-SUMPRODUCT(($E$21:$E$69*$O$21:$O$69)*Guidelines!$M$226/100*($G$21:$G$69=AK$102))</f>
        <v>0</v>
      </c>
      <c r="AL118" s="424">
        <f>-SUMPRODUCT(($E$21:$E$69*$O$21:$O$69)*Guidelines!$M$226/100*($G$21:$G$69=AL$102))</f>
        <v>0</v>
      </c>
      <c r="AM118" s="424">
        <f>-SUMPRODUCT(($E$21:$E$69*$O$21:$O$69)*Guidelines!$M$226/100*($G$21:$G$69=AM$102))</f>
        <v>0</v>
      </c>
      <c r="AN118" s="424">
        <f>-SUMPRODUCT(($E$21:$E$69*$O$21:$O$69)*Guidelines!$M$226/100*($G$21:$G$69=AN$102))</f>
        <v>0</v>
      </c>
      <c r="AO118" s="424">
        <f>-SUMPRODUCT(($E$21:$E$69*$O$21:$O$69)*Guidelines!$M$226/100*($G$21:$G$69=AO$102))</f>
        <v>0</v>
      </c>
      <c r="AP118" s="424">
        <f>-SUMPRODUCT(($E$21:$E$69*$O$21:$O$69)*Guidelines!$M$226/100*($G$21:$G$69=AP$102))</f>
        <v>0</v>
      </c>
      <c r="AQ118" s="424">
        <f>-SUMPRODUCT(($E$21:$E$69*$O$21:$O$69)*Guidelines!$M$226/100*($G$21:$G$69=AQ$102))</f>
        <v>0</v>
      </c>
      <c r="AR118" s="424">
        <f>-SUMPRODUCT(($E$21:$E$69*$O$21:$O$69)*Guidelines!$M$226/100*($G$21:$G$69=AR$102))</f>
        <v>0</v>
      </c>
      <c r="AS118" s="424">
        <f>-SUMPRODUCT(($E$21:$E$69*$O$21:$O$69)*Guidelines!$M$226/100*($G$21:$G$69=AS$102))</f>
        <v>0</v>
      </c>
      <c r="AT118" s="420">
        <f t="shared" si="34"/>
        <v>-7419.9008000000013</v>
      </c>
      <c r="AU118" s="420">
        <f t="shared" si="35"/>
        <v>0</v>
      </c>
      <c r="AV118" s="419">
        <f t="shared" si="36"/>
        <v>-7419.9008000000013</v>
      </c>
      <c r="AW118" s="413"/>
      <c r="AX118" s="413"/>
      <c r="AY118" s="413"/>
      <c r="AZ118" s="413"/>
      <c r="BA118" s="413"/>
      <c r="BB118" s="413"/>
      <c r="BC118" s="413"/>
      <c r="BD118" s="413"/>
      <c r="BE118" s="413"/>
      <c r="BF118" s="413"/>
      <c r="BG118" s="413"/>
      <c r="BH118" s="413"/>
      <c r="BI118" s="413"/>
      <c r="BJ118" s="413"/>
      <c r="BK118" s="413"/>
      <c r="BL118" s="413"/>
      <c r="BM118" s="413"/>
      <c r="BN118" s="413"/>
      <c r="BO118" s="413"/>
      <c r="BP118" s="413"/>
      <c r="BQ118" s="413"/>
      <c r="BR118" s="413"/>
      <c r="BS118" s="413"/>
      <c r="BT118" s="413"/>
      <c r="BU118" s="425"/>
      <c r="BV118" s="413"/>
      <c r="BW118" s="413"/>
      <c r="BX118" s="413"/>
      <c r="BY118" s="413"/>
      <c r="BZ118" s="413"/>
      <c r="CA118" s="413"/>
      <c r="CB118" s="413"/>
      <c r="CC118" s="413"/>
      <c r="CD118" s="413"/>
      <c r="CE118" s="413"/>
      <c r="CF118" s="413"/>
      <c r="CG118" s="413"/>
      <c r="CH118" s="413"/>
      <c r="CI118" s="413"/>
      <c r="CJ118" s="413"/>
      <c r="CK118" s="413"/>
      <c r="CL118" s="413"/>
      <c r="CM118" s="413"/>
      <c r="CN118" s="413"/>
      <c r="CO118" s="413"/>
      <c r="CP118" s="413"/>
      <c r="CQ118" s="413"/>
      <c r="CR118" s="413"/>
      <c r="CS118" s="413"/>
      <c r="CT118" s="413"/>
      <c r="CU118" s="413"/>
      <c r="CV118" s="413"/>
      <c r="CW118" s="413"/>
      <c r="CX118" s="413"/>
      <c r="CY118" s="413"/>
      <c r="CZ118" s="413"/>
      <c r="DA118" s="413"/>
      <c r="DB118" s="413"/>
      <c r="DC118" s="413"/>
      <c r="DD118" s="413"/>
      <c r="DE118" s="413"/>
      <c r="DF118" s="413"/>
      <c r="DG118" s="413"/>
      <c r="DH118" s="413"/>
      <c r="DI118" s="413"/>
      <c r="DJ118" s="413"/>
      <c r="DK118" s="413"/>
    </row>
    <row r="119" spans="25:115" ht="14.25" customHeight="1">
      <c r="AD119" s="832"/>
      <c r="AE119" s="834"/>
      <c r="AF119" s="423" t="s">
        <v>326</v>
      </c>
      <c r="AG119" s="427">
        <f>(AG113*Guidelines!H119/100)*Guidelines!M229</f>
        <v>27939.017618111113</v>
      </c>
      <c r="AH119" s="424">
        <f>SUMPRODUCT(($E$21:$E$69*$O$21:$O$69)*Guidelines!$M$229/100*($G$21:$G$69=AH$102))</f>
        <v>31391.887999999999</v>
      </c>
      <c r="AI119" s="424">
        <f>SUMPRODUCT(($E$21:$E$69*$O$21:$O$69)*Guidelines!$M$229/100*($G$21:$G$69=AI$102))</f>
        <v>0</v>
      </c>
      <c r="AJ119" s="424">
        <f>SUMPRODUCT(($E$21:$E$69*$O$21:$O$69)*Guidelines!$M$229/100*($G$21:$G$69=AJ$102))</f>
        <v>0</v>
      </c>
      <c r="AK119" s="424">
        <f>SUMPRODUCT(($E$21:$E$69*$O$21:$O$69)*Guidelines!$M$229/100*($G$21:$G$69=AK$102))</f>
        <v>0</v>
      </c>
      <c r="AL119" s="424">
        <f>SUMPRODUCT(($E$21:$E$69*$O$21:$O$69)*Guidelines!$M$229/100*($G$21:$G$69=AL$102))</f>
        <v>0</v>
      </c>
      <c r="AM119" s="424">
        <f>SUMPRODUCT(($E$21:$E$69*$O$21:$O$69)*Guidelines!$M$229/100*($G$21:$G$69=AM$102))</f>
        <v>0</v>
      </c>
      <c r="AN119" s="424">
        <f>SUMPRODUCT(($E$21:$E$69*$O$21:$O$69)*Guidelines!$M$229/100*($G$21:$G$69=AN$102))</f>
        <v>0</v>
      </c>
      <c r="AO119" s="424">
        <f>SUMPRODUCT(($E$21:$E$69*$O$21:$O$69)*Guidelines!$M$229/100*($G$21:$G$69=AO$102))</f>
        <v>0</v>
      </c>
      <c r="AP119" s="424">
        <f>SUMPRODUCT(($E$21:$E$69*$O$21:$O$69)*Guidelines!$M$229/100*($G$21:$G$69=AP$102))</f>
        <v>0</v>
      </c>
      <c r="AQ119" s="424">
        <f>SUMPRODUCT(($E$21:$E$69*$O$21:$O$69)*Guidelines!$M$229/100*($G$21:$G$69=AQ$102))</f>
        <v>0</v>
      </c>
      <c r="AR119" s="424">
        <f>SUMPRODUCT(($E$21:$E$69*$O$21:$O$69)*Guidelines!$M$229/100*($G$21:$G$69=AR$102))</f>
        <v>0</v>
      </c>
      <c r="AS119" s="424">
        <f>SUMPRODUCT(($E$21:$E$69*$O$21:$O$69)*Guidelines!$M$229/100*($G$21:$G$69=AS$102))</f>
        <v>0</v>
      </c>
      <c r="AT119" s="420">
        <f t="shared" si="34"/>
        <v>31391.887999999999</v>
      </c>
      <c r="AU119" s="420">
        <f t="shared" si="35"/>
        <v>0</v>
      </c>
      <c r="AV119" s="419">
        <f t="shared" si="36"/>
        <v>31391.887999999999</v>
      </c>
      <c r="AW119" s="413"/>
      <c r="AX119" s="413"/>
      <c r="AY119" s="413"/>
      <c r="AZ119" s="413"/>
      <c r="BA119" s="413"/>
      <c r="BB119" s="413"/>
      <c r="BC119" s="413"/>
      <c r="BD119" s="413"/>
      <c r="BE119" s="413"/>
      <c r="BF119" s="413"/>
      <c r="BG119" s="413"/>
      <c r="BH119" s="413"/>
      <c r="BI119" s="413"/>
      <c r="BJ119" s="413"/>
      <c r="BK119" s="413"/>
      <c r="BL119" s="413"/>
      <c r="BM119" s="413"/>
      <c r="BN119" s="413"/>
      <c r="BO119" s="413"/>
      <c r="BP119" s="413"/>
      <c r="BQ119" s="413"/>
      <c r="BR119" s="413"/>
      <c r="BS119" s="413"/>
      <c r="BT119" s="413"/>
      <c r="BU119" s="425"/>
      <c r="BV119" s="413"/>
      <c r="BW119" s="413"/>
      <c r="BX119" s="413"/>
      <c r="BY119" s="413"/>
      <c r="BZ119" s="413"/>
      <c r="CA119" s="413"/>
      <c r="CB119" s="413"/>
      <c r="CC119" s="413"/>
      <c r="CD119" s="413"/>
      <c r="CE119" s="413"/>
      <c r="CF119" s="413"/>
      <c r="CG119" s="413"/>
      <c r="CH119" s="413"/>
      <c r="CI119" s="413"/>
      <c r="CJ119" s="413"/>
      <c r="CK119" s="413"/>
      <c r="CL119" s="413"/>
      <c r="CM119" s="413"/>
      <c r="CN119" s="413"/>
      <c r="CO119" s="413"/>
      <c r="CP119" s="413"/>
      <c r="CQ119" s="413"/>
      <c r="CR119" s="413"/>
      <c r="CS119" s="413"/>
      <c r="CT119" s="413"/>
      <c r="CU119" s="413"/>
      <c r="CV119" s="413"/>
      <c r="CW119" s="413"/>
      <c r="CX119" s="413"/>
      <c r="CY119" s="413"/>
      <c r="CZ119" s="413"/>
      <c r="DA119" s="413"/>
      <c r="DB119" s="413"/>
      <c r="DC119" s="413"/>
      <c r="DD119" s="413"/>
      <c r="DE119" s="413"/>
      <c r="DF119" s="413"/>
      <c r="DG119" s="413"/>
      <c r="DH119" s="413"/>
      <c r="DI119" s="413"/>
      <c r="DJ119" s="413"/>
      <c r="DK119" s="413"/>
    </row>
    <row r="120" spans="25:115" ht="14.25" customHeight="1">
      <c r="AD120" s="832"/>
      <c r="AE120" s="834" t="s">
        <v>66</v>
      </c>
      <c r="AF120" s="423" t="s">
        <v>539</v>
      </c>
      <c r="AG120" s="484">
        <v>0</v>
      </c>
      <c r="AH120" s="427">
        <f>-Guidelines!$M$227/100*CLI*AH124</f>
        <v>0</v>
      </c>
      <c r="AI120" s="427">
        <f>-Guidelines!$M$227/100*CLI*AI124</f>
        <v>0</v>
      </c>
      <c r="AJ120" s="427">
        <f>-Guidelines!$M$227/100*CLI*AJ124</f>
        <v>0</v>
      </c>
      <c r="AK120" s="427">
        <f>-Guidelines!$M$227/100*CLI*AK124</f>
        <v>0</v>
      </c>
      <c r="AL120" s="427">
        <f>-Guidelines!$M$227/100*CLI*AL124</f>
        <v>0</v>
      </c>
      <c r="AM120" s="427">
        <f>-Guidelines!$M$227/100*CLI*AM124</f>
        <v>0</v>
      </c>
      <c r="AN120" s="427">
        <f>-Guidelines!$M$227/100*CLI*AN124</f>
        <v>0</v>
      </c>
      <c r="AO120" s="427">
        <f>-Guidelines!$M$227/100*CLI*AO124</f>
        <v>0</v>
      </c>
      <c r="AP120" s="427">
        <f>-Guidelines!$M$227/100*CLI*AP124</f>
        <v>0</v>
      </c>
      <c r="AQ120" s="427">
        <f>-Guidelines!$M$227/100*CLI*AQ124</f>
        <v>0</v>
      </c>
      <c r="AR120" s="427">
        <f>-Guidelines!$M$227/100*CLI*AR124</f>
        <v>0</v>
      </c>
      <c r="AS120" s="427">
        <f>-Guidelines!$M$227/100*CLI*AS124</f>
        <v>0</v>
      </c>
      <c r="AT120" s="426">
        <f t="shared" si="34"/>
        <v>0</v>
      </c>
      <c r="AU120" s="426">
        <f t="shared" si="35"/>
        <v>0</v>
      </c>
      <c r="AV120" s="427">
        <f t="shared" si="36"/>
        <v>0</v>
      </c>
      <c r="AW120" s="413"/>
      <c r="AX120" s="413"/>
      <c r="AY120" s="413"/>
      <c r="AZ120" s="413"/>
      <c r="BA120" s="413"/>
      <c r="BB120" s="413"/>
      <c r="BC120" s="413"/>
      <c r="BD120" s="413"/>
      <c r="BE120" s="413"/>
      <c r="BF120" s="413"/>
      <c r="BG120" s="413"/>
      <c r="BH120" s="413"/>
      <c r="BI120" s="413"/>
      <c r="BJ120" s="413"/>
      <c r="BK120" s="413"/>
      <c r="BL120" s="413"/>
      <c r="BM120" s="413"/>
      <c r="BN120" s="413"/>
      <c r="BO120" s="413"/>
      <c r="BP120" s="413"/>
      <c r="BQ120" s="413"/>
      <c r="BR120" s="413"/>
      <c r="BS120" s="413"/>
      <c r="BT120" s="413"/>
      <c r="BU120" s="425"/>
      <c r="BV120" s="413"/>
      <c r="BW120" s="413"/>
      <c r="BX120" s="413"/>
      <c r="BY120" s="413"/>
      <c r="BZ120" s="413"/>
      <c r="CA120" s="413"/>
      <c r="CB120" s="413"/>
      <c r="CC120" s="413"/>
      <c r="CD120" s="413"/>
      <c r="CE120" s="413"/>
      <c r="CF120" s="413"/>
      <c r="CG120" s="413"/>
      <c r="CH120" s="413"/>
      <c r="CI120" s="413"/>
      <c r="CJ120" s="413"/>
      <c r="CK120" s="413"/>
      <c r="CL120" s="413"/>
      <c r="CM120" s="413"/>
      <c r="CN120" s="413"/>
      <c r="CO120" s="413"/>
      <c r="CP120" s="413"/>
      <c r="CQ120" s="413"/>
      <c r="CR120" s="413"/>
      <c r="CS120" s="413"/>
      <c r="CT120" s="413"/>
      <c r="CU120" s="413"/>
      <c r="CV120" s="413"/>
      <c r="CW120" s="413"/>
      <c r="CX120" s="413"/>
      <c r="CY120" s="413"/>
      <c r="CZ120" s="413"/>
      <c r="DA120" s="413"/>
      <c r="DB120" s="413"/>
      <c r="DC120" s="413"/>
      <c r="DD120" s="413"/>
      <c r="DE120" s="413"/>
      <c r="DF120" s="413"/>
      <c r="DG120" s="413"/>
      <c r="DH120" s="413"/>
      <c r="DI120" s="413"/>
      <c r="DJ120" s="413"/>
      <c r="DK120" s="413"/>
    </row>
    <row r="121" spans="25:115" ht="14.25" customHeight="1">
      <c r="AD121" s="832"/>
      <c r="AE121" s="834"/>
      <c r="AF121" s="423" t="s">
        <v>763</v>
      </c>
      <c r="AG121" s="485">
        <v>0</v>
      </c>
      <c r="AH121" s="432">
        <f t="shared" ref="AH121:AS121" si="37">SUMIFS($H$21:$H$69,$G$21:$G$69,"="&amp;AH102)</f>
        <v>98.691564267466404</v>
      </c>
      <c r="AI121" s="432">
        <f t="shared" si="37"/>
        <v>0</v>
      </c>
      <c r="AJ121" s="432">
        <f t="shared" si="37"/>
        <v>0</v>
      </c>
      <c r="AK121" s="432">
        <f t="shared" si="37"/>
        <v>1.3084357325336038</v>
      </c>
      <c r="AL121" s="432">
        <f t="shared" si="37"/>
        <v>0</v>
      </c>
      <c r="AM121" s="432">
        <f t="shared" si="37"/>
        <v>0</v>
      </c>
      <c r="AN121" s="432">
        <f t="shared" si="37"/>
        <v>0</v>
      </c>
      <c r="AO121" s="432">
        <f t="shared" si="37"/>
        <v>0</v>
      </c>
      <c r="AP121" s="432">
        <f t="shared" si="37"/>
        <v>0</v>
      </c>
      <c r="AQ121" s="432">
        <f t="shared" si="37"/>
        <v>0</v>
      </c>
      <c r="AR121" s="432">
        <f t="shared" si="37"/>
        <v>0</v>
      </c>
      <c r="AS121" s="432">
        <f t="shared" si="37"/>
        <v>0</v>
      </c>
      <c r="AT121" s="429">
        <f>SUM(AH121:AM121)</f>
        <v>100.00000000000001</v>
      </c>
      <c r="AU121" s="429">
        <f>SUM(AN121:AS121)</f>
        <v>0</v>
      </c>
      <c r="AV121" s="430">
        <f>AT121+AU121</f>
        <v>100.00000000000001</v>
      </c>
      <c r="AW121" s="413"/>
      <c r="AX121" s="413"/>
      <c r="AY121" s="413"/>
      <c r="AZ121" s="413"/>
      <c r="BA121" s="413"/>
      <c r="BB121" s="413"/>
      <c r="BC121" s="413"/>
      <c r="BD121" s="413"/>
      <c r="BE121" s="413"/>
      <c r="BF121" s="413"/>
      <c r="BG121" s="413"/>
      <c r="BH121" s="413"/>
      <c r="BI121" s="413"/>
      <c r="BJ121" s="413"/>
      <c r="BK121" s="413"/>
      <c r="BL121" s="413"/>
      <c r="BM121" s="413"/>
      <c r="BN121" s="413"/>
      <c r="BO121" s="413"/>
      <c r="BP121" s="413"/>
      <c r="BQ121" s="413"/>
      <c r="BR121" s="413"/>
      <c r="BS121" s="413"/>
      <c r="BT121" s="413"/>
      <c r="BU121" s="425"/>
      <c r="BV121" s="413"/>
      <c r="BW121" s="413"/>
      <c r="BX121" s="413"/>
      <c r="BY121" s="413"/>
      <c r="BZ121" s="413"/>
      <c r="CA121" s="413"/>
      <c r="CB121" s="413"/>
      <c r="CC121" s="413"/>
      <c r="CD121" s="413"/>
      <c r="CE121" s="413"/>
      <c r="CF121" s="413"/>
      <c r="CG121" s="413"/>
      <c r="CH121" s="413"/>
      <c r="CI121" s="413"/>
      <c r="CJ121" s="413"/>
      <c r="CK121" s="413"/>
      <c r="CL121" s="413"/>
      <c r="CM121" s="413"/>
      <c r="CN121" s="413"/>
      <c r="CO121" s="413"/>
      <c r="CP121" s="413"/>
      <c r="CQ121" s="413"/>
      <c r="CR121" s="413"/>
      <c r="CS121" s="413"/>
      <c r="CT121" s="413"/>
      <c r="CU121" s="413"/>
      <c r="CV121" s="413"/>
      <c r="CW121" s="413"/>
      <c r="CX121" s="413"/>
      <c r="CY121" s="413"/>
      <c r="CZ121" s="413"/>
      <c r="DA121" s="413"/>
      <c r="DB121" s="413"/>
      <c r="DC121" s="413"/>
      <c r="DD121" s="413"/>
      <c r="DE121" s="413"/>
      <c r="DF121" s="413"/>
      <c r="DG121" s="413"/>
      <c r="DH121" s="413"/>
      <c r="DI121" s="413"/>
      <c r="DJ121" s="413"/>
      <c r="DK121" s="413"/>
    </row>
    <row r="122" spans="25:115" ht="14.25" customHeight="1">
      <c r="AD122" s="832"/>
      <c r="AE122" s="834"/>
      <c r="AF122" s="423" t="s">
        <v>762</v>
      </c>
      <c r="AG122" s="485">
        <v>0</v>
      </c>
      <c r="AH122" s="432">
        <f t="shared" ref="AH122:AM122" si="38">AH121</f>
        <v>98.691564267466404</v>
      </c>
      <c r="AI122" s="432">
        <f t="shared" si="38"/>
        <v>0</v>
      </c>
      <c r="AJ122" s="432">
        <f t="shared" si="38"/>
        <v>0</v>
      </c>
      <c r="AK122" s="432">
        <f t="shared" si="38"/>
        <v>1.3084357325336038</v>
      </c>
      <c r="AL122" s="432">
        <f t="shared" si="38"/>
        <v>0</v>
      </c>
      <c r="AM122" s="432">
        <f t="shared" si="38"/>
        <v>0</v>
      </c>
      <c r="AN122" s="485">
        <v>0</v>
      </c>
      <c r="AO122" s="432">
        <f>IF(AV114=0,0,IF(OR(K5&lt;&gt;AH146,K5&lt;&gt;AH147),AO104+AO112)/AV114*100)</f>
        <v>0</v>
      </c>
      <c r="AP122" s="432">
        <f>IF(AV114=0,0,AP114/AV114*100)</f>
        <v>0</v>
      </c>
      <c r="AQ122" s="432">
        <f>IF(AV114=0,0,AQ114/AV114*100)</f>
        <v>0</v>
      </c>
      <c r="AR122" s="485">
        <v>0</v>
      </c>
      <c r="AS122" s="485">
        <v>0</v>
      </c>
      <c r="AT122" s="429">
        <f>SUM(AH122:AM122)</f>
        <v>100.00000000000001</v>
      </c>
      <c r="AU122" s="429">
        <f>SUM(AN122:AS122)</f>
        <v>0</v>
      </c>
      <c r="AV122" s="430">
        <f>AT122+AU122</f>
        <v>100.00000000000001</v>
      </c>
      <c r="AW122" s="413"/>
      <c r="AX122" s="413"/>
      <c r="AY122" s="413"/>
      <c r="AZ122" s="413"/>
      <c r="BA122" s="413"/>
      <c r="BB122" s="413"/>
      <c r="BC122" s="413"/>
      <c r="BD122" s="413"/>
      <c r="BE122" s="413"/>
      <c r="BF122" s="413"/>
      <c r="BG122" s="413"/>
      <c r="BH122" s="413"/>
      <c r="BI122" s="413"/>
      <c r="BJ122" s="413"/>
      <c r="BK122" s="413"/>
      <c r="BL122" s="413"/>
      <c r="BM122" s="413"/>
      <c r="BN122" s="413"/>
      <c r="BO122" s="413"/>
      <c r="BP122" s="413"/>
      <c r="BQ122" s="413"/>
      <c r="BR122" s="413"/>
      <c r="BS122" s="413"/>
      <c r="BT122" s="413"/>
      <c r="BU122" s="425"/>
      <c r="BV122" s="413"/>
      <c r="BW122" s="413"/>
      <c r="BX122" s="413"/>
      <c r="BY122" s="413"/>
      <c r="BZ122" s="413"/>
      <c r="CA122" s="413"/>
      <c r="CB122" s="413"/>
      <c r="CC122" s="413"/>
      <c r="CD122" s="413"/>
      <c r="CE122" s="413"/>
      <c r="CF122" s="413"/>
      <c r="CG122" s="413"/>
      <c r="CH122" s="413"/>
      <c r="CI122" s="413"/>
      <c r="CJ122" s="413"/>
      <c r="CK122" s="413"/>
      <c r="CL122" s="413"/>
      <c r="CM122" s="413"/>
      <c r="CN122" s="413"/>
      <c r="CO122" s="413"/>
      <c r="CP122" s="413"/>
      <c r="CQ122" s="413"/>
      <c r="CR122" s="413"/>
      <c r="CS122" s="413"/>
      <c r="CT122" s="413"/>
      <c r="CU122" s="413"/>
      <c r="CV122" s="413"/>
      <c r="CW122" s="413"/>
      <c r="CX122" s="413"/>
      <c r="CY122" s="413"/>
      <c r="CZ122" s="413"/>
      <c r="DA122" s="413"/>
      <c r="DB122" s="413"/>
      <c r="DC122" s="413"/>
      <c r="DD122" s="413"/>
      <c r="DE122" s="413"/>
      <c r="DF122" s="413"/>
      <c r="DG122" s="413"/>
      <c r="DH122" s="413"/>
      <c r="DI122" s="413"/>
      <c r="DJ122" s="413"/>
      <c r="DK122" s="413"/>
    </row>
    <row r="123" spans="25:115" ht="14.25" customHeight="1">
      <c r="AD123" s="832"/>
      <c r="AE123" s="834"/>
      <c r="AF123" s="423" t="s">
        <v>833</v>
      </c>
      <c r="AG123" s="485">
        <v>0</v>
      </c>
      <c r="AH123" s="432">
        <f>Guidelines!$P$120/100*AH122</f>
        <v>0</v>
      </c>
      <c r="AI123" s="432">
        <f>Guidelines!$P$121/100*AI122</f>
        <v>0</v>
      </c>
      <c r="AJ123" s="432">
        <f>Guidelines!$P$122/100*AJ122</f>
        <v>0</v>
      </c>
      <c r="AK123" s="432">
        <f>Guidelines!$P$123/100*AK122</f>
        <v>0</v>
      </c>
      <c r="AL123" s="432">
        <f>Guidelines!$P$124/100*AL122</f>
        <v>0</v>
      </c>
      <c r="AM123" s="432">
        <f>Guidelines!$P$125/100*AM122</f>
        <v>0</v>
      </c>
      <c r="AN123" s="432">
        <f>IF(AN122=0,0,AN122/Guidelines!$M$237)</f>
        <v>0</v>
      </c>
      <c r="AO123" s="432">
        <f>IF(AO122=0,0,AO122/Guidelines!$M$237)</f>
        <v>0</v>
      </c>
      <c r="AP123" s="432">
        <f>IF(AP122=0,0,AP122/Guidelines!$M$237)</f>
        <v>0</v>
      </c>
      <c r="AQ123" s="432">
        <f>IF(AQ122=0,0,AQ122/Guidelines!$M$237)</f>
        <v>0</v>
      </c>
      <c r="AR123" s="432">
        <f>IF(AR122=0,0,AR122/Guidelines!$M$237)</f>
        <v>0</v>
      </c>
      <c r="AS123" s="432">
        <f>IF(AS122=0,0,AS122/Guidelines!$M$237)</f>
        <v>0</v>
      </c>
      <c r="AT123" s="429">
        <f>SUM(AH123:AM123)</f>
        <v>0</v>
      </c>
      <c r="AU123" s="429">
        <f>SUM(AN123:AS123)</f>
        <v>0</v>
      </c>
      <c r="AV123" s="430">
        <f>AT123+AU123</f>
        <v>0</v>
      </c>
      <c r="AW123" s="433"/>
      <c r="AX123" s="413"/>
      <c r="AY123" s="413"/>
      <c r="AZ123" s="413"/>
      <c r="BA123" s="413"/>
      <c r="BB123" s="413"/>
      <c r="BC123" s="413"/>
      <c r="BD123" s="413"/>
      <c r="BE123" s="413"/>
      <c r="BF123" s="413"/>
      <c r="BG123" s="413"/>
      <c r="BH123" s="413"/>
      <c r="BI123" s="413"/>
      <c r="BJ123" s="413"/>
      <c r="BK123" s="413"/>
      <c r="BL123" s="413"/>
      <c r="BM123" s="413"/>
      <c r="BN123" s="413"/>
      <c r="BO123" s="413"/>
      <c r="BP123" s="413"/>
      <c r="BQ123" s="413"/>
      <c r="BR123" s="413"/>
      <c r="BS123" s="413"/>
      <c r="BT123" s="413"/>
      <c r="BU123" s="425"/>
      <c r="BV123" s="413"/>
      <c r="BW123" s="413"/>
      <c r="BX123" s="413"/>
      <c r="BY123" s="413"/>
      <c r="BZ123" s="413"/>
      <c r="CA123" s="413"/>
      <c r="CB123" s="413"/>
      <c r="CC123" s="413"/>
      <c r="CD123" s="413"/>
      <c r="CE123" s="413"/>
      <c r="CF123" s="413"/>
      <c r="CG123" s="413"/>
      <c r="CH123" s="413"/>
      <c r="CI123" s="413"/>
      <c r="CJ123" s="413"/>
      <c r="CK123" s="413"/>
      <c r="CL123" s="413"/>
      <c r="CM123" s="413"/>
      <c r="CN123" s="413"/>
      <c r="CO123" s="413"/>
      <c r="CP123" s="413"/>
      <c r="CQ123" s="413"/>
      <c r="CR123" s="413"/>
      <c r="CS123" s="413"/>
      <c r="CT123" s="413"/>
      <c r="CU123" s="413"/>
      <c r="CV123" s="413"/>
      <c r="CW123" s="413"/>
      <c r="CX123" s="413"/>
      <c r="CY123" s="413"/>
      <c r="CZ123" s="413"/>
      <c r="DA123" s="413"/>
      <c r="DB123" s="413"/>
      <c r="DC123" s="413"/>
      <c r="DD123" s="413"/>
      <c r="DE123" s="413"/>
      <c r="DF123" s="413"/>
      <c r="DG123" s="413"/>
      <c r="DH123" s="413"/>
      <c r="DI123" s="413"/>
      <c r="DJ123" s="413"/>
      <c r="DK123" s="413"/>
    </row>
    <row r="124" spans="25:115" ht="14.25" customHeight="1">
      <c r="AD124" s="832"/>
      <c r="AE124" s="834"/>
      <c r="AF124" s="423" t="s">
        <v>834</v>
      </c>
      <c r="AG124" s="485">
        <v>0</v>
      </c>
      <c r="AH124" s="432">
        <f t="shared" ref="AH124:AM124" si="39">AH122/$AT$122*$AR$145</f>
        <v>0</v>
      </c>
      <c r="AI124" s="432">
        <f t="shared" si="39"/>
        <v>0</v>
      </c>
      <c r="AJ124" s="432">
        <f t="shared" si="39"/>
        <v>0</v>
      </c>
      <c r="AK124" s="432">
        <f t="shared" si="39"/>
        <v>0</v>
      </c>
      <c r="AL124" s="432">
        <f t="shared" si="39"/>
        <v>0</v>
      </c>
      <c r="AM124" s="432">
        <f t="shared" si="39"/>
        <v>0</v>
      </c>
      <c r="AN124" s="432">
        <f t="shared" ref="AN124:AS124" si="40">IF($AU$122=0,0,AN122/$AU$122*$AR$146)</f>
        <v>0</v>
      </c>
      <c r="AO124" s="432">
        <f t="shared" si="40"/>
        <v>0</v>
      </c>
      <c r="AP124" s="432">
        <f t="shared" si="40"/>
        <v>0</v>
      </c>
      <c r="AQ124" s="432">
        <f t="shared" si="40"/>
        <v>0</v>
      </c>
      <c r="AR124" s="432">
        <f t="shared" si="40"/>
        <v>0</v>
      </c>
      <c r="AS124" s="432">
        <f t="shared" si="40"/>
        <v>0</v>
      </c>
      <c r="AT124" s="429">
        <f>SUM(AH124:AM124)</f>
        <v>0</v>
      </c>
      <c r="AU124" s="429">
        <f>SUM(AN124:AS124)</f>
        <v>0</v>
      </c>
      <c r="AV124" s="430">
        <f>AT124+AU124</f>
        <v>0</v>
      </c>
      <c r="AW124" s="433"/>
      <c r="AX124" s="413"/>
      <c r="AY124" s="413"/>
      <c r="AZ124" s="413"/>
      <c r="BA124" s="413"/>
      <c r="BB124" s="413"/>
      <c r="BC124" s="413"/>
      <c r="BD124" s="413"/>
      <c r="BE124" s="413"/>
      <c r="BF124" s="413"/>
      <c r="BG124" s="413"/>
      <c r="BH124" s="413"/>
      <c r="BI124" s="413"/>
      <c r="BJ124" s="413"/>
      <c r="BK124" s="413"/>
      <c r="BL124" s="413"/>
      <c r="BM124" s="413"/>
      <c r="BN124" s="413"/>
      <c r="BO124" s="413"/>
      <c r="BP124" s="413"/>
      <c r="BQ124" s="413"/>
      <c r="BR124" s="413"/>
      <c r="BS124" s="413"/>
      <c r="BT124" s="413"/>
      <c r="BU124" s="425"/>
      <c r="BV124" s="413"/>
      <c r="BW124" s="413"/>
      <c r="BX124" s="413"/>
      <c r="BY124" s="413"/>
      <c r="BZ124" s="413"/>
      <c r="CA124" s="413"/>
      <c r="CB124" s="413"/>
      <c r="CC124" s="413"/>
      <c r="CD124" s="413"/>
      <c r="CE124" s="413"/>
      <c r="CF124" s="413"/>
      <c r="CG124" s="413"/>
      <c r="CH124" s="413"/>
      <c r="CI124" s="413"/>
      <c r="CJ124" s="413"/>
      <c r="CK124" s="413"/>
      <c r="CL124" s="413"/>
      <c r="CM124" s="413"/>
      <c r="CN124" s="413"/>
      <c r="CO124" s="413"/>
      <c r="CP124" s="413"/>
      <c r="CQ124" s="413"/>
      <c r="CR124" s="413"/>
      <c r="CS124" s="413"/>
      <c r="CT124" s="413"/>
      <c r="CU124" s="413"/>
      <c r="CV124" s="413"/>
      <c r="CW124" s="413"/>
      <c r="CX124" s="413"/>
      <c r="CY124" s="413"/>
      <c r="CZ124" s="413"/>
      <c r="DA124" s="413"/>
      <c r="DB124" s="413"/>
      <c r="DC124" s="413"/>
      <c r="DD124" s="413"/>
      <c r="DE124" s="413"/>
      <c r="DF124" s="413"/>
      <c r="DG124" s="413"/>
      <c r="DH124" s="413"/>
      <c r="DI124" s="413"/>
      <c r="DJ124" s="413"/>
      <c r="DK124" s="413"/>
    </row>
    <row r="125" spans="25:115" ht="14.25" customHeight="1">
      <c r="AD125" s="832"/>
      <c r="AE125" s="834"/>
      <c r="AF125" s="423" t="s">
        <v>326</v>
      </c>
      <c r="AG125" s="484">
        <v>0</v>
      </c>
      <c r="AH125" s="427">
        <f>STEC*AH124/100*Guidelines!$M$230*CLI/1000</f>
        <v>0</v>
      </c>
      <c r="AI125" s="427">
        <f>STEC*AI124/100*Guidelines!$M$230*CLI/1000</f>
        <v>0</v>
      </c>
      <c r="AJ125" s="427">
        <f>STEC*AJ124/100*Guidelines!$M$230*CLI/1000</f>
        <v>0</v>
      </c>
      <c r="AK125" s="427">
        <f>STEC*AK124/100*Guidelines!$M$230*CLI/1000</f>
        <v>0</v>
      </c>
      <c r="AL125" s="427">
        <f>STEC*AL124/100*Guidelines!$M$230*CLI/1000</f>
        <v>0</v>
      </c>
      <c r="AM125" s="427">
        <f>STEC*AM124/100*Guidelines!$M$230*CLI/1000</f>
        <v>0</v>
      </c>
      <c r="AN125" s="427">
        <f>STEC*AN124/100*Guidelines!$M$230*CLI/1000</f>
        <v>0</v>
      </c>
      <c r="AO125" s="427">
        <f>STEC*AO124/100*Guidelines!$M$230*CLI/1000</f>
        <v>0</v>
      </c>
      <c r="AP125" s="427">
        <f>STEC*AP124/100*Guidelines!$M$230*CLI/1000</f>
        <v>0</v>
      </c>
      <c r="AQ125" s="427">
        <f>STEC*AQ124/100*Guidelines!$M$230*CLI/1000</f>
        <v>0</v>
      </c>
      <c r="AR125" s="427">
        <f>STEC*AR124/100*Guidelines!$M$230*CLI/1000</f>
        <v>0</v>
      </c>
      <c r="AS125" s="427">
        <f>STEC*AS124/100*Guidelines!$M$230*CLI/1000</f>
        <v>0</v>
      </c>
      <c r="AT125" s="420">
        <f t="shared" si="34"/>
        <v>0</v>
      </c>
      <c r="AU125" s="420">
        <f t="shared" si="35"/>
        <v>0</v>
      </c>
      <c r="AV125" s="419">
        <f t="shared" si="36"/>
        <v>0</v>
      </c>
      <c r="AW125" s="434"/>
      <c r="AX125" s="435"/>
      <c r="AY125" s="413"/>
      <c r="AZ125" s="413"/>
      <c r="BA125" s="413"/>
      <c r="BB125" s="413"/>
      <c r="BC125" s="413"/>
      <c r="BD125" s="413"/>
      <c r="BE125" s="413"/>
      <c r="BF125" s="413"/>
      <c r="BG125" s="413"/>
      <c r="BH125" s="413"/>
      <c r="BI125" s="413"/>
      <c r="BJ125" s="413"/>
      <c r="BK125" s="413"/>
      <c r="BL125" s="413"/>
      <c r="BM125" s="413"/>
      <c r="BN125" s="413"/>
      <c r="BO125" s="413"/>
      <c r="BP125" s="413"/>
      <c r="BQ125" s="413"/>
      <c r="BR125" s="413"/>
      <c r="BS125" s="413"/>
      <c r="BT125" s="413"/>
      <c r="BU125" s="425"/>
      <c r="BV125" s="413"/>
      <c r="BW125" s="413"/>
      <c r="BX125" s="413"/>
      <c r="BY125" s="413"/>
      <c r="BZ125" s="413"/>
      <c r="CA125" s="413"/>
      <c r="CB125" s="413"/>
      <c r="CC125" s="413"/>
      <c r="CD125" s="413"/>
      <c r="CE125" s="413"/>
      <c r="CF125" s="413"/>
      <c r="CG125" s="413"/>
      <c r="CH125" s="413"/>
      <c r="CI125" s="413"/>
      <c r="CJ125" s="413"/>
      <c r="CK125" s="413"/>
      <c r="CL125" s="413"/>
      <c r="CM125" s="413"/>
      <c r="CN125" s="413"/>
      <c r="CO125" s="413"/>
      <c r="CP125" s="413"/>
      <c r="CQ125" s="413"/>
      <c r="CR125" s="413"/>
      <c r="CS125" s="413"/>
      <c r="CT125" s="413"/>
      <c r="CU125" s="413"/>
      <c r="CV125" s="413"/>
      <c r="CW125" s="413"/>
      <c r="CX125" s="413"/>
      <c r="CY125" s="413"/>
      <c r="CZ125" s="413"/>
      <c r="DA125" s="413"/>
      <c r="DB125" s="413"/>
      <c r="DC125" s="413"/>
      <c r="DD125" s="413"/>
      <c r="DE125" s="413"/>
      <c r="DF125" s="413"/>
      <c r="DG125" s="413"/>
      <c r="DH125" s="413"/>
      <c r="DI125" s="413"/>
      <c r="DJ125" s="413"/>
      <c r="DK125" s="413"/>
    </row>
    <row r="126" spans="25:115" ht="14.25" customHeight="1">
      <c r="AD126" s="832"/>
      <c r="AE126" s="761" t="s">
        <v>356</v>
      </c>
      <c r="AF126" s="423" t="s">
        <v>539</v>
      </c>
      <c r="AG126" s="484">
        <v>0</v>
      </c>
      <c r="AH126" s="484">
        <v>0</v>
      </c>
      <c r="AI126" s="484">
        <v>0</v>
      </c>
      <c r="AJ126" s="484">
        <v>0</v>
      </c>
      <c r="AK126" s="484">
        <v>0</v>
      </c>
      <c r="AL126" s="484">
        <v>0</v>
      </c>
      <c r="AM126" s="484">
        <v>0</v>
      </c>
      <c r="AN126" s="484">
        <v>0</v>
      </c>
      <c r="AO126" s="484">
        <v>0</v>
      </c>
      <c r="AP126" s="484">
        <v>0</v>
      </c>
      <c r="AQ126" s="484">
        <v>0</v>
      </c>
      <c r="AR126" s="484">
        <v>0</v>
      </c>
      <c r="AS126" s="484">
        <v>0</v>
      </c>
      <c r="AT126" s="420">
        <f t="shared" si="34"/>
        <v>0</v>
      </c>
      <c r="AU126" s="420">
        <f t="shared" si="35"/>
        <v>0</v>
      </c>
      <c r="AV126" s="419">
        <f t="shared" si="36"/>
        <v>0</v>
      </c>
      <c r="AW126" s="413"/>
      <c r="AX126" s="413"/>
      <c r="AY126" s="413"/>
      <c r="AZ126" s="413"/>
      <c r="BA126" s="413"/>
      <c r="BB126" s="413"/>
      <c r="BC126" s="413"/>
      <c r="BD126" s="413"/>
      <c r="BE126" s="413"/>
      <c r="BF126" s="413"/>
      <c r="BG126" s="413"/>
      <c r="BH126" s="413"/>
      <c r="BI126" s="413"/>
      <c r="BJ126" s="413"/>
      <c r="BK126" s="413"/>
      <c r="BL126" s="413"/>
      <c r="BM126" s="413"/>
      <c r="BN126" s="413"/>
      <c r="BO126" s="413"/>
      <c r="BP126" s="413"/>
      <c r="BQ126" s="413"/>
      <c r="BR126" s="413"/>
      <c r="BS126" s="413"/>
      <c r="BT126" s="413"/>
      <c r="BU126" s="425"/>
      <c r="BV126" s="413"/>
      <c r="BW126" s="413"/>
      <c r="BX126" s="413"/>
      <c r="BY126" s="413"/>
      <c r="BZ126" s="413"/>
      <c r="CA126" s="413"/>
      <c r="CB126" s="413"/>
      <c r="CC126" s="413"/>
      <c r="CD126" s="413"/>
      <c r="CE126" s="413"/>
      <c r="CF126" s="413"/>
      <c r="CG126" s="413"/>
      <c r="CH126" s="413"/>
      <c r="CI126" s="413"/>
      <c r="CJ126" s="413"/>
      <c r="CK126" s="413"/>
      <c r="CL126" s="413"/>
      <c r="CM126" s="413"/>
      <c r="CN126" s="413"/>
      <c r="CO126" s="413"/>
      <c r="CP126" s="413"/>
      <c r="CQ126" s="413"/>
      <c r="CR126" s="413"/>
      <c r="CS126" s="413"/>
      <c r="CT126" s="413"/>
      <c r="CU126" s="413"/>
      <c r="CV126" s="413"/>
      <c r="CW126" s="413"/>
      <c r="CX126" s="413"/>
      <c r="CY126" s="413"/>
      <c r="CZ126" s="413"/>
      <c r="DA126" s="413"/>
      <c r="DB126" s="413"/>
      <c r="DC126" s="413"/>
      <c r="DD126" s="413"/>
      <c r="DE126" s="413"/>
      <c r="DF126" s="413"/>
      <c r="DG126" s="413"/>
      <c r="DH126" s="413"/>
      <c r="DI126" s="413"/>
      <c r="DJ126" s="413"/>
      <c r="DK126" s="413"/>
    </row>
    <row r="127" spans="25:115" ht="14.25" customHeight="1">
      <c r="AD127" s="832"/>
      <c r="AE127" s="762"/>
      <c r="AF127" s="423" t="s">
        <v>326</v>
      </c>
      <c r="AG127" s="436">
        <v>0</v>
      </c>
      <c r="AH127" s="424">
        <f>IF(AV114=0,0,Guidelines!O120*(Baseline!AH114/Baseline!$AV$114)*STEC/1000*Guidelines!$M$231*CLI)</f>
        <v>0</v>
      </c>
      <c r="AI127" s="424">
        <f>IF(AV114=0,0,Guidelines!O121*(Baseline!AI114/Baseline!$AV$114)*STEC/1000*Guidelines!$M$231*CLI)</f>
        <v>0</v>
      </c>
      <c r="AJ127" s="424">
        <f>IF(AV114=0,0,Guidelines!O122*(Baseline!AJ114/Baseline!$AV$114)*STEC/1000*Guidelines!$M$231*CLI)</f>
        <v>0</v>
      </c>
      <c r="AK127" s="424">
        <f>IF(AV114=0,0,Guidelines!O123*(Baseline!AK114/Baseline!$AV$114)*STEC/1000*Guidelines!$M$231*CLI)</f>
        <v>723.59999999999684</v>
      </c>
      <c r="AL127" s="424">
        <f>IF(AV114=0,0,Guidelines!O124*(Baseline!AL114/Baseline!$AV$114)*STEC/1000*Guidelines!$M$231*CLI)</f>
        <v>0</v>
      </c>
      <c r="AM127" s="424">
        <f>IF(AV114=0,0,Guidelines!O125*(Baseline!AM114/Baseline!$AV$114)*STEC/1000*Guidelines!$M$231*CLI)</f>
        <v>0</v>
      </c>
      <c r="AN127" s="436">
        <v>0</v>
      </c>
      <c r="AO127" s="436">
        <v>0</v>
      </c>
      <c r="AP127" s="436">
        <v>0</v>
      </c>
      <c r="AQ127" s="436">
        <v>0</v>
      </c>
      <c r="AR127" s="436">
        <v>0</v>
      </c>
      <c r="AS127" s="436">
        <v>0</v>
      </c>
      <c r="AT127" s="420">
        <f t="shared" si="34"/>
        <v>723.59999999999684</v>
      </c>
      <c r="AU127" s="420">
        <f t="shared" si="35"/>
        <v>0</v>
      </c>
      <c r="AV127" s="419">
        <f t="shared" si="36"/>
        <v>723.59999999999684</v>
      </c>
      <c r="AW127" s="413"/>
      <c r="AX127" s="413"/>
      <c r="AY127" s="413"/>
      <c r="AZ127" s="413"/>
      <c r="BA127" s="413"/>
      <c r="BB127" s="413"/>
      <c r="BC127" s="413"/>
      <c r="BD127" s="413"/>
      <c r="BE127" s="413"/>
      <c r="BF127" s="413"/>
      <c r="BG127" s="413"/>
      <c r="BH127" s="413"/>
      <c r="BI127" s="413"/>
      <c r="BJ127" s="413"/>
      <c r="BK127" s="413"/>
      <c r="BL127" s="413"/>
      <c r="BM127" s="413"/>
      <c r="BN127" s="413"/>
      <c r="BO127" s="413"/>
      <c r="BP127" s="413"/>
      <c r="BQ127" s="413"/>
      <c r="BR127" s="413"/>
      <c r="BS127" s="413"/>
      <c r="BT127" s="413"/>
      <c r="BU127" s="425"/>
      <c r="BV127" s="413"/>
      <c r="BW127" s="413"/>
      <c r="BX127" s="413"/>
      <c r="BY127" s="413"/>
      <c r="BZ127" s="413"/>
      <c r="CA127" s="413"/>
      <c r="CB127" s="413"/>
      <c r="CC127" s="413"/>
      <c r="CD127" s="413"/>
      <c r="CE127" s="413"/>
      <c r="CF127" s="413"/>
      <c r="CG127" s="413"/>
      <c r="CH127" s="413"/>
      <c r="CI127" s="413"/>
      <c r="CJ127" s="413"/>
      <c r="CK127" s="413"/>
      <c r="CL127" s="413"/>
      <c r="CM127" s="413"/>
      <c r="CN127" s="413"/>
      <c r="CO127" s="413"/>
      <c r="CP127" s="413"/>
      <c r="CQ127" s="413"/>
      <c r="CR127" s="413"/>
      <c r="CS127" s="413"/>
      <c r="CT127" s="413"/>
      <c r="CU127" s="413"/>
      <c r="CV127" s="413"/>
      <c r="CW127" s="413"/>
      <c r="CX127" s="413"/>
      <c r="CY127" s="413"/>
      <c r="CZ127" s="413"/>
      <c r="DA127" s="413"/>
      <c r="DB127" s="413"/>
      <c r="DC127" s="413"/>
      <c r="DD127" s="413"/>
      <c r="DE127" s="413"/>
      <c r="DF127" s="413"/>
      <c r="DG127" s="413"/>
      <c r="DH127" s="413"/>
      <c r="DI127" s="413"/>
      <c r="DJ127" s="413"/>
      <c r="DK127" s="413"/>
    </row>
    <row r="128" spans="25:115" ht="14.25" customHeight="1">
      <c r="AD128" s="832"/>
      <c r="AE128" s="761" t="s">
        <v>60</v>
      </c>
      <c r="AF128" s="423" t="s">
        <v>539</v>
      </c>
      <c r="AG128" s="424">
        <f>IF(ISERROR(AG116+AG118+AG120+AG126),0,AG116+AG118+AG120+AG126)</f>
        <v>-9956.4499148177783</v>
      </c>
      <c r="AH128" s="424">
        <f t="shared" ref="AH128:AS128" si="41">AH116+AH118+AH120+AH126</f>
        <v>-11657.805680000001</v>
      </c>
      <c r="AI128" s="424">
        <f t="shared" si="41"/>
        <v>0</v>
      </c>
      <c r="AJ128" s="424">
        <f t="shared" si="41"/>
        <v>0</v>
      </c>
      <c r="AK128" s="424">
        <f t="shared" si="41"/>
        <v>0</v>
      </c>
      <c r="AL128" s="424">
        <f t="shared" si="41"/>
        <v>0</v>
      </c>
      <c r="AM128" s="424">
        <f t="shared" si="41"/>
        <v>0</v>
      </c>
      <c r="AN128" s="424">
        <f t="shared" si="41"/>
        <v>0</v>
      </c>
      <c r="AO128" s="424">
        <f t="shared" si="41"/>
        <v>0</v>
      </c>
      <c r="AP128" s="424">
        <f t="shared" si="41"/>
        <v>0</v>
      </c>
      <c r="AQ128" s="424">
        <f t="shared" si="41"/>
        <v>0</v>
      </c>
      <c r="AR128" s="424">
        <f t="shared" si="41"/>
        <v>0</v>
      </c>
      <c r="AS128" s="424">
        <f t="shared" si="41"/>
        <v>0</v>
      </c>
      <c r="AT128" s="420">
        <f>IF(ISERROR(SUM(AH128:AM128)),0,SUM(AH128:AM128))</f>
        <v>-11657.805680000001</v>
      </c>
      <c r="AU128" s="420">
        <f>IF(ISERROR(SUM(AN128:AS128)),0,SUM(AN128:AS128))</f>
        <v>0</v>
      </c>
      <c r="AV128" s="419">
        <f t="shared" si="36"/>
        <v>-11657.805680000001</v>
      </c>
      <c r="AW128" s="413"/>
      <c r="AX128" s="435"/>
      <c r="AY128" s="413"/>
      <c r="AZ128" s="413"/>
      <c r="BA128" s="413"/>
      <c r="BB128" s="413"/>
      <c r="BC128" s="413"/>
      <c r="BD128" s="413"/>
      <c r="BE128" s="413"/>
      <c r="BF128" s="413"/>
      <c r="BG128" s="413"/>
      <c r="BH128" s="413"/>
      <c r="BI128" s="413"/>
      <c r="BJ128" s="413"/>
      <c r="BK128" s="413"/>
      <c r="BL128" s="413"/>
      <c r="BM128" s="413"/>
      <c r="BN128" s="413"/>
      <c r="BO128" s="413"/>
      <c r="BP128" s="413"/>
      <c r="BQ128" s="413"/>
      <c r="BR128" s="413"/>
      <c r="BS128" s="413"/>
      <c r="BT128" s="413"/>
      <c r="BU128" s="415"/>
      <c r="BV128" s="413"/>
      <c r="BW128" s="413"/>
      <c r="BX128" s="413"/>
      <c r="BY128" s="413"/>
      <c r="BZ128" s="413"/>
      <c r="CA128" s="413"/>
      <c r="CB128" s="413"/>
      <c r="CC128" s="413"/>
      <c r="CD128" s="413"/>
      <c r="CE128" s="413"/>
      <c r="CF128" s="413"/>
      <c r="CG128" s="413"/>
      <c r="CH128" s="413"/>
      <c r="CI128" s="413"/>
      <c r="CJ128" s="413"/>
      <c r="CK128" s="413"/>
      <c r="CL128" s="413"/>
      <c r="CM128" s="413"/>
      <c r="CN128" s="413"/>
      <c r="CO128" s="413"/>
      <c r="CP128" s="413"/>
      <c r="CQ128" s="413"/>
      <c r="CR128" s="413"/>
      <c r="CS128" s="413"/>
      <c r="CT128" s="413"/>
      <c r="CU128" s="413"/>
      <c r="CV128" s="413"/>
      <c r="CW128" s="413"/>
      <c r="CX128" s="413"/>
      <c r="CY128" s="413"/>
      <c r="CZ128" s="413"/>
      <c r="DA128" s="413"/>
      <c r="DB128" s="413"/>
      <c r="DC128" s="413"/>
      <c r="DD128" s="413"/>
      <c r="DE128" s="413"/>
      <c r="DF128" s="413"/>
      <c r="DG128" s="413"/>
      <c r="DH128" s="413"/>
      <c r="DI128" s="413"/>
      <c r="DJ128" s="413"/>
      <c r="DK128" s="413"/>
    </row>
    <row r="129" spans="30:115" ht="14.25" customHeight="1">
      <c r="AD129" s="832"/>
      <c r="AE129" s="855"/>
      <c r="AF129" s="423" t="s">
        <v>326</v>
      </c>
      <c r="AG129" s="424">
        <f>IF(ISERROR(AG117+AG119+AG125+AG127),0,AG117+AG119+AG125+AG127)</f>
        <v>31579.556277440741</v>
      </c>
      <c r="AH129" s="424">
        <f t="shared" ref="AH129:AS129" si="42">AH117+AH119+AH125+AH127</f>
        <v>35993.653399999996</v>
      </c>
      <c r="AI129" s="424">
        <f t="shared" si="42"/>
        <v>0</v>
      </c>
      <c r="AJ129" s="424">
        <f t="shared" si="42"/>
        <v>0</v>
      </c>
      <c r="AK129" s="424">
        <f t="shared" si="42"/>
        <v>723.59999999999684</v>
      </c>
      <c r="AL129" s="424">
        <f t="shared" si="42"/>
        <v>0</v>
      </c>
      <c r="AM129" s="424">
        <f t="shared" si="42"/>
        <v>0</v>
      </c>
      <c r="AN129" s="424">
        <f t="shared" si="42"/>
        <v>0</v>
      </c>
      <c r="AO129" s="424">
        <f t="shared" si="42"/>
        <v>0</v>
      </c>
      <c r="AP129" s="424">
        <f t="shared" si="42"/>
        <v>0</v>
      </c>
      <c r="AQ129" s="424">
        <f t="shared" si="42"/>
        <v>0</v>
      </c>
      <c r="AR129" s="424">
        <f t="shared" si="42"/>
        <v>0</v>
      </c>
      <c r="AS129" s="424">
        <f t="shared" si="42"/>
        <v>0</v>
      </c>
      <c r="AT129" s="420">
        <f>IF(ISERROR(SUM(AH129:AM129)),0,SUM(AH129:AM129))</f>
        <v>36717.253399999994</v>
      </c>
      <c r="AU129" s="420">
        <f>IF(ISERROR(SUM(AN129:AS129)),0,SUM(AN129:AS129))</f>
        <v>0</v>
      </c>
      <c r="AV129" s="419">
        <f t="shared" si="36"/>
        <v>36717.253399999994</v>
      </c>
      <c r="AW129" s="413"/>
      <c r="AX129" s="435"/>
      <c r="AY129" s="413"/>
      <c r="AZ129" s="413"/>
      <c r="BA129" s="413"/>
      <c r="BB129" s="413"/>
      <c r="BC129" s="413"/>
      <c r="BD129" s="413"/>
      <c r="BE129" s="413"/>
      <c r="BF129" s="413"/>
      <c r="BG129" s="413"/>
      <c r="BH129" s="413"/>
      <c r="BI129" s="413"/>
      <c r="BJ129" s="413"/>
      <c r="BK129" s="413"/>
      <c r="BL129" s="413"/>
      <c r="BM129" s="413"/>
      <c r="BN129" s="413"/>
      <c r="BO129" s="413"/>
      <c r="BP129" s="413"/>
      <c r="BQ129" s="413"/>
      <c r="BR129" s="413"/>
      <c r="BS129" s="413"/>
      <c r="BT129" s="413"/>
      <c r="BU129" s="438"/>
      <c r="BV129" s="413"/>
      <c r="BW129" s="413"/>
      <c r="BX129" s="413"/>
      <c r="BY129" s="413"/>
      <c r="BZ129" s="413"/>
      <c r="CA129" s="413"/>
      <c r="CB129" s="413"/>
      <c r="CC129" s="413"/>
      <c r="CD129" s="413"/>
      <c r="CE129" s="413"/>
      <c r="CF129" s="413"/>
      <c r="CG129" s="413"/>
      <c r="CH129" s="413"/>
      <c r="CI129" s="413"/>
      <c r="CJ129" s="413"/>
      <c r="CK129" s="413"/>
      <c r="CL129" s="413"/>
      <c r="CM129" s="413"/>
      <c r="CN129" s="413"/>
      <c r="CO129" s="413"/>
      <c r="CP129" s="413"/>
      <c r="CQ129" s="413"/>
      <c r="CR129" s="413"/>
      <c r="CS129" s="413"/>
      <c r="CT129" s="413"/>
      <c r="CU129" s="413"/>
      <c r="CV129" s="413"/>
      <c r="CW129" s="413"/>
      <c r="CX129" s="413"/>
      <c r="CY129" s="413"/>
      <c r="CZ129" s="413"/>
      <c r="DA129" s="413"/>
      <c r="DB129" s="413"/>
      <c r="DC129" s="413"/>
      <c r="DD129" s="413"/>
      <c r="DE129" s="413"/>
      <c r="DF129" s="413"/>
      <c r="DG129" s="413"/>
      <c r="DH129" s="413"/>
      <c r="DI129" s="413"/>
      <c r="DJ129" s="413"/>
      <c r="DK129" s="413"/>
    </row>
    <row r="130" spans="30:115" ht="14.25" customHeight="1">
      <c r="AD130" s="833"/>
      <c r="AE130" s="762"/>
      <c r="AF130" s="423" t="s">
        <v>764</v>
      </c>
      <c r="AG130" s="481">
        <f t="shared" ref="AG130:AV130" si="43">IF(CLI=0,0,AG129*1000/CLI)</f>
        <v>22.612782454039252</v>
      </c>
      <c r="AH130" s="481">
        <f t="shared" si="43"/>
        <v>25.773530410296551</v>
      </c>
      <c r="AI130" s="481">
        <f t="shared" si="43"/>
        <v>0</v>
      </c>
      <c r="AJ130" s="481">
        <f t="shared" si="43"/>
        <v>0</v>
      </c>
      <c r="AK130" s="481">
        <f t="shared" si="43"/>
        <v>0.51813930632811234</v>
      </c>
      <c r="AL130" s="481">
        <f t="shared" si="43"/>
        <v>0</v>
      </c>
      <c r="AM130" s="481">
        <f t="shared" si="43"/>
        <v>0</v>
      </c>
      <c r="AN130" s="481">
        <f t="shared" si="43"/>
        <v>0</v>
      </c>
      <c r="AO130" s="481">
        <f t="shared" si="43"/>
        <v>0</v>
      </c>
      <c r="AP130" s="481">
        <f t="shared" si="43"/>
        <v>0</v>
      </c>
      <c r="AQ130" s="481">
        <f t="shared" si="43"/>
        <v>0</v>
      </c>
      <c r="AR130" s="481">
        <f t="shared" si="43"/>
        <v>0</v>
      </c>
      <c r="AS130" s="481">
        <f t="shared" si="43"/>
        <v>0</v>
      </c>
      <c r="AT130" s="481">
        <f t="shared" si="43"/>
        <v>26.291669716624661</v>
      </c>
      <c r="AU130" s="481">
        <f t="shared" si="43"/>
        <v>0</v>
      </c>
      <c r="AV130" s="481">
        <f t="shared" si="43"/>
        <v>26.291669716624661</v>
      </c>
      <c r="AW130" s="413"/>
      <c r="AX130" s="435"/>
      <c r="AY130" s="413"/>
      <c r="AZ130" s="413"/>
      <c r="BA130" s="413"/>
      <c r="BB130" s="413"/>
      <c r="BC130" s="413"/>
      <c r="BD130" s="413"/>
      <c r="BE130" s="413"/>
      <c r="BF130" s="413"/>
      <c r="BG130" s="413"/>
      <c r="BH130" s="413"/>
      <c r="BI130" s="413"/>
      <c r="BJ130" s="413"/>
      <c r="BK130" s="413"/>
      <c r="BL130" s="413"/>
      <c r="BM130" s="413"/>
      <c r="BN130" s="413"/>
      <c r="BO130" s="413"/>
      <c r="BP130" s="413"/>
      <c r="BQ130" s="413"/>
      <c r="BR130" s="413"/>
      <c r="BS130" s="413"/>
      <c r="BT130" s="413"/>
      <c r="BU130" s="438"/>
      <c r="BV130" s="413"/>
      <c r="BW130" s="413"/>
      <c r="BX130" s="413"/>
      <c r="BY130" s="413"/>
      <c r="BZ130" s="413"/>
      <c r="CA130" s="413"/>
      <c r="CB130" s="413"/>
      <c r="CC130" s="413"/>
      <c r="CD130" s="413"/>
      <c r="CE130" s="413"/>
      <c r="CF130" s="413"/>
      <c r="CG130" s="413"/>
      <c r="CH130" s="413"/>
      <c r="CI130" s="413"/>
      <c r="CJ130" s="413"/>
      <c r="CK130" s="413"/>
      <c r="CL130" s="413"/>
      <c r="CM130" s="413"/>
      <c r="CN130" s="413"/>
      <c r="CO130" s="413"/>
      <c r="CP130" s="413"/>
      <c r="CQ130" s="413"/>
      <c r="CR130" s="413"/>
      <c r="CS130" s="413"/>
      <c r="CT130" s="413"/>
      <c r="CU130" s="413"/>
      <c r="CV130" s="413"/>
      <c r="CW130" s="413"/>
      <c r="CX130" s="413"/>
      <c r="CY130" s="413"/>
      <c r="CZ130" s="413"/>
      <c r="DA130" s="413"/>
      <c r="DB130" s="413"/>
      <c r="DC130" s="413"/>
      <c r="DD130" s="413"/>
      <c r="DE130" s="413"/>
      <c r="DF130" s="413"/>
      <c r="DG130" s="413"/>
      <c r="DH130" s="413"/>
      <c r="DI130" s="413"/>
      <c r="DJ130" s="413"/>
      <c r="DK130" s="413"/>
    </row>
    <row r="131" spans="30:115" ht="14.25" customHeight="1">
      <c r="AD131" s="838" t="s">
        <v>540</v>
      </c>
      <c r="AE131" s="828" t="s">
        <v>311</v>
      </c>
      <c r="AF131" s="418" t="str">
        <f>LocCur&amp;"/t"</f>
        <v>USD/t</v>
      </c>
      <c r="AG131" s="481" t="s">
        <v>51</v>
      </c>
      <c r="AH131" s="437">
        <f t="shared" ref="AH131:AS131" si="44">IF(AH$113=0,0,SUMPRODUCT(($E$21:$E$69*$K$21:$K$69)*($G$21:$G$69=AH$102))/AH$113)</f>
        <v>138</v>
      </c>
      <c r="AI131" s="437">
        <f t="shared" si="44"/>
        <v>0</v>
      </c>
      <c r="AJ131" s="437">
        <f t="shared" si="44"/>
        <v>0</v>
      </c>
      <c r="AK131" s="437">
        <f t="shared" si="44"/>
        <v>530</v>
      </c>
      <c r="AL131" s="437">
        <f t="shared" si="44"/>
        <v>0</v>
      </c>
      <c r="AM131" s="437">
        <f t="shared" si="44"/>
        <v>0</v>
      </c>
      <c r="AN131" s="437">
        <f t="shared" si="44"/>
        <v>0</v>
      </c>
      <c r="AO131" s="437">
        <f t="shared" si="44"/>
        <v>0</v>
      </c>
      <c r="AP131" s="437">
        <f t="shared" si="44"/>
        <v>0</v>
      </c>
      <c r="AQ131" s="437">
        <f t="shared" si="44"/>
        <v>0</v>
      </c>
      <c r="AR131" s="437">
        <f t="shared" si="44"/>
        <v>0</v>
      </c>
      <c r="AS131" s="437">
        <f t="shared" si="44"/>
        <v>0</v>
      </c>
      <c r="AT131" s="486">
        <f>IF(AT113=0,0,SUMPRODUCT(AH131:AM131,$AH$113:$AM$113)/$AT$113)</f>
        <v>141.2691548567521</v>
      </c>
      <c r="AU131" s="486">
        <f>IF($AU$113=0,0,SUMPRODUCT(AN131:AS131,$AN$113:$AS$113)/$AU$113)</f>
        <v>0</v>
      </c>
      <c r="AV131" s="440">
        <f>IF(AV113=0,0,SUMPRODUCT(AH131:AS131,$AH$113:$AS$113)/$AV$113)</f>
        <v>141.2691548567521</v>
      </c>
      <c r="AW131" s="413"/>
      <c r="AX131" s="435"/>
      <c r="AY131" s="413"/>
      <c r="AZ131" s="413"/>
      <c r="BA131" s="413"/>
      <c r="BB131" s="413"/>
      <c r="BC131" s="413"/>
      <c r="BD131" s="413"/>
      <c r="BE131" s="413"/>
      <c r="BF131" s="413"/>
      <c r="BG131" s="413"/>
      <c r="BH131" s="413"/>
      <c r="BI131" s="413"/>
      <c r="BJ131" s="413"/>
      <c r="BK131" s="413"/>
      <c r="BL131" s="413"/>
      <c r="BM131" s="413"/>
      <c r="BN131" s="413"/>
      <c r="BO131" s="413"/>
      <c r="BP131" s="413"/>
      <c r="BQ131" s="413"/>
      <c r="BR131" s="413"/>
      <c r="BS131" s="413"/>
      <c r="BT131" s="413"/>
      <c r="BU131" s="438"/>
      <c r="BV131" s="413"/>
      <c r="BW131" s="413"/>
      <c r="BX131" s="413"/>
      <c r="BY131" s="413"/>
      <c r="BZ131" s="413"/>
      <c r="CA131" s="413"/>
      <c r="CB131" s="413"/>
      <c r="CC131" s="413"/>
      <c r="CD131" s="413"/>
      <c r="CE131" s="413"/>
      <c r="CF131" s="413"/>
      <c r="CG131" s="413"/>
      <c r="CH131" s="413"/>
      <c r="CI131" s="413"/>
      <c r="CJ131" s="413"/>
      <c r="CK131" s="413"/>
      <c r="CL131" s="413"/>
      <c r="CM131" s="413"/>
      <c r="CN131" s="413"/>
      <c r="CO131" s="413"/>
      <c r="CP131" s="413"/>
      <c r="CQ131" s="413"/>
      <c r="CR131" s="413"/>
      <c r="CS131" s="413"/>
      <c r="CT131" s="413"/>
      <c r="CU131" s="413"/>
      <c r="CV131" s="413"/>
      <c r="CW131" s="413"/>
      <c r="CX131" s="413"/>
      <c r="CY131" s="413"/>
      <c r="CZ131" s="413"/>
      <c r="DA131" s="413"/>
      <c r="DB131" s="413"/>
      <c r="DC131" s="413"/>
      <c r="DD131" s="413"/>
      <c r="DE131" s="413"/>
      <c r="DF131" s="413"/>
      <c r="DG131" s="413"/>
      <c r="DH131" s="413"/>
      <c r="DI131" s="413"/>
      <c r="DJ131" s="413"/>
      <c r="DK131" s="413"/>
    </row>
    <row r="132" spans="30:115" ht="14.25" customHeight="1">
      <c r="AD132" s="840"/>
      <c r="AE132" s="829"/>
      <c r="AF132" s="418" t="str">
        <f>LocCur&amp;"/GJ"</f>
        <v>USD/GJ</v>
      </c>
      <c r="AG132" s="481" t="s">
        <v>51</v>
      </c>
      <c r="AH132" s="437">
        <f t="shared" ref="AH132:AS132" si="45">IF(AH$113=0,0,SUMPRODUCT(($E$21:$E$69*$K$21:$K$69)*($G$21:$G$69=AH$102))/SUMPRODUCT(($E$21:$E$69*$M$21:$M$69)*($G$21:$G$69=AH$102)))</f>
        <v>5.4117647058823533</v>
      </c>
      <c r="AI132" s="437">
        <f t="shared" si="45"/>
        <v>0</v>
      </c>
      <c r="AJ132" s="437">
        <f t="shared" si="45"/>
        <v>0</v>
      </c>
      <c r="AK132" s="437">
        <f t="shared" si="45"/>
        <v>13.184079601990048</v>
      </c>
      <c r="AL132" s="437">
        <f t="shared" si="45"/>
        <v>0</v>
      </c>
      <c r="AM132" s="437">
        <f t="shared" si="45"/>
        <v>0</v>
      </c>
      <c r="AN132" s="437">
        <f t="shared" si="45"/>
        <v>0</v>
      </c>
      <c r="AO132" s="437">
        <f t="shared" si="45"/>
        <v>0</v>
      </c>
      <c r="AP132" s="437">
        <f t="shared" si="45"/>
        <v>0</v>
      </c>
      <c r="AQ132" s="437">
        <f t="shared" si="45"/>
        <v>0</v>
      </c>
      <c r="AR132" s="437">
        <f t="shared" si="45"/>
        <v>0</v>
      </c>
      <c r="AS132" s="437">
        <f t="shared" si="45"/>
        <v>0</v>
      </c>
      <c r="AT132" s="439">
        <f>IF(SUMPRODUCT(AH133:AM133,AH113:AM113)=0,0,SUMPRODUCT(AH131:AM131,AH113:AM113)/SUMPRODUCT(AH133:AM133,AH113:AM113))</f>
        <v>5.5134604512280578</v>
      </c>
      <c r="AU132" s="439">
        <f>IF(SUMPRODUCT(AN133:AS133,AN113:AS113)=0,0,SUMPRODUCT(AN131:AS131,AN113:AS113)/SUMPRODUCT(AN133:AS133,AN113:AS113))</f>
        <v>0</v>
      </c>
      <c r="AV132" s="440">
        <f>IF(SUMPRODUCT(AH133:AS133,AH113:AS113)=0,0,SUMPRODUCT(AH131:AS131,AH113:AS113)/SUMPRODUCT(AH133:AS133,AH113:AS113))</f>
        <v>5.5134604512280578</v>
      </c>
      <c r="AW132" s="413"/>
      <c r="AX132" s="441"/>
      <c r="AY132" s="413"/>
      <c r="AZ132" s="413"/>
      <c r="BA132" s="413"/>
      <c r="BB132" s="413"/>
      <c r="BC132" s="413"/>
      <c r="BD132" s="413"/>
      <c r="BE132" s="413"/>
      <c r="BF132" s="413"/>
      <c r="BG132" s="413"/>
      <c r="BH132" s="413"/>
      <c r="BI132" s="413"/>
      <c r="BJ132" s="413"/>
      <c r="BK132" s="413"/>
      <c r="BL132" s="413"/>
      <c r="BM132" s="413"/>
      <c r="BN132" s="413"/>
      <c r="BO132" s="413"/>
      <c r="BP132" s="413"/>
      <c r="BQ132" s="413"/>
      <c r="BR132" s="413"/>
      <c r="BS132" s="413"/>
      <c r="BT132" s="413"/>
      <c r="BU132" s="438"/>
      <c r="BV132" s="413"/>
      <c r="BW132" s="413"/>
      <c r="BX132" s="413"/>
      <c r="BY132" s="413"/>
      <c r="BZ132" s="413"/>
      <c r="CA132" s="413"/>
      <c r="CB132" s="413"/>
      <c r="CC132" s="413"/>
      <c r="CD132" s="413"/>
      <c r="CE132" s="413"/>
      <c r="CF132" s="413"/>
      <c r="CG132" s="413"/>
      <c r="CH132" s="413"/>
      <c r="CI132" s="413"/>
      <c r="CJ132" s="413"/>
      <c r="CK132" s="413"/>
      <c r="CL132" s="413"/>
      <c r="CM132" s="413"/>
      <c r="CN132" s="413"/>
      <c r="CO132" s="413"/>
      <c r="CP132" s="413"/>
      <c r="CQ132" s="413"/>
      <c r="CR132" s="413"/>
      <c r="CS132" s="413"/>
      <c r="CT132" s="413"/>
      <c r="CU132" s="413"/>
      <c r="CV132" s="413"/>
      <c r="CW132" s="413"/>
      <c r="CX132" s="413"/>
      <c r="CY132" s="413"/>
      <c r="CZ132" s="413"/>
      <c r="DA132" s="413"/>
      <c r="DB132" s="413"/>
      <c r="DC132" s="413"/>
      <c r="DD132" s="413"/>
      <c r="DE132" s="413"/>
      <c r="DF132" s="413"/>
      <c r="DG132" s="413"/>
      <c r="DH132" s="413"/>
      <c r="DI132" s="413"/>
      <c r="DJ132" s="413"/>
      <c r="DK132" s="413"/>
    </row>
    <row r="133" spans="30:115" ht="14.25" customHeight="1">
      <c r="AD133" s="831" t="s">
        <v>116</v>
      </c>
      <c r="AE133" s="477" t="s">
        <v>12</v>
      </c>
      <c r="AF133" s="423" t="s">
        <v>312</v>
      </c>
      <c r="AG133" s="432">
        <f>Guidelines!D119</f>
        <v>27</v>
      </c>
      <c r="AH133" s="428">
        <f t="shared" ref="AH133:AS133" si="46">IF(AH$113=0,0,SUMPRODUCT(($E$21:$E$69*$M$21:$M$69)*($G$21:$G$69=AH$102))/AH$113)</f>
        <v>25.5</v>
      </c>
      <c r="AI133" s="428">
        <f t="shared" si="46"/>
        <v>0</v>
      </c>
      <c r="AJ133" s="428">
        <f t="shared" si="46"/>
        <v>0</v>
      </c>
      <c r="AK133" s="428">
        <f t="shared" si="46"/>
        <v>40.200000000000003</v>
      </c>
      <c r="AL133" s="428">
        <f t="shared" si="46"/>
        <v>0</v>
      </c>
      <c r="AM133" s="428">
        <f t="shared" si="46"/>
        <v>0</v>
      </c>
      <c r="AN133" s="428">
        <f t="shared" si="46"/>
        <v>0</v>
      </c>
      <c r="AO133" s="428">
        <f t="shared" si="46"/>
        <v>0</v>
      </c>
      <c r="AP133" s="428">
        <f t="shared" si="46"/>
        <v>0</v>
      </c>
      <c r="AQ133" s="428">
        <f t="shared" si="46"/>
        <v>0</v>
      </c>
      <c r="AR133" s="428">
        <f t="shared" si="46"/>
        <v>0</v>
      </c>
      <c r="AS133" s="428">
        <f t="shared" si="46"/>
        <v>0</v>
      </c>
      <c r="AT133" s="429">
        <f t="shared" ref="AT133:AT140" si="47">IF($AT$113=0,0,SUMPRODUCT(AH133:AM133,$AH$113:$AM$113)/$AT$113)</f>
        <v>25.622593307128202</v>
      </c>
      <c r="AU133" s="429">
        <f t="shared" ref="AU133:AU140" si="48">IF($AU$113=0,0,SUMPRODUCT(AN133:AS133,$AN$113:$AS$113)/$AU$113)</f>
        <v>0</v>
      </c>
      <c r="AV133" s="430">
        <f>IF(AV113=0,0,SUMPRODUCT(AH133:AS133,$AH$113:$AS$113)/$AV$113)</f>
        <v>25.622593307128202</v>
      </c>
      <c r="AW133" s="413"/>
      <c r="AX133" s="435"/>
      <c r="AY133" s="413"/>
      <c r="AZ133" s="413"/>
      <c r="BA133" s="413"/>
      <c r="BB133" s="413"/>
      <c r="BC133" s="413"/>
      <c r="BD133" s="413"/>
      <c r="BE133" s="413"/>
      <c r="BF133" s="413"/>
      <c r="BG133" s="413"/>
      <c r="BH133" s="413"/>
      <c r="BI133" s="413"/>
      <c r="BJ133" s="413"/>
      <c r="BK133" s="413"/>
      <c r="BL133" s="413"/>
      <c r="BM133" s="413"/>
      <c r="BN133" s="413"/>
      <c r="BO133" s="413"/>
      <c r="BP133" s="413"/>
      <c r="BQ133" s="413"/>
      <c r="BR133" s="413"/>
      <c r="BS133" s="413"/>
      <c r="BT133" s="413"/>
      <c r="BU133" s="438"/>
      <c r="BV133" s="413"/>
      <c r="BW133" s="413"/>
      <c r="BX133" s="413"/>
      <c r="BY133" s="413"/>
      <c r="BZ133" s="413"/>
      <c r="CA133" s="413"/>
      <c r="CB133" s="413"/>
      <c r="CC133" s="413"/>
      <c r="CD133" s="413"/>
      <c r="CE133" s="413"/>
      <c r="CF133" s="413"/>
      <c r="CG133" s="413"/>
      <c r="CH133" s="413"/>
      <c r="CI133" s="413"/>
      <c r="CJ133" s="413"/>
      <c r="CK133" s="413"/>
      <c r="CL133" s="413"/>
      <c r="CM133" s="413"/>
      <c r="CN133" s="413"/>
      <c r="CO133" s="413"/>
      <c r="CP133" s="413"/>
      <c r="CQ133" s="413"/>
      <c r="CR133" s="413"/>
      <c r="CS133" s="413"/>
      <c r="CT133" s="413"/>
      <c r="CU133" s="413"/>
      <c r="CV133" s="413"/>
      <c r="CW133" s="413"/>
      <c r="CX133" s="413"/>
      <c r="CY133" s="413"/>
      <c r="CZ133" s="413"/>
      <c r="DA133" s="413"/>
      <c r="DB133" s="413"/>
      <c r="DC133" s="413"/>
      <c r="DD133" s="413"/>
      <c r="DE133" s="413"/>
      <c r="DF133" s="413"/>
      <c r="DG133" s="413"/>
      <c r="DH133" s="413"/>
      <c r="DI133" s="413"/>
      <c r="DJ133" s="413"/>
      <c r="DK133" s="413"/>
    </row>
    <row r="134" spans="30:115" ht="14.25" customHeight="1">
      <c r="AD134" s="832"/>
      <c r="AE134" s="477" t="s">
        <v>6</v>
      </c>
      <c r="AF134" s="423" t="s">
        <v>3</v>
      </c>
      <c r="AG134" s="481">
        <f>Guidelines!F119</f>
        <v>1</v>
      </c>
      <c r="AH134" s="437">
        <f t="shared" ref="AH134:AS134" si="49">IF(AH$113=0,0,SUMPRODUCT(($E$21:$E$69*$N$21:$N$69)*($G$21:$G$69=AH$102))/AH$113)</f>
        <v>1.2</v>
      </c>
      <c r="AI134" s="437">
        <f t="shared" si="49"/>
        <v>0</v>
      </c>
      <c r="AJ134" s="437">
        <f t="shared" si="49"/>
        <v>0</v>
      </c>
      <c r="AK134" s="437">
        <f t="shared" si="49"/>
        <v>0</v>
      </c>
      <c r="AL134" s="437">
        <f t="shared" si="49"/>
        <v>0</v>
      </c>
      <c r="AM134" s="437">
        <f t="shared" si="49"/>
        <v>0</v>
      </c>
      <c r="AN134" s="437">
        <f t="shared" si="49"/>
        <v>0</v>
      </c>
      <c r="AO134" s="437">
        <f t="shared" si="49"/>
        <v>0</v>
      </c>
      <c r="AP134" s="437">
        <f t="shared" si="49"/>
        <v>0</v>
      </c>
      <c r="AQ134" s="437">
        <f t="shared" si="49"/>
        <v>0</v>
      </c>
      <c r="AR134" s="437">
        <f t="shared" si="49"/>
        <v>0</v>
      </c>
      <c r="AS134" s="437">
        <f t="shared" si="49"/>
        <v>0</v>
      </c>
      <c r="AT134" s="439">
        <f t="shared" si="47"/>
        <v>1.1899923830915753</v>
      </c>
      <c r="AU134" s="439">
        <f t="shared" si="48"/>
        <v>0</v>
      </c>
      <c r="AV134" s="440">
        <f>IF(AV113=0,0,SUMPRODUCT(AH134:AS134,$AH$113:$AS$113)/$AV$113)</f>
        <v>1.1899923830915753</v>
      </c>
      <c r="AW134" s="413"/>
      <c r="AX134" s="413"/>
      <c r="AY134" s="413"/>
      <c r="AZ134" s="413"/>
      <c r="BA134" s="413"/>
      <c r="BB134" s="413"/>
      <c r="BC134" s="413"/>
      <c r="BD134" s="413"/>
      <c r="BE134" s="413"/>
      <c r="BF134" s="413"/>
      <c r="BG134" s="413"/>
      <c r="BH134" s="413"/>
      <c r="BI134" s="413"/>
      <c r="BJ134" s="413"/>
      <c r="BK134" s="413"/>
      <c r="BL134" s="413"/>
      <c r="BM134" s="413"/>
      <c r="BN134" s="413"/>
      <c r="BO134" s="413"/>
      <c r="BP134" s="413"/>
      <c r="BQ134" s="413"/>
      <c r="BR134" s="413"/>
      <c r="BS134" s="413"/>
      <c r="BT134" s="413"/>
      <c r="BU134" s="438"/>
      <c r="BV134" s="413"/>
      <c r="BW134" s="413"/>
      <c r="BX134" s="413"/>
      <c r="BY134" s="413"/>
      <c r="BZ134" s="413"/>
      <c r="CA134" s="413"/>
      <c r="CB134" s="413"/>
      <c r="CC134" s="413"/>
      <c r="CD134" s="413"/>
      <c r="CE134" s="413"/>
      <c r="CF134" s="413"/>
      <c r="CG134" s="413"/>
      <c r="CH134" s="413"/>
      <c r="CI134" s="413"/>
      <c r="CJ134" s="413"/>
      <c r="CK134" s="413"/>
      <c r="CL134" s="413"/>
      <c r="CM134" s="413"/>
      <c r="CN134" s="413"/>
      <c r="CO134" s="413"/>
      <c r="CP134" s="413"/>
      <c r="CQ134" s="413"/>
      <c r="CR134" s="413"/>
      <c r="CS134" s="413"/>
      <c r="CT134" s="413"/>
      <c r="CU134" s="413"/>
      <c r="CV134" s="413"/>
      <c r="CW134" s="413"/>
      <c r="CX134" s="413"/>
      <c r="CY134" s="413"/>
      <c r="CZ134" s="413"/>
      <c r="DA134" s="413"/>
      <c r="DB134" s="413"/>
      <c r="DC134" s="413"/>
      <c r="DD134" s="413"/>
      <c r="DE134" s="413"/>
      <c r="DF134" s="413"/>
      <c r="DG134" s="413"/>
      <c r="DH134" s="413"/>
      <c r="DI134" s="413"/>
      <c r="DJ134" s="413"/>
      <c r="DK134" s="413"/>
    </row>
    <row r="135" spans="30:115" ht="14.25" customHeight="1">
      <c r="AD135" s="832"/>
      <c r="AE135" s="477" t="s">
        <v>8</v>
      </c>
      <c r="AF135" s="423" t="s">
        <v>3</v>
      </c>
      <c r="AG135" s="481">
        <f>Guidelines!H119</f>
        <v>15</v>
      </c>
      <c r="AH135" s="437">
        <f t="shared" ref="AH135:AS135" si="50">IF(AH$113=0,0,SUMPRODUCT(($E$21:$E$69*$O$21:$O$69)*($G$21:$G$69=AH$102))/AH$113)</f>
        <v>16</v>
      </c>
      <c r="AI135" s="437">
        <f t="shared" si="50"/>
        <v>0</v>
      </c>
      <c r="AJ135" s="437">
        <f t="shared" si="50"/>
        <v>0</v>
      </c>
      <c r="AK135" s="437">
        <f t="shared" si="50"/>
        <v>0</v>
      </c>
      <c r="AL135" s="437">
        <f t="shared" si="50"/>
        <v>0</v>
      </c>
      <c r="AM135" s="437">
        <f t="shared" si="50"/>
        <v>0</v>
      </c>
      <c r="AN135" s="437">
        <f t="shared" si="50"/>
        <v>0</v>
      </c>
      <c r="AO135" s="437">
        <f t="shared" si="50"/>
        <v>0</v>
      </c>
      <c r="AP135" s="437">
        <f t="shared" si="50"/>
        <v>0</v>
      </c>
      <c r="AQ135" s="437">
        <f t="shared" si="50"/>
        <v>0</v>
      </c>
      <c r="AR135" s="437">
        <f t="shared" si="50"/>
        <v>0</v>
      </c>
      <c r="AS135" s="437">
        <f t="shared" si="50"/>
        <v>0</v>
      </c>
      <c r="AT135" s="439">
        <f t="shared" si="47"/>
        <v>15.86656510788767</v>
      </c>
      <c r="AU135" s="439">
        <f t="shared" si="48"/>
        <v>0</v>
      </c>
      <c r="AV135" s="440">
        <f>IF(AV113=0,0,SUMPRODUCT(AH135:AS135,$AH$113:$AS$113)/$AV$113)</f>
        <v>15.86656510788767</v>
      </c>
      <c r="AW135" s="413"/>
      <c r="AX135" s="413"/>
      <c r="AY135" s="413"/>
      <c r="AZ135" s="413"/>
      <c r="BA135" s="413"/>
      <c r="BB135" s="413"/>
      <c r="BC135" s="413"/>
      <c r="BD135" s="413"/>
      <c r="BE135" s="413"/>
      <c r="BF135" s="413"/>
      <c r="BG135" s="413"/>
      <c r="BH135" s="413"/>
      <c r="BI135" s="413"/>
      <c r="BJ135" s="413"/>
      <c r="BK135" s="413"/>
      <c r="BL135" s="413"/>
      <c r="BM135" s="413"/>
      <c r="BN135" s="413"/>
      <c r="BO135" s="413"/>
      <c r="BP135" s="413"/>
      <c r="BQ135" s="413"/>
      <c r="BR135" s="413"/>
      <c r="BS135" s="413"/>
      <c r="BT135" s="413"/>
      <c r="BU135" s="438"/>
      <c r="BV135" s="413"/>
      <c r="BW135" s="413"/>
      <c r="BX135" s="413"/>
      <c r="BY135" s="413"/>
      <c r="BZ135" s="413"/>
      <c r="CA135" s="413"/>
      <c r="CB135" s="413"/>
      <c r="CC135" s="413"/>
      <c r="CD135" s="413"/>
      <c r="CE135" s="413"/>
      <c r="CF135" s="413"/>
      <c r="CG135" s="413"/>
      <c r="CH135" s="413"/>
      <c r="CI135" s="413"/>
      <c r="CJ135" s="413"/>
      <c r="CK135" s="413"/>
      <c r="CL135" s="413"/>
      <c r="CM135" s="413"/>
      <c r="CN135" s="413"/>
      <c r="CO135" s="413"/>
      <c r="CP135" s="413"/>
      <c r="CQ135" s="413"/>
      <c r="CR135" s="413"/>
      <c r="CS135" s="413"/>
      <c r="CT135" s="413"/>
      <c r="CU135" s="413"/>
      <c r="CV135" s="413"/>
      <c r="CW135" s="413"/>
      <c r="CX135" s="413"/>
      <c r="CY135" s="413"/>
      <c r="CZ135" s="413"/>
      <c r="DA135" s="413"/>
      <c r="DB135" s="413"/>
      <c r="DC135" s="413"/>
      <c r="DD135" s="413"/>
      <c r="DE135" s="413"/>
      <c r="DF135" s="413"/>
      <c r="DG135" s="413"/>
      <c r="DH135" s="413"/>
      <c r="DI135" s="413"/>
      <c r="DJ135" s="413"/>
      <c r="DK135" s="413"/>
    </row>
    <row r="136" spans="30:115" ht="14.25" customHeight="1">
      <c r="AD136" s="832"/>
      <c r="AE136" s="477" t="s">
        <v>7</v>
      </c>
      <c r="AF136" s="423" t="s">
        <v>3</v>
      </c>
      <c r="AG136" s="482">
        <f>Guidelines!L119</f>
        <v>0</v>
      </c>
      <c r="AH136" s="442">
        <f t="shared" ref="AH136:AS136" si="51">IF(AH$113=0,0,SUMPRODUCT(($E$21:$E$69*$P$21:$P$69)*($G$21:$G$69=AH$102))/AH$113)</f>
        <v>0.02</v>
      </c>
      <c r="AI136" s="442">
        <f t="shared" si="51"/>
        <v>0</v>
      </c>
      <c r="AJ136" s="442">
        <f t="shared" si="51"/>
        <v>0</v>
      </c>
      <c r="AK136" s="442">
        <f t="shared" si="51"/>
        <v>0</v>
      </c>
      <c r="AL136" s="442">
        <f t="shared" si="51"/>
        <v>0</v>
      </c>
      <c r="AM136" s="442">
        <f t="shared" si="51"/>
        <v>0</v>
      </c>
      <c r="AN136" s="442">
        <f t="shared" si="51"/>
        <v>0</v>
      </c>
      <c r="AO136" s="442">
        <f t="shared" si="51"/>
        <v>0</v>
      </c>
      <c r="AP136" s="442">
        <f t="shared" si="51"/>
        <v>0</v>
      </c>
      <c r="AQ136" s="442">
        <f t="shared" si="51"/>
        <v>0</v>
      </c>
      <c r="AR136" s="442">
        <f t="shared" si="51"/>
        <v>0</v>
      </c>
      <c r="AS136" s="442">
        <f t="shared" si="51"/>
        <v>0</v>
      </c>
      <c r="AT136" s="443">
        <f t="shared" si="47"/>
        <v>1.9833206384859588E-2</v>
      </c>
      <c r="AU136" s="443">
        <f t="shared" si="48"/>
        <v>0</v>
      </c>
      <c r="AV136" s="444">
        <f>IF(AV113=0,0,SUMPRODUCT(AH136:AS136,$AH$113:$AS$113)/$AV$113)</f>
        <v>1.9833206384859588E-2</v>
      </c>
      <c r="AW136" s="413"/>
      <c r="AX136" s="413"/>
      <c r="AY136" s="413"/>
      <c r="AZ136" s="413"/>
      <c r="BA136" s="413"/>
      <c r="BB136" s="413"/>
      <c r="BC136" s="413"/>
      <c r="BD136" s="413"/>
      <c r="BE136" s="413"/>
      <c r="BF136" s="413"/>
      <c r="BG136" s="413"/>
      <c r="BH136" s="413"/>
      <c r="BI136" s="413"/>
      <c r="BJ136" s="413"/>
      <c r="BK136" s="413"/>
      <c r="BL136" s="413"/>
      <c r="BM136" s="413"/>
      <c r="BN136" s="413"/>
      <c r="BO136" s="413"/>
      <c r="BP136" s="413"/>
      <c r="BQ136" s="413"/>
      <c r="BR136" s="413"/>
      <c r="BS136" s="413"/>
      <c r="BT136" s="413"/>
      <c r="BU136" s="438"/>
      <c r="BV136" s="413"/>
      <c r="BW136" s="413"/>
      <c r="BX136" s="413"/>
      <c r="BY136" s="413"/>
      <c r="BZ136" s="413"/>
      <c r="CA136" s="413"/>
      <c r="CB136" s="413"/>
      <c r="CC136" s="413"/>
      <c r="CD136" s="413"/>
      <c r="CE136" s="413"/>
      <c r="CF136" s="413"/>
      <c r="CG136" s="413"/>
      <c r="CH136" s="413"/>
      <c r="CI136" s="413"/>
      <c r="CJ136" s="413"/>
      <c r="CK136" s="413"/>
      <c r="CL136" s="413"/>
      <c r="CM136" s="413"/>
      <c r="CN136" s="413"/>
      <c r="CO136" s="413"/>
      <c r="CP136" s="413"/>
      <c r="CQ136" s="413"/>
      <c r="CR136" s="413"/>
      <c r="CS136" s="413"/>
      <c r="CT136" s="413"/>
      <c r="CU136" s="413"/>
      <c r="CV136" s="413"/>
      <c r="CW136" s="413"/>
      <c r="CX136" s="413"/>
      <c r="CY136" s="413"/>
      <c r="CZ136" s="413"/>
      <c r="DA136" s="413"/>
      <c r="DB136" s="413"/>
      <c r="DC136" s="413"/>
      <c r="DD136" s="413"/>
      <c r="DE136" s="413"/>
      <c r="DF136" s="413"/>
      <c r="DG136" s="413"/>
      <c r="DH136" s="413"/>
      <c r="DI136" s="413"/>
      <c r="DJ136" s="413"/>
      <c r="DK136" s="413"/>
    </row>
    <row r="137" spans="30:115" ht="14.25" customHeight="1">
      <c r="AD137" s="832"/>
      <c r="AE137" s="477" t="s">
        <v>1</v>
      </c>
      <c r="AF137" s="423" t="s">
        <v>3</v>
      </c>
      <c r="AG137" s="432">
        <f>Guidelines!J119</f>
        <v>0.5</v>
      </c>
      <c r="AH137" s="428">
        <f t="shared" ref="AH137:AS137" si="52">IF(AH$113=0,0,SUMPRODUCT(($E$21:$E$69*$Q$21:$Q$69)*($G$21:$G$69=AH$102))/AH$113)</f>
        <v>0.9</v>
      </c>
      <c r="AI137" s="428">
        <f t="shared" si="52"/>
        <v>0</v>
      </c>
      <c r="AJ137" s="428">
        <f t="shared" si="52"/>
        <v>0</v>
      </c>
      <c r="AK137" s="428">
        <f t="shared" si="52"/>
        <v>1.4</v>
      </c>
      <c r="AL137" s="428">
        <f t="shared" si="52"/>
        <v>0</v>
      </c>
      <c r="AM137" s="428">
        <f t="shared" si="52"/>
        <v>0</v>
      </c>
      <c r="AN137" s="428">
        <f t="shared" si="52"/>
        <v>0</v>
      </c>
      <c r="AO137" s="428">
        <f t="shared" si="52"/>
        <v>0</v>
      </c>
      <c r="AP137" s="428">
        <f t="shared" si="52"/>
        <v>0</v>
      </c>
      <c r="AQ137" s="428">
        <f t="shared" si="52"/>
        <v>0</v>
      </c>
      <c r="AR137" s="428">
        <f t="shared" si="52"/>
        <v>0</v>
      </c>
      <c r="AS137" s="428">
        <f t="shared" si="52"/>
        <v>0</v>
      </c>
      <c r="AT137" s="429">
        <f t="shared" si="47"/>
        <v>0.90416984037851034</v>
      </c>
      <c r="AU137" s="429">
        <f t="shared" si="48"/>
        <v>0</v>
      </c>
      <c r="AV137" s="430">
        <f>IF(AV113=0,0,SUMPRODUCT(AH137:AS137,$AH$113:$AS$113)/$AV$113)</f>
        <v>0.90416984037851034</v>
      </c>
      <c r="AW137" s="413"/>
      <c r="AX137" s="413"/>
      <c r="AY137" s="413"/>
      <c r="AZ137" s="413"/>
      <c r="BA137" s="413"/>
      <c r="BB137" s="413"/>
      <c r="BC137" s="413"/>
      <c r="BD137" s="413"/>
      <c r="BE137" s="413"/>
      <c r="BF137" s="413"/>
      <c r="BG137" s="413"/>
      <c r="BH137" s="413"/>
      <c r="BI137" s="413"/>
      <c r="BJ137" s="413"/>
      <c r="BK137" s="413"/>
      <c r="BL137" s="413"/>
      <c r="BM137" s="413"/>
      <c r="BN137" s="413"/>
      <c r="BO137" s="413"/>
      <c r="BP137" s="413"/>
      <c r="BQ137" s="413"/>
      <c r="BR137" s="413"/>
      <c r="BS137" s="413"/>
      <c r="BT137" s="413"/>
      <c r="BU137" s="438"/>
      <c r="BV137" s="413"/>
      <c r="BW137" s="413"/>
      <c r="BX137" s="413"/>
      <c r="BY137" s="413"/>
      <c r="BZ137" s="413"/>
      <c r="CA137" s="413"/>
      <c r="CB137" s="413"/>
      <c r="CC137" s="413"/>
      <c r="CD137" s="413"/>
      <c r="CE137" s="413"/>
      <c r="CF137" s="413"/>
      <c r="CG137" s="413"/>
      <c r="CH137" s="413"/>
      <c r="CI137" s="413"/>
      <c r="CJ137" s="413"/>
      <c r="CK137" s="413"/>
      <c r="CL137" s="413"/>
      <c r="CM137" s="413"/>
      <c r="CN137" s="413"/>
      <c r="CO137" s="413"/>
      <c r="CP137" s="413"/>
      <c r="CQ137" s="413"/>
      <c r="CR137" s="413"/>
      <c r="CS137" s="413"/>
      <c r="CT137" s="413"/>
      <c r="CU137" s="413"/>
      <c r="CV137" s="413"/>
      <c r="CW137" s="413"/>
      <c r="CX137" s="413"/>
      <c r="CY137" s="413"/>
      <c r="CZ137" s="413"/>
      <c r="DA137" s="413"/>
      <c r="DB137" s="413"/>
      <c r="DC137" s="413"/>
      <c r="DD137" s="413"/>
      <c r="DE137" s="413"/>
      <c r="DF137" s="413"/>
      <c r="DG137" s="413"/>
      <c r="DH137" s="413"/>
      <c r="DI137" s="413"/>
      <c r="DJ137" s="413"/>
      <c r="DK137" s="413"/>
    </row>
    <row r="138" spans="30:115" ht="14.25" customHeight="1">
      <c r="AD138" s="832"/>
      <c r="AE138" s="477" t="s">
        <v>20</v>
      </c>
      <c r="AF138" s="423" t="s">
        <v>3</v>
      </c>
      <c r="AG138" s="432">
        <v>0</v>
      </c>
      <c r="AH138" s="428">
        <f t="shared" ref="AH138:AS138" si="53">IF(AH$113=0,0,SUMPRODUCT(($E$21:$E$69*$R$21:$R$69)*($G$21:$G$69=AH$102))/AH$113)</f>
        <v>0.20999999999999996</v>
      </c>
      <c r="AI138" s="428">
        <f t="shared" si="53"/>
        <v>0</v>
      </c>
      <c r="AJ138" s="428">
        <f t="shared" si="53"/>
        <v>0</v>
      </c>
      <c r="AK138" s="428">
        <f t="shared" si="53"/>
        <v>0</v>
      </c>
      <c r="AL138" s="428">
        <f t="shared" si="53"/>
        <v>0</v>
      </c>
      <c r="AM138" s="428">
        <f t="shared" si="53"/>
        <v>0</v>
      </c>
      <c r="AN138" s="428">
        <f t="shared" si="53"/>
        <v>0</v>
      </c>
      <c r="AO138" s="428">
        <f t="shared" si="53"/>
        <v>0</v>
      </c>
      <c r="AP138" s="428">
        <f t="shared" si="53"/>
        <v>0</v>
      </c>
      <c r="AQ138" s="428">
        <f t="shared" si="53"/>
        <v>0</v>
      </c>
      <c r="AR138" s="428">
        <f t="shared" si="53"/>
        <v>0</v>
      </c>
      <c r="AS138" s="428">
        <f t="shared" si="53"/>
        <v>0</v>
      </c>
      <c r="AT138" s="429">
        <f t="shared" si="47"/>
        <v>0.20824866704102565</v>
      </c>
      <c r="AU138" s="429">
        <f t="shared" si="48"/>
        <v>0</v>
      </c>
      <c r="AV138" s="430">
        <f>IF(AV113=0,0,SUMPRODUCT(AH138:AS138,$AH$113:$AS$113)/$AV$113)</f>
        <v>0.20824866704102565</v>
      </c>
      <c r="AW138" s="413"/>
      <c r="AX138" s="413"/>
      <c r="AY138" s="413"/>
      <c r="AZ138" s="413"/>
      <c r="BA138" s="413"/>
      <c r="BB138" s="413"/>
      <c r="BC138" s="413"/>
      <c r="BD138" s="413"/>
      <c r="BE138" s="413"/>
      <c r="BF138" s="413"/>
      <c r="BG138" s="413"/>
      <c r="BH138" s="413"/>
      <c r="BI138" s="413"/>
      <c r="BJ138" s="413"/>
      <c r="BK138" s="413"/>
      <c r="BL138" s="413"/>
      <c r="BM138" s="413"/>
      <c r="BN138" s="413"/>
      <c r="BO138" s="413"/>
      <c r="BP138" s="413"/>
      <c r="BQ138" s="413"/>
      <c r="BR138" s="413"/>
      <c r="BS138" s="413"/>
      <c r="BT138" s="413"/>
      <c r="BU138" s="438"/>
      <c r="BV138" s="413"/>
      <c r="BW138" s="413"/>
      <c r="BX138" s="413"/>
      <c r="BY138" s="413"/>
      <c r="BZ138" s="413"/>
      <c r="CA138" s="413"/>
      <c r="CB138" s="413"/>
      <c r="CC138" s="413"/>
      <c r="CD138" s="413"/>
      <c r="CE138" s="413"/>
      <c r="CF138" s="413"/>
      <c r="CG138" s="413"/>
      <c r="CH138" s="413"/>
      <c r="CI138" s="413"/>
      <c r="CJ138" s="413"/>
      <c r="CK138" s="413"/>
      <c r="CL138" s="413"/>
      <c r="CM138" s="413"/>
      <c r="CN138" s="413"/>
      <c r="CO138" s="413"/>
      <c r="CP138" s="413"/>
      <c r="CQ138" s="413"/>
      <c r="CR138" s="413"/>
      <c r="CS138" s="413"/>
      <c r="CT138" s="413"/>
      <c r="CU138" s="413"/>
      <c r="CV138" s="413"/>
      <c r="CW138" s="413"/>
      <c r="CX138" s="413"/>
      <c r="CY138" s="413"/>
      <c r="CZ138" s="413"/>
      <c r="DA138" s="413"/>
      <c r="DB138" s="413"/>
      <c r="DC138" s="413"/>
      <c r="DD138" s="413"/>
      <c r="DE138" s="413"/>
      <c r="DF138" s="413"/>
      <c r="DG138" s="413"/>
      <c r="DH138" s="413"/>
      <c r="DI138" s="413"/>
      <c r="DJ138" s="413"/>
      <c r="DK138" s="413"/>
    </row>
    <row r="139" spans="30:115" ht="14.25" customHeight="1">
      <c r="AD139" s="832"/>
      <c r="AE139" s="477" t="s">
        <v>21</v>
      </c>
      <c r="AF139" s="423" t="s">
        <v>3</v>
      </c>
      <c r="AG139" s="432">
        <v>0</v>
      </c>
      <c r="AH139" s="428">
        <f t="shared" ref="AH139:AS139" si="54">IF(AH$113=0,0,SUMPRODUCT(($E$21:$E$69*$S$21:$S$69)*($G$21:$G$69=AH$102))/AH$113)</f>
        <v>0.11999999999999998</v>
      </c>
      <c r="AI139" s="428">
        <f t="shared" si="54"/>
        <v>0</v>
      </c>
      <c r="AJ139" s="428">
        <f t="shared" si="54"/>
        <v>0</v>
      </c>
      <c r="AK139" s="428">
        <f t="shared" si="54"/>
        <v>0</v>
      </c>
      <c r="AL139" s="428">
        <f t="shared" si="54"/>
        <v>0</v>
      </c>
      <c r="AM139" s="428">
        <f t="shared" si="54"/>
        <v>0</v>
      </c>
      <c r="AN139" s="428">
        <f t="shared" si="54"/>
        <v>0</v>
      </c>
      <c r="AO139" s="428">
        <f t="shared" si="54"/>
        <v>0</v>
      </c>
      <c r="AP139" s="428">
        <f t="shared" si="54"/>
        <v>0</v>
      </c>
      <c r="AQ139" s="428">
        <f t="shared" si="54"/>
        <v>0</v>
      </c>
      <c r="AR139" s="428">
        <f t="shared" si="54"/>
        <v>0</v>
      </c>
      <c r="AS139" s="428">
        <f t="shared" si="54"/>
        <v>0</v>
      </c>
      <c r="AT139" s="429">
        <f t="shared" si="47"/>
        <v>0.11899923830915751</v>
      </c>
      <c r="AU139" s="429">
        <f t="shared" si="48"/>
        <v>0</v>
      </c>
      <c r="AV139" s="430">
        <f>IF(AV113=0,0,SUMPRODUCT(AH139:AS139,$AH$113:$AS$113)/$AV$113)</f>
        <v>0.11899923830915751</v>
      </c>
      <c r="AW139" s="413"/>
      <c r="AX139" s="413"/>
      <c r="AY139" s="413"/>
      <c r="AZ139" s="413"/>
      <c r="BA139" s="413"/>
      <c r="BB139" s="413"/>
      <c r="BC139" s="413"/>
      <c r="BD139" s="413"/>
      <c r="BE139" s="413"/>
      <c r="BF139" s="413"/>
      <c r="BG139" s="413"/>
      <c r="BH139" s="413"/>
      <c r="BI139" s="413"/>
      <c r="BJ139" s="413"/>
      <c r="BK139" s="413"/>
      <c r="BL139" s="413"/>
      <c r="BM139" s="413"/>
      <c r="BN139" s="413"/>
      <c r="BO139" s="413"/>
      <c r="BP139" s="413"/>
      <c r="BQ139" s="413"/>
      <c r="BR139" s="413"/>
      <c r="BS139" s="413"/>
      <c r="BT139" s="413"/>
      <c r="BU139" s="438"/>
      <c r="BV139" s="413"/>
      <c r="BW139" s="413"/>
      <c r="BX139" s="413"/>
      <c r="BY139" s="413"/>
      <c r="BZ139" s="413"/>
      <c r="CA139" s="413"/>
      <c r="CB139" s="413"/>
      <c r="CC139" s="413"/>
      <c r="CD139" s="413"/>
      <c r="CE139" s="413"/>
      <c r="CF139" s="413"/>
      <c r="CG139" s="413"/>
      <c r="CH139" s="413"/>
      <c r="CI139" s="413"/>
      <c r="CJ139" s="413"/>
      <c r="CK139" s="413"/>
      <c r="CL139" s="413"/>
      <c r="CM139" s="413"/>
      <c r="CN139" s="413"/>
      <c r="CO139" s="413"/>
      <c r="CP139" s="413"/>
      <c r="CQ139" s="413"/>
      <c r="CR139" s="413"/>
      <c r="CS139" s="413"/>
      <c r="CT139" s="413"/>
      <c r="CU139" s="413"/>
      <c r="CV139" s="413"/>
      <c r="CW139" s="413"/>
      <c r="CX139" s="413"/>
      <c r="CY139" s="413"/>
      <c r="CZ139" s="413"/>
      <c r="DA139" s="413"/>
      <c r="DB139" s="413"/>
      <c r="DC139" s="413"/>
      <c r="DD139" s="413"/>
      <c r="DE139" s="413"/>
      <c r="DF139" s="413"/>
      <c r="DG139" s="413"/>
      <c r="DH139" s="413"/>
      <c r="DI139" s="413"/>
      <c r="DJ139" s="413"/>
      <c r="DK139" s="413"/>
    </row>
    <row r="140" spans="30:115" ht="14.25" customHeight="1">
      <c r="AD140" s="833"/>
      <c r="AE140" s="477" t="str">
        <f>T18</f>
        <v>user defined</v>
      </c>
      <c r="AF140" s="423" t="s">
        <v>3</v>
      </c>
      <c r="AG140" s="432" t="s">
        <v>51</v>
      </c>
      <c r="AH140" s="428">
        <f t="shared" ref="AH140:AS140" si="55">IF(AH$113=0,0,SUMPRODUCT(($E$21:$E$69*$T$21:$T$69)*($G$21:$G$69=AH$102))/AH$113)</f>
        <v>0</v>
      </c>
      <c r="AI140" s="428">
        <f t="shared" si="55"/>
        <v>0</v>
      </c>
      <c r="AJ140" s="428">
        <f t="shared" si="55"/>
        <v>0</v>
      </c>
      <c r="AK140" s="428">
        <f t="shared" si="55"/>
        <v>0</v>
      </c>
      <c r="AL140" s="428">
        <f t="shared" si="55"/>
        <v>0</v>
      </c>
      <c r="AM140" s="428">
        <f t="shared" si="55"/>
        <v>0</v>
      </c>
      <c r="AN140" s="428">
        <f t="shared" si="55"/>
        <v>0</v>
      </c>
      <c r="AO140" s="428">
        <f t="shared" si="55"/>
        <v>0</v>
      </c>
      <c r="AP140" s="428">
        <f t="shared" si="55"/>
        <v>0</v>
      </c>
      <c r="AQ140" s="428">
        <f t="shared" si="55"/>
        <v>0</v>
      </c>
      <c r="AR140" s="428">
        <f t="shared" si="55"/>
        <v>0</v>
      </c>
      <c r="AS140" s="428">
        <f t="shared" si="55"/>
        <v>0</v>
      </c>
      <c r="AT140" s="429">
        <f t="shared" si="47"/>
        <v>0</v>
      </c>
      <c r="AU140" s="429">
        <f t="shared" si="48"/>
        <v>0</v>
      </c>
      <c r="AV140" s="430">
        <f>IF(AV113=0,0,SUMPRODUCT(AH140:AS140,$AH$113:$AS$113)/$AV$113)</f>
        <v>0</v>
      </c>
      <c r="AW140" s="413"/>
      <c r="AX140" s="413"/>
      <c r="AY140" s="413"/>
      <c r="AZ140" s="413"/>
      <c r="BA140" s="413"/>
      <c r="BB140" s="413"/>
      <c r="BC140" s="413"/>
      <c r="BD140" s="413"/>
      <c r="BE140" s="413"/>
      <c r="BF140" s="413"/>
      <c r="BG140" s="413"/>
      <c r="BH140" s="413"/>
      <c r="BI140" s="413"/>
      <c r="BJ140" s="413"/>
      <c r="BK140" s="413"/>
      <c r="BL140" s="413"/>
      <c r="BM140" s="413"/>
      <c r="BN140" s="413"/>
      <c r="BO140" s="413"/>
      <c r="BP140" s="413"/>
      <c r="BQ140" s="413"/>
      <c r="BR140" s="413"/>
      <c r="BS140" s="413"/>
      <c r="BT140" s="413"/>
      <c r="BU140" s="438"/>
      <c r="BV140" s="413"/>
      <c r="BW140" s="413"/>
      <c r="BX140" s="413"/>
      <c r="BY140" s="413"/>
      <c r="BZ140" s="413"/>
      <c r="CA140" s="413"/>
      <c r="CB140" s="413"/>
      <c r="CC140" s="413"/>
      <c r="CD140" s="413"/>
      <c r="CE140" s="413"/>
      <c r="CF140" s="413"/>
      <c r="CG140" s="413"/>
      <c r="CH140" s="413"/>
      <c r="CI140" s="413"/>
      <c r="CJ140" s="413"/>
      <c r="CK140" s="413"/>
      <c r="CL140" s="413"/>
      <c r="CM140" s="413"/>
      <c r="CN140" s="413"/>
      <c r="CO140" s="413"/>
      <c r="CP140" s="413"/>
      <c r="CQ140" s="413"/>
      <c r="CR140" s="413"/>
      <c r="CS140" s="413"/>
      <c r="CT140" s="413"/>
      <c r="CU140" s="413"/>
      <c r="CV140" s="413"/>
      <c r="CW140" s="413"/>
      <c r="CX140" s="413"/>
      <c r="CY140" s="413"/>
      <c r="CZ140" s="413"/>
      <c r="DA140" s="413"/>
      <c r="DB140" s="413"/>
      <c r="DC140" s="413"/>
      <c r="DD140" s="413"/>
      <c r="DE140" s="413"/>
      <c r="DF140" s="413"/>
      <c r="DG140" s="413"/>
      <c r="DH140" s="413"/>
      <c r="DI140" s="413"/>
      <c r="DJ140" s="413"/>
      <c r="DK140" s="413"/>
    </row>
    <row r="141" spans="30:115" ht="14.25" customHeight="1">
      <c r="AD141" s="849" t="str">
        <f>"Net cash benefit, "&amp;LocCur&amp;"/"&amp;$D$13</f>
        <v>Net cash benefit, USD/year</v>
      </c>
      <c r="AE141" s="850"/>
      <c r="AF141" s="851"/>
      <c r="AG141" s="427" t="s">
        <v>51</v>
      </c>
      <c r="AH141" s="424" t="s">
        <v>51</v>
      </c>
      <c r="AI141" s="424" t="s">
        <v>51</v>
      </c>
      <c r="AJ141" s="424" t="s">
        <v>51</v>
      </c>
      <c r="AK141" s="424" t="s">
        <v>51</v>
      </c>
      <c r="AL141" s="424" t="s">
        <v>51</v>
      </c>
      <c r="AM141" s="424" t="s">
        <v>51</v>
      </c>
      <c r="AN141" s="424">
        <f t="shared" ref="AN141:AS141" si="56">-SUMPRODUCT(($E$21:$E$69*$K$21:$K$69)*($G$21:$G$69=AN$102))</f>
        <v>0</v>
      </c>
      <c r="AO141" s="424">
        <f t="shared" si="56"/>
        <v>0</v>
      </c>
      <c r="AP141" s="424">
        <f t="shared" si="56"/>
        <v>0</v>
      </c>
      <c r="AQ141" s="424">
        <f t="shared" si="56"/>
        <v>0</v>
      </c>
      <c r="AR141" s="424">
        <f t="shared" si="56"/>
        <v>0</v>
      </c>
      <c r="AS141" s="424">
        <f t="shared" si="56"/>
        <v>0</v>
      </c>
      <c r="AT141" s="420">
        <f>SUM(AH141:AM141)</f>
        <v>0</v>
      </c>
      <c r="AU141" s="420">
        <f>SUM(AN141:AS141)</f>
        <v>0</v>
      </c>
      <c r="AV141" s="424">
        <f>AT141+AU141</f>
        <v>0</v>
      </c>
      <c r="AW141" s="413"/>
      <c r="AX141" s="413"/>
      <c r="AY141" s="413"/>
      <c r="AZ141" s="413"/>
      <c r="BA141" s="413"/>
      <c r="BB141" s="413"/>
      <c r="BC141" s="413"/>
      <c r="BD141" s="413"/>
      <c r="BE141" s="413"/>
      <c r="BF141" s="413"/>
      <c r="BG141" s="413"/>
      <c r="BH141" s="413"/>
      <c r="BI141" s="413"/>
      <c r="BJ141" s="413"/>
      <c r="BK141" s="413"/>
      <c r="BL141" s="413"/>
      <c r="BM141" s="413"/>
      <c r="BN141" s="413"/>
      <c r="BO141" s="413"/>
      <c r="BP141" s="413"/>
      <c r="BQ141" s="413"/>
      <c r="BR141" s="413"/>
      <c r="BS141" s="413"/>
      <c r="BT141" s="413"/>
      <c r="BU141" s="445"/>
      <c r="BV141" s="413"/>
      <c r="BW141" s="413"/>
      <c r="BX141" s="413"/>
      <c r="BY141" s="413"/>
      <c r="BZ141" s="413"/>
      <c r="CA141" s="413"/>
      <c r="CB141" s="413"/>
      <c r="CC141" s="413"/>
      <c r="CD141" s="413"/>
      <c r="CE141" s="413"/>
      <c r="CF141" s="413"/>
      <c r="CG141" s="413"/>
      <c r="CH141" s="413"/>
      <c r="CI141" s="413"/>
      <c r="CJ141" s="413"/>
      <c r="CK141" s="413"/>
      <c r="CL141" s="413"/>
      <c r="CM141" s="413"/>
      <c r="CN141" s="413"/>
      <c r="CO141" s="413"/>
      <c r="CP141" s="413"/>
      <c r="CQ141" s="413"/>
      <c r="CR141" s="413"/>
      <c r="CS141" s="413"/>
      <c r="CT141" s="413"/>
      <c r="CU141" s="413"/>
      <c r="CV141" s="413"/>
      <c r="CW141" s="413"/>
      <c r="CX141" s="413"/>
      <c r="CY141" s="413"/>
      <c r="CZ141" s="413"/>
      <c r="DA141" s="413"/>
      <c r="DB141" s="413"/>
      <c r="DC141" s="413"/>
      <c r="DD141" s="413"/>
      <c r="DE141" s="413"/>
      <c r="DF141" s="413"/>
      <c r="DG141" s="413"/>
      <c r="DH141" s="413"/>
      <c r="DI141" s="413"/>
      <c r="DJ141" s="413"/>
      <c r="DK141" s="413"/>
    </row>
    <row r="142" spans="30:115" ht="14.25" customHeight="1">
      <c r="AD142" s="849" t="str">
        <f>"Substitution benefit, "&amp;LocCur&amp;"/"&amp;$D$13</f>
        <v>Substitution benefit, USD/year</v>
      </c>
      <c r="AE142" s="850"/>
      <c r="AF142" s="851"/>
      <c r="AG142" s="427" t="s">
        <v>51</v>
      </c>
      <c r="AH142" s="424" t="s">
        <v>51</v>
      </c>
      <c r="AI142" s="424" t="s">
        <v>51</v>
      </c>
      <c r="AJ142" s="424" t="s">
        <v>51</v>
      </c>
      <c r="AK142" s="424" t="s">
        <v>51</v>
      </c>
      <c r="AL142" s="424" t="s">
        <v>51</v>
      </c>
      <c r="AM142" s="424" t="s">
        <v>51</v>
      </c>
      <c r="AN142" s="424">
        <f t="shared" ref="AN142:AS142" si="57">SUMPRODUCT(($E$21:$E$69*$M$21:$M$69)*($G$21:$G$69=AN$102))*$L$70</f>
        <v>0</v>
      </c>
      <c r="AO142" s="424">
        <f t="shared" si="57"/>
        <v>0</v>
      </c>
      <c r="AP142" s="424">
        <f t="shared" si="57"/>
        <v>0</v>
      </c>
      <c r="AQ142" s="424">
        <f t="shared" si="57"/>
        <v>0</v>
      </c>
      <c r="AR142" s="424">
        <f t="shared" si="57"/>
        <v>0</v>
      </c>
      <c r="AS142" s="424">
        <f t="shared" si="57"/>
        <v>0</v>
      </c>
      <c r="AT142" s="420">
        <f>SUM(AH142:AM142)</f>
        <v>0</v>
      </c>
      <c r="AU142" s="420">
        <f>SUM(AN142:AS142)</f>
        <v>0</v>
      </c>
      <c r="AV142" s="424">
        <f>AT142+AU142</f>
        <v>0</v>
      </c>
      <c r="AW142" s="413"/>
      <c r="AX142" s="413"/>
      <c r="AY142" s="413"/>
      <c r="AZ142" s="413"/>
      <c r="BA142" s="413"/>
      <c r="BB142" s="413"/>
      <c r="BC142" s="413"/>
      <c r="BD142" s="413"/>
      <c r="BE142" s="413"/>
      <c r="BF142" s="413"/>
      <c r="BG142" s="413"/>
      <c r="BH142" s="413"/>
      <c r="BI142" s="413"/>
      <c r="BJ142" s="413"/>
      <c r="BK142" s="413"/>
      <c r="BL142" s="413"/>
      <c r="BM142" s="413"/>
      <c r="BN142" s="413"/>
      <c r="BO142" s="413"/>
      <c r="BP142" s="413"/>
      <c r="BQ142" s="413"/>
      <c r="BR142" s="413"/>
      <c r="BS142" s="413"/>
      <c r="BT142" s="413"/>
      <c r="BU142" s="445"/>
      <c r="BV142" s="413"/>
      <c r="BW142" s="413"/>
      <c r="BX142" s="413"/>
      <c r="BY142" s="413"/>
      <c r="BZ142" s="413"/>
      <c r="CA142" s="413"/>
      <c r="CB142" s="413"/>
      <c r="CC142" s="413"/>
      <c r="CD142" s="413"/>
      <c r="CE142" s="413"/>
      <c r="CF142" s="413"/>
      <c r="CG142" s="413"/>
      <c r="CH142" s="413"/>
      <c r="CI142" s="413"/>
      <c r="CJ142" s="413"/>
      <c r="CK142" s="413"/>
      <c r="CL142" s="413"/>
      <c r="CM142" s="413"/>
      <c r="CN142" s="413"/>
      <c r="CO142" s="413"/>
      <c r="CP142" s="413"/>
      <c r="CQ142" s="413"/>
      <c r="CR142" s="413"/>
      <c r="CS142" s="413"/>
      <c r="CT142" s="413"/>
      <c r="CU142" s="413"/>
      <c r="CV142" s="413"/>
      <c r="CW142" s="413"/>
      <c r="CX142" s="413"/>
      <c r="CY142" s="413"/>
      <c r="CZ142" s="413"/>
      <c r="DA142" s="413"/>
      <c r="DB142" s="413"/>
      <c r="DC142" s="413"/>
      <c r="DD142" s="413"/>
      <c r="DE142" s="413"/>
      <c r="DF142" s="413"/>
      <c r="DG142" s="413"/>
      <c r="DH142" s="413"/>
      <c r="DI142" s="413"/>
      <c r="DJ142" s="413"/>
      <c r="DK142" s="413"/>
    </row>
    <row r="143" spans="30:115" ht="14.25" customHeight="1">
      <c r="AD143" s="849" t="str">
        <f>"CO2 emission credits, "&amp;LocCur&amp;"/"&amp;$D$13</f>
        <v>CO2 emission credits, USD/year</v>
      </c>
      <c r="AE143" s="850"/>
      <c r="AF143" s="851"/>
      <c r="AG143" s="427" t="s">
        <v>51</v>
      </c>
      <c r="AH143" s="424" t="s">
        <v>51</v>
      </c>
      <c r="AI143" s="424" t="s">
        <v>51</v>
      </c>
      <c r="AJ143" s="424" t="s">
        <v>51</v>
      </c>
      <c r="AK143" s="424" t="s">
        <v>51</v>
      </c>
      <c r="AL143" s="424" t="s">
        <v>51</v>
      </c>
      <c r="AM143" s="424" t="s">
        <v>51</v>
      </c>
      <c r="AN143" s="424" t="s">
        <v>51</v>
      </c>
      <c r="AO143" s="424" t="s">
        <v>51</v>
      </c>
      <c r="AP143" s="424" t="s">
        <v>51</v>
      </c>
      <c r="AQ143" s="424" t="s">
        <v>51</v>
      </c>
      <c r="AR143" s="424" t="s">
        <v>51</v>
      </c>
      <c r="AS143" s="424" t="s">
        <v>51</v>
      </c>
      <c r="AT143" s="420" t="s">
        <v>51</v>
      </c>
      <c r="AU143" s="420" t="s">
        <v>51</v>
      </c>
      <c r="AV143" s="424">
        <f>IF(AV114=0,0,D15*(AV146+AV147)*AV150/AV114)</f>
        <v>0</v>
      </c>
      <c r="AW143" s="413"/>
      <c r="AX143" s="413"/>
      <c r="AY143" s="413"/>
      <c r="AZ143" s="413"/>
      <c r="BA143" s="413"/>
      <c r="BB143" s="413"/>
      <c r="BC143" s="413"/>
      <c r="BD143" s="413"/>
      <c r="BE143" s="413"/>
      <c r="BF143" s="413"/>
      <c r="BG143" s="413"/>
      <c r="BH143" s="413"/>
      <c r="BI143" s="413"/>
      <c r="BJ143" s="413"/>
      <c r="BK143" s="413"/>
      <c r="BL143" s="413"/>
      <c r="BM143" s="413"/>
      <c r="BN143" s="413"/>
      <c r="BO143" s="413"/>
      <c r="BP143" s="413"/>
      <c r="BQ143" s="413"/>
      <c r="BR143" s="413"/>
      <c r="BS143" s="413"/>
      <c r="BT143" s="413"/>
      <c r="BU143" s="445"/>
      <c r="BV143" s="413"/>
      <c r="BW143" s="413"/>
      <c r="BX143" s="413"/>
      <c r="BY143" s="413"/>
      <c r="BZ143" s="413"/>
      <c r="CA143" s="413"/>
      <c r="CB143" s="413"/>
      <c r="CC143" s="413"/>
      <c r="CD143" s="413"/>
      <c r="CE143" s="413"/>
      <c r="CF143" s="413"/>
      <c r="CG143" s="413"/>
      <c r="CH143" s="413"/>
      <c r="CI143" s="413"/>
      <c r="CJ143" s="413"/>
      <c r="CK143" s="413"/>
      <c r="CL143" s="413"/>
      <c r="CM143" s="413"/>
      <c r="CN143" s="413"/>
      <c r="CO143" s="413"/>
      <c r="CP143" s="413"/>
      <c r="CQ143" s="413"/>
      <c r="CR143" s="413"/>
      <c r="CS143" s="413"/>
      <c r="CT143" s="413"/>
      <c r="CU143" s="413"/>
      <c r="CV143" s="413"/>
      <c r="CW143" s="413"/>
      <c r="CX143" s="413"/>
      <c r="CY143" s="413"/>
      <c r="CZ143" s="413"/>
      <c r="DA143" s="413"/>
      <c r="DB143" s="413"/>
      <c r="DC143" s="413"/>
      <c r="DD143" s="413"/>
      <c r="DE143" s="413"/>
      <c r="DF143" s="413"/>
      <c r="DG143" s="413"/>
      <c r="DH143" s="413"/>
      <c r="DI143" s="413"/>
      <c r="DJ143" s="413"/>
      <c r="DK143" s="413"/>
    </row>
    <row r="144" spans="30:115" ht="14.25" customHeight="1">
      <c r="AD144" s="413"/>
      <c r="AE144" s="413"/>
      <c r="AF144" s="413"/>
      <c r="AG144" s="413"/>
      <c r="AH144" s="413"/>
      <c r="AI144" s="413"/>
      <c r="AJ144" s="413"/>
      <c r="AK144" s="413"/>
      <c r="AL144" s="413"/>
      <c r="AM144" s="413"/>
      <c r="AN144" s="413"/>
      <c r="AO144" s="413"/>
      <c r="AP144" s="413"/>
      <c r="AQ144" s="413"/>
      <c r="AR144" s="413"/>
      <c r="AS144" s="413"/>
      <c r="AT144" s="413"/>
      <c r="AU144" s="413"/>
      <c r="AV144" s="413"/>
      <c r="AW144" s="413"/>
      <c r="AX144" s="413"/>
      <c r="AY144" s="413"/>
      <c r="AZ144" s="413"/>
      <c r="BA144" s="413"/>
      <c r="BB144" s="413"/>
      <c r="BC144" s="413"/>
      <c r="BD144" s="413"/>
      <c r="BE144" s="413"/>
      <c r="BF144" s="413"/>
      <c r="BG144" s="413"/>
      <c r="BH144" s="413"/>
      <c r="BI144" s="413"/>
      <c r="BJ144" s="413"/>
      <c r="BK144" s="413"/>
      <c r="BL144" s="413"/>
      <c r="BM144" s="413"/>
      <c r="BN144" s="413"/>
      <c r="BO144" s="413"/>
      <c r="BP144" s="413"/>
      <c r="BQ144" s="413"/>
      <c r="BR144" s="413"/>
      <c r="BS144" s="413"/>
      <c r="BT144" s="413"/>
      <c r="BU144" s="445"/>
      <c r="BV144" s="413"/>
      <c r="BW144" s="413"/>
      <c r="BX144" s="413"/>
      <c r="BY144" s="413"/>
      <c r="BZ144" s="413"/>
      <c r="CA144" s="413"/>
      <c r="CB144" s="413"/>
      <c r="CC144" s="413"/>
      <c r="CD144" s="413"/>
      <c r="CE144" s="413"/>
      <c r="CF144" s="413"/>
      <c r="CG144" s="413"/>
      <c r="CH144" s="413"/>
      <c r="CI144" s="413"/>
      <c r="CJ144" s="413"/>
      <c r="CK144" s="413"/>
      <c r="CL144" s="413"/>
      <c r="CM144" s="413"/>
      <c r="CN144" s="413"/>
      <c r="CO144" s="413"/>
      <c r="CP144" s="413"/>
      <c r="CQ144" s="413"/>
      <c r="CR144" s="413"/>
      <c r="CS144" s="413"/>
      <c r="CT144" s="413"/>
      <c r="CU144" s="413"/>
      <c r="CV144" s="413"/>
      <c r="CW144" s="413"/>
      <c r="CX144" s="413"/>
      <c r="CY144" s="413"/>
      <c r="CZ144" s="413"/>
      <c r="DA144" s="413"/>
      <c r="DB144" s="413"/>
      <c r="DC144" s="413"/>
      <c r="DD144" s="413"/>
      <c r="DE144" s="413"/>
      <c r="DF144" s="413"/>
      <c r="DG144" s="413"/>
      <c r="DH144" s="413"/>
      <c r="DI144" s="413"/>
      <c r="DJ144" s="413"/>
      <c r="DK144" s="413"/>
    </row>
    <row r="145" spans="30:115" ht="14.25" customHeight="1">
      <c r="AD145" s="446" t="s">
        <v>773</v>
      </c>
      <c r="AE145" s="446" t="s">
        <v>752</v>
      </c>
      <c r="AF145" s="446" t="s">
        <v>10</v>
      </c>
      <c r="AG145" s="446" t="s">
        <v>307</v>
      </c>
      <c r="AH145" s="446" t="s">
        <v>296</v>
      </c>
      <c r="AI145" s="446" t="s">
        <v>749</v>
      </c>
      <c r="AJ145" s="446" t="s">
        <v>750</v>
      </c>
      <c r="AK145" s="446" t="s">
        <v>329</v>
      </c>
      <c r="AL145" s="446" t="s">
        <v>263</v>
      </c>
      <c r="AM145" s="446" t="s">
        <v>542</v>
      </c>
      <c r="AN145" s="446" t="s">
        <v>543</v>
      </c>
      <c r="AO145" s="413"/>
      <c r="AP145" s="753" t="s">
        <v>832</v>
      </c>
      <c r="AQ145" s="462" t="s">
        <v>754</v>
      </c>
      <c r="AR145" s="463">
        <f>IF(ISBLANK(H80),H79,H80)</f>
        <v>0</v>
      </c>
      <c r="AS145" s="413"/>
      <c r="AT145" s="852" t="s">
        <v>327</v>
      </c>
      <c r="AU145" s="853"/>
      <c r="AV145" s="854"/>
      <c r="AZ145" s="413"/>
      <c r="BA145" s="413"/>
      <c r="BB145" s="413"/>
      <c r="BC145" s="413"/>
      <c r="BD145" s="413"/>
      <c r="BE145" s="413"/>
      <c r="BF145" s="413"/>
      <c r="BG145" s="413"/>
      <c r="BH145" s="413"/>
      <c r="BI145" s="413"/>
      <c r="BJ145" s="413"/>
      <c r="BK145" s="413"/>
      <c r="BL145" s="413"/>
      <c r="BM145" s="413"/>
      <c r="BN145" s="413"/>
      <c r="BO145" s="413"/>
      <c r="BP145" s="413"/>
      <c r="BQ145" s="413"/>
      <c r="BR145" s="413"/>
      <c r="BS145" s="413"/>
      <c r="BT145" s="413"/>
      <c r="BU145" s="445"/>
      <c r="BV145" s="413"/>
      <c r="BW145" s="413"/>
      <c r="BX145" s="413"/>
      <c r="BY145" s="413"/>
      <c r="BZ145" s="413"/>
      <c r="CA145" s="413"/>
      <c r="CB145" s="413"/>
      <c r="CC145" s="413"/>
      <c r="CD145" s="413"/>
      <c r="CE145" s="413"/>
      <c r="CF145" s="413"/>
      <c r="CG145" s="413"/>
      <c r="CH145" s="413"/>
      <c r="CI145" s="413"/>
      <c r="CJ145" s="413"/>
      <c r="CK145" s="413"/>
      <c r="CL145" s="413"/>
      <c r="CM145" s="413"/>
      <c r="CN145" s="413"/>
      <c r="CO145" s="413"/>
      <c r="CP145" s="413"/>
      <c r="CQ145" s="413"/>
      <c r="CR145" s="413"/>
      <c r="CS145" s="413"/>
      <c r="CT145" s="413"/>
      <c r="CU145" s="413"/>
      <c r="CV145" s="413"/>
      <c r="CW145" s="413"/>
      <c r="CX145" s="413"/>
      <c r="CY145" s="413"/>
      <c r="CZ145" s="413"/>
      <c r="DA145" s="413"/>
      <c r="DB145" s="413"/>
      <c r="DC145" s="413"/>
      <c r="DD145" s="413"/>
      <c r="DE145" s="413"/>
      <c r="DF145" s="413"/>
      <c r="DG145" s="413"/>
      <c r="DH145" s="413"/>
      <c r="DI145" s="413"/>
      <c r="DJ145" s="413"/>
      <c r="DK145" s="413"/>
    </row>
    <row r="146" spans="30:115" ht="14.25" customHeight="1">
      <c r="AD146" s="453" t="s">
        <v>507</v>
      </c>
      <c r="AE146" s="448" t="str">
        <f>Guidelines!A253</f>
        <v>Pneumatic 4" (100 mm)</v>
      </c>
      <c r="AF146" s="453" t="s">
        <v>296</v>
      </c>
      <c r="AG146" s="453" t="s">
        <v>105</v>
      </c>
      <c r="AH146" s="516" t="s">
        <v>308</v>
      </c>
      <c r="AI146" s="516" t="s">
        <v>744</v>
      </c>
      <c r="AJ146" s="517" t="s">
        <v>134</v>
      </c>
      <c r="AK146" s="453" t="s">
        <v>318</v>
      </c>
      <c r="AL146" s="453" t="s">
        <v>264</v>
      </c>
      <c r="AM146" s="453" t="s">
        <v>289</v>
      </c>
      <c r="AN146" s="453" t="str">
        <f>LEFT(AD146,2)</f>
        <v>TF</v>
      </c>
      <c r="AO146" s="413"/>
      <c r="AP146" s="754"/>
      <c r="AQ146" s="462" t="s">
        <v>755</v>
      </c>
      <c r="AR146" s="518">
        <f>IF(ISBLANK(H82),H81,H82)</f>
        <v>0</v>
      </c>
      <c r="AS146" s="413"/>
      <c r="AT146" s="447" t="str">
        <f>"From TFs, t CO2/"&amp;$D$13</f>
        <v>From TFs, t CO2/year</v>
      </c>
      <c r="AU146" s="455"/>
      <c r="AV146" s="427">
        <f>SUMPRODUCT(($E$21:$E$69*$M$21:$M$69*$U$21:$U$69)*($G$21:$G$69&lt;&gt;$AD$152)*($G$21:$G$69&lt;&gt;$AD$153)*($G$21:$G$69&lt;&gt;$AD$154)*($G$21:$G$69&lt;&gt;$AD$155)*($G$21:$G$69&lt;&gt;$AD$156)*($G$21:$G$69&lt;&gt;$AD$157))/1000</f>
        <v>0</v>
      </c>
      <c r="AZ146" s="413"/>
      <c r="BA146" s="413"/>
      <c r="BB146" s="413"/>
      <c r="BC146" s="413"/>
      <c r="BD146" s="413"/>
      <c r="BE146" s="413"/>
      <c r="BF146" s="413"/>
      <c r="BG146" s="413"/>
      <c r="BH146" s="413"/>
      <c r="BI146" s="413"/>
      <c r="BJ146" s="413"/>
      <c r="BK146" s="413"/>
      <c r="BL146" s="413"/>
      <c r="BM146" s="413"/>
      <c r="BN146" s="413"/>
      <c r="BO146" s="413"/>
      <c r="BP146" s="413"/>
      <c r="BQ146" s="413"/>
      <c r="BR146" s="413"/>
      <c r="BS146" s="413"/>
      <c r="BT146" s="413"/>
      <c r="BU146" s="445"/>
      <c r="BV146" s="413"/>
      <c r="BW146" s="413"/>
      <c r="BX146" s="413"/>
      <c r="BY146" s="413"/>
      <c r="BZ146" s="413"/>
      <c r="CA146" s="413"/>
      <c r="CB146" s="413"/>
      <c r="CC146" s="413"/>
      <c r="CD146" s="413"/>
      <c r="CE146" s="413"/>
      <c r="CF146" s="413"/>
      <c r="CG146" s="413"/>
      <c r="CH146" s="413"/>
      <c r="CI146" s="413"/>
      <c r="CJ146" s="413"/>
      <c r="CK146" s="413"/>
      <c r="CL146" s="413"/>
      <c r="CM146" s="413"/>
      <c r="CN146" s="413"/>
      <c r="CO146" s="413"/>
      <c r="CP146" s="413"/>
      <c r="CQ146" s="413"/>
      <c r="CR146" s="413"/>
      <c r="CS146" s="413"/>
      <c r="CT146" s="413"/>
      <c r="CU146" s="413"/>
      <c r="CV146" s="413"/>
      <c r="CW146" s="413"/>
      <c r="CX146" s="413"/>
      <c r="CY146" s="413"/>
      <c r="CZ146" s="413"/>
      <c r="DA146" s="413"/>
      <c r="DB146" s="413"/>
      <c r="DC146" s="413"/>
      <c r="DD146" s="413"/>
      <c r="DE146" s="413"/>
      <c r="DF146" s="413"/>
      <c r="DG146" s="413"/>
      <c r="DH146" s="413"/>
      <c r="DI146" s="413"/>
      <c r="DJ146" s="413"/>
      <c r="DK146" s="413"/>
    </row>
    <row r="147" spans="30:115" ht="14.25" customHeight="1">
      <c r="AD147" s="453" t="s">
        <v>506</v>
      </c>
      <c r="AE147" s="448" t="str">
        <f>Guidelines!A254</f>
        <v>Pneumatic 5" (125 mm)</v>
      </c>
      <c r="AF147" s="453" t="s">
        <v>295</v>
      </c>
      <c r="AG147" s="453" t="s">
        <v>308</v>
      </c>
      <c r="AH147" s="516" t="s">
        <v>309</v>
      </c>
      <c r="AI147" s="516" t="s">
        <v>740</v>
      </c>
      <c r="AJ147" s="517" t="s">
        <v>13</v>
      </c>
      <c r="AK147" s="453" t="s">
        <v>319</v>
      </c>
      <c r="AL147" s="453" t="s">
        <v>265</v>
      </c>
      <c r="AM147" s="453" t="s">
        <v>290</v>
      </c>
      <c r="AN147" s="453" t="str">
        <f>LEFT(AD157,2)</f>
        <v>AF</v>
      </c>
      <c r="AO147" s="413"/>
      <c r="AP147" s="465" t="str">
        <f>"SACTE TF, "&amp;LocCur&amp;"/t cli"</f>
        <v>SACTE TF, USD/t cli</v>
      </c>
      <c r="AQ147" s="466"/>
      <c r="AR147" s="467">
        <f>IF(CLI=0,0,K70*E70/CLI)</f>
        <v>18.194375814795276</v>
      </c>
      <c r="AS147" s="413"/>
      <c r="AT147" s="449" t="str">
        <f>"From AFs, t CO2/"&amp;$D$13</f>
        <v>From AFs, t CO2/year</v>
      </c>
      <c r="AU147" s="435"/>
      <c r="AV147" s="427">
        <f>SUMPRODUCT(($E$21:$E$69*$M$21:$M$69*$U$21:$U$69)*($G$21:$G$69&lt;&gt;$AD$146)*($G$21:$G$69&lt;&gt;$AD$147)*($G$21:$G$69&lt;&gt;$AD$148)*($G$21:$G$69&lt;&gt;$AD$149)*($G$21:$G$69&lt;&gt;$AD$150)*($G$21:$G$69&lt;&gt;$AD$151))/1000</f>
        <v>0</v>
      </c>
      <c r="AZ147" s="413"/>
      <c r="BA147" s="413"/>
      <c r="BB147" s="413"/>
      <c r="BC147" s="413"/>
      <c r="BD147" s="413"/>
      <c r="BE147" s="413"/>
      <c r="BF147" s="413"/>
      <c r="BG147" s="413"/>
      <c r="BH147" s="413"/>
      <c r="BI147" s="413"/>
      <c r="BJ147" s="413"/>
      <c r="BK147" s="413"/>
      <c r="BL147" s="413"/>
      <c r="BM147" s="413"/>
      <c r="BN147" s="413"/>
      <c r="BO147" s="413"/>
      <c r="BP147" s="413"/>
      <c r="BQ147" s="413"/>
      <c r="BR147" s="413"/>
      <c r="BS147" s="413"/>
      <c r="BT147" s="413"/>
      <c r="BU147" s="445"/>
      <c r="BV147" s="413"/>
      <c r="BW147" s="413"/>
      <c r="BX147" s="413"/>
      <c r="BY147" s="413"/>
      <c r="BZ147" s="413"/>
      <c r="CA147" s="413"/>
      <c r="CB147" s="413"/>
      <c r="CC147" s="413"/>
      <c r="CD147" s="413"/>
      <c r="CE147" s="413"/>
      <c r="CF147" s="413"/>
      <c r="CG147" s="413"/>
      <c r="CH147" s="413"/>
      <c r="CI147" s="413"/>
      <c r="CJ147" s="413"/>
      <c r="CK147" s="413"/>
      <c r="CL147" s="413"/>
      <c r="CM147" s="413"/>
      <c r="CN147" s="413"/>
      <c r="CO147" s="413"/>
      <c r="CP147" s="413"/>
      <c r="CQ147" s="413"/>
      <c r="CR147" s="413"/>
      <c r="CS147" s="413"/>
      <c r="CT147" s="413"/>
      <c r="CU147" s="413"/>
      <c r="CV147" s="413"/>
      <c r="CW147" s="413"/>
      <c r="CX147" s="413"/>
      <c r="CY147" s="413"/>
      <c r="CZ147" s="413"/>
      <c r="DA147" s="413"/>
      <c r="DB147" s="413"/>
      <c r="DC147" s="413"/>
      <c r="DD147" s="413"/>
      <c r="DE147" s="413"/>
      <c r="DF147" s="413"/>
      <c r="DG147" s="413"/>
      <c r="DH147" s="413"/>
      <c r="DI147" s="413"/>
      <c r="DJ147" s="413"/>
      <c r="DK147" s="413"/>
    </row>
    <row r="148" spans="30:115" ht="14.25" customHeight="1">
      <c r="AD148" s="453" t="s">
        <v>497</v>
      </c>
      <c r="AE148" s="448" t="str">
        <f>Guidelines!A255</f>
        <v>Pneumatic 6" (150 mm)</v>
      </c>
      <c r="AF148" s="453" t="s">
        <v>24</v>
      </c>
      <c r="AG148" s="453" t="s">
        <v>484</v>
      </c>
      <c r="AH148" s="516" t="s">
        <v>718</v>
      </c>
      <c r="AI148" s="516" t="s">
        <v>51</v>
      </c>
      <c r="AJ148" s="517" t="s">
        <v>363</v>
      </c>
      <c r="AK148" s="453" t="s">
        <v>320</v>
      </c>
      <c r="AL148" s="453" t="s">
        <v>51</v>
      </c>
      <c r="AM148" s="450"/>
      <c r="AN148" s="450"/>
      <c r="AO148" s="413"/>
      <c r="AP148" s="465" t="str">
        <f>"ACTE TF, "&amp;LocCur&amp;"/"&amp;D13</f>
        <v>ACTE TF, USD/year</v>
      </c>
      <c r="AQ148" s="466"/>
      <c r="AR148" s="427">
        <f>CLI*TTECpT</f>
        <v>25409094.000000004</v>
      </c>
      <c r="AS148" s="413"/>
      <c r="AT148" s="451" t="s">
        <v>328</v>
      </c>
      <c r="AU148" s="458"/>
      <c r="AV148" s="432">
        <f>IF(SUMPRODUCT(($E$21:$E$69*$M$21:$M$69)*($G$21:$G$69&lt;&gt;$AD$157))=0,0,AV146/SUMPRODUCT(($E$21:$E$69*$M$21:$M$69)*($G$21:$G$69&lt;&gt;$AD$157)))</f>
        <v>0</v>
      </c>
      <c r="AZ148" s="413"/>
      <c r="BA148" s="413"/>
      <c r="BB148" s="413"/>
      <c r="BC148" s="413"/>
      <c r="BD148" s="413"/>
      <c r="BE148" s="413"/>
      <c r="BF148" s="413"/>
      <c r="BG148" s="413"/>
      <c r="BH148" s="413"/>
      <c r="BI148" s="413"/>
      <c r="BJ148" s="413"/>
      <c r="BK148" s="413"/>
      <c r="BL148" s="413"/>
      <c r="BM148" s="413"/>
      <c r="BN148" s="413"/>
      <c r="BO148" s="413"/>
      <c r="BP148" s="413"/>
      <c r="BQ148" s="413"/>
      <c r="BR148" s="413"/>
      <c r="BS148" s="413"/>
      <c r="BT148" s="413"/>
      <c r="BU148" s="445"/>
      <c r="BV148" s="413"/>
      <c r="BW148" s="413"/>
      <c r="BX148" s="413"/>
      <c r="BY148" s="413"/>
      <c r="BZ148" s="413"/>
      <c r="CA148" s="413"/>
      <c r="CB148" s="413"/>
      <c r="CC148" s="413"/>
      <c r="CD148" s="413"/>
      <c r="CE148" s="413"/>
      <c r="CF148" s="413"/>
      <c r="CG148" s="413"/>
      <c r="CH148" s="413"/>
      <c r="CI148" s="413"/>
      <c r="CJ148" s="413"/>
      <c r="CK148" s="413"/>
      <c r="CL148" s="413"/>
      <c r="CM148" s="413"/>
      <c r="CN148" s="413"/>
      <c r="CO148" s="413"/>
      <c r="CP148" s="413"/>
      <c r="CQ148" s="413"/>
      <c r="CR148" s="413"/>
      <c r="CS148" s="413"/>
      <c r="CT148" s="413"/>
      <c r="CU148" s="413"/>
      <c r="CV148" s="413"/>
      <c r="CW148" s="413"/>
      <c r="CX148" s="413"/>
      <c r="CY148" s="413"/>
      <c r="CZ148" s="413"/>
      <c r="DA148" s="413"/>
      <c r="DB148" s="413"/>
      <c r="DC148" s="413"/>
      <c r="DD148" s="413"/>
      <c r="DE148" s="413"/>
      <c r="DF148" s="413"/>
      <c r="DG148" s="413"/>
      <c r="DH148" s="413"/>
      <c r="DI148" s="413"/>
      <c r="DJ148" s="413"/>
      <c r="DK148" s="413"/>
    </row>
    <row r="149" spans="30:115" ht="14.25" customHeight="1">
      <c r="AD149" s="453" t="s">
        <v>509</v>
      </c>
      <c r="AE149" s="448" t="str">
        <f>Guidelines!A256</f>
        <v>Pneumatic 7" (175 mm)</v>
      </c>
      <c r="AF149" s="453" t="s">
        <v>480</v>
      </c>
      <c r="AG149" s="453" t="s">
        <v>324</v>
      </c>
      <c r="AH149" s="453" t="s">
        <v>719</v>
      </c>
      <c r="AI149" s="413"/>
      <c r="AJ149" s="452"/>
      <c r="AK149" s="452"/>
      <c r="AL149" s="450"/>
      <c r="AM149" s="450"/>
      <c r="AN149" s="450"/>
      <c r="AO149" s="413"/>
      <c r="AP149" s="461" t="s">
        <v>770</v>
      </c>
      <c r="AQ149" s="462"/>
      <c r="AR149" s="473">
        <f>Help!E295</f>
        <v>0.7</v>
      </c>
      <c r="AS149" s="413"/>
      <c r="AT149" s="413"/>
      <c r="AU149" s="413"/>
      <c r="AV149" s="413"/>
      <c r="AZ149" s="413"/>
      <c r="BA149" s="413"/>
      <c r="BB149" s="413"/>
      <c r="BC149" s="413"/>
      <c r="BD149" s="413"/>
      <c r="BE149" s="413"/>
      <c r="BF149" s="413"/>
      <c r="BG149" s="413"/>
      <c r="BH149" s="413"/>
      <c r="BI149" s="413"/>
      <c r="BJ149" s="413"/>
      <c r="BK149" s="413"/>
      <c r="BL149" s="413"/>
      <c r="BM149" s="413"/>
      <c r="BN149" s="413"/>
      <c r="BO149" s="413"/>
      <c r="BP149" s="413"/>
      <c r="BQ149" s="413"/>
      <c r="BR149" s="413"/>
      <c r="BS149" s="413"/>
      <c r="BT149" s="413"/>
      <c r="BU149" s="445"/>
      <c r="BV149" s="413"/>
      <c r="BW149" s="413"/>
      <c r="BX149" s="413"/>
      <c r="BY149" s="413"/>
      <c r="BZ149" s="413"/>
      <c r="CA149" s="413"/>
      <c r="CB149" s="413"/>
      <c r="CC149" s="413"/>
      <c r="CD149" s="413"/>
      <c r="CE149" s="413"/>
      <c r="CF149" s="413"/>
      <c r="CG149" s="413"/>
      <c r="CH149" s="413"/>
      <c r="CI149" s="413"/>
      <c r="CJ149" s="413"/>
      <c r="CK149" s="413"/>
      <c r="CL149" s="413"/>
      <c r="CM149" s="413"/>
      <c r="CN149" s="413"/>
      <c r="CO149" s="413"/>
      <c r="CP149" s="413"/>
      <c r="CQ149" s="413"/>
      <c r="CR149" s="413"/>
      <c r="CS149" s="413"/>
      <c r="CT149" s="413"/>
      <c r="CU149" s="413"/>
      <c r="CV149" s="413"/>
      <c r="CW149" s="413"/>
      <c r="CX149" s="413"/>
      <c r="CY149" s="413"/>
      <c r="CZ149" s="413"/>
      <c r="DA149" s="413"/>
      <c r="DB149" s="413"/>
      <c r="DC149" s="413"/>
      <c r="DD149" s="413"/>
      <c r="DE149" s="413"/>
      <c r="DF149" s="413"/>
      <c r="DG149" s="413"/>
      <c r="DH149" s="413"/>
      <c r="DI149" s="413"/>
      <c r="DJ149" s="413"/>
      <c r="DK149" s="413"/>
    </row>
    <row r="150" spans="30:115" ht="14.25" customHeight="1">
      <c r="AD150" s="453" t="s">
        <v>508</v>
      </c>
      <c r="AE150" s="448" t="str">
        <f>Guidelines!A257</f>
        <v>Pneumatic 8" (200 mm)</v>
      </c>
      <c r="AF150" s="453" t="s">
        <v>481</v>
      </c>
      <c r="AG150" s="453" t="s">
        <v>108</v>
      </c>
      <c r="AH150" s="452"/>
      <c r="AI150" s="452"/>
      <c r="AJ150" s="452"/>
      <c r="AK150" s="450"/>
      <c r="AL150" s="413"/>
      <c r="AM150" s="413"/>
      <c r="AN150" s="413"/>
      <c r="AO150" s="413"/>
      <c r="AP150" s="461" t="s">
        <v>835</v>
      </c>
      <c r="AQ150" s="561"/>
      <c r="AR150" s="427">
        <f>IF(ISERROR(AV128),0,(K6*K7/100)*(1+Y10%)-(AV128/D14/K9*100))</f>
        <v>4823.6862498813816</v>
      </c>
      <c r="AS150" s="413"/>
      <c r="AT150" s="453" t="str">
        <f>"Biomass energy, GJ/"&amp;$D$13</f>
        <v>Biomass energy, GJ/year</v>
      </c>
      <c r="AU150" s="464"/>
      <c r="AV150" s="427">
        <f>SUMPRODUCT(($E$21:$E$69*$M$21:$M$69*$V$21:$V$69)*($G$21:$G$69&lt;&gt;$AD$146)*($G$21:$G$69&lt;&gt;$AD$147)*($G$21:$G$69&lt;&gt;$AD$148)*($G$21:$G$69&lt;&gt;$AD$149)*($G$21:$G$69&lt;&gt;$AD$150)*($G$21:$G$69&lt;&gt;$AD$151))/100</f>
        <v>0</v>
      </c>
      <c r="AZ150" s="413"/>
      <c r="BA150" s="413"/>
      <c r="BB150" s="413"/>
      <c r="BC150" s="413"/>
      <c r="BD150" s="413"/>
      <c r="BE150" s="413"/>
      <c r="BF150" s="413"/>
      <c r="BG150" s="413"/>
      <c r="BH150" s="413"/>
      <c r="BI150" s="413"/>
      <c r="BJ150" s="413"/>
      <c r="BK150" s="413"/>
      <c r="BL150" s="413"/>
      <c r="BM150" s="413"/>
      <c r="BN150" s="413"/>
      <c r="BO150" s="413"/>
      <c r="BP150" s="413"/>
      <c r="BQ150" s="413"/>
      <c r="BR150" s="413"/>
      <c r="BS150" s="413"/>
      <c r="BT150" s="413"/>
      <c r="BU150" s="445"/>
      <c r="BV150" s="413"/>
      <c r="BW150" s="413"/>
      <c r="BX150" s="413"/>
      <c r="BY150" s="413"/>
      <c r="BZ150" s="413"/>
      <c r="CA150" s="413"/>
      <c r="CB150" s="413"/>
      <c r="CC150" s="413"/>
      <c r="CD150" s="413"/>
      <c r="CE150" s="413"/>
      <c r="CF150" s="413"/>
      <c r="CG150" s="413"/>
      <c r="CH150" s="413"/>
      <c r="CI150" s="413"/>
      <c r="CJ150" s="413"/>
      <c r="CK150" s="413"/>
      <c r="CL150" s="413"/>
      <c r="CM150" s="413"/>
      <c r="CN150" s="413"/>
      <c r="CO150" s="413"/>
      <c r="CP150" s="413"/>
      <c r="CQ150" s="413"/>
      <c r="CR150" s="413"/>
      <c r="CS150" s="413"/>
      <c r="CT150" s="413"/>
      <c r="CU150" s="413"/>
      <c r="CV150" s="413"/>
      <c r="CW150" s="413"/>
      <c r="CX150" s="413"/>
      <c r="CY150" s="413"/>
      <c r="CZ150" s="413"/>
      <c r="DA150" s="413"/>
      <c r="DB150" s="413"/>
      <c r="DC150" s="413"/>
      <c r="DD150" s="413"/>
      <c r="DE150" s="413"/>
      <c r="DF150" s="413"/>
      <c r="DG150" s="413"/>
      <c r="DH150" s="413"/>
      <c r="DI150" s="413"/>
      <c r="DJ150" s="413"/>
      <c r="DK150" s="413"/>
    </row>
    <row r="151" spans="30:115" ht="14.25" customHeight="1">
      <c r="AD151" s="453" t="s">
        <v>535</v>
      </c>
      <c r="AE151" s="448" t="str">
        <f>Guidelines!A258</f>
        <v>Flap valve (old)</v>
      </c>
      <c r="AF151" s="453">
        <f>IF(K4=0,0,MATCH(K4,AF146:AF150,0))</f>
        <v>1</v>
      </c>
      <c r="AG151" s="515"/>
      <c r="AH151" s="452"/>
      <c r="AI151" s="450"/>
      <c r="AJ151" s="413"/>
      <c r="AK151" s="450"/>
      <c r="AL151" s="413"/>
      <c r="AM151" s="413"/>
      <c r="AN151" s="413"/>
      <c r="AO151" s="413"/>
      <c r="AS151" s="413"/>
      <c r="AT151" s="413"/>
      <c r="AU151" s="413"/>
      <c r="AV151" s="413"/>
      <c r="AZ151" s="413"/>
      <c r="BA151" s="415"/>
      <c r="BB151" s="415"/>
      <c r="BC151" s="413"/>
      <c r="BD151" s="413"/>
      <c r="BE151" s="413"/>
      <c r="BF151" s="413"/>
      <c r="BG151" s="413"/>
      <c r="BH151" s="413"/>
      <c r="BI151" s="413"/>
      <c r="BJ151" s="413"/>
      <c r="BK151" s="413"/>
      <c r="BL151" s="413"/>
      <c r="BM151" s="413"/>
      <c r="BN151" s="413"/>
      <c r="BO151" s="413"/>
      <c r="BP151" s="413"/>
      <c r="BQ151" s="413"/>
      <c r="BR151" s="413"/>
      <c r="BS151" s="413"/>
      <c r="BT151" s="413"/>
      <c r="BU151" s="445"/>
      <c r="BV151" s="413"/>
      <c r="BW151" s="413"/>
      <c r="BX151" s="413"/>
      <c r="BY151" s="413"/>
      <c r="BZ151" s="413"/>
      <c r="CA151" s="413"/>
      <c r="CB151" s="413"/>
      <c r="CC151" s="413"/>
      <c r="CD151" s="413"/>
      <c r="CE151" s="413"/>
      <c r="CF151" s="413"/>
      <c r="CG151" s="413"/>
      <c r="CH151" s="413"/>
      <c r="CI151" s="413"/>
      <c r="CJ151" s="413"/>
      <c r="CK151" s="413"/>
      <c r="CL151" s="413"/>
      <c r="CM151" s="413"/>
      <c r="CN151" s="413"/>
      <c r="CO151" s="413"/>
      <c r="CP151" s="413"/>
      <c r="CQ151" s="413"/>
      <c r="CR151" s="413"/>
      <c r="CS151" s="413"/>
      <c r="CT151" s="413"/>
      <c r="CU151" s="413"/>
      <c r="CV151" s="413"/>
      <c r="CW151" s="413"/>
      <c r="CX151" s="413"/>
      <c r="CY151" s="413"/>
      <c r="CZ151" s="413"/>
      <c r="DA151" s="413"/>
      <c r="DB151" s="413"/>
      <c r="DC151" s="413"/>
      <c r="DD151" s="413"/>
      <c r="DE151" s="413"/>
      <c r="DF151" s="413"/>
      <c r="DG151" s="413"/>
      <c r="DH151" s="413"/>
      <c r="DI151" s="413"/>
      <c r="DJ151" s="413"/>
      <c r="DK151" s="413"/>
    </row>
    <row r="152" spans="30:115" ht="14.25" customHeight="1">
      <c r="AD152" s="453" t="s">
        <v>498</v>
      </c>
      <c r="AE152" s="448" t="str">
        <f>Guidelines!A259</f>
        <v>Flap valve (new)</v>
      </c>
      <c r="AF152" s="456"/>
      <c r="AG152" s="457"/>
      <c r="AH152" s="457"/>
      <c r="AI152" s="413"/>
      <c r="AJ152" s="413"/>
      <c r="AK152" s="413"/>
      <c r="AL152" s="413"/>
      <c r="AM152" s="413"/>
      <c r="AN152" s="413"/>
      <c r="AO152" s="413"/>
      <c r="AP152" s="413"/>
      <c r="AQ152" s="413"/>
      <c r="AR152" s="413"/>
      <c r="AS152" s="413"/>
      <c r="AT152" s="847" t="str">
        <f>"Higher heat, "&amp;LocCur&amp;"/"&amp;D13</f>
        <v>Higher heat, USD/year</v>
      </c>
      <c r="AU152" s="848"/>
      <c r="AV152" s="468">
        <f>-(AHaf+AHbp)/1000*CLI*(L70+AV148*D15)</f>
        <v>0</v>
      </c>
      <c r="AZ152" s="413"/>
      <c r="BA152" s="415"/>
      <c r="BB152" s="415"/>
      <c r="BC152" s="413"/>
      <c r="BD152" s="413"/>
      <c r="BE152" s="413"/>
      <c r="BF152" s="413"/>
      <c r="BG152" s="413"/>
      <c r="BH152" s="413"/>
      <c r="BI152" s="413"/>
      <c r="BJ152" s="413"/>
      <c r="BK152" s="413"/>
      <c r="BL152" s="413"/>
      <c r="BM152" s="413"/>
      <c r="BN152" s="413"/>
      <c r="BO152" s="413"/>
      <c r="BP152" s="413"/>
      <c r="BQ152" s="413"/>
      <c r="BR152" s="413"/>
      <c r="BS152" s="413"/>
      <c r="BT152" s="413"/>
      <c r="BU152" s="445"/>
      <c r="BV152" s="413"/>
      <c r="BW152" s="413"/>
      <c r="BX152" s="413"/>
      <c r="BY152" s="413"/>
      <c r="BZ152" s="413"/>
      <c r="CA152" s="413"/>
      <c r="CB152" s="413"/>
      <c r="CC152" s="413"/>
      <c r="CD152" s="413"/>
      <c r="CE152" s="413"/>
      <c r="CF152" s="413"/>
      <c r="CG152" s="413"/>
      <c r="CH152" s="413"/>
      <c r="CI152" s="413"/>
      <c r="CJ152" s="413"/>
      <c r="CK152" s="413"/>
      <c r="CL152" s="413"/>
      <c r="CM152" s="413"/>
      <c r="CN152" s="413"/>
      <c r="CO152" s="413"/>
      <c r="CP152" s="413"/>
      <c r="CQ152" s="413"/>
      <c r="CR152" s="413"/>
      <c r="CS152" s="413"/>
      <c r="CT152" s="413"/>
      <c r="CU152" s="413"/>
      <c r="CV152" s="413"/>
      <c r="CW152" s="413"/>
      <c r="CX152" s="413"/>
      <c r="CY152" s="413"/>
      <c r="CZ152" s="413"/>
      <c r="DA152" s="413"/>
      <c r="DB152" s="413"/>
      <c r="DC152" s="413"/>
      <c r="DD152" s="413"/>
      <c r="DE152" s="413"/>
      <c r="DF152" s="413"/>
      <c r="DG152" s="413"/>
      <c r="DH152" s="413"/>
      <c r="DI152" s="413"/>
      <c r="DJ152" s="413"/>
      <c r="DK152" s="413"/>
    </row>
    <row r="153" spans="30:115" ht="14.25" customHeight="1">
      <c r="AD153" s="453" t="s">
        <v>499</v>
      </c>
      <c r="AE153" s="448" t="str">
        <f>Guidelines!A260</f>
        <v>Rotary airlock</v>
      </c>
      <c r="AF153" s="413"/>
      <c r="AG153" s="413"/>
      <c r="AH153" s="413"/>
      <c r="AI153" s="413"/>
      <c r="AJ153" s="413"/>
      <c r="AK153" s="413"/>
      <c r="AL153" s="413"/>
      <c r="AM153" s="413"/>
      <c r="AN153" s="413"/>
      <c r="AO153" s="413"/>
      <c r="AP153" s="413"/>
      <c r="AQ153" s="413"/>
      <c r="AR153" s="413"/>
      <c r="AS153" s="413"/>
      <c r="AT153" s="413"/>
      <c r="AU153" s="413"/>
      <c r="AV153" s="413"/>
      <c r="AZ153" s="459"/>
      <c r="BA153" s="459"/>
      <c r="BB153" s="459"/>
      <c r="BC153" s="459"/>
      <c r="BD153" s="413"/>
      <c r="BE153" s="413"/>
      <c r="BF153" s="413"/>
      <c r="BG153" s="413"/>
      <c r="BH153" s="413"/>
      <c r="BI153" s="413"/>
      <c r="BJ153" s="413"/>
      <c r="BK153" s="413"/>
      <c r="BL153" s="413"/>
      <c r="BM153" s="413"/>
      <c r="BN153" s="413"/>
      <c r="BO153" s="413"/>
      <c r="BP153" s="413"/>
      <c r="BQ153" s="413"/>
      <c r="BR153" s="413"/>
      <c r="BS153" s="413"/>
      <c r="BT153" s="413"/>
      <c r="BU153" s="445"/>
      <c r="BV153" s="413"/>
      <c r="BW153" s="413"/>
      <c r="BX153" s="413"/>
      <c r="BY153" s="413"/>
      <c r="BZ153" s="413"/>
      <c r="CA153" s="413"/>
      <c r="CB153" s="413"/>
      <c r="CC153" s="413"/>
      <c r="CD153" s="413"/>
      <c r="CE153" s="413"/>
      <c r="CF153" s="413"/>
      <c r="CG153" s="413"/>
      <c r="CH153" s="413"/>
      <c r="CI153" s="413"/>
      <c r="CJ153" s="413"/>
      <c r="CK153" s="413"/>
      <c r="CL153" s="413"/>
      <c r="CM153" s="413"/>
      <c r="CN153" s="413"/>
      <c r="CO153" s="413"/>
      <c r="CP153" s="413"/>
      <c r="CQ153" s="413"/>
      <c r="CR153" s="413"/>
      <c r="CS153" s="413"/>
      <c r="CT153" s="413"/>
      <c r="CU153" s="413"/>
      <c r="CV153" s="413"/>
      <c r="CW153" s="413"/>
      <c r="CX153" s="413"/>
      <c r="CY153" s="413"/>
      <c r="CZ153" s="413"/>
      <c r="DA153" s="413"/>
      <c r="DB153" s="413"/>
      <c r="DC153" s="413"/>
      <c r="DD153" s="413"/>
      <c r="DE153" s="413"/>
      <c r="DF153" s="413"/>
      <c r="DG153" s="413"/>
      <c r="DH153" s="413"/>
      <c r="DI153" s="413"/>
      <c r="DJ153" s="413"/>
      <c r="DK153" s="413"/>
    </row>
    <row r="154" spans="30:115" ht="14.25" customHeight="1">
      <c r="AD154" s="453" t="s">
        <v>500</v>
      </c>
      <c r="AE154" s="448" t="s">
        <v>51</v>
      </c>
      <c r="AF154" s="413"/>
      <c r="AG154" s="413"/>
      <c r="AH154" s="413"/>
      <c r="AI154" s="413"/>
      <c r="AJ154" s="413"/>
      <c r="AK154" s="413"/>
      <c r="AL154" s="413"/>
      <c r="AM154" s="413"/>
      <c r="AN154" s="413"/>
      <c r="AO154" s="413"/>
      <c r="AP154" s="413"/>
      <c r="AQ154" s="413"/>
      <c r="AR154" s="413"/>
      <c r="AS154" s="413"/>
      <c r="AT154" s="413"/>
      <c r="AU154" s="413"/>
      <c r="AV154" s="413"/>
      <c r="AZ154" s="413"/>
      <c r="BA154" s="413"/>
      <c r="BB154" s="413"/>
      <c r="BC154" s="413"/>
      <c r="BD154" s="413"/>
      <c r="BE154" s="413"/>
      <c r="BF154" s="413"/>
      <c r="BG154" s="413"/>
      <c r="BH154" s="413"/>
      <c r="BI154" s="413"/>
      <c r="BJ154" s="413"/>
      <c r="BK154" s="413"/>
      <c r="BL154" s="413"/>
      <c r="BM154" s="413"/>
      <c r="BN154" s="413"/>
      <c r="BO154" s="413"/>
      <c r="BP154" s="413"/>
      <c r="BQ154" s="413"/>
      <c r="BR154" s="413"/>
      <c r="BS154" s="413"/>
      <c r="BT154" s="413"/>
      <c r="BU154" s="445"/>
      <c r="BV154" s="413"/>
      <c r="BW154" s="413"/>
      <c r="BX154" s="413"/>
      <c r="BY154" s="413"/>
      <c r="BZ154" s="413"/>
      <c r="CA154" s="413"/>
      <c r="CB154" s="413"/>
      <c r="CC154" s="413"/>
      <c r="CD154" s="413"/>
      <c r="CE154" s="413"/>
      <c r="CF154" s="413"/>
      <c r="CG154" s="413"/>
      <c r="CH154" s="413"/>
      <c r="CI154" s="413"/>
      <c r="CJ154" s="413"/>
      <c r="CK154" s="413"/>
      <c r="CL154" s="413"/>
      <c r="CM154" s="413"/>
      <c r="CN154" s="413"/>
      <c r="CO154" s="413"/>
      <c r="CP154" s="413"/>
      <c r="CQ154" s="413"/>
      <c r="CR154" s="413"/>
      <c r="CS154" s="413"/>
      <c r="CT154" s="413"/>
      <c r="CU154" s="413"/>
      <c r="CV154" s="413"/>
      <c r="CW154" s="413"/>
      <c r="CX154" s="413"/>
      <c r="CY154" s="413"/>
      <c r="CZ154" s="413"/>
      <c r="DA154" s="413"/>
      <c r="DB154" s="413"/>
      <c r="DC154" s="413"/>
      <c r="DD154" s="413"/>
      <c r="DE154" s="413"/>
      <c r="DF154" s="413"/>
      <c r="DG154" s="413"/>
      <c r="DH154" s="413"/>
      <c r="DI154" s="413"/>
      <c r="DJ154" s="413"/>
      <c r="DK154" s="413"/>
    </row>
    <row r="155" spans="30:115" ht="14.25" customHeight="1">
      <c r="AD155" s="453" t="s">
        <v>501</v>
      </c>
      <c r="AE155" s="456"/>
      <c r="AF155" s="413"/>
      <c r="AG155" s="413"/>
      <c r="AH155" s="413"/>
      <c r="AI155" s="413"/>
      <c r="AJ155" s="413"/>
      <c r="AK155" s="413"/>
      <c r="AL155" s="413"/>
      <c r="AM155" s="413"/>
      <c r="AN155" s="413"/>
      <c r="AO155" s="413"/>
      <c r="AP155" s="413"/>
      <c r="AQ155" s="413"/>
      <c r="AR155" s="413"/>
      <c r="AS155" s="413"/>
      <c r="AT155" s="413"/>
      <c r="AU155" s="413"/>
      <c r="AV155" s="413"/>
      <c r="AZ155" s="413"/>
      <c r="BA155" s="413"/>
      <c r="BB155" s="413"/>
      <c r="BC155" s="413"/>
      <c r="BD155" s="413"/>
      <c r="BE155" s="413"/>
      <c r="BF155" s="413"/>
      <c r="BG155" s="413"/>
      <c r="BH155" s="413"/>
      <c r="BI155" s="413"/>
      <c r="BJ155" s="413"/>
      <c r="BK155" s="413"/>
      <c r="BL155" s="413"/>
      <c r="BM155" s="413"/>
      <c r="BN155" s="413"/>
      <c r="BO155" s="413"/>
      <c r="BP155" s="413"/>
      <c r="BQ155" s="413"/>
      <c r="BR155" s="413"/>
      <c r="BS155" s="413"/>
      <c r="BT155" s="413"/>
      <c r="BU155" s="445"/>
      <c r="BV155" s="413"/>
      <c r="BW155" s="413"/>
      <c r="BX155" s="413"/>
      <c r="BY155" s="413"/>
      <c r="BZ155" s="413"/>
      <c r="CA155" s="413"/>
      <c r="CB155" s="413"/>
      <c r="CC155" s="413"/>
      <c r="CD155" s="413"/>
      <c r="CE155" s="413"/>
      <c r="CF155" s="413"/>
      <c r="CG155" s="413"/>
      <c r="CH155" s="413"/>
      <c r="CI155" s="413"/>
      <c r="CJ155" s="413"/>
      <c r="CK155" s="413"/>
      <c r="CL155" s="413"/>
      <c r="CM155" s="413"/>
      <c r="CN155" s="413"/>
      <c r="CO155" s="413"/>
      <c r="CP155" s="413"/>
      <c r="CQ155" s="413"/>
      <c r="CR155" s="413"/>
      <c r="CS155" s="413"/>
      <c r="CT155" s="413"/>
      <c r="CU155" s="413"/>
      <c r="CV155" s="413"/>
      <c r="CW155" s="413"/>
      <c r="CX155" s="413"/>
      <c r="CY155" s="413"/>
      <c r="CZ155" s="413"/>
      <c r="DA155" s="413"/>
      <c r="DB155" s="413"/>
      <c r="DC155" s="413"/>
      <c r="DD155" s="413"/>
      <c r="DE155" s="413"/>
      <c r="DF155" s="413"/>
      <c r="DG155" s="413"/>
      <c r="DH155" s="413"/>
      <c r="DI155" s="413"/>
      <c r="DJ155" s="413"/>
      <c r="DK155" s="413"/>
    </row>
    <row r="156" spans="30:115" ht="14.25" customHeight="1">
      <c r="AD156" s="453" t="s">
        <v>494</v>
      </c>
      <c r="AE156" s="456"/>
      <c r="AF156" s="413"/>
      <c r="AG156" s="413"/>
      <c r="AH156" s="413"/>
      <c r="AI156" s="413"/>
      <c r="AJ156" s="413"/>
      <c r="AK156" s="413"/>
      <c r="AL156" s="413"/>
      <c r="AM156" s="413"/>
      <c r="AN156" s="413"/>
      <c r="AO156" s="413"/>
      <c r="AP156" s="413"/>
      <c r="AQ156" s="413"/>
      <c r="AR156" s="413"/>
      <c r="AS156" s="413"/>
      <c r="AT156" s="413"/>
      <c r="AU156" s="413"/>
      <c r="AV156" s="413"/>
      <c r="AZ156" s="413"/>
      <c r="BA156" s="413"/>
      <c r="BB156" s="413"/>
      <c r="BC156" s="413"/>
      <c r="BD156" s="413"/>
      <c r="BE156" s="413"/>
      <c r="BF156" s="413"/>
      <c r="BG156" s="413"/>
      <c r="BH156" s="413"/>
      <c r="BI156" s="413"/>
      <c r="BJ156" s="413"/>
      <c r="BK156" s="413"/>
      <c r="BL156" s="413"/>
      <c r="BM156" s="413"/>
      <c r="BN156" s="413"/>
      <c r="BO156" s="413"/>
      <c r="BP156" s="413"/>
      <c r="BQ156" s="413"/>
      <c r="BR156" s="413"/>
      <c r="BS156" s="413"/>
      <c r="BT156" s="413"/>
      <c r="BU156" s="445"/>
      <c r="BV156" s="413"/>
      <c r="BW156" s="413"/>
      <c r="BX156" s="413"/>
      <c r="BY156" s="413"/>
      <c r="BZ156" s="413"/>
      <c r="CA156" s="413"/>
      <c r="CB156" s="413"/>
      <c r="CC156" s="413"/>
      <c r="CD156" s="413"/>
      <c r="CE156" s="413"/>
      <c r="CF156" s="413"/>
      <c r="CG156" s="413"/>
      <c r="CH156" s="413"/>
      <c r="CI156" s="413"/>
      <c r="CJ156" s="413"/>
      <c r="CK156" s="413"/>
      <c r="CL156" s="413"/>
      <c r="CM156" s="413"/>
      <c r="CN156" s="413"/>
      <c r="CO156" s="413"/>
      <c r="CP156" s="413"/>
      <c r="CQ156" s="413"/>
      <c r="CR156" s="413"/>
      <c r="CS156" s="413"/>
      <c r="CT156" s="413"/>
      <c r="CU156" s="413"/>
      <c r="CV156" s="413"/>
      <c r="CW156" s="413"/>
      <c r="CX156" s="413"/>
      <c r="CY156" s="413"/>
      <c r="CZ156" s="413"/>
      <c r="DA156" s="413"/>
      <c r="DB156" s="413"/>
      <c r="DC156" s="413"/>
      <c r="DD156" s="413"/>
      <c r="DE156" s="413"/>
      <c r="DF156" s="413"/>
      <c r="DG156" s="413"/>
      <c r="DH156" s="413"/>
      <c r="DI156" s="413"/>
      <c r="DJ156" s="413"/>
      <c r="DK156" s="413"/>
    </row>
    <row r="157" spans="30:115" ht="14.25" customHeight="1">
      <c r="AD157" s="453" t="s">
        <v>493</v>
      </c>
      <c r="AE157" s="452"/>
      <c r="AF157" s="413"/>
      <c r="AG157" s="413"/>
      <c r="AH157" s="413"/>
      <c r="AI157" s="413"/>
      <c r="AJ157" s="413"/>
      <c r="AK157" s="413"/>
      <c r="AL157" s="413"/>
      <c r="AM157" s="413"/>
      <c r="AN157" s="413"/>
      <c r="AO157" s="413"/>
      <c r="AP157" s="413"/>
      <c r="AQ157" s="413"/>
      <c r="AR157" s="413"/>
      <c r="AS157" s="413"/>
      <c r="AT157" s="413"/>
      <c r="AU157" s="413"/>
      <c r="AV157" s="413"/>
      <c r="AZ157" s="413"/>
      <c r="BA157" s="413"/>
      <c r="BB157" s="413"/>
      <c r="BC157" s="413"/>
      <c r="BD157" s="413"/>
      <c r="BE157" s="413"/>
      <c r="BF157" s="413"/>
      <c r="BG157" s="413"/>
      <c r="BH157" s="413"/>
      <c r="BI157" s="413"/>
      <c r="BJ157" s="413"/>
      <c r="BK157" s="413"/>
      <c r="BL157" s="413"/>
      <c r="BM157" s="413"/>
      <c r="BN157" s="413"/>
      <c r="BO157" s="413"/>
      <c r="BP157" s="413"/>
      <c r="BQ157" s="413"/>
      <c r="BR157" s="413"/>
      <c r="BS157" s="413"/>
      <c r="BT157" s="413"/>
      <c r="BU157" s="445"/>
      <c r="BV157" s="413"/>
      <c r="BW157" s="413"/>
      <c r="BX157" s="413"/>
      <c r="BY157" s="413"/>
      <c r="BZ157" s="413"/>
      <c r="CA157" s="413"/>
      <c r="CB157" s="413"/>
      <c r="CC157" s="413"/>
      <c r="CD157" s="413"/>
      <c r="CE157" s="413"/>
      <c r="CF157" s="413"/>
      <c r="CG157" s="413"/>
      <c r="CH157" s="413"/>
      <c r="CI157" s="413"/>
      <c r="CJ157" s="413"/>
      <c r="CK157" s="413"/>
      <c r="CL157" s="413"/>
      <c r="CM157" s="413"/>
      <c r="CN157" s="413"/>
      <c r="CO157" s="413"/>
      <c r="CP157" s="413"/>
      <c r="CQ157" s="413"/>
      <c r="CR157" s="413"/>
      <c r="CS157" s="413"/>
      <c r="CT157" s="413"/>
      <c r="CU157" s="413"/>
      <c r="CV157" s="413"/>
      <c r="CW157" s="413"/>
      <c r="CX157" s="413"/>
      <c r="CY157" s="413"/>
      <c r="CZ157" s="413"/>
      <c r="DA157" s="413"/>
      <c r="DB157" s="413"/>
      <c r="DC157" s="413"/>
      <c r="DD157" s="413"/>
      <c r="DE157" s="413"/>
      <c r="DF157" s="413"/>
      <c r="DG157" s="413"/>
      <c r="DH157" s="413"/>
      <c r="DI157" s="413"/>
      <c r="DJ157" s="413"/>
      <c r="DK157" s="413"/>
    </row>
    <row r="158" spans="30:115" ht="14.25" customHeight="1">
      <c r="AD158" s="413"/>
      <c r="AE158" s="413"/>
      <c r="AF158" s="413"/>
      <c r="AG158" s="413"/>
      <c r="AH158" s="413"/>
      <c r="AI158" s="413"/>
      <c r="AJ158" s="413"/>
      <c r="AK158" s="413"/>
      <c r="AL158" s="413"/>
      <c r="AM158" s="413"/>
      <c r="AN158" s="413"/>
      <c r="AO158" s="413"/>
      <c r="AP158" s="413"/>
      <c r="AQ158" s="456"/>
      <c r="AR158" s="460"/>
      <c r="AS158" s="457"/>
      <c r="AT158" s="438"/>
      <c r="AU158" s="438"/>
      <c r="AV158" s="413"/>
      <c r="AW158" s="413"/>
      <c r="AX158" s="413"/>
      <c r="AY158" s="413"/>
      <c r="AZ158" s="413"/>
      <c r="BA158" s="413"/>
      <c r="BB158" s="413"/>
      <c r="BC158" s="413"/>
      <c r="BD158" s="413"/>
      <c r="BE158" s="413"/>
      <c r="BF158" s="413"/>
      <c r="BG158" s="413"/>
      <c r="BH158" s="413"/>
      <c r="BI158" s="413"/>
      <c r="BJ158" s="413"/>
      <c r="BK158" s="413"/>
      <c r="BL158" s="413"/>
      <c r="BM158" s="413"/>
      <c r="BN158" s="413"/>
      <c r="BO158" s="413"/>
      <c r="BP158" s="413"/>
      <c r="BQ158" s="413"/>
      <c r="BR158" s="413"/>
      <c r="BS158" s="413"/>
      <c r="BT158" s="413"/>
      <c r="BU158" s="445"/>
      <c r="BV158" s="413"/>
      <c r="BW158" s="413"/>
      <c r="BX158" s="413"/>
      <c r="BY158" s="413"/>
      <c r="BZ158" s="413"/>
      <c r="CA158" s="413"/>
      <c r="CB158" s="413"/>
      <c r="CC158" s="413"/>
      <c r="CD158" s="413"/>
      <c r="CE158" s="413"/>
      <c r="CF158" s="413"/>
      <c r="CG158" s="413"/>
      <c r="CH158" s="413"/>
      <c r="CI158" s="413"/>
      <c r="CJ158" s="413"/>
      <c r="CK158" s="413"/>
      <c r="CL158" s="413"/>
      <c r="CM158" s="413"/>
      <c r="CN158" s="413"/>
      <c r="CO158" s="413"/>
      <c r="CP158" s="413"/>
      <c r="CQ158" s="413"/>
      <c r="CR158" s="413"/>
      <c r="CS158" s="413"/>
      <c r="CT158" s="413"/>
      <c r="CU158" s="413"/>
      <c r="CV158" s="413"/>
      <c r="CW158" s="413"/>
      <c r="CX158" s="413"/>
      <c r="CY158" s="413"/>
      <c r="CZ158" s="413"/>
      <c r="DA158" s="413"/>
      <c r="DB158" s="413"/>
      <c r="DC158" s="413"/>
      <c r="DD158" s="413"/>
      <c r="DE158" s="413"/>
      <c r="DF158" s="413"/>
      <c r="DG158" s="413"/>
      <c r="DH158" s="413"/>
      <c r="DI158" s="413"/>
      <c r="DJ158" s="413"/>
      <c r="DK158" s="413"/>
    </row>
    <row r="159" spans="30:115" ht="14.25" customHeight="1">
      <c r="AD159" s="413"/>
      <c r="AE159" s="413"/>
      <c r="AF159" s="413"/>
      <c r="AG159" s="413"/>
      <c r="AH159" s="413"/>
      <c r="AI159" s="413"/>
      <c r="AJ159" s="413"/>
      <c r="AK159" s="413"/>
      <c r="AL159" s="413"/>
      <c r="AM159" s="413"/>
      <c r="AN159" s="413"/>
      <c r="AO159" s="413"/>
      <c r="AP159" s="413"/>
      <c r="AR159" s="460"/>
      <c r="AS159" s="457"/>
      <c r="AT159" s="438"/>
      <c r="AU159" s="438"/>
      <c r="AV159" s="413"/>
      <c r="AW159" s="413"/>
      <c r="AX159" s="413"/>
      <c r="AY159" s="413"/>
      <c r="AZ159" s="413"/>
      <c r="BA159" s="413"/>
      <c r="BB159" s="413"/>
      <c r="BC159" s="413"/>
      <c r="BD159" s="413"/>
      <c r="BE159" s="413"/>
      <c r="BF159" s="413"/>
      <c r="BG159" s="413"/>
      <c r="BH159" s="413"/>
      <c r="BI159" s="413"/>
      <c r="BJ159" s="413"/>
      <c r="BK159" s="413"/>
      <c r="BL159" s="413"/>
      <c r="BM159" s="413"/>
      <c r="BN159" s="413"/>
      <c r="BO159" s="413"/>
      <c r="BP159" s="413"/>
      <c r="BQ159" s="413"/>
      <c r="BR159" s="413"/>
      <c r="BS159" s="413"/>
      <c r="BT159" s="413"/>
      <c r="BU159" s="445"/>
      <c r="BV159" s="413"/>
      <c r="BW159" s="413"/>
      <c r="BX159" s="413"/>
      <c r="BY159" s="413"/>
      <c r="BZ159" s="413"/>
      <c r="CA159" s="413"/>
      <c r="CB159" s="413"/>
      <c r="CC159" s="413"/>
      <c r="CD159" s="413"/>
      <c r="CE159" s="413"/>
      <c r="CF159" s="413"/>
      <c r="CG159" s="413"/>
      <c r="CH159" s="413"/>
      <c r="CI159" s="413"/>
      <c r="CJ159" s="413"/>
      <c r="CK159" s="413"/>
      <c r="CL159" s="413"/>
      <c r="CM159" s="413"/>
      <c r="CN159" s="413"/>
      <c r="CO159" s="413"/>
      <c r="CP159" s="413"/>
      <c r="CQ159" s="413"/>
      <c r="CR159" s="413"/>
      <c r="CS159" s="413"/>
      <c r="CT159" s="413"/>
      <c r="CU159" s="413"/>
      <c r="CV159" s="413"/>
      <c r="CW159" s="413"/>
      <c r="CX159" s="413"/>
      <c r="CY159" s="413"/>
      <c r="CZ159" s="413"/>
      <c r="DA159" s="413"/>
      <c r="DB159" s="413"/>
      <c r="DC159" s="413"/>
      <c r="DD159" s="413"/>
      <c r="DE159" s="413"/>
      <c r="DF159" s="413"/>
      <c r="DG159" s="413"/>
      <c r="DH159" s="413"/>
      <c r="DI159" s="413"/>
      <c r="DJ159" s="413"/>
      <c r="DK159" s="413"/>
    </row>
    <row r="160" spans="30:115" ht="14.25" customHeight="1">
      <c r="AD160" s="413"/>
      <c r="AE160" s="413"/>
      <c r="AF160" s="413"/>
      <c r="AG160" s="413"/>
      <c r="AH160" s="413"/>
      <c r="AI160" s="413"/>
      <c r="AJ160" s="413"/>
      <c r="AK160" s="413"/>
      <c r="AL160" s="413"/>
      <c r="AM160" s="413"/>
      <c r="AN160" s="413"/>
      <c r="AO160" s="413"/>
      <c r="AP160" s="413"/>
      <c r="AQ160" s="413"/>
      <c r="AR160" s="460"/>
      <c r="AS160" s="457"/>
      <c r="AT160" s="469"/>
      <c r="AU160" s="438"/>
      <c r="AV160" s="413"/>
      <c r="AW160" s="413"/>
      <c r="AX160" s="413"/>
      <c r="AY160" s="413"/>
      <c r="AZ160" s="413"/>
      <c r="BA160" s="413"/>
      <c r="BB160" s="413"/>
      <c r="BC160" s="413"/>
      <c r="BD160" s="413"/>
      <c r="BE160" s="413"/>
      <c r="BF160" s="413"/>
      <c r="BG160" s="413"/>
      <c r="BH160" s="413"/>
      <c r="BI160" s="413"/>
      <c r="BJ160" s="413"/>
      <c r="BK160" s="413"/>
      <c r="BL160" s="413"/>
      <c r="BM160" s="413"/>
      <c r="BN160" s="413"/>
      <c r="BO160" s="413"/>
      <c r="BP160" s="413"/>
      <c r="BQ160" s="413"/>
      <c r="BR160" s="413"/>
      <c r="BS160" s="413"/>
      <c r="BT160" s="413"/>
      <c r="BU160" s="415"/>
      <c r="BV160" s="413"/>
      <c r="BW160" s="413"/>
      <c r="BX160" s="413"/>
      <c r="BY160" s="413"/>
      <c r="BZ160" s="413"/>
      <c r="CA160" s="413"/>
      <c r="CB160" s="413"/>
      <c r="CC160" s="413"/>
      <c r="CD160" s="413"/>
      <c r="CE160" s="413"/>
      <c r="CF160" s="413"/>
      <c r="CG160" s="413"/>
      <c r="CH160" s="413"/>
      <c r="CI160" s="413"/>
      <c r="CJ160" s="413"/>
      <c r="CK160" s="413"/>
      <c r="CL160" s="413"/>
      <c r="CM160" s="413"/>
      <c r="CN160" s="413"/>
      <c r="CO160" s="413"/>
      <c r="CP160" s="413"/>
      <c r="CQ160" s="413"/>
      <c r="CR160" s="413"/>
      <c r="CS160" s="413"/>
      <c r="CT160" s="413"/>
      <c r="CU160" s="413"/>
      <c r="CV160" s="413"/>
      <c r="CW160" s="413"/>
      <c r="CX160" s="413"/>
      <c r="CY160" s="413"/>
      <c r="CZ160" s="413"/>
      <c r="DA160" s="413"/>
      <c r="DB160" s="413"/>
      <c r="DC160" s="413"/>
      <c r="DD160" s="413"/>
      <c r="DE160" s="413"/>
      <c r="DF160" s="413"/>
      <c r="DG160" s="413"/>
      <c r="DH160" s="413"/>
      <c r="DI160" s="413"/>
      <c r="DJ160" s="413"/>
      <c r="DK160" s="413"/>
    </row>
    <row r="161" spans="30:115" ht="14.25" customHeight="1">
      <c r="AD161" s="413"/>
      <c r="AE161" s="413"/>
      <c r="AF161" s="413"/>
      <c r="AG161" s="413"/>
      <c r="AH161" s="413"/>
      <c r="AI161" s="413"/>
      <c r="AJ161" s="413"/>
      <c r="AK161" s="413"/>
      <c r="AL161" s="413"/>
      <c r="AM161" s="413"/>
      <c r="AN161" s="413"/>
      <c r="AU161" s="438"/>
      <c r="AX161" s="413"/>
      <c r="AY161" s="413"/>
      <c r="AZ161" s="413"/>
      <c r="BA161" s="413"/>
      <c r="BB161" s="413"/>
      <c r="BC161" s="413"/>
      <c r="BD161" s="413"/>
      <c r="BE161" s="413"/>
      <c r="BF161" s="413"/>
      <c r="BG161" s="413"/>
      <c r="BH161" s="413"/>
      <c r="BI161" s="413"/>
      <c r="BJ161" s="413"/>
      <c r="BK161" s="413"/>
      <c r="BL161" s="413"/>
      <c r="BM161" s="413"/>
      <c r="BN161" s="413"/>
      <c r="BO161" s="413"/>
      <c r="BP161" s="413"/>
      <c r="BQ161" s="413"/>
      <c r="BR161" s="413"/>
      <c r="BS161" s="413"/>
      <c r="BT161" s="413"/>
      <c r="BU161" s="415"/>
      <c r="BV161" s="413"/>
      <c r="BW161" s="413"/>
      <c r="BX161" s="413"/>
      <c r="BY161" s="413"/>
      <c r="BZ161" s="413"/>
      <c r="CA161" s="413"/>
      <c r="CB161" s="413"/>
      <c r="CC161" s="413"/>
      <c r="CD161" s="413"/>
      <c r="CE161" s="413"/>
      <c r="CF161" s="413"/>
      <c r="CG161" s="413"/>
      <c r="CH161" s="413"/>
      <c r="CI161" s="413"/>
      <c r="CJ161" s="413"/>
      <c r="CK161" s="413"/>
      <c r="CL161" s="413"/>
      <c r="CM161" s="413"/>
      <c r="CN161" s="413"/>
      <c r="CO161" s="413"/>
      <c r="CP161" s="413"/>
      <c r="CQ161" s="413"/>
      <c r="CR161" s="413"/>
      <c r="CS161" s="413"/>
      <c r="CT161" s="413"/>
      <c r="CU161" s="413"/>
      <c r="CV161" s="413"/>
      <c r="CW161" s="413"/>
      <c r="CX161" s="413"/>
      <c r="CY161" s="413"/>
      <c r="CZ161" s="413"/>
      <c r="DA161" s="413"/>
      <c r="DB161" s="413"/>
      <c r="DC161" s="413"/>
      <c r="DD161" s="413"/>
      <c r="DE161" s="413"/>
      <c r="DF161" s="413"/>
      <c r="DG161" s="413"/>
      <c r="DH161" s="413"/>
      <c r="DI161" s="413"/>
      <c r="DJ161" s="413"/>
      <c r="DK161" s="413"/>
    </row>
    <row r="162" spans="30:115" ht="14.25" customHeight="1">
      <c r="AD162" s="413"/>
      <c r="AE162" s="413"/>
      <c r="AF162" s="413"/>
      <c r="AG162" s="413"/>
      <c r="AH162" s="413"/>
      <c r="AI162" s="413"/>
      <c r="AJ162" s="413"/>
      <c r="AK162" s="413"/>
      <c r="AL162" s="413"/>
      <c r="AM162" s="413"/>
      <c r="AN162" s="413"/>
      <c r="AU162" s="438"/>
      <c r="AX162" s="413"/>
      <c r="AY162" s="413"/>
      <c r="AZ162" s="413"/>
      <c r="BA162" s="413"/>
      <c r="BB162" s="413"/>
      <c r="BC162" s="413"/>
      <c r="BD162" s="413"/>
      <c r="BE162" s="413"/>
      <c r="BF162" s="413"/>
      <c r="BG162" s="413"/>
      <c r="BH162" s="413"/>
      <c r="BI162" s="413"/>
      <c r="BJ162" s="413"/>
      <c r="BK162" s="413"/>
      <c r="BL162" s="413"/>
      <c r="BM162" s="413"/>
      <c r="BN162" s="413"/>
      <c r="BO162" s="413"/>
      <c r="BP162" s="413"/>
      <c r="BQ162" s="413"/>
      <c r="BR162" s="413"/>
      <c r="BS162" s="413"/>
      <c r="BT162" s="413"/>
      <c r="BU162" s="415"/>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c r="CR162" s="413"/>
      <c r="CS162" s="413"/>
      <c r="CT162" s="413"/>
      <c r="CU162" s="413"/>
      <c r="CV162" s="413"/>
      <c r="CW162" s="413"/>
      <c r="CX162" s="413"/>
      <c r="CY162" s="413"/>
      <c r="CZ162" s="413"/>
      <c r="DA162" s="413"/>
      <c r="DB162" s="413"/>
      <c r="DC162" s="413"/>
      <c r="DD162" s="413"/>
      <c r="DE162" s="413"/>
      <c r="DF162" s="413"/>
      <c r="DG162" s="413"/>
      <c r="DH162" s="413"/>
      <c r="DI162" s="413"/>
      <c r="DJ162" s="413"/>
      <c r="DK162" s="413"/>
    </row>
    <row r="163" spans="30:115" ht="14.25" customHeight="1">
      <c r="AD163" s="413"/>
      <c r="AE163" s="413"/>
      <c r="AF163" s="413"/>
      <c r="AG163" s="413"/>
      <c r="AH163" s="413"/>
      <c r="AI163" s="413"/>
      <c r="AJ163" s="413"/>
      <c r="AK163" s="413"/>
      <c r="AL163" s="413"/>
      <c r="AM163" s="413"/>
      <c r="AN163" s="413"/>
      <c r="AU163" s="438"/>
      <c r="AZ163" s="413"/>
      <c r="BA163" s="413"/>
      <c r="BB163" s="413"/>
      <c r="BC163" s="413"/>
      <c r="BD163" s="413"/>
      <c r="BE163" s="413"/>
      <c r="BF163" s="413"/>
      <c r="BG163" s="413"/>
      <c r="BH163" s="413"/>
      <c r="BI163" s="413"/>
      <c r="BJ163" s="413"/>
      <c r="BK163" s="413"/>
      <c r="BL163" s="413"/>
      <c r="BM163" s="413"/>
      <c r="BN163" s="413"/>
      <c r="BO163" s="413"/>
      <c r="BP163" s="413"/>
      <c r="BQ163" s="413"/>
      <c r="BR163" s="413"/>
      <c r="BS163" s="413"/>
      <c r="BT163" s="413"/>
      <c r="BU163" s="415"/>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c r="CR163" s="413"/>
      <c r="CS163" s="413"/>
      <c r="CT163" s="413"/>
      <c r="CU163" s="413"/>
      <c r="CV163" s="413"/>
      <c r="CW163" s="413"/>
      <c r="CX163" s="413"/>
      <c r="CY163" s="413"/>
      <c r="CZ163" s="413"/>
      <c r="DA163" s="413"/>
      <c r="DB163" s="413"/>
      <c r="DC163" s="413"/>
      <c r="DD163" s="413"/>
      <c r="DE163" s="413"/>
      <c r="DF163" s="413"/>
      <c r="DG163" s="413"/>
      <c r="DH163" s="413"/>
      <c r="DI163" s="413"/>
      <c r="DJ163" s="413"/>
      <c r="DK163" s="413"/>
    </row>
    <row r="164" spans="30:115" ht="14.25" customHeight="1">
      <c r="AD164" s="413"/>
      <c r="AE164" s="413"/>
      <c r="AF164" s="413"/>
      <c r="AG164" s="413"/>
      <c r="AH164" s="470"/>
      <c r="AI164" s="413"/>
      <c r="AJ164" s="413"/>
      <c r="AK164" s="413"/>
      <c r="AL164" s="413"/>
      <c r="AM164" s="413"/>
      <c r="AN164" s="413"/>
      <c r="AU164" s="438"/>
      <c r="AZ164" s="413"/>
      <c r="BA164" s="413"/>
      <c r="BB164" s="413"/>
      <c r="BC164" s="413"/>
      <c r="BD164" s="413"/>
      <c r="BE164" s="413"/>
      <c r="BF164" s="413"/>
      <c r="BG164" s="413"/>
      <c r="BH164" s="413"/>
      <c r="BI164" s="413"/>
      <c r="BJ164" s="413"/>
      <c r="BK164" s="413"/>
      <c r="BL164" s="413"/>
      <c r="BM164" s="413"/>
      <c r="BN164" s="413"/>
      <c r="BO164" s="413"/>
      <c r="BP164" s="413"/>
      <c r="BQ164" s="413"/>
      <c r="BR164" s="413"/>
      <c r="BS164" s="413"/>
      <c r="BT164" s="413"/>
      <c r="BU164" s="471"/>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c r="CR164" s="413"/>
      <c r="CS164" s="413"/>
      <c r="CT164" s="413"/>
      <c r="CU164" s="413"/>
      <c r="CV164" s="413"/>
      <c r="CW164" s="413"/>
      <c r="CX164" s="413"/>
      <c r="CY164" s="413"/>
      <c r="CZ164" s="413"/>
      <c r="DA164" s="413"/>
      <c r="DB164" s="413"/>
      <c r="DC164" s="413"/>
      <c r="DD164" s="413"/>
      <c r="DE164" s="413"/>
      <c r="DF164" s="413"/>
      <c r="DG164" s="413"/>
      <c r="DH164" s="413"/>
      <c r="DI164" s="413"/>
      <c r="DJ164" s="413"/>
      <c r="DK164" s="413"/>
    </row>
    <row r="165" spans="30:115" ht="14.25" customHeight="1">
      <c r="AD165" s="413"/>
      <c r="AE165" s="413"/>
      <c r="AF165" s="413"/>
      <c r="AG165" s="413"/>
      <c r="AH165" s="413"/>
      <c r="AI165" s="413"/>
      <c r="AJ165" s="413"/>
      <c r="AK165" s="413"/>
      <c r="AL165" s="413"/>
      <c r="AM165" s="413"/>
      <c r="AN165" s="413"/>
      <c r="AQ165" s="413"/>
      <c r="AR165" s="413"/>
      <c r="AU165" s="438"/>
      <c r="AZ165" s="413"/>
      <c r="BA165" s="413"/>
      <c r="BB165" s="413"/>
      <c r="BC165" s="413"/>
      <c r="BD165" s="413"/>
      <c r="BE165" s="413"/>
      <c r="BF165" s="413"/>
      <c r="BG165" s="413"/>
      <c r="BH165" s="413"/>
      <c r="BI165" s="413"/>
      <c r="BJ165" s="413"/>
      <c r="BK165" s="413"/>
      <c r="BL165" s="413"/>
      <c r="BM165" s="413"/>
      <c r="BN165" s="413"/>
      <c r="BO165" s="413"/>
      <c r="BP165" s="413"/>
      <c r="BQ165" s="413"/>
      <c r="BR165" s="413"/>
      <c r="BS165" s="413"/>
      <c r="BT165" s="413"/>
      <c r="BU165" s="471"/>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c r="CR165" s="413"/>
      <c r="CS165" s="413"/>
      <c r="CT165" s="413"/>
      <c r="CU165" s="413"/>
      <c r="CV165" s="413"/>
      <c r="CW165" s="413"/>
      <c r="CX165" s="413"/>
      <c r="CY165" s="413"/>
      <c r="CZ165" s="413"/>
      <c r="DA165" s="413"/>
      <c r="DB165" s="413"/>
      <c r="DC165" s="413"/>
      <c r="DD165" s="413"/>
      <c r="DE165" s="413"/>
      <c r="DF165" s="413"/>
      <c r="DG165" s="413"/>
      <c r="DH165" s="413"/>
      <c r="DI165" s="413"/>
      <c r="DJ165" s="413"/>
      <c r="DK165" s="413"/>
    </row>
    <row r="166" spans="30:115" ht="14.25" customHeight="1">
      <c r="AD166" s="413"/>
      <c r="AE166" s="413"/>
      <c r="AF166" s="413"/>
      <c r="AG166" s="413"/>
      <c r="AH166" s="470"/>
      <c r="AI166" s="413"/>
      <c r="AJ166" s="413"/>
      <c r="AK166" s="413"/>
      <c r="AL166" s="413"/>
      <c r="AM166" s="413"/>
      <c r="AN166" s="413"/>
      <c r="AQ166" s="456"/>
      <c r="AR166" s="460"/>
      <c r="AS166" s="457"/>
      <c r="AU166" s="438"/>
      <c r="AZ166" s="413"/>
      <c r="BA166" s="413"/>
      <c r="BB166" s="413"/>
      <c r="BC166" s="413"/>
      <c r="BD166" s="413"/>
      <c r="BE166" s="413"/>
      <c r="BF166" s="413"/>
      <c r="BG166" s="413"/>
      <c r="BH166" s="413"/>
      <c r="BI166" s="413"/>
      <c r="BJ166" s="413"/>
      <c r="BK166" s="413"/>
      <c r="BL166" s="413"/>
      <c r="BM166" s="413"/>
      <c r="BN166" s="413"/>
      <c r="BO166" s="413"/>
      <c r="BP166" s="413"/>
      <c r="BQ166" s="413"/>
      <c r="BR166" s="414"/>
      <c r="BS166" s="413"/>
      <c r="BT166" s="413"/>
      <c r="BU166" s="415"/>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c r="CR166" s="413"/>
      <c r="CS166" s="413"/>
      <c r="CT166" s="413"/>
      <c r="CU166" s="413"/>
      <c r="CV166" s="413"/>
      <c r="CW166" s="413"/>
      <c r="CX166" s="413"/>
      <c r="CY166" s="413"/>
      <c r="CZ166" s="413"/>
      <c r="DA166" s="413"/>
      <c r="DB166" s="413"/>
      <c r="DC166" s="413"/>
      <c r="DD166" s="413"/>
      <c r="DE166" s="413"/>
      <c r="DF166" s="413"/>
      <c r="DG166" s="413"/>
      <c r="DH166" s="413"/>
      <c r="DI166" s="413"/>
      <c r="DJ166" s="413"/>
      <c r="DK166" s="413"/>
    </row>
    <row r="167" spans="30:115" ht="14.25" customHeight="1">
      <c r="AD167" s="413"/>
      <c r="AE167" s="413"/>
      <c r="AF167" s="413"/>
      <c r="AG167" s="413"/>
      <c r="AH167" s="470"/>
      <c r="AI167" s="413"/>
      <c r="AJ167" s="413"/>
      <c r="AK167" s="413"/>
      <c r="AL167" s="413"/>
      <c r="AM167" s="413"/>
      <c r="AN167" s="413"/>
      <c r="AU167" s="438"/>
      <c r="AZ167" s="413"/>
      <c r="BA167" s="413"/>
      <c r="BB167" s="413"/>
      <c r="BC167" s="413"/>
      <c r="BD167" s="413"/>
      <c r="BE167" s="413"/>
      <c r="BF167" s="413"/>
      <c r="BG167" s="413"/>
      <c r="BH167" s="413"/>
      <c r="BI167" s="413"/>
      <c r="BJ167" s="413"/>
      <c r="BK167" s="413"/>
      <c r="BL167" s="413"/>
      <c r="BM167" s="413"/>
      <c r="BN167" s="413"/>
      <c r="BO167" s="413"/>
      <c r="BP167" s="413"/>
      <c r="BQ167" s="413"/>
      <c r="BR167" s="414"/>
      <c r="BS167" s="413"/>
      <c r="BT167" s="413"/>
      <c r="BU167" s="415"/>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c r="CR167" s="413"/>
      <c r="CS167" s="413"/>
      <c r="CT167" s="413"/>
      <c r="CU167" s="413"/>
      <c r="CV167" s="413"/>
      <c r="CW167" s="413"/>
      <c r="CX167" s="413"/>
      <c r="CY167" s="413"/>
      <c r="CZ167" s="413"/>
      <c r="DA167" s="413"/>
      <c r="DB167" s="413"/>
      <c r="DC167" s="413"/>
      <c r="DD167" s="413"/>
      <c r="DE167" s="413"/>
      <c r="DF167" s="413"/>
      <c r="DG167" s="413"/>
      <c r="DH167" s="413"/>
      <c r="DI167" s="413"/>
      <c r="DJ167" s="413"/>
      <c r="DK167" s="413"/>
    </row>
    <row r="168" spans="30:115" ht="14.25" customHeight="1">
      <c r="AD168" s="413"/>
      <c r="AE168" s="413"/>
      <c r="AF168" s="413"/>
      <c r="AG168" s="413"/>
      <c r="AH168" s="470"/>
      <c r="AI168" s="413"/>
      <c r="AJ168" s="413"/>
      <c r="AK168" s="413"/>
      <c r="AL168" s="413"/>
      <c r="AM168" s="413"/>
      <c r="AN168" s="413"/>
      <c r="AU168" s="438"/>
      <c r="AZ168" s="413"/>
      <c r="BA168" s="413"/>
      <c r="BB168" s="413"/>
      <c r="BC168" s="413"/>
      <c r="BD168" s="413"/>
      <c r="BE168" s="413"/>
      <c r="BF168" s="413"/>
      <c r="BG168" s="413"/>
      <c r="BH168" s="413"/>
      <c r="BI168" s="413"/>
      <c r="BJ168" s="413"/>
      <c r="BK168" s="413"/>
      <c r="BL168" s="413"/>
      <c r="BM168" s="413"/>
      <c r="BN168" s="413"/>
      <c r="BO168" s="413"/>
      <c r="BP168" s="413"/>
      <c r="BQ168" s="413"/>
      <c r="BR168" s="414"/>
      <c r="BS168" s="413"/>
      <c r="BT168" s="413"/>
      <c r="BU168" s="415"/>
      <c r="BV168" s="413"/>
      <c r="BW168" s="413"/>
      <c r="BX168" s="413"/>
      <c r="BY168" s="413"/>
      <c r="BZ168" s="413"/>
      <c r="CA168" s="413"/>
      <c r="CB168" s="413"/>
      <c r="CC168" s="413"/>
      <c r="CD168" s="413"/>
      <c r="CE168" s="413"/>
      <c r="CF168" s="413"/>
      <c r="CG168" s="413"/>
      <c r="CH168" s="413"/>
      <c r="CI168" s="413"/>
      <c r="CJ168" s="413"/>
      <c r="CK168" s="413"/>
      <c r="CL168" s="413"/>
      <c r="CM168" s="413"/>
      <c r="CN168" s="413"/>
      <c r="CO168" s="413"/>
      <c r="CP168" s="413"/>
      <c r="CQ168" s="413"/>
      <c r="CR168" s="413"/>
      <c r="CS168" s="413"/>
      <c r="CT168" s="413"/>
      <c r="CU168" s="413"/>
      <c r="CV168" s="413"/>
      <c r="CW168" s="413"/>
      <c r="CX168" s="413"/>
      <c r="CY168" s="413"/>
      <c r="CZ168" s="413"/>
      <c r="DA168" s="413"/>
      <c r="DB168" s="413"/>
      <c r="DC168" s="413"/>
      <c r="DD168" s="413"/>
      <c r="DE168" s="413"/>
      <c r="DF168" s="413"/>
      <c r="DG168" s="413"/>
      <c r="DH168" s="413"/>
      <c r="DI168" s="413"/>
      <c r="DJ168" s="413"/>
      <c r="DK168" s="413"/>
    </row>
    <row r="169" spans="30:115" ht="14.25" customHeight="1">
      <c r="AD169" s="413"/>
      <c r="AE169" s="413"/>
      <c r="AF169" s="413"/>
      <c r="AG169" s="413"/>
      <c r="AH169" s="470"/>
      <c r="AI169" s="413"/>
      <c r="AJ169" s="413"/>
      <c r="AK169" s="413"/>
      <c r="AL169" s="413"/>
      <c r="AM169" s="413"/>
      <c r="AN169" s="413"/>
      <c r="AU169" s="438"/>
      <c r="AZ169" s="413"/>
      <c r="BA169" s="413"/>
      <c r="BB169" s="413"/>
      <c r="BC169" s="413"/>
      <c r="BD169" s="413"/>
      <c r="BE169" s="413"/>
      <c r="BF169" s="413"/>
      <c r="BG169" s="413"/>
      <c r="BH169" s="413"/>
      <c r="BI169" s="413"/>
      <c r="BJ169" s="413"/>
      <c r="BK169" s="413"/>
      <c r="BL169" s="413"/>
      <c r="BM169" s="413"/>
      <c r="BN169" s="413"/>
      <c r="BO169" s="413"/>
      <c r="BP169" s="413"/>
      <c r="BQ169" s="413"/>
      <c r="BR169" s="414"/>
      <c r="BS169" s="413"/>
      <c r="BT169" s="413"/>
      <c r="BU169" s="415"/>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c r="CR169" s="413"/>
      <c r="CS169" s="413"/>
      <c r="CT169" s="413"/>
      <c r="CU169" s="413"/>
      <c r="CV169" s="413"/>
      <c r="CW169" s="413"/>
      <c r="CX169" s="413"/>
      <c r="CY169" s="413"/>
      <c r="CZ169" s="413"/>
      <c r="DA169" s="413"/>
      <c r="DB169" s="413"/>
      <c r="DC169" s="413"/>
      <c r="DD169" s="413"/>
      <c r="DE169" s="413"/>
      <c r="DF169" s="413"/>
      <c r="DG169" s="413"/>
      <c r="DH169" s="413"/>
      <c r="DI169" s="413"/>
      <c r="DJ169" s="413"/>
      <c r="DK169" s="413"/>
    </row>
    <row r="170" spans="30:115" ht="14.25" customHeight="1">
      <c r="AD170" s="413"/>
      <c r="AE170" s="413"/>
      <c r="AF170" s="413"/>
      <c r="AG170" s="413"/>
      <c r="AH170" s="413"/>
      <c r="AI170" s="413"/>
      <c r="AJ170" s="413"/>
      <c r="AK170" s="413"/>
      <c r="AL170" s="413"/>
      <c r="AM170" s="413"/>
      <c r="AN170" s="413"/>
      <c r="AO170" s="413"/>
      <c r="AP170" s="413"/>
      <c r="AQ170" s="413"/>
      <c r="AR170" s="413"/>
      <c r="AS170" s="413"/>
      <c r="AT170" s="413"/>
      <c r="AU170" s="438"/>
      <c r="AV170" s="413"/>
      <c r="AZ170" s="413"/>
      <c r="BA170" s="413"/>
      <c r="BB170" s="413"/>
      <c r="BC170" s="413"/>
      <c r="BD170" s="413"/>
      <c r="BE170" s="413"/>
      <c r="BF170" s="413"/>
      <c r="BG170" s="413"/>
      <c r="BH170" s="413"/>
      <c r="BI170" s="413"/>
      <c r="BJ170" s="413"/>
      <c r="BK170" s="413"/>
      <c r="BL170" s="413"/>
      <c r="BM170" s="413"/>
      <c r="BN170" s="413"/>
      <c r="BO170" s="413"/>
      <c r="BP170" s="413"/>
      <c r="BQ170" s="413"/>
      <c r="BR170" s="414"/>
      <c r="BS170" s="413"/>
      <c r="BT170" s="413"/>
      <c r="BU170" s="415"/>
      <c r="BV170" s="413"/>
      <c r="BW170" s="413"/>
      <c r="BX170" s="413"/>
      <c r="BY170" s="413"/>
      <c r="BZ170" s="413"/>
      <c r="CA170" s="413"/>
      <c r="CB170" s="413"/>
      <c r="CC170" s="413"/>
      <c r="CD170" s="413"/>
      <c r="CE170" s="413"/>
      <c r="CF170" s="413"/>
      <c r="CG170" s="413"/>
      <c r="CH170" s="413"/>
      <c r="CI170" s="413"/>
      <c r="CJ170" s="413"/>
      <c r="CK170" s="413"/>
      <c r="CL170" s="413"/>
      <c r="CM170" s="413"/>
      <c r="CN170" s="413"/>
      <c r="CO170" s="413"/>
      <c r="CP170" s="413"/>
      <c r="CQ170" s="413"/>
      <c r="CR170" s="413"/>
      <c r="CS170" s="413"/>
      <c r="CT170" s="413"/>
      <c r="CU170" s="413"/>
      <c r="CV170" s="413"/>
      <c r="CW170" s="413"/>
      <c r="CX170" s="413"/>
      <c r="CY170" s="413"/>
      <c r="CZ170" s="413"/>
      <c r="DA170" s="413"/>
      <c r="DB170" s="413"/>
      <c r="DC170" s="413"/>
      <c r="DD170" s="413"/>
      <c r="DE170" s="413"/>
      <c r="DF170" s="413"/>
      <c r="DG170" s="413"/>
      <c r="DH170" s="413"/>
      <c r="DI170" s="413"/>
      <c r="DJ170" s="413"/>
      <c r="DK170" s="413"/>
    </row>
    <row r="171" spans="30:115" ht="14.25" customHeight="1">
      <c r="AD171" s="413"/>
      <c r="AE171" s="413"/>
      <c r="AF171" s="413"/>
      <c r="AG171" s="413"/>
      <c r="AH171" s="413"/>
      <c r="AI171" s="413"/>
      <c r="AJ171" s="413"/>
      <c r="AK171" s="413"/>
      <c r="AL171" s="413"/>
      <c r="AM171" s="413"/>
      <c r="AN171" s="413"/>
      <c r="AO171" s="413"/>
      <c r="AP171" s="413"/>
      <c r="AQ171" s="413"/>
      <c r="AR171" s="413"/>
      <c r="AS171" s="413"/>
      <c r="AT171" s="413"/>
      <c r="AU171" s="438"/>
      <c r="AV171" s="413"/>
      <c r="AW171" s="413"/>
      <c r="AX171" s="413"/>
      <c r="AY171" s="413"/>
      <c r="AZ171" s="413"/>
      <c r="BA171" s="413"/>
      <c r="BB171" s="471"/>
      <c r="BC171" s="413"/>
      <c r="BD171" s="413"/>
      <c r="BE171" s="413"/>
      <c r="BF171" s="413"/>
      <c r="BG171" s="413"/>
      <c r="BH171" s="413"/>
      <c r="BI171" s="413"/>
      <c r="BJ171" s="413"/>
      <c r="BK171" s="413"/>
      <c r="BL171" s="413"/>
      <c r="BM171" s="413"/>
      <c r="BN171" s="413"/>
      <c r="BO171" s="413"/>
      <c r="BP171" s="413"/>
      <c r="BQ171" s="413"/>
      <c r="BR171" s="414"/>
      <c r="BS171" s="413"/>
      <c r="BT171" s="413"/>
      <c r="BU171" s="415"/>
      <c r="BV171" s="413"/>
      <c r="BW171" s="413"/>
      <c r="BX171" s="413"/>
      <c r="BY171" s="413"/>
      <c r="BZ171" s="413"/>
      <c r="CA171" s="413"/>
      <c r="CB171" s="413"/>
      <c r="CC171" s="413"/>
      <c r="CD171" s="413"/>
      <c r="CE171" s="413"/>
      <c r="CF171" s="413"/>
      <c r="CG171" s="413"/>
      <c r="CH171" s="413"/>
      <c r="CI171" s="413"/>
      <c r="CJ171" s="413"/>
      <c r="CK171" s="413"/>
      <c r="CL171" s="413"/>
      <c r="CM171" s="413"/>
      <c r="CN171" s="413"/>
      <c r="CO171" s="413"/>
      <c r="CP171" s="413"/>
      <c r="CQ171" s="413"/>
      <c r="CR171" s="413"/>
      <c r="CS171" s="413"/>
      <c r="CT171" s="413"/>
      <c r="CU171" s="413"/>
      <c r="CV171" s="413"/>
      <c r="CW171" s="413"/>
      <c r="CX171" s="413"/>
      <c r="CY171" s="413"/>
      <c r="CZ171" s="413"/>
      <c r="DA171" s="413"/>
      <c r="DB171" s="413"/>
      <c r="DC171" s="413"/>
      <c r="DD171" s="413"/>
      <c r="DE171" s="413"/>
      <c r="DF171" s="413"/>
      <c r="DG171" s="413"/>
      <c r="DH171" s="413"/>
      <c r="DI171" s="413"/>
      <c r="DJ171" s="413"/>
      <c r="DK171" s="413"/>
    </row>
    <row r="172" spans="30:115" ht="14.25" customHeight="1">
      <c r="AD172" s="413"/>
      <c r="AE172" s="413"/>
      <c r="AF172" s="413"/>
      <c r="AG172" s="413"/>
      <c r="AH172" s="413"/>
      <c r="AI172" s="413"/>
      <c r="AJ172" s="413"/>
      <c r="AK172" s="413"/>
      <c r="AL172" s="413"/>
      <c r="AM172" s="413"/>
      <c r="AN172" s="413"/>
      <c r="AO172" s="413"/>
      <c r="AP172" s="413"/>
      <c r="AQ172" s="413"/>
      <c r="AR172" s="413"/>
      <c r="AS172" s="413"/>
      <c r="AT172" s="413"/>
      <c r="AU172" s="438"/>
      <c r="AV172" s="413"/>
      <c r="AW172" s="413"/>
      <c r="AX172" s="413"/>
      <c r="AY172" s="413"/>
      <c r="AZ172" s="413"/>
      <c r="BA172" s="413"/>
      <c r="BB172" s="471"/>
      <c r="BC172" s="413"/>
      <c r="BD172" s="413"/>
      <c r="BE172" s="413"/>
      <c r="BF172" s="413"/>
      <c r="BG172" s="413"/>
      <c r="BH172" s="413"/>
      <c r="BI172" s="413"/>
      <c r="BJ172" s="413"/>
      <c r="BK172" s="413"/>
      <c r="BL172" s="413"/>
      <c r="BM172" s="413"/>
      <c r="BN172" s="413"/>
      <c r="BO172" s="413"/>
      <c r="BP172" s="413"/>
      <c r="BQ172" s="413"/>
      <c r="BR172" s="414"/>
      <c r="BS172" s="413"/>
      <c r="BT172" s="413"/>
      <c r="BU172" s="415"/>
      <c r="BV172" s="413"/>
      <c r="BW172" s="413"/>
      <c r="BX172" s="413"/>
      <c r="BY172" s="413"/>
      <c r="BZ172" s="413"/>
      <c r="CA172" s="413"/>
      <c r="CB172" s="413"/>
      <c r="CC172" s="413"/>
      <c r="CD172" s="413"/>
      <c r="CE172" s="413"/>
      <c r="CF172" s="413"/>
      <c r="CG172" s="413"/>
      <c r="CH172" s="413"/>
      <c r="CI172" s="413"/>
      <c r="CJ172" s="413"/>
      <c r="CK172" s="413"/>
      <c r="CL172" s="413"/>
      <c r="CM172" s="413"/>
      <c r="CN172" s="413"/>
      <c r="CO172" s="413"/>
      <c r="CP172" s="413"/>
      <c r="CQ172" s="413"/>
      <c r="CR172" s="413"/>
      <c r="CS172" s="413"/>
      <c r="CT172" s="413"/>
      <c r="CU172" s="413"/>
      <c r="CV172" s="413"/>
      <c r="CW172" s="413"/>
      <c r="CX172" s="413"/>
      <c r="CY172" s="413"/>
      <c r="CZ172" s="413"/>
      <c r="DA172" s="413"/>
      <c r="DB172" s="413"/>
      <c r="DC172" s="413"/>
      <c r="DD172" s="413"/>
      <c r="DE172" s="413"/>
      <c r="DF172" s="413"/>
      <c r="DG172" s="413"/>
      <c r="DH172" s="413"/>
      <c r="DI172" s="413"/>
      <c r="DJ172" s="413"/>
      <c r="DK172" s="413"/>
    </row>
    <row r="173" spans="30:115" ht="14.25" customHeight="1">
      <c r="AD173" s="413"/>
      <c r="AE173" s="413"/>
      <c r="AF173" s="413"/>
      <c r="AG173" s="413"/>
      <c r="AH173" s="413"/>
      <c r="AI173" s="413"/>
      <c r="AJ173" s="413"/>
      <c r="AK173" s="413"/>
      <c r="AL173" s="413"/>
      <c r="AM173" s="413"/>
      <c r="AN173" s="413"/>
      <c r="AO173" s="413"/>
      <c r="AP173" s="413"/>
      <c r="AQ173" s="413"/>
      <c r="AR173" s="413"/>
      <c r="AS173" s="413"/>
      <c r="AT173" s="413"/>
      <c r="AU173" s="438"/>
      <c r="AV173" s="413"/>
      <c r="AW173" s="413"/>
      <c r="AX173" s="413"/>
      <c r="AY173" s="413"/>
      <c r="AZ173" s="413"/>
      <c r="BA173" s="413"/>
      <c r="BB173" s="471"/>
      <c r="BC173" s="413"/>
      <c r="BD173" s="413"/>
      <c r="BE173" s="471"/>
      <c r="BF173" s="415"/>
      <c r="BG173" s="415"/>
      <c r="BH173" s="415"/>
      <c r="BI173" s="415"/>
      <c r="BJ173" s="415"/>
      <c r="BK173" s="415"/>
      <c r="BL173" s="415"/>
      <c r="BM173" s="415"/>
      <c r="BN173" s="415"/>
      <c r="BO173" s="415"/>
      <c r="BP173" s="415"/>
      <c r="BQ173" s="415"/>
      <c r="BR173" s="472"/>
      <c r="BS173" s="415"/>
      <c r="BT173" s="415"/>
      <c r="BU173" s="415"/>
      <c r="BV173" s="413"/>
      <c r="BW173" s="413"/>
      <c r="BX173" s="413"/>
      <c r="BY173" s="413"/>
      <c r="BZ173" s="413"/>
      <c r="CA173" s="413"/>
      <c r="CB173" s="413"/>
      <c r="CC173" s="413"/>
      <c r="CD173" s="413"/>
      <c r="CE173" s="413"/>
      <c r="CF173" s="413"/>
      <c r="CG173" s="413"/>
      <c r="CH173" s="413"/>
      <c r="CI173" s="413"/>
      <c r="CJ173" s="413"/>
      <c r="CK173" s="413"/>
      <c r="CL173" s="413"/>
      <c r="CM173" s="413"/>
      <c r="CN173" s="413"/>
      <c r="CO173" s="413"/>
      <c r="CP173" s="413"/>
      <c r="CQ173" s="413"/>
      <c r="CR173" s="413"/>
      <c r="CS173" s="413"/>
      <c r="CT173" s="413"/>
      <c r="CU173" s="413"/>
      <c r="CV173" s="413"/>
      <c r="CW173" s="413"/>
      <c r="CX173" s="413"/>
      <c r="CY173" s="413"/>
      <c r="CZ173" s="413"/>
      <c r="DA173" s="413"/>
      <c r="DB173" s="413"/>
      <c r="DC173" s="413"/>
      <c r="DD173" s="413"/>
      <c r="DE173" s="413"/>
      <c r="DF173" s="413"/>
      <c r="DG173" s="413"/>
      <c r="DH173" s="413"/>
      <c r="DI173" s="413"/>
      <c r="DJ173" s="413"/>
      <c r="DK173" s="413"/>
    </row>
    <row r="174" spans="30:115" ht="14.25" customHeight="1">
      <c r="AD174" s="413"/>
      <c r="AE174" s="413"/>
      <c r="AF174" s="413"/>
      <c r="AG174" s="413"/>
      <c r="AH174" s="413"/>
      <c r="AI174" s="413"/>
      <c r="AJ174" s="413"/>
      <c r="AK174" s="413"/>
      <c r="AL174" s="413"/>
      <c r="AM174" s="413"/>
      <c r="AN174" s="413"/>
      <c r="AO174" s="413"/>
      <c r="AP174" s="413"/>
      <c r="AQ174" s="413"/>
      <c r="AR174" s="413"/>
      <c r="AS174" s="413"/>
      <c r="AT174" s="413"/>
      <c r="AU174" s="413"/>
      <c r="AV174" s="413"/>
      <c r="AW174" s="413"/>
      <c r="AX174" s="413"/>
      <c r="AY174" s="413"/>
      <c r="AZ174" s="413"/>
      <c r="BA174" s="413"/>
      <c r="BB174" s="471"/>
      <c r="BC174" s="413"/>
      <c r="BD174" s="413"/>
      <c r="BE174" s="415"/>
      <c r="BF174" s="415"/>
      <c r="BG174" s="415"/>
      <c r="BH174" s="415"/>
      <c r="BI174" s="415"/>
      <c r="BJ174" s="415"/>
      <c r="BK174" s="415"/>
      <c r="BL174" s="415"/>
      <c r="BM174" s="415"/>
      <c r="BN174" s="415"/>
      <c r="BO174" s="415"/>
      <c r="BP174" s="415"/>
      <c r="BQ174" s="415"/>
      <c r="BR174" s="472"/>
      <c r="BS174" s="415"/>
      <c r="BT174" s="415"/>
      <c r="BU174" s="415"/>
      <c r="BV174" s="413"/>
      <c r="BW174" s="413"/>
      <c r="BX174" s="413"/>
      <c r="BY174" s="413"/>
      <c r="BZ174" s="413"/>
      <c r="CA174" s="413"/>
      <c r="CB174" s="413"/>
      <c r="CC174" s="413"/>
      <c r="CD174" s="413"/>
      <c r="CE174" s="413"/>
      <c r="CF174" s="413"/>
      <c r="CG174" s="413"/>
      <c r="CH174" s="413"/>
      <c r="CI174" s="413"/>
      <c r="CJ174" s="413"/>
      <c r="CK174" s="413"/>
      <c r="CL174" s="413"/>
      <c r="CM174" s="413"/>
      <c r="CN174" s="413"/>
      <c r="CO174" s="413"/>
      <c r="CP174" s="413"/>
      <c r="CQ174" s="413"/>
      <c r="CR174" s="413"/>
      <c r="CS174" s="413"/>
      <c r="CT174" s="413"/>
      <c r="CU174" s="413"/>
      <c r="CV174" s="413"/>
      <c r="CW174" s="413"/>
      <c r="CX174" s="413"/>
      <c r="CY174" s="413"/>
      <c r="CZ174" s="413"/>
      <c r="DA174" s="413"/>
      <c r="DB174" s="413"/>
      <c r="DC174" s="413"/>
      <c r="DD174" s="413"/>
      <c r="DE174" s="413"/>
      <c r="DF174" s="413"/>
      <c r="DG174" s="413"/>
      <c r="DH174" s="413"/>
      <c r="DI174" s="413"/>
      <c r="DJ174" s="413"/>
      <c r="DK174" s="413"/>
    </row>
    <row r="175" spans="30:115" ht="14.25" customHeight="1">
      <c r="AD175" s="413"/>
      <c r="AE175" s="413"/>
      <c r="AF175" s="413"/>
      <c r="AG175" s="413"/>
      <c r="AH175" s="413"/>
      <c r="AI175" s="413"/>
      <c r="AJ175" s="413"/>
      <c r="AK175" s="413"/>
      <c r="AL175" s="413"/>
      <c r="AM175" s="413"/>
      <c r="AN175" s="413"/>
      <c r="AO175" s="413"/>
      <c r="AP175" s="413"/>
      <c r="AQ175" s="413"/>
      <c r="AR175" s="413"/>
      <c r="AS175" s="413"/>
      <c r="AT175" s="413"/>
      <c r="AU175" s="413"/>
      <c r="AV175" s="413"/>
      <c r="AW175" s="413"/>
      <c r="AX175" s="413"/>
      <c r="AY175" s="413"/>
      <c r="AZ175" s="413"/>
      <c r="BA175" s="413"/>
      <c r="BB175" s="471"/>
      <c r="BC175" s="413"/>
      <c r="BD175" s="413"/>
      <c r="BE175" s="415"/>
      <c r="BF175" s="415"/>
      <c r="BG175" s="415"/>
      <c r="BH175" s="415"/>
      <c r="BI175" s="415"/>
      <c r="BJ175" s="415"/>
      <c r="BK175" s="415"/>
      <c r="BL175" s="415"/>
      <c r="BM175" s="415"/>
      <c r="BN175" s="415"/>
      <c r="BO175" s="415"/>
      <c r="BP175" s="415"/>
      <c r="BQ175" s="415"/>
      <c r="BR175" s="472"/>
      <c r="BS175" s="415"/>
      <c r="BT175" s="415"/>
      <c r="BU175" s="415"/>
      <c r="BV175" s="413"/>
      <c r="BW175" s="413"/>
      <c r="BX175" s="413"/>
      <c r="BY175" s="413"/>
      <c r="BZ175" s="413"/>
      <c r="CA175" s="413"/>
      <c r="CB175" s="413"/>
      <c r="CC175" s="413"/>
      <c r="CD175" s="413"/>
      <c r="CE175" s="413"/>
      <c r="CF175" s="413"/>
      <c r="CG175" s="413"/>
      <c r="CH175" s="413"/>
      <c r="CI175" s="413"/>
      <c r="CJ175" s="413"/>
      <c r="CK175" s="413"/>
      <c r="CL175" s="413"/>
      <c r="CM175" s="413"/>
      <c r="CN175" s="413"/>
      <c r="CO175" s="413"/>
      <c r="CP175" s="413"/>
      <c r="CQ175" s="413"/>
      <c r="CR175" s="413"/>
      <c r="CS175" s="413"/>
      <c r="CT175" s="413"/>
      <c r="CU175" s="413"/>
      <c r="CV175" s="413"/>
      <c r="CW175" s="413"/>
      <c r="CX175" s="413"/>
      <c r="CY175" s="413"/>
      <c r="CZ175" s="413"/>
      <c r="DA175" s="413"/>
      <c r="DB175" s="413"/>
      <c r="DC175" s="413"/>
      <c r="DD175" s="413"/>
      <c r="DE175" s="413"/>
      <c r="DF175" s="413"/>
      <c r="DG175" s="413"/>
      <c r="DH175" s="413"/>
      <c r="DI175" s="413"/>
      <c r="DJ175" s="413"/>
      <c r="DK175" s="413"/>
    </row>
    <row r="176" spans="30:115" ht="14.25" customHeight="1">
      <c r="AD176" s="413"/>
      <c r="AE176" s="413"/>
      <c r="AF176" s="415"/>
      <c r="AG176" s="415"/>
      <c r="AH176" s="415"/>
      <c r="AI176" s="415"/>
      <c r="AJ176" s="413"/>
      <c r="AK176" s="413"/>
      <c r="AL176" s="413"/>
      <c r="AM176" s="413"/>
      <c r="AN176" s="413"/>
      <c r="AO176" s="413"/>
      <c r="AP176" s="413"/>
      <c r="AQ176" s="413"/>
      <c r="AR176" s="413"/>
      <c r="AS176" s="413"/>
      <c r="AT176" s="413"/>
      <c r="AU176" s="413"/>
      <c r="AV176" s="413"/>
      <c r="AW176" s="413"/>
      <c r="AX176" s="413"/>
      <c r="AY176" s="413"/>
      <c r="AZ176" s="413"/>
      <c r="BA176" s="413"/>
      <c r="BB176" s="471"/>
      <c r="BC176" s="413"/>
      <c r="BD176" s="415"/>
      <c r="BE176" s="415"/>
      <c r="BF176" s="415"/>
      <c r="BG176" s="415"/>
      <c r="BH176" s="415"/>
      <c r="BI176" s="415"/>
      <c r="BJ176" s="415"/>
      <c r="BK176" s="415"/>
      <c r="BL176" s="415"/>
      <c r="BM176" s="415"/>
      <c r="BN176" s="415"/>
      <c r="BO176" s="415"/>
      <c r="BP176" s="415"/>
      <c r="BQ176" s="415"/>
      <c r="BR176" s="472"/>
      <c r="BS176" s="415"/>
      <c r="BT176" s="415"/>
      <c r="BU176" s="415"/>
      <c r="BV176" s="413"/>
      <c r="BW176" s="413"/>
      <c r="BX176" s="413"/>
      <c r="BY176" s="413"/>
      <c r="BZ176" s="413"/>
      <c r="CA176" s="413"/>
      <c r="CB176" s="413"/>
      <c r="CC176" s="413"/>
      <c r="CD176" s="413"/>
      <c r="CE176" s="413"/>
      <c r="CF176" s="413"/>
      <c r="CG176" s="413"/>
      <c r="CH176" s="413"/>
      <c r="CI176" s="413"/>
      <c r="CJ176" s="413"/>
      <c r="CK176" s="413"/>
      <c r="CL176" s="413"/>
      <c r="CM176" s="413"/>
      <c r="CN176" s="413"/>
      <c r="CO176" s="413"/>
      <c r="CP176" s="413"/>
      <c r="CQ176" s="413"/>
      <c r="CR176" s="413"/>
      <c r="CS176" s="413"/>
      <c r="CT176" s="413"/>
      <c r="CU176" s="413"/>
      <c r="CV176" s="413"/>
      <c r="CW176" s="413"/>
      <c r="CX176" s="413"/>
      <c r="CY176" s="413"/>
      <c r="CZ176" s="413"/>
      <c r="DA176" s="413"/>
      <c r="DB176" s="413"/>
      <c r="DC176" s="413"/>
      <c r="DD176" s="413"/>
      <c r="DE176" s="413"/>
      <c r="DF176" s="413"/>
      <c r="DG176" s="413"/>
      <c r="DH176" s="413"/>
      <c r="DI176" s="413"/>
      <c r="DJ176" s="413"/>
      <c r="DK176" s="413"/>
    </row>
    <row r="177" spans="30:115" ht="14.25" customHeight="1">
      <c r="AD177" s="413"/>
      <c r="AE177" s="413"/>
      <c r="AF177" s="415"/>
      <c r="AG177" s="415"/>
      <c r="AH177" s="415"/>
      <c r="AI177" s="415"/>
      <c r="AJ177" s="413"/>
      <c r="AK177" s="413"/>
      <c r="AL177" s="413"/>
      <c r="AM177" s="413"/>
      <c r="AN177" s="413"/>
      <c r="AO177" s="413"/>
      <c r="AP177" s="413"/>
      <c r="AQ177" s="413"/>
      <c r="AR177" s="413"/>
      <c r="AS177" s="413"/>
      <c r="AT177" s="413"/>
      <c r="AU177" s="413"/>
      <c r="AV177" s="413"/>
      <c r="AW177" s="413"/>
      <c r="AX177" s="413"/>
      <c r="AY177" s="413"/>
      <c r="AZ177" s="413"/>
      <c r="BA177" s="413"/>
      <c r="BB177" s="471"/>
      <c r="BC177" s="413"/>
      <c r="BD177" s="415"/>
      <c r="BE177" s="415"/>
      <c r="BF177" s="415"/>
      <c r="BG177" s="415"/>
      <c r="BH177" s="415"/>
      <c r="BI177" s="415"/>
      <c r="BJ177" s="415"/>
      <c r="BK177" s="415"/>
      <c r="BL177" s="415"/>
      <c r="BM177" s="415"/>
      <c r="BN177" s="415"/>
      <c r="BO177" s="415"/>
      <c r="BP177" s="415"/>
      <c r="BQ177" s="415"/>
      <c r="BR177" s="472"/>
      <c r="BS177" s="415"/>
      <c r="BT177" s="415"/>
      <c r="BU177" s="415"/>
      <c r="BV177" s="413"/>
      <c r="BW177" s="413"/>
      <c r="BX177" s="413"/>
      <c r="BY177" s="413"/>
      <c r="BZ177" s="413"/>
      <c r="CA177" s="413"/>
      <c r="CB177" s="413"/>
      <c r="CC177" s="413"/>
      <c r="CD177" s="413"/>
      <c r="CE177" s="413"/>
      <c r="CF177" s="413"/>
      <c r="CG177" s="413"/>
      <c r="CH177" s="413"/>
      <c r="CI177" s="413"/>
      <c r="CJ177" s="413"/>
      <c r="CK177" s="413"/>
      <c r="CL177" s="413"/>
      <c r="CM177" s="413"/>
      <c r="CN177" s="413"/>
      <c r="CO177" s="413"/>
      <c r="CP177" s="413"/>
      <c r="CQ177" s="413"/>
      <c r="CR177" s="413"/>
      <c r="CS177" s="413"/>
      <c r="CT177" s="413"/>
      <c r="CU177" s="413"/>
      <c r="CV177" s="413"/>
      <c r="CW177" s="413"/>
      <c r="CX177" s="413"/>
      <c r="CY177" s="413"/>
      <c r="CZ177" s="413"/>
      <c r="DA177" s="413"/>
      <c r="DB177" s="413"/>
      <c r="DC177" s="413"/>
      <c r="DD177" s="413"/>
      <c r="DE177" s="413"/>
      <c r="DF177" s="413"/>
      <c r="DG177" s="413"/>
      <c r="DH177" s="413"/>
      <c r="DI177" s="413"/>
      <c r="DJ177" s="413"/>
      <c r="DK177" s="413"/>
    </row>
    <row r="178" spans="30:115" ht="14.25" customHeight="1">
      <c r="AD178" s="413"/>
      <c r="AE178" s="413"/>
      <c r="AF178" s="415"/>
      <c r="AG178" s="415"/>
      <c r="AH178" s="415"/>
      <c r="AI178" s="415"/>
      <c r="AJ178" s="471"/>
      <c r="AK178" s="471"/>
      <c r="AL178" s="471"/>
      <c r="AM178" s="471"/>
      <c r="AN178" s="471"/>
      <c r="AO178" s="471"/>
      <c r="AP178" s="471"/>
      <c r="AQ178" s="471"/>
      <c r="AR178" s="471"/>
      <c r="AS178" s="471"/>
      <c r="AT178" s="471"/>
      <c r="AU178" s="471"/>
      <c r="AV178" s="471"/>
      <c r="AW178" s="471"/>
      <c r="AX178" s="413"/>
      <c r="AY178" s="413"/>
      <c r="AZ178" s="413"/>
      <c r="BA178" s="413"/>
      <c r="BB178" s="471"/>
      <c r="BC178" s="413"/>
      <c r="BD178" s="415"/>
      <c r="BE178" s="415"/>
      <c r="BF178" s="415"/>
      <c r="BG178" s="415"/>
      <c r="BH178" s="415"/>
      <c r="BI178" s="415"/>
      <c r="BJ178" s="415"/>
      <c r="BK178" s="415"/>
      <c r="BL178" s="415"/>
      <c r="BM178" s="415"/>
      <c r="BN178" s="415"/>
      <c r="BO178" s="415"/>
      <c r="BP178" s="415"/>
      <c r="BQ178" s="415"/>
      <c r="BR178" s="472"/>
      <c r="BS178" s="415"/>
      <c r="BT178" s="415"/>
      <c r="BU178" s="415"/>
      <c r="BV178" s="413"/>
      <c r="BW178" s="413"/>
      <c r="BX178" s="413"/>
      <c r="BY178" s="413"/>
      <c r="BZ178" s="413"/>
      <c r="CA178" s="413"/>
      <c r="CB178" s="413"/>
      <c r="CC178" s="413"/>
      <c r="CD178" s="413"/>
      <c r="CE178" s="413"/>
      <c r="CF178" s="413"/>
      <c r="CG178" s="413"/>
      <c r="CH178" s="413"/>
      <c r="CI178" s="413"/>
      <c r="CJ178" s="413"/>
      <c r="CK178" s="413"/>
      <c r="CL178" s="413"/>
      <c r="CM178" s="413"/>
      <c r="CN178" s="413"/>
      <c r="CO178" s="413"/>
      <c r="CP178" s="413"/>
      <c r="CQ178" s="413"/>
      <c r="CR178" s="413"/>
      <c r="CS178" s="413"/>
      <c r="CT178" s="413"/>
      <c r="CU178" s="413"/>
      <c r="CV178" s="413"/>
      <c r="CW178" s="413"/>
      <c r="CX178" s="413"/>
      <c r="CY178" s="413"/>
      <c r="CZ178" s="413"/>
      <c r="DA178" s="413"/>
      <c r="DB178" s="413"/>
      <c r="DC178" s="413"/>
      <c r="DD178" s="413"/>
      <c r="DE178" s="413"/>
      <c r="DF178" s="413"/>
      <c r="DG178" s="413"/>
      <c r="DH178" s="413"/>
      <c r="DI178" s="413"/>
      <c r="DJ178" s="413"/>
      <c r="DK178" s="413"/>
    </row>
    <row r="179" spans="30:115" ht="14.25" customHeight="1">
      <c r="AD179" s="413"/>
      <c r="AE179" s="413"/>
      <c r="AF179" s="415"/>
      <c r="AG179" s="415"/>
      <c r="AH179" s="415"/>
      <c r="AI179" s="415"/>
      <c r="AJ179" s="415"/>
      <c r="AK179" s="415"/>
      <c r="AL179" s="415"/>
      <c r="AM179" s="415"/>
      <c r="AN179" s="415"/>
      <c r="AO179" s="415"/>
      <c r="AP179" s="415"/>
      <c r="AQ179" s="415"/>
      <c r="AR179" s="415"/>
      <c r="AS179" s="415"/>
      <c r="AT179" s="415"/>
      <c r="AU179" s="415"/>
      <c r="AV179" s="415"/>
      <c r="AW179" s="415"/>
      <c r="AX179" s="413"/>
      <c r="AY179" s="413"/>
      <c r="AZ179" s="413"/>
      <c r="BA179" s="413"/>
      <c r="BB179" s="471"/>
      <c r="BC179" s="471"/>
      <c r="BD179" s="415"/>
      <c r="BE179" s="415"/>
      <c r="BF179" s="415"/>
      <c r="BG179" s="415"/>
      <c r="BH179" s="415"/>
      <c r="BI179" s="415"/>
      <c r="BJ179" s="415"/>
      <c r="BK179" s="415"/>
      <c r="BL179" s="415"/>
      <c r="BM179" s="415"/>
      <c r="BN179" s="415"/>
      <c r="BO179" s="415"/>
      <c r="BP179" s="415"/>
      <c r="BQ179" s="415"/>
      <c r="BR179" s="472"/>
      <c r="BS179" s="415"/>
      <c r="BT179" s="415"/>
      <c r="BU179" s="415"/>
      <c r="BV179" s="413"/>
      <c r="BW179" s="413"/>
      <c r="BX179" s="413"/>
      <c r="BY179" s="413"/>
      <c r="BZ179" s="413"/>
      <c r="CA179" s="413"/>
      <c r="CB179" s="413"/>
      <c r="CC179" s="413"/>
      <c r="CD179" s="413"/>
      <c r="CE179" s="413"/>
      <c r="CF179" s="413"/>
      <c r="CG179" s="413"/>
      <c r="CH179" s="413"/>
      <c r="CI179" s="413"/>
      <c r="CJ179" s="413"/>
      <c r="CK179" s="413"/>
      <c r="CL179" s="413"/>
      <c r="CM179" s="413"/>
      <c r="CN179" s="413"/>
      <c r="CO179" s="413"/>
      <c r="CP179" s="413"/>
      <c r="CQ179" s="413"/>
      <c r="CR179" s="413"/>
      <c r="CS179" s="413"/>
      <c r="CT179" s="413"/>
      <c r="CU179" s="413"/>
      <c r="CV179" s="413"/>
      <c r="CW179" s="413"/>
      <c r="CX179" s="413"/>
      <c r="CY179" s="413"/>
      <c r="CZ179" s="413"/>
      <c r="DA179" s="413"/>
      <c r="DB179" s="413"/>
      <c r="DC179" s="413"/>
      <c r="DD179" s="413"/>
      <c r="DE179" s="413"/>
      <c r="DF179" s="413"/>
      <c r="DG179" s="413"/>
      <c r="DH179" s="413"/>
      <c r="DI179" s="413"/>
      <c r="DJ179" s="413"/>
      <c r="DK179" s="413"/>
    </row>
    <row r="180" spans="30:115" ht="14.25" customHeight="1">
      <c r="AD180" s="413"/>
      <c r="AE180" s="413"/>
      <c r="AF180" s="415"/>
      <c r="AG180" s="415"/>
      <c r="AH180" s="415"/>
      <c r="AI180" s="415"/>
      <c r="AJ180" s="415"/>
      <c r="AK180" s="415"/>
      <c r="AL180" s="415"/>
      <c r="AM180" s="415"/>
      <c r="AN180" s="415"/>
      <c r="AO180" s="415"/>
      <c r="AP180" s="415"/>
      <c r="AQ180" s="415"/>
      <c r="AR180" s="415"/>
      <c r="AS180" s="415"/>
      <c r="AT180" s="415"/>
      <c r="AU180" s="415"/>
      <c r="AV180" s="415"/>
      <c r="AW180" s="415"/>
      <c r="AX180" s="415"/>
      <c r="AY180" s="415"/>
      <c r="AZ180" s="415"/>
      <c r="BA180" s="415"/>
      <c r="BB180" s="415"/>
      <c r="BC180" s="415"/>
      <c r="BD180" s="415"/>
      <c r="BE180" s="415"/>
      <c r="BF180" s="415"/>
      <c r="BG180" s="415"/>
      <c r="BH180" s="415"/>
      <c r="BI180" s="415"/>
      <c r="BJ180" s="415"/>
      <c r="BK180" s="415"/>
      <c r="BL180" s="415"/>
      <c r="BM180" s="415"/>
      <c r="BN180" s="415"/>
      <c r="BO180" s="415"/>
      <c r="BP180" s="415"/>
      <c r="BQ180" s="415"/>
      <c r="BR180" s="472"/>
      <c r="BS180" s="415"/>
      <c r="BT180" s="415"/>
      <c r="BU180" s="415"/>
      <c r="BV180" s="413"/>
      <c r="BW180" s="413"/>
      <c r="BX180" s="413"/>
      <c r="BY180" s="413"/>
      <c r="BZ180" s="413"/>
      <c r="CA180" s="413"/>
      <c r="CB180" s="413"/>
      <c r="CC180" s="413"/>
      <c r="CD180" s="413"/>
      <c r="CE180" s="413"/>
      <c r="CF180" s="413"/>
      <c r="CG180" s="413"/>
      <c r="CH180" s="413"/>
      <c r="CI180" s="413"/>
      <c r="CJ180" s="413"/>
      <c r="CK180" s="413"/>
      <c r="CL180" s="413"/>
      <c r="CM180" s="413"/>
      <c r="CN180" s="413"/>
      <c r="CO180" s="413"/>
      <c r="CP180" s="413"/>
      <c r="CQ180" s="413"/>
      <c r="CR180" s="413"/>
      <c r="CS180" s="413"/>
      <c r="CT180" s="413"/>
      <c r="CU180" s="413"/>
      <c r="CV180" s="413"/>
      <c r="CW180" s="413"/>
      <c r="CX180" s="413"/>
      <c r="CY180" s="413"/>
      <c r="CZ180" s="413"/>
      <c r="DA180" s="413"/>
      <c r="DB180" s="413"/>
      <c r="DC180" s="413"/>
      <c r="DD180" s="413"/>
      <c r="DE180" s="413"/>
      <c r="DF180" s="413"/>
      <c r="DG180" s="413"/>
      <c r="DH180" s="413"/>
      <c r="DI180" s="413"/>
      <c r="DJ180" s="413"/>
      <c r="DK180" s="413"/>
    </row>
    <row r="181" spans="30:115" ht="14.25" customHeight="1">
      <c r="AD181" s="413"/>
      <c r="AE181" s="413"/>
      <c r="AF181" s="415"/>
      <c r="AG181" s="415"/>
      <c r="AH181" s="415"/>
      <c r="AI181" s="415"/>
      <c r="AJ181" s="415"/>
      <c r="AK181" s="415"/>
      <c r="AL181" s="415"/>
      <c r="AM181" s="415"/>
      <c r="AN181" s="415"/>
      <c r="AO181" s="415"/>
      <c r="AP181" s="415"/>
      <c r="AQ181" s="415"/>
      <c r="AR181" s="415"/>
      <c r="AS181" s="415"/>
      <c r="AT181" s="415"/>
      <c r="AU181" s="415"/>
      <c r="AV181" s="415"/>
      <c r="AW181" s="415"/>
      <c r="AX181" s="415"/>
      <c r="AY181" s="415"/>
      <c r="AZ181" s="415"/>
      <c r="BA181" s="415"/>
      <c r="BB181" s="415"/>
      <c r="BC181" s="415"/>
      <c r="BD181" s="415"/>
      <c r="BE181" s="415"/>
      <c r="BF181" s="415"/>
      <c r="BG181" s="415"/>
      <c r="BH181" s="415"/>
      <c r="BI181" s="415"/>
      <c r="BJ181" s="415"/>
      <c r="BK181" s="415"/>
      <c r="BL181" s="415"/>
      <c r="BM181" s="415"/>
      <c r="BN181" s="415"/>
      <c r="BO181" s="415"/>
      <c r="BP181" s="415"/>
      <c r="BQ181" s="415"/>
      <c r="BR181" s="472"/>
      <c r="BS181" s="415"/>
      <c r="BT181" s="415"/>
      <c r="BU181" s="415"/>
      <c r="BV181" s="413"/>
      <c r="BW181" s="413"/>
      <c r="BX181" s="413"/>
      <c r="BY181" s="413"/>
      <c r="BZ181" s="413"/>
      <c r="CA181" s="413"/>
      <c r="CB181" s="413"/>
      <c r="CC181" s="413"/>
      <c r="CD181" s="413"/>
      <c r="CE181" s="413"/>
      <c r="CF181" s="413"/>
      <c r="CG181" s="413"/>
      <c r="CH181" s="413"/>
      <c r="CI181" s="413"/>
      <c r="CJ181" s="413"/>
      <c r="CK181" s="413"/>
      <c r="CL181" s="413"/>
      <c r="CM181" s="413"/>
      <c r="CN181" s="413"/>
      <c r="CO181" s="413"/>
      <c r="CP181" s="413"/>
      <c r="CQ181" s="413"/>
      <c r="CR181" s="413"/>
      <c r="CS181" s="413"/>
      <c r="CT181" s="413"/>
      <c r="CU181" s="413"/>
      <c r="CV181" s="413"/>
      <c r="CW181" s="413"/>
      <c r="CX181" s="413"/>
      <c r="CY181" s="413"/>
      <c r="CZ181" s="413"/>
      <c r="DA181" s="413"/>
      <c r="DB181" s="413"/>
      <c r="DC181" s="413"/>
      <c r="DD181" s="413"/>
      <c r="DE181" s="413"/>
      <c r="DF181" s="413"/>
      <c r="DG181" s="413"/>
      <c r="DH181" s="413"/>
      <c r="DI181" s="413"/>
      <c r="DJ181" s="413"/>
      <c r="DK181" s="413"/>
    </row>
    <row r="182" spans="30:115" ht="14.25" customHeight="1">
      <c r="AD182" s="413"/>
      <c r="AE182" s="413"/>
      <c r="AF182" s="415"/>
      <c r="AG182" s="415"/>
      <c r="AH182" s="415"/>
      <c r="AI182" s="415"/>
      <c r="AJ182" s="415"/>
      <c r="AK182" s="415"/>
      <c r="AL182" s="415"/>
      <c r="AM182" s="415"/>
      <c r="AN182" s="415"/>
      <c r="AO182" s="415"/>
      <c r="AP182" s="415"/>
      <c r="AQ182" s="415"/>
      <c r="AR182" s="415"/>
      <c r="AS182" s="415"/>
      <c r="AT182" s="415"/>
      <c r="AU182" s="415"/>
      <c r="AV182" s="415"/>
      <c r="AW182" s="415"/>
      <c r="AX182" s="415"/>
      <c r="AY182" s="415"/>
      <c r="AZ182" s="415"/>
      <c r="BA182" s="415"/>
      <c r="BB182" s="415"/>
      <c r="BC182" s="415"/>
      <c r="BD182" s="415"/>
      <c r="BE182" s="415"/>
      <c r="BF182" s="415"/>
      <c r="BG182" s="415"/>
      <c r="BH182" s="415"/>
      <c r="BI182" s="415"/>
      <c r="BJ182" s="415"/>
      <c r="BK182" s="415"/>
      <c r="BL182" s="415"/>
      <c r="BM182" s="415"/>
      <c r="BN182" s="415"/>
      <c r="BO182" s="415"/>
      <c r="BP182" s="415"/>
      <c r="BQ182" s="415"/>
      <c r="BR182" s="472"/>
      <c r="BS182" s="415"/>
      <c r="BT182" s="415"/>
      <c r="BU182" s="415"/>
      <c r="BV182" s="413"/>
      <c r="BW182" s="413"/>
      <c r="BX182" s="413"/>
      <c r="BY182" s="413"/>
      <c r="BZ182" s="413"/>
      <c r="CA182" s="413"/>
      <c r="CB182" s="413"/>
      <c r="CC182" s="413"/>
      <c r="CD182" s="413"/>
      <c r="CE182" s="413"/>
      <c r="CF182" s="413"/>
      <c r="CG182" s="413"/>
      <c r="CH182" s="413"/>
      <c r="CI182" s="413"/>
      <c r="CJ182" s="413"/>
      <c r="CK182" s="413"/>
      <c r="CL182" s="413"/>
      <c r="CM182" s="413"/>
      <c r="CN182" s="413"/>
      <c r="CO182" s="413"/>
      <c r="CP182" s="413"/>
      <c r="CQ182" s="413"/>
      <c r="CR182" s="413"/>
      <c r="CS182" s="413"/>
      <c r="CT182" s="413"/>
      <c r="CU182" s="413"/>
      <c r="CV182" s="413"/>
      <c r="CW182" s="413"/>
      <c r="CX182" s="413"/>
      <c r="CY182" s="413"/>
      <c r="CZ182" s="413"/>
      <c r="DA182" s="413"/>
      <c r="DB182" s="413"/>
      <c r="DC182" s="413"/>
      <c r="DD182" s="413"/>
      <c r="DE182" s="413"/>
      <c r="DF182" s="413"/>
      <c r="DG182" s="413"/>
      <c r="DH182" s="413"/>
      <c r="DI182" s="413"/>
      <c r="DJ182" s="413"/>
      <c r="DK182" s="413"/>
    </row>
    <row r="183" spans="30:115" ht="14.25" customHeight="1">
      <c r="AD183" s="413"/>
      <c r="AE183" s="413"/>
      <c r="AF183" s="415"/>
      <c r="AG183" s="415"/>
      <c r="AH183" s="415"/>
      <c r="AI183" s="415"/>
      <c r="AJ183" s="415"/>
      <c r="AK183" s="415"/>
      <c r="AL183" s="415"/>
      <c r="AM183" s="415"/>
      <c r="AN183" s="415"/>
      <c r="AO183" s="415"/>
      <c r="AP183" s="415"/>
      <c r="AQ183" s="415"/>
      <c r="AR183" s="415"/>
      <c r="AS183" s="415"/>
      <c r="AT183" s="415"/>
      <c r="AU183" s="415"/>
      <c r="AV183" s="415"/>
      <c r="AW183" s="415"/>
      <c r="AX183" s="415"/>
      <c r="AY183" s="415"/>
      <c r="AZ183" s="415"/>
      <c r="BA183" s="415"/>
      <c r="BB183" s="415"/>
      <c r="BC183" s="415"/>
      <c r="BD183" s="415"/>
      <c r="BE183" s="415"/>
      <c r="BF183" s="415"/>
      <c r="BG183" s="415"/>
      <c r="BH183" s="415"/>
      <c r="BI183" s="415"/>
      <c r="BJ183" s="415"/>
      <c r="BK183" s="415"/>
      <c r="BL183" s="415"/>
      <c r="BM183" s="415"/>
      <c r="BN183" s="415"/>
      <c r="BO183" s="415"/>
      <c r="BP183" s="415"/>
      <c r="BQ183" s="415"/>
      <c r="BR183" s="472"/>
      <c r="BS183" s="415"/>
      <c r="BT183" s="415"/>
      <c r="BU183" s="415"/>
      <c r="BV183" s="413"/>
      <c r="BW183" s="413"/>
      <c r="BX183" s="413"/>
      <c r="BY183" s="413"/>
      <c r="BZ183" s="413"/>
      <c r="CA183" s="413"/>
      <c r="CB183" s="413"/>
      <c r="CC183" s="413"/>
      <c r="CD183" s="413"/>
      <c r="CE183" s="413"/>
      <c r="CF183" s="413"/>
      <c r="CG183" s="413"/>
      <c r="CH183" s="413"/>
      <c r="CI183" s="413"/>
      <c r="CJ183" s="413"/>
      <c r="CK183" s="413"/>
      <c r="CL183" s="413"/>
      <c r="CM183" s="413"/>
      <c r="CN183" s="413"/>
      <c r="CO183" s="413"/>
      <c r="CP183" s="413"/>
      <c r="CQ183" s="413"/>
      <c r="CR183" s="413"/>
      <c r="CS183" s="413"/>
      <c r="CT183" s="413"/>
      <c r="CU183" s="413"/>
      <c r="CV183" s="413"/>
      <c r="CW183" s="413"/>
      <c r="CX183" s="413"/>
      <c r="CY183" s="413"/>
      <c r="CZ183" s="413"/>
      <c r="DA183" s="413"/>
      <c r="DB183" s="413"/>
      <c r="DC183" s="413"/>
      <c r="DD183" s="413"/>
      <c r="DE183" s="413"/>
      <c r="DF183" s="413"/>
      <c r="DG183" s="413"/>
      <c r="DH183" s="413"/>
      <c r="DI183" s="413"/>
      <c r="DJ183" s="413"/>
      <c r="DK183" s="413"/>
    </row>
    <row r="184" spans="30:115" ht="14.25" customHeight="1">
      <c r="AD184" s="413"/>
      <c r="AE184" s="413"/>
      <c r="AF184" s="415"/>
      <c r="AG184" s="415"/>
      <c r="AH184" s="415"/>
      <c r="AI184" s="415"/>
      <c r="AJ184" s="415"/>
      <c r="AK184" s="415"/>
      <c r="AL184" s="415"/>
      <c r="AM184" s="415"/>
      <c r="AN184" s="415"/>
      <c r="AO184" s="415"/>
      <c r="AP184" s="415"/>
      <c r="AQ184" s="415"/>
      <c r="AR184" s="415"/>
      <c r="AS184" s="415"/>
      <c r="AT184" s="415"/>
      <c r="AU184" s="415"/>
      <c r="AV184" s="415"/>
      <c r="AW184" s="415"/>
      <c r="AX184" s="415"/>
      <c r="AY184" s="415"/>
      <c r="AZ184" s="415"/>
      <c r="BA184" s="415"/>
      <c r="BB184" s="415"/>
      <c r="BC184" s="415"/>
      <c r="BD184" s="415"/>
      <c r="BE184" s="415"/>
      <c r="BF184" s="415"/>
      <c r="BG184" s="415"/>
      <c r="BH184" s="415"/>
      <c r="BI184" s="415"/>
      <c r="BJ184" s="415"/>
      <c r="BK184" s="415"/>
      <c r="BL184" s="415"/>
      <c r="BM184" s="415"/>
      <c r="BN184" s="415"/>
      <c r="BO184" s="415"/>
      <c r="BP184" s="415"/>
      <c r="BQ184" s="415"/>
      <c r="BR184" s="472"/>
      <c r="BS184" s="415"/>
      <c r="BT184" s="415"/>
      <c r="BU184" s="415"/>
      <c r="BV184" s="413"/>
      <c r="BW184" s="413"/>
      <c r="BX184" s="413"/>
      <c r="BY184" s="413"/>
      <c r="BZ184" s="413"/>
      <c r="CA184" s="413"/>
      <c r="CB184" s="413"/>
      <c r="CC184" s="413"/>
      <c r="CD184" s="413"/>
      <c r="CE184" s="413"/>
      <c r="CF184" s="413"/>
      <c r="CG184" s="413"/>
      <c r="CH184" s="413"/>
      <c r="CI184" s="413"/>
      <c r="CJ184" s="413"/>
      <c r="CK184" s="413"/>
      <c r="CL184" s="413"/>
      <c r="CM184" s="413"/>
      <c r="CN184" s="413"/>
      <c r="CO184" s="413"/>
      <c r="CP184" s="413"/>
      <c r="CQ184" s="413"/>
      <c r="CR184" s="413"/>
      <c r="CS184" s="413"/>
      <c r="CT184" s="413"/>
      <c r="CU184" s="413"/>
      <c r="CV184" s="413"/>
      <c r="CW184" s="413"/>
      <c r="CX184" s="413"/>
      <c r="CY184" s="413"/>
      <c r="CZ184" s="413"/>
      <c r="DA184" s="413"/>
      <c r="DB184" s="413"/>
      <c r="DC184" s="413"/>
      <c r="DD184" s="413"/>
      <c r="DE184" s="413"/>
      <c r="DF184" s="413"/>
      <c r="DG184" s="413"/>
      <c r="DH184" s="413"/>
      <c r="DI184" s="413"/>
      <c r="DJ184" s="413"/>
      <c r="DK184" s="413"/>
    </row>
    <row r="185" spans="30:115" ht="14.25" customHeight="1">
      <c r="AD185" s="413"/>
      <c r="AE185" s="413"/>
      <c r="AF185" s="415"/>
      <c r="AG185" s="415"/>
      <c r="AH185" s="415"/>
      <c r="AI185" s="415"/>
      <c r="AJ185" s="415"/>
      <c r="AK185" s="415"/>
      <c r="AL185" s="415"/>
      <c r="AM185" s="415"/>
      <c r="AN185" s="415"/>
      <c r="AO185" s="415"/>
      <c r="AP185" s="415"/>
      <c r="AQ185" s="415"/>
      <c r="AR185" s="415"/>
      <c r="AS185" s="415"/>
      <c r="AT185" s="415"/>
      <c r="AU185" s="415"/>
      <c r="AV185" s="415"/>
      <c r="AW185" s="415"/>
      <c r="AX185" s="415"/>
      <c r="AY185" s="415"/>
      <c r="AZ185" s="415"/>
      <c r="BA185" s="415"/>
      <c r="BB185" s="415"/>
      <c r="BC185" s="415"/>
      <c r="BD185" s="415"/>
      <c r="BE185" s="415"/>
      <c r="BF185" s="415"/>
      <c r="BG185" s="415"/>
      <c r="BH185" s="415"/>
      <c r="BI185" s="415"/>
      <c r="BJ185" s="415"/>
      <c r="BK185" s="415"/>
      <c r="BL185" s="415"/>
      <c r="BM185" s="415"/>
      <c r="BN185" s="415"/>
      <c r="BO185" s="415"/>
      <c r="BP185" s="415"/>
      <c r="BQ185" s="413"/>
      <c r="BR185" s="472"/>
      <c r="BS185" s="415"/>
      <c r="BT185" s="415"/>
      <c r="BU185" s="415"/>
      <c r="BV185" s="413"/>
      <c r="BW185" s="413"/>
      <c r="BX185" s="413"/>
      <c r="BY185" s="413"/>
      <c r="BZ185" s="413"/>
      <c r="CA185" s="413"/>
      <c r="CB185" s="413"/>
      <c r="CC185" s="413"/>
      <c r="CD185" s="413"/>
      <c r="CE185" s="413"/>
      <c r="CF185" s="413"/>
      <c r="CG185" s="413"/>
      <c r="CH185" s="413"/>
      <c r="CI185" s="413"/>
      <c r="CJ185" s="413"/>
      <c r="CK185" s="413"/>
      <c r="CL185" s="413"/>
      <c r="CM185" s="413"/>
      <c r="CN185" s="413"/>
      <c r="CO185" s="413"/>
      <c r="CP185" s="413"/>
      <c r="CQ185" s="413"/>
      <c r="CR185" s="413"/>
      <c r="CS185" s="413"/>
      <c r="CT185" s="413"/>
      <c r="CU185" s="413"/>
      <c r="CV185" s="413"/>
      <c r="CW185" s="413"/>
      <c r="CX185" s="413"/>
      <c r="CY185" s="413"/>
      <c r="CZ185" s="413"/>
      <c r="DA185" s="413"/>
      <c r="DB185" s="413"/>
      <c r="DC185" s="413"/>
      <c r="DD185" s="413"/>
      <c r="DE185" s="413"/>
      <c r="DF185" s="413"/>
      <c r="DG185" s="413"/>
      <c r="DH185" s="413"/>
      <c r="DI185" s="413"/>
      <c r="DJ185" s="413"/>
      <c r="DK185" s="413"/>
    </row>
    <row r="186" spans="30:115" ht="14.25" customHeight="1">
      <c r="AD186" s="413"/>
      <c r="AE186" s="413"/>
      <c r="AF186" s="415"/>
      <c r="AG186" s="415"/>
      <c r="AH186" s="415"/>
      <c r="AI186" s="415"/>
      <c r="AJ186" s="415"/>
      <c r="AK186" s="415"/>
      <c r="AL186" s="415"/>
      <c r="AM186" s="415"/>
      <c r="AN186" s="415"/>
      <c r="AO186" s="415"/>
      <c r="AP186" s="415"/>
      <c r="AQ186" s="415"/>
      <c r="AR186" s="415"/>
      <c r="AS186" s="415"/>
      <c r="AT186" s="415"/>
      <c r="AU186" s="415"/>
      <c r="AV186" s="415"/>
      <c r="AW186" s="415"/>
      <c r="AX186" s="415"/>
      <c r="AY186" s="415"/>
      <c r="AZ186" s="415"/>
      <c r="BA186" s="415"/>
      <c r="BB186" s="415"/>
      <c r="BC186" s="415"/>
      <c r="BD186" s="415"/>
      <c r="BE186" s="415"/>
      <c r="BF186" s="415"/>
      <c r="BG186" s="415"/>
      <c r="BH186" s="415"/>
      <c r="BI186" s="415"/>
      <c r="BJ186" s="415"/>
      <c r="BK186" s="415"/>
      <c r="BL186" s="415"/>
      <c r="BM186" s="415"/>
      <c r="BN186" s="415"/>
      <c r="BO186" s="415"/>
      <c r="BP186" s="415"/>
      <c r="BQ186" s="413"/>
      <c r="BR186" s="472"/>
      <c r="BS186" s="415"/>
      <c r="BT186" s="415"/>
      <c r="BU186" s="415"/>
      <c r="BV186" s="413"/>
      <c r="BW186" s="413"/>
      <c r="BX186" s="413"/>
      <c r="BY186" s="413"/>
      <c r="BZ186" s="413"/>
      <c r="CA186" s="413"/>
      <c r="CB186" s="413"/>
      <c r="CC186" s="413"/>
      <c r="CD186" s="413"/>
      <c r="CE186" s="413"/>
      <c r="CF186" s="413"/>
      <c r="CG186" s="413"/>
      <c r="CH186" s="413"/>
      <c r="CI186" s="413"/>
      <c r="CJ186" s="413"/>
      <c r="CK186" s="413"/>
      <c r="CL186" s="413"/>
      <c r="CM186" s="413"/>
      <c r="CN186" s="413"/>
      <c r="CO186" s="413"/>
      <c r="CP186" s="413"/>
      <c r="CQ186" s="413"/>
      <c r="CR186" s="413"/>
      <c r="CS186" s="413"/>
      <c r="CT186" s="413"/>
      <c r="CU186" s="413"/>
      <c r="CV186" s="413"/>
      <c r="CW186" s="413"/>
      <c r="CX186" s="413"/>
      <c r="CY186" s="413"/>
      <c r="CZ186" s="413"/>
      <c r="DA186" s="413"/>
      <c r="DB186" s="413"/>
      <c r="DC186" s="413"/>
      <c r="DD186" s="413"/>
      <c r="DE186" s="413"/>
      <c r="DF186" s="413"/>
      <c r="DG186" s="413"/>
      <c r="DH186" s="413"/>
      <c r="DI186" s="413"/>
      <c r="DJ186" s="413"/>
      <c r="DK186" s="413"/>
    </row>
    <row r="187" spans="30:115" ht="14.25" customHeight="1">
      <c r="AD187" s="413"/>
      <c r="AE187" s="413"/>
      <c r="AF187" s="415"/>
      <c r="AG187" s="415"/>
      <c r="AH187" s="415"/>
      <c r="AI187" s="415"/>
      <c r="AJ187" s="415"/>
      <c r="AK187" s="415"/>
      <c r="AL187" s="415"/>
      <c r="AM187" s="415"/>
      <c r="AN187" s="415"/>
      <c r="AO187" s="415"/>
      <c r="AP187" s="415"/>
      <c r="AQ187" s="415"/>
      <c r="AR187" s="415"/>
      <c r="AS187" s="415"/>
      <c r="AT187" s="415"/>
      <c r="AU187" s="415"/>
      <c r="AV187" s="415"/>
      <c r="AW187" s="415"/>
      <c r="AX187" s="415"/>
      <c r="AY187" s="415"/>
      <c r="AZ187" s="415"/>
      <c r="BA187" s="415"/>
      <c r="BB187" s="415"/>
      <c r="BC187" s="415"/>
      <c r="BD187" s="415"/>
      <c r="BE187" s="415"/>
      <c r="BF187" s="415"/>
      <c r="BG187" s="415"/>
      <c r="BH187" s="415"/>
      <c r="BI187" s="415"/>
      <c r="BJ187" s="415"/>
      <c r="BK187" s="415"/>
      <c r="BL187" s="415"/>
      <c r="BM187" s="415"/>
      <c r="BN187" s="415"/>
      <c r="BO187" s="415"/>
      <c r="BP187" s="415"/>
      <c r="BQ187" s="413"/>
      <c r="BR187" s="472"/>
      <c r="BS187" s="415"/>
      <c r="BT187" s="415"/>
      <c r="BU187" s="415"/>
      <c r="BV187" s="413"/>
      <c r="BW187" s="413"/>
      <c r="BX187" s="413"/>
      <c r="BY187" s="413"/>
      <c r="BZ187" s="413"/>
      <c r="CA187" s="413"/>
      <c r="CB187" s="413"/>
      <c r="CC187" s="413"/>
      <c r="CD187" s="413"/>
      <c r="CE187" s="413"/>
      <c r="CF187" s="413"/>
      <c r="CG187" s="413"/>
      <c r="CH187" s="413"/>
      <c r="CI187" s="413"/>
      <c r="CJ187" s="413"/>
      <c r="CK187" s="413"/>
      <c r="CL187" s="413"/>
      <c r="CM187" s="413"/>
      <c r="CN187" s="413"/>
      <c r="CO187" s="413"/>
      <c r="CP187" s="413"/>
      <c r="CQ187" s="413"/>
      <c r="CR187" s="413"/>
      <c r="CS187" s="413"/>
      <c r="CT187" s="413"/>
      <c r="CU187" s="413"/>
      <c r="CV187" s="413"/>
      <c r="CW187" s="413"/>
      <c r="CX187" s="413"/>
      <c r="CY187" s="413"/>
      <c r="CZ187" s="413"/>
      <c r="DA187" s="413"/>
      <c r="DB187" s="413"/>
      <c r="DC187" s="413"/>
      <c r="DD187" s="413"/>
      <c r="DE187" s="413"/>
      <c r="DF187" s="413"/>
      <c r="DG187" s="413"/>
      <c r="DH187" s="413"/>
      <c r="DI187" s="413"/>
      <c r="DJ187" s="413"/>
      <c r="DK187" s="413"/>
    </row>
    <row r="188" spans="30:115" ht="14.25" customHeight="1">
      <c r="AD188" s="413"/>
      <c r="AE188" s="413"/>
      <c r="AF188" s="413"/>
      <c r="AG188" s="413"/>
      <c r="AH188" s="413"/>
      <c r="AI188" s="413"/>
      <c r="AJ188" s="413"/>
      <c r="AK188" s="413"/>
      <c r="AL188" s="413"/>
      <c r="AM188" s="413"/>
      <c r="AN188" s="413"/>
      <c r="AO188" s="413"/>
      <c r="AP188" s="413"/>
      <c r="AQ188" s="413"/>
      <c r="AR188" s="413"/>
      <c r="AS188" s="413"/>
      <c r="AT188" s="413"/>
      <c r="AU188" s="413"/>
      <c r="AV188" s="413"/>
      <c r="AW188" s="413"/>
      <c r="AX188" s="413"/>
      <c r="AY188" s="413"/>
      <c r="AZ188" s="413"/>
      <c r="BA188" s="413"/>
      <c r="BB188" s="413"/>
      <c r="BC188" s="413"/>
      <c r="BD188" s="413"/>
      <c r="BE188" s="413"/>
      <c r="BF188" s="413"/>
      <c r="BG188" s="413"/>
      <c r="BH188" s="413"/>
      <c r="BI188" s="413"/>
      <c r="BJ188" s="413"/>
      <c r="BK188" s="413"/>
      <c r="BL188" s="413"/>
      <c r="BM188" s="413"/>
      <c r="BN188" s="413"/>
      <c r="BO188" s="413"/>
      <c r="BP188" s="413"/>
      <c r="BQ188" s="413"/>
      <c r="BR188" s="414"/>
      <c r="BS188" s="413"/>
      <c r="BT188" s="413"/>
      <c r="BU188" s="413"/>
      <c r="BV188" s="413"/>
      <c r="BW188" s="413"/>
      <c r="BX188" s="413"/>
      <c r="BY188" s="413"/>
      <c r="BZ188" s="413"/>
      <c r="CA188" s="413"/>
      <c r="CB188" s="413"/>
      <c r="CC188" s="413"/>
      <c r="CD188" s="413"/>
      <c r="CE188" s="413"/>
      <c r="CF188" s="413"/>
      <c r="CG188" s="413"/>
      <c r="CH188" s="413"/>
      <c r="CI188" s="413"/>
      <c r="CJ188" s="413"/>
      <c r="CK188" s="413"/>
      <c r="CL188" s="413"/>
      <c r="CM188" s="413"/>
      <c r="CN188" s="413"/>
      <c r="CO188" s="413"/>
      <c r="CP188" s="413"/>
      <c r="CQ188" s="413"/>
      <c r="CR188" s="413"/>
      <c r="CS188" s="413"/>
      <c r="CT188" s="413"/>
      <c r="CU188" s="413"/>
      <c r="CV188" s="413"/>
      <c r="CW188" s="413"/>
      <c r="CX188" s="413"/>
      <c r="CY188" s="413"/>
      <c r="CZ188" s="413"/>
      <c r="DA188" s="413"/>
      <c r="DB188" s="413"/>
      <c r="DC188" s="413"/>
      <c r="DD188" s="413"/>
      <c r="DE188" s="413"/>
      <c r="DF188" s="413"/>
      <c r="DG188" s="413"/>
      <c r="DH188" s="413"/>
      <c r="DI188" s="413"/>
      <c r="DJ188" s="413"/>
      <c r="DK188" s="413"/>
    </row>
    <row r="189" spans="30:115" ht="14.25" customHeight="1">
      <c r="AD189" s="413"/>
      <c r="AE189" s="413"/>
      <c r="AF189" s="413"/>
      <c r="AG189" s="413"/>
      <c r="AH189" s="413"/>
      <c r="AI189" s="413"/>
      <c r="AJ189" s="413"/>
      <c r="AK189" s="413"/>
      <c r="AL189" s="413"/>
      <c r="AM189" s="413"/>
      <c r="AN189" s="413"/>
      <c r="AO189" s="413"/>
      <c r="AP189" s="413"/>
      <c r="AQ189" s="413"/>
      <c r="AR189" s="413"/>
      <c r="AS189" s="413"/>
      <c r="AT189" s="413"/>
      <c r="AU189" s="413"/>
      <c r="AV189" s="413"/>
      <c r="AW189" s="413"/>
      <c r="AX189" s="413"/>
      <c r="AY189" s="413"/>
      <c r="AZ189" s="413"/>
      <c r="BA189" s="413"/>
      <c r="BB189" s="413"/>
      <c r="BC189" s="413"/>
      <c r="BD189" s="413"/>
      <c r="BE189" s="413"/>
      <c r="BF189" s="413"/>
      <c r="BG189" s="413"/>
      <c r="BH189" s="413"/>
      <c r="BI189" s="413"/>
      <c r="BJ189" s="413"/>
      <c r="BK189" s="413"/>
      <c r="BL189" s="413"/>
      <c r="BM189" s="413"/>
      <c r="BN189" s="413"/>
      <c r="BO189" s="413"/>
      <c r="BP189" s="413"/>
      <c r="BQ189" s="413"/>
      <c r="BR189" s="414"/>
      <c r="BS189" s="413"/>
      <c r="BT189" s="413"/>
      <c r="BU189" s="413"/>
      <c r="BV189" s="413"/>
      <c r="BW189" s="413"/>
      <c r="BX189" s="413"/>
      <c r="BY189" s="413"/>
      <c r="BZ189" s="413"/>
      <c r="CA189" s="413"/>
      <c r="CB189" s="413"/>
      <c r="CC189" s="413"/>
      <c r="CD189" s="413"/>
      <c r="CE189" s="413"/>
      <c r="CF189" s="413"/>
      <c r="CG189" s="413"/>
      <c r="CH189" s="413"/>
      <c r="CI189" s="413"/>
      <c r="CJ189" s="413"/>
      <c r="CK189" s="413"/>
      <c r="CL189" s="413"/>
      <c r="CM189" s="413"/>
      <c r="CN189" s="413"/>
      <c r="CO189" s="413"/>
      <c r="CP189" s="413"/>
      <c r="CQ189" s="413"/>
      <c r="CR189" s="413"/>
      <c r="CS189" s="413"/>
      <c r="CT189" s="413"/>
      <c r="CU189" s="413"/>
      <c r="CV189" s="413"/>
      <c r="CW189" s="413"/>
      <c r="CX189" s="413"/>
      <c r="CY189" s="413"/>
      <c r="CZ189" s="413"/>
      <c r="DA189" s="413"/>
      <c r="DB189" s="413"/>
      <c r="DC189" s="413"/>
      <c r="DD189" s="413"/>
      <c r="DE189" s="413"/>
      <c r="DF189" s="413"/>
      <c r="DG189" s="413"/>
      <c r="DH189" s="413"/>
      <c r="DI189" s="413"/>
      <c r="DJ189" s="413"/>
      <c r="DK189" s="413"/>
    </row>
    <row r="190" spans="30:115" ht="14.25" customHeight="1">
      <c r="AD190" s="413"/>
      <c r="AE190" s="413"/>
      <c r="AF190" s="413"/>
      <c r="AG190" s="413"/>
      <c r="AH190" s="413"/>
      <c r="AI190" s="413"/>
      <c r="AJ190" s="413"/>
      <c r="AK190" s="413"/>
      <c r="AL190" s="413"/>
      <c r="AM190" s="413"/>
      <c r="AN190" s="413"/>
      <c r="AO190" s="413"/>
      <c r="AP190" s="413"/>
      <c r="AQ190" s="413"/>
      <c r="AR190" s="413"/>
      <c r="AS190" s="413"/>
      <c r="AT190" s="413"/>
      <c r="AU190" s="413"/>
      <c r="AV190" s="413"/>
      <c r="AW190" s="413"/>
      <c r="AX190" s="413"/>
      <c r="AY190" s="413"/>
      <c r="AZ190" s="413"/>
      <c r="BA190" s="413"/>
      <c r="BB190" s="413"/>
      <c r="BC190" s="413"/>
      <c r="BD190" s="413"/>
      <c r="BE190" s="413"/>
      <c r="BF190" s="413"/>
      <c r="BG190" s="413"/>
      <c r="BH190" s="413"/>
      <c r="BI190" s="413"/>
      <c r="BJ190" s="413"/>
      <c r="BK190" s="413"/>
      <c r="BL190" s="413"/>
      <c r="BM190" s="413"/>
      <c r="BN190" s="413"/>
      <c r="BO190" s="413"/>
      <c r="BP190" s="413"/>
      <c r="BQ190" s="413"/>
      <c r="BR190" s="414"/>
      <c r="BS190" s="413"/>
      <c r="BT190" s="413"/>
      <c r="BU190" s="413"/>
      <c r="BV190" s="413"/>
      <c r="BW190" s="413"/>
      <c r="BX190" s="413"/>
      <c r="BY190" s="413"/>
      <c r="BZ190" s="413"/>
      <c r="CA190" s="413"/>
      <c r="CB190" s="413"/>
      <c r="CC190" s="413"/>
      <c r="CD190" s="413"/>
      <c r="CE190" s="413"/>
      <c r="CF190" s="413"/>
      <c r="CG190" s="413"/>
      <c r="CH190" s="413"/>
      <c r="CI190" s="413"/>
      <c r="CJ190" s="413"/>
      <c r="CK190" s="413"/>
      <c r="CL190" s="413"/>
      <c r="CM190" s="413"/>
      <c r="CN190" s="413"/>
      <c r="CO190" s="413"/>
      <c r="CP190" s="413"/>
      <c r="CQ190" s="413"/>
      <c r="CR190" s="413"/>
      <c r="CS190" s="413"/>
      <c r="CT190" s="413"/>
      <c r="CU190" s="413"/>
      <c r="CV190" s="413"/>
      <c r="CW190" s="413"/>
      <c r="CX190" s="413"/>
      <c r="CY190" s="413"/>
      <c r="CZ190" s="413"/>
      <c r="DA190" s="413"/>
      <c r="DB190" s="413"/>
      <c r="DC190" s="413"/>
      <c r="DD190" s="413"/>
      <c r="DE190" s="413"/>
      <c r="DF190" s="413"/>
      <c r="DG190" s="413"/>
      <c r="DH190" s="413"/>
      <c r="DI190" s="413"/>
      <c r="DJ190" s="413"/>
      <c r="DK190" s="413"/>
    </row>
    <row r="191" spans="30:115" ht="14.25" customHeight="1">
      <c r="AD191" s="413"/>
      <c r="AE191" s="413"/>
      <c r="AF191" s="413"/>
      <c r="AG191" s="413"/>
      <c r="AH191" s="413"/>
      <c r="AI191" s="413"/>
      <c r="AJ191" s="413"/>
      <c r="AK191" s="413"/>
      <c r="AL191" s="413"/>
      <c r="AM191" s="413"/>
      <c r="AN191" s="413"/>
      <c r="AO191" s="413"/>
      <c r="AP191" s="413"/>
      <c r="AQ191" s="413"/>
      <c r="AR191" s="413"/>
      <c r="AS191" s="413"/>
      <c r="AT191" s="413"/>
      <c r="AU191" s="413"/>
      <c r="AV191" s="413"/>
      <c r="AW191" s="413"/>
      <c r="AX191" s="413"/>
      <c r="AY191" s="413"/>
      <c r="AZ191" s="413"/>
      <c r="BA191" s="413"/>
      <c r="BB191" s="413"/>
      <c r="BC191" s="413"/>
      <c r="BD191" s="413"/>
      <c r="BE191" s="413"/>
      <c r="BF191" s="413"/>
      <c r="BG191" s="413"/>
      <c r="BH191" s="413"/>
      <c r="BI191" s="413"/>
      <c r="BJ191" s="413"/>
      <c r="BK191" s="413"/>
      <c r="BL191" s="413"/>
      <c r="BM191" s="413"/>
      <c r="BN191" s="413"/>
      <c r="BO191" s="413"/>
      <c r="BP191" s="413"/>
      <c r="BQ191" s="413"/>
      <c r="BR191" s="414"/>
      <c r="BS191" s="413"/>
      <c r="BT191" s="413"/>
      <c r="BU191" s="413"/>
      <c r="BV191" s="413"/>
      <c r="BW191" s="413"/>
      <c r="BX191" s="413"/>
      <c r="BY191" s="413"/>
      <c r="BZ191" s="413"/>
      <c r="CA191" s="413"/>
      <c r="CB191" s="413"/>
      <c r="CC191" s="413"/>
      <c r="CD191" s="413"/>
      <c r="CE191" s="413"/>
      <c r="CF191" s="413"/>
      <c r="CG191" s="413"/>
      <c r="CH191" s="413"/>
      <c r="CI191" s="413"/>
      <c r="CJ191" s="413"/>
      <c r="CK191" s="413"/>
      <c r="CL191" s="413"/>
      <c r="CM191" s="413"/>
      <c r="CN191" s="413"/>
      <c r="CO191" s="413"/>
      <c r="CP191" s="413"/>
      <c r="CQ191" s="413"/>
      <c r="CR191" s="413"/>
      <c r="CS191" s="413"/>
      <c r="CT191" s="413"/>
      <c r="CU191" s="413"/>
      <c r="CV191" s="413"/>
      <c r="CW191" s="413"/>
      <c r="CX191" s="413"/>
      <c r="CY191" s="413"/>
      <c r="CZ191" s="413"/>
      <c r="DA191" s="413"/>
      <c r="DB191" s="413"/>
      <c r="DC191" s="413"/>
      <c r="DD191" s="413"/>
      <c r="DE191" s="413"/>
      <c r="DF191" s="413"/>
      <c r="DG191" s="413"/>
      <c r="DH191" s="413"/>
      <c r="DI191" s="413"/>
      <c r="DJ191" s="413"/>
      <c r="DK191" s="413"/>
    </row>
    <row r="192" spans="30:115" ht="14.25" customHeight="1">
      <c r="AD192" s="413"/>
      <c r="AE192" s="413"/>
      <c r="AF192" s="413"/>
      <c r="AG192" s="413"/>
      <c r="AH192" s="413"/>
      <c r="AI192" s="413"/>
      <c r="AJ192" s="413"/>
      <c r="AK192" s="413"/>
      <c r="AL192" s="413"/>
      <c r="AM192" s="413"/>
      <c r="AN192" s="413"/>
      <c r="AO192" s="413"/>
      <c r="AP192" s="413"/>
      <c r="AQ192" s="413"/>
      <c r="AR192" s="413"/>
      <c r="AS192" s="413"/>
      <c r="AT192" s="413"/>
      <c r="AU192" s="413"/>
      <c r="AV192" s="413"/>
      <c r="AW192" s="413"/>
      <c r="AX192" s="413"/>
      <c r="AY192" s="413"/>
      <c r="AZ192" s="413"/>
      <c r="BA192" s="413"/>
      <c r="BB192" s="413"/>
      <c r="BC192" s="413"/>
      <c r="BD192" s="413"/>
      <c r="BE192" s="413"/>
      <c r="BF192" s="413"/>
      <c r="BG192" s="413"/>
      <c r="BH192" s="413"/>
      <c r="BI192" s="413"/>
      <c r="BJ192" s="413"/>
      <c r="BK192" s="413"/>
      <c r="BL192" s="413"/>
      <c r="BM192" s="413"/>
      <c r="BN192" s="413"/>
      <c r="BO192" s="413"/>
      <c r="BP192" s="413"/>
      <c r="BQ192" s="413"/>
      <c r="BR192" s="414"/>
      <c r="BS192" s="413"/>
      <c r="BT192" s="413"/>
      <c r="BU192" s="413"/>
      <c r="BV192" s="413"/>
      <c r="BW192" s="413"/>
      <c r="BX192" s="413"/>
      <c r="BY192" s="413"/>
      <c r="BZ192" s="413"/>
      <c r="CA192" s="413"/>
      <c r="CB192" s="413"/>
      <c r="CC192" s="413"/>
      <c r="CD192" s="413"/>
      <c r="CE192" s="413"/>
      <c r="CF192" s="413"/>
      <c r="CG192" s="413"/>
      <c r="CH192" s="413"/>
      <c r="CI192" s="413"/>
      <c r="CJ192" s="413"/>
      <c r="CK192" s="413"/>
      <c r="CL192" s="413"/>
      <c r="CM192" s="413"/>
      <c r="CN192" s="413"/>
      <c r="CO192" s="413"/>
      <c r="CP192" s="413"/>
      <c r="CQ192" s="413"/>
      <c r="CR192" s="413"/>
      <c r="CS192" s="413"/>
      <c r="CT192" s="413"/>
      <c r="CU192" s="413"/>
      <c r="CV192" s="413"/>
      <c r="CW192" s="413"/>
      <c r="CX192" s="413"/>
      <c r="CY192" s="413"/>
      <c r="CZ192" s="413"/>
      <c r="DA192" s="413"/>
      <c r="DB192" s="413"/>
      <c r="DC192" s="413"/>
      <c r="DD192" s="413"/>
      <c r="DE192" s="413"/>
      <c r="DF192" s="413"/>
      <c r="DG192" s="413"/>
      <c r="DH192" s="413"/>
      <c r="DI192" s="413"/>
      <c r="DJ192" s="413"/>
      <c r="DK192" s="413"/>
    </row>
    <row r="193" spans="30:115" ht="14.25" customHeight="1">
      <c r="AD193" s="413"/>
      <c r="AE193" s="413"/>
      <c r="AF193" s="413"/>
      <c r="AG193" s="413"/>
      <c r="AH193" s="413"/>
      <c r="AI193" s="413"/>
      <c r="AJ193" s="413"/>
      <c r="AK193" s="413"/>
      <c r="AL193" s="413"/>
      <c r="AM193" s="413"/>
      <c r="AN193" s="413"/>
      <c r="AO193" s="413"/>
      <c r="AP193" s="413"/>
      <c r="AQ193" s="413"/>
      <c r="AR193" s="413"/>
      <c r="AS193" s="413"/>
      <c r="AT193" s="413"/>
      <c r="AU193" s="413"/>
      <c r="AV193" s="413"/>
      <c r="AW193" s="413"/>
      <c r="AX193" s="413"/>
      <c r="AY193" s="413"/>
      <c r="AZ193" s="413"/>
      <c r="BA193" s="413"/>
      <c r="BB193" s="413"/>
      <c r="BC193" s="413"/>
      <c r="BD193" s="413"/>
      <c r="BE193" s="413"/>
      <c r="BF193" s="413"/>
      <c r="BG193" s="413"/>
      <c r="BH193" s="413"/>
      <c r="BI193" s="413"/>
      <c r="BJ193" s="413"/>
      <c r="BK193" s="413"/>
      <c r="BL193" s="413"/>
      <c r="BM193" s="413"/>
      <c r="BN193" s="413"/>
      <c r="BO193" s="413"/>
      <c r="BP193" s="413"/>
      <c r="BQ193" s="413"/>
      <c r="BR193" s="414"/>
      <c r="BS193" s="413"/>
      <c r="BT193" s="413"/>
      <c r="BU193" s="413"/>
      <c r="BV193" s="413"/>
      <c r="BW193" s="413"/>
      <c r="BX193" s="413"/>
      <c r="BY193" s="413"/>
      <c r="BZ193" s="413"/>
      <c r="CA193" s="413"/>
      <c r="CB193" s="413"/>
      <c r="CC193" s="413"/>
      <c r="CD193" s="413"/>
      <c r="CE193" s="413"/>
      <c r="CF193" s="413"/>
      <c r="CG193" s="413"/>
      <c r="CH193" s="413"/>
      <c r="CI193" s="413"/>
      <c r="CJ193" s="413"/>
      <c r="CK193" s="413"/>
      <c r="CL193" s="413"/>
      <c r="CM193" s="413"/>
      <c r="CN193" s="413"/>
      <c r="CO193" s="413"/>
      <c r="CP193" s="413"/>
      <c r="CQ193" s="413"/>
      <c r="CR193" s="413"/>
      <c r="CS193" s="413"/>
      <c r="CT193" s="413"/>
      <c r="CU193" s="413"/>
      <c r="CV193" s="413"/>
      <c r="CW193" s="413"/>
      <c r="CX193" s="413"/>
      <c r="CY193" s="413"/>
      <c r="CZ193" s="413"/>
      <c r="DA193" s="413"/>
      <c r="DB193" s="413"/>
      <c r="DC193" s="413"/>
      <c r="DD193" s="413"/>
      <c r="DE193" s="413"/>
      <c r="DF193" s="413"/>
      <c r="DG193" s="413"/>
      <c r="DH193" s="413"/>
      <c r="DI193" s="413"/>
      <c r="DJ193" s="413"/>
      <c r="DK193" s="413"/>
    </row>
    <row r="194" spans="30:115" ht="14.25" customHeight="1">
      <c r="AD194" s="413"/>
      <c r="AE194" s="413"/>
      <c r="AF194" s="413"/>
      <c r="AG194" s="413"/>
      <c r="AH194" s="413"/>
      <c r="AI194" s="413"/>
      <c r="AJ194" s="413"/>
      <c r="AK194" s="413"/>
      <c r="AL194" s="413"/>
      <c r="AM194" s="413"/>
      <c r="AN194" s="413"/>
      <c r="AO194" s="413"/>
      <c r="AP194" s="413"/>
      <c r="AQ194" s="413"/>
      <c r="AR194" s="413"/>
      <c r="AS194" s="413"/>
      <c r="AT194" s="413"/>
      <c r="AU194" s="413"/>
      <c r="AV194" s="413"/>
      <c r="AW194" s="413"/>
      <c r="AX194" s="413"/>
      <c r="AY194" s="413"/>
      <c r="AZ194" s="413"/>
      <c r="BA194" s="413"/>
      <c r="BB194" s="413"/>
      <c r="BC194" s="413"/>
      <c r="BD194" s="413"/>
      <c r="BE194" s="413"/>
      <c r="BF194" s="413"/>
      <c r="BG194" s="413"/>
      <c r="BH194" s="413"/>
      <c r="BI194" s="413"/>
      <c r="BJ194" s="413"/>
      <c r="BK194" s="413"/>
      <c r="BL194" s="413"/>
      <c r="BM194" s="413"/>
      <c r="BN194" s="413"/>
      <c r="BO194" s="413"/>
      <c r="BP194" s="413"/>
      <c r="BQ194" s="413"/>
      <c r="BR194" s="414"/>
      <c r="BS194" s="413"/>
      <c r="BT194" s="413"/>
      <c r="BU194" s="413"/>
      <c r="BV194" s="413"/>
      <c r="BW194" s="413"/>
      <c r="BX194" s="413"/>
      <c r="BY194" s="413"/>
      <c r="BZ194" s="413"/>
      <c r="CA194" s="413"/>
      <c r="CB194" s="413"/>
      <c r="CC194" s="413"/>
      <c r="CD194" s="413"/>
      <c r="CE194" s="413"/>
      <c r="CF194" s="413"/>
      <c r="CG194" s="413"/>
      <c r="CH194" s="413"/>
      <c r="CI194" s="413"/>
      <c r="CJ194" s="413"/>
      <c r="CK194" s="413"/>
      <c r="CL194" s="413"/>
      <c r="CM194" s="413"/>
      <c r="CN194" s="413"/>
      <c r="CO194" s="413"/>
      <c r="CP194" s="413"/>
      <c r="CQ194" s="413"/>
      <c r="CR194" s="413"/>
      <c r="CS194" s="413"/>
      <c r="CT194" s="413"/>
      <c r="CU194" s="413"/>
      <c r="CV194" s="413"/>
      <c r="CW194" s="413"/>
      <c r="CX194" s="413"/>
      <c r="CY194" s="413"/>
      <c r="CZ194" s="413"/>
      <c r="DA194" s="413"/>
      <c r="DB194" s="413"/>
      <c r="DC194" s="413"/>
      <c r="DD194" s="413"/>
      <c r="DE194" s="413"/>
      <c r="DF194" s="413"/>
      <c r="DG194" s="413"/>
      <c r="DH194" s="413"/>
      <c r="DI194" s="413"/>
      <c r="DJ194" s="413"/>
      <c r="DK194" s="413"/>
    </row>
    <row r="195" spans="30:115" ht="14.25" customHeight="1">
      <c r="AD195" s="413"/>
      <c r="AE195" s="413"/>
      <c r="AF195" s="413"/>
      <c r="AG195" s="413"/>
      <c r="AH195" s="413"/>
      <c r="AI195" s="413"/>
      <c r="AJ195" s="413"/>
      <c r="AK195" s="413"/>
      <c r="AL195" s="413"/>
      <c r="AM195" s="413"/>
      <c r="AN195" s="413"/>
      <c r="AO195" s="413"/>
      <c r="AP195" s="413"/>
      <c r="AQ195" s="413"/>
      <c r="AR195" s="413"/>
      <c r="AS195" s="413"/>
      <c r="AT195" s="413"/>
      <c r="AU195" s="413"/>
      <c r="AV195" s="413"/>
      <c r="AW195" s="413"/>
      <c r="AX195" s="413"/>
      <c r="AY195" s="413"/>
      <c r="AZ195" s="413"/>
      <c r="BA195" s="413"/>
      <c r="BB195" s="413"/>
      <c r="BC195" s="413"/>
      <c r="BD195" s="413"/>
      <c r="BE195" s="413"/>
      <c r="BF195" s="413"/>
      <c r="BG195" s="413"/>
      <c r="BH195" s="413"/>
      <c r="BI195" s="413"/>
      <c r="BJ195" s="413"/>
      <c r="BK195" s="413"/>
      <c r="BL195" s="413"/>
      <c r="BM195" s="413"/>
      <c r="BN195" s="413"/>
      <c r="BO195" s="413"/>
      <c r="BP195" s="413"/>
      <c r="BQ195" s="413"/>
      <c r="BR195" s="414"/>
      <c r="BS195" s="413"/>
      <c r="BT195" s="413"/>
      <c r="BU195" s="413"/>
      <c r="BV195" s="413"/>
      <c r="BW195" s="413"/>
      <c r="BX195" s="413"/>
      <c r="BY195" s="413"/>
      <c r="BZ195" s="413"/>
      <c r="CA195" s="413"/>
      <c r="CB195" s="413"/>
      <c r="CC195" s="413"/>
      <c r="CD195" s="413"/>
      <c r="CE195" s="413"/>
      <c r="CF195" s="413"/>
      <c r="CG195" s="413"/>
      <c r="CH195" s="413"/>
      <c r="CI195" s="413"/>
      <c r="CJ195" s="413"/>
      <c r="CK195" s="413"/>
      <c r="CL195" s="413"/>
      <c r="CM195" s="413"/>
      <c r="CN195" s="413"/>
      <c r="CO195" s="413"/>
      <c r="CP195" s="413"/>
      <c r="CQ195" s="413"/>
      <c r="CR195" s="413"/>
      <c r="CS195" s="413"/>
      <c r="CT195" s="413"/>
      <c r="CU195" s="413"/>
      <c r="CV195" s="413"/>
      <c r="CW195" s="413"/>
      <c r="CX195" s="413"/>
      <c r="CY195" s="413"/>
      <c r="CZ195" s="413"/>
      <c r="DA195" s="413"/>
      <c r="DB195" s="413"/>
      <c r="DC195" s="413"/>
      <c r="DD195" s="413"/>
      <c r="DE195" s="413"/>
      <c r="DF195" s="413"/>
      <c r="DG195" s="413"/>
      <c r="DH195" s="413"/>
      <c r="DI195" s="413"/>
      <c r="DJ195" s="413"/>
      <c r="DK195" s="413"/>
    </row>
    <row r="196" spans="30:115" ht="14.25" customHeight="1">
      <c r="AD196" s="413"/>
      <c r="AE196" s="413"/>
      <c r="AF196" s="413"/>
      <c r="AG196" s="413"/>
      <c r="AH196" s="413"/>
      <c r="AI196" s="413"/>
      <c r="AJ196" s="413"/>
      <c r="AK196" s="413"/>
      <c r="AL196" s="413"/>
      <c r="AM196" s="413"/>
      <c r="AN196" s="413"/>
      <c r="AO196" s="413"/>
      <c r="AP196" s="413"/>
      <c r="AQ196" s="413"/>
      <c r="AR196" s="413"/>
      <c r="AS196" s="413"/>
      <c r="AT196" s="413"/>
      <c r="AU196" s="413"/>
      <c r="AV196" s="413"/>
      <c r="AW196" s="413"/>
      <c r="AX196" s="413"/>
      <c r="AY196" s="413"/>
      <c r="AZ196" s="413"/>
      <c r="BA196" s="413"/>
      <c r="BB196" s="413"/>
      <c r="BC196" s="413"/>
      <c r="BD196" s="413"/>
      <c r="BE196" s="413"/>
      <c r="BF196" s="413"/>
      <c r="BG196" s="413"/>
      <c r="BH196" s="413"/>
      <c r="BI196" s="413"/>
      <c r="BJ196" s="413"/>
      <c r="BK196" s="413"/>
      <c r="BL196" s="413"/>
      <c r="BM196" s="413"/>
      <c r="BN196" s="413"/>
      <c r="BO196" s="413"/>
      <c r="BP196" s="413"/>
      <c r="BQ196" s="413"/>
      <c r="BR196" s="414"/>
      <c r="BS196" s="413"/>
      <c r="BT196" s="413"/>
      <c r="BU196" s="413"/>
      <c r="BV196" s="413"/>
      <c r="BW196" s="413"/>
      <c r="BX196" s="413"/>
      <c r="BY196" s="413"/>
      <c r="BZ196" s="413"/>
      <c r="CA196" s="413"/>
      <c r="CB196" s="413"/>
      <c r="CC196" s="413"/>
      <c r="CD196" s="413"/>
      <c r="CE196" s="413"/>
      <c r="CF196" s="413"/>
      <c r="CG196" s="413"/>
      <c r="CH196" s="413"/>
      <c r="CI196" s="413"/>
      <c r="CJ196" s="413"/>
      <c r="CK196" s="413"/>
      <c r="CL196" s="413"/>
      <c r="CM196" s="413"/>
      <c r="CN196" s="413"/>
      <c r="CO196" s="413"/>
      <c r="CP196" s="413"/>
      <c r="CQ196" s="413"/>
      <c r="CR196" s="413"/>
      <c r="CS196" s="413"/>
      <c r="CT196" s="413"/>
      <c r="CU196" s="413"/>
      <c r="CV196" s="413"/>
      <c r="CW196" s="413"/>
      <c r="CX196" s="413"/>
      <c r="CY196" s="413"/>
      <c r="CZ196" s="413"/>
      <c r="DA196" s="413"/>
      <c r="DB196" s="413"/>
      <c r="DC196" s="413"/>
      <c r="DD196" s="413"/>
      <c r="DE196" s="413"/>
      <c r="DF196" s="413"/>
      <c r="DG196" s="413"/>
      <c r="DH196" s="413"/>
      <c r="DI196" s="413"/>
      <c r="DJ196" s="413"/>
      <c r="DK196" s="413"/>
    </row>
    <row r="197" spans="30:115" ht="14.25" customHeight="1">
      <c r="AD197" s="413"/>
      <c r="AE197" s="413"/>
      <c r="AF197" s="413"/>
      <c r="AG197" s="413"/>
      <c r="AH197" s="413"/>
      <c r="AI197" s="413"/>
      <c r="AJ197" s="413"/>
      <c r="AK197" s="413"/>
      <c r="AL197" s="413"/>
      <c r="AM197" s="413"/>
      <c r="AN197" s="413"/>
      <c r="AO197" s="413"/>
      <c r="AP197" s="413"/>
      <c r="AQ197" s="413"/>
      <c r="AR197" s="413"/>
      <c r="AS197" s="413"/>
      <c r="AT197" s="413"/>
      <c r="AU197" s="413"/>
      <c r="AV197" s="413"/>
      <c r="AW197" s="413"/>
      <c r="AX197" s="413"/>
      <c r="AY197" s="413"/>
      <c r="AZ197" s="413"/>
      <c r="BA197" s="413"/>
      <c r="BB197" s="413"/>
      <c r="BC197" s="413"/>
      <c r="BD197" s="413"/>
      <c r="BE197" s="413"/>
      <c r="BF197" s="413"/>
      <c r="BG197" s="413"/>
      <c r="BH197" s="413"/>
      <c r="BI197" s="413"/>
      <c r="BJ197" s="413"/>
      <c r="BK197" s="413"/>
      <c r="BL197" s="413"/>
      <c r="BM197" s="413"/>
      <c r="BN197" s="413"/>
      <c r="BO197" s="413"/>
      <c r="BP197" s="413"/>
      <c r="BQ197" s="413"/>
      <c r="BR197" s="414"/>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c r="CR197" s="413"/>
      <c r="CS197" s="413"/>
      <c r="CT197" s="413"/>
      <c r="CU197" s="413"/>
      <c r="CV197" s="413"/>
      <c r="CW197" s="413"/>
      <c r="CX197" s="413"/>
      <c r="CY197" s="413"/>
      <c r="CZ197" s="413"/>
      <c r="DA197" s="413"/>
      <c r="DB197" s="413"/>
      <c r="DC197" s="413"/>
      <c r="DD197" s="413"/>
      <c r="DE197" s="413"/>
      <c r="DF197" s="413"/>
      <c r="DG197" s="413"/>
      <c r="DH197" s="413"/>
      <c r="DI197" s="413"/>
      <c r="DJ197" s="413"/>
      <c r="DK197" s="413"/>
    </row>
    <row r="198" spans="30:115" ht="14.25" customHeight="1">
      <c r="AD198" s="413"/>
      <c r="AE198" s="413"/>
      <c r="AF198" s="413"/>
      <c r="AG198" s="413"/>
      <c r="AH198" s="413"/>
      <c r="AI198" s="413"/>
      <c r="AJ198" s="413"/>
      <c r="AK198" s="413"/>
      <c r="AL198" s="413"/>
      <c r="AM198" s="413"/>
      <c r="AN198" s="413"/>
      <c r="AO198" s="413"/>
      <c r="AP198" s="413"/>
      <c r="AQ198" s="413"/>
      <c r="AR198" s="413"/>
      <c r="AS198" s="413"/>
      <c r="AT198" s="413"/>
      <c r="AU198" s="413"/>
      <c r="AV198" s="413"/>
      <c r="AW198" s="413"/>
      <c r="AX198" s="413"/>
      <c r="AY198" s="413"/>
      <c r="AZ198" s="413"/>
      <c r="BA198" s="413"/>
      <c r="BB198" s="413"/>
      <c r="BC198" s="413"/>
      <c r="BD198" s="413"/>
      <c r="BE198" s="413"/>
      <c r="BF198" s="413"/>
      <c r="BG198" s="413"/>
      <c r="BH198" s="413"/>
      <c r="BI198" s="413"/>
      <c r="BJ198" s="413"/>
      <c r="BK198" s="413"/>
      <c r="BL198" s="413"/>
      <c r="BM198" s="413"/>
      <c r="BN198" s="413"/>
      <c r="BO198" s="413"/>
      <c r="BP198" s="413"/>
      <c r="BQ198" s="413"/>
      <c r="BR198" s="414"/>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c r="CR198" s="413"/>
      <c r="CS198" s="413"/>
      <c r="CT198" s="413"/>
      <c r="CU198" s="413"/>
      <c r="CV198" s="413"/>
      <c r="CW198" s="413"/>
      <c r="CX198" s="413"/>
      <c r="CY198" s="413"/>
      <c r="CZ198" s="413"/>
      <c r="DA198" s="413"/>
      <c r="DB198" s="413"/>
      <c r="DC198" s="413"/>
      <c r="DD198" s="413"/>
      <c r="DE198" s="413"/>
      <c r="DF198" s="413"/>
      <c r="DG198" s="413"/>
      <c r="DH198" s="413"/>
      <c r="DI198" s="413"/>
      <c r="DJ198" s="413"/>
      <c r="DK198" s="413"/>
    </row>
    <row r="199" spans="30:115" ht="14.25" customHeight="1">
      <c r="AD199" s="413"/>
      <c r="AE199" s="413"/>
      <c r="AF199" s="413"/>
      <c r="AG199" s="413"/>
      <c r="AH199" s="413"/>
      <c r="AI199" s="413"/>
      <c r="AJ199" s="413"/>
      <c r="AK199" s="413"/>
      <c r="AL199" s="413"/>
      <c r="AM199" s="413"/>
      <c r="AN199" s="413"/>
      <c r="AO199" s="413"/>
      <c r="AP199" s="413"/>
      <c r="AQ199" s="413"/>
      <c r="AR199" s="413"/>
      <c r="AS199" s="413"/>
      <c r="AT199" s="413"/>
      <c r="AU199" s="413"/>
      <c r="AV199" s="413"/>
      <c r="AW199" s="413"/>
      <c r="AX199" s="413"/>
      <c r="AY199" s="413"/>
      <c r="AZ199" s="413"/>
      <c r="BA199" s="413"/>
      <c r="BB199" s="413"/>
      <c r="BC199" s="413"/>
      <c r="BD199" s="413"/>
      <c r="BE199" s="413"/>
      <c r="BF199" s="413"/>
      <c r="BG199" s="413"/>
      <c r="BH199" s="413"/>
      <c r="BI199" s="413"/>
      <c r="BJ199" s="413"/>
      <c r="BK199" s="413"/>
      <c r="BL199" s="413"/>
      <c r="BM199" s="413"/>
      <c r="BN199" s="413"/>
      <c r="BO199" s="413"/>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c r="CR199" s="413"/>
      <c r="CS199" s="413"/>
      <c r="CT199" s="413"/>
      <c r="CU199" s="413"/>
      <c r="CV199" s="413"/>
      <c r="CW199" s="413"/>
      <c r="CX199" s="413"/>
      <c r="CY199" s="413"/>
      <c r="CZ199" s="413"/>
      <c r="DA199" s="413"/>
      <c r="DB199" s="413"/>
      <c r="DC199" s="413"/>
      <c r="DD199" s="413"/>
      <c r="DE199" s="413"/>
      <c r="DF199" s="413"/>
      <c r="DG199" s="413"/>
      <c r="DH199" s="413"/>
      <c r="DI199" s="413"/>
      <c r="DJ199" s="413"/>
      <c r="DK199" s="413"/>
    </row>
    <row r="200" spans="30:115" ht="14.25" customHeight="1">
      <c r="AD200" s="413"/>
      <c r="AE200" s="413"/>
      <c r="AF200" s="413"/>
      <c r="AG200" s="413"/>
      <c r="AH200" s="413"/>
      <c r="AI200" s="413"/>
      <c r="AJ200" s="413"/>
      <c r="AK200" s="413"/>
      <c r="AL200" s="413"/>
      <c r="AM200" s="413"/>
      <c r="AN200" s="413"/>
      <c r="AO200" s="413"/>
      <c r="AP200" s="413"/>
      <c r="AQ200" s="413"/>
      <c r="AR200" s="413"/>
      <c r="AS200" s="413"/>
      <c r="AT200" s="413"/>
      <c r="AU200" s="413"/>
      <c r="AV200" s="413"/>
      <c r="AW200" s="413"/>
      <c r="AX200" s="413"/>
      <c r="AY200" s="413"/>
      <c r="AZ200" s="413"/>
      <c r="BA200" s="413"/>
      <c r="BB200" s="413"/>
      <c r="BC200" s="413"/>
      <c r="BD200" s="413"/>
      <c r="BE200" s="413"/>
      <c r="BF200" s="413"/>
      <c r="BG200" s="413"/>
      <c r="BH200" s="413"/>
      <c r="BI200" s="413"/>
      <c r="BJ200" s="413"/>
      <c r="BK200" s="413"/>
      <c r="BL200" s="413"/>
      <c r="BM200" s="413"/>
      <c r="BN200" s="413"/>
      <c r="BO200" s="413"/>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c r="CR200" s="413"/>
      <c r="CS200" s="413"/>
      <c r="CT200" s="413"/>
      <c r="CU200" s="413"/>
      <c r="CV200" s="413"/>
      <c r="CW200" s="413"/>
      <c r="CX200" s="413"/>
      <c r="CY200" s="413"/>
      <c r="CZ200" s="413"/>
      <c r="DA200" s="413"/>
      <c r="DB200" s="413"/>
      <c r="DC200" s="413"/>
      <c r="DD200" s="413"/>
      <c r="DE200" s="413"/>
      <c r="DF200" s="413"/>
      <c r="DG200" s="413"/>
      <c r="DH200" s="413"/>
      <c r="DI200" s="413"/>
      <c r="DJ200" s="413"/>
      <c r="DK200" s="413"/>
    </row>
    <row r="201" spans="30:115" ht="14.25" customHeight="1">
      <c r="AD201" s="413"/>
      <c r="AE201" s="413"/>
      <c r="AF201" s="413"/>
      <c r="AG201" s="413"/>
      <c r="AH201" s="413"/>
      <c r="AI201" s="413"/>
      <c r="AJ201" s="413"/>
      <c r="AK201" s="413"/>
      <c r="AL201" s="413"/>
      <c r="AM201" s="413"/>
      <c r="AN201" s="413"/>
      <c r="AO201" s="413"/>
      <c r="AP201" s="413"/>
      <c r="AQ201" s="413"/>
      <c r="AR201" s="413"/>
      <c r="AS201" s="413"/>
      <c r="AT201" s="413"/>
      <c r="AU201" s="413"/>
      <c r="AV201" s="413"/>
      <c r="AW201" s="413"/>
      <c r="AX201" s="413"/>
      <c r="AY201" s="413"/>
      <c r="AZ201" s="413"/>
      <c r="BA201" s="413"/>
      <c r="BB201" s="413"/>
      <c r="BC201" s="413"/>
      <c r="BD201" s="413"/>
      <c r="BE201" s="413"/>
      <c r="BF201" s="413"/>
      <c r="BG201" s="413"/>
      <c r="BH201" s="413"/>
      <c r="BI201" s="413"/>
      <c r="BJ201" s="413"/>
      <c r="BK201" s="413"/>
      <c r="BL201" s="413"/>
      <c r="BM201" s="413"/>
      <c r="BN201" s="413"/>
      <c r="BO201" s="413"/>
      <c r="BP201" s="413"/>
      <c r="BQ201" s="413"/>
      <c r="BR201" s="413"/>
      <c r="BS201" s="413"/>
      <c r="BT201" s="413"/>
      <c r="BU201" s="413"/>
      <c r="BV201" s="413"/>
      <c r="BW201" s="413"/>
      <c r="BX201" s="413"/>
      <c r="BY201" s="413"/>
      <c r="BZ201" s="413"/>
      <c r="CA201" s="413"/>
      <c r="CB201" s="413"/>
      <c r="CC201" s="413"/>
      <c r="CD201" s="413"/>
      <c r="CE201" s="413"/>
      <c r="CF201" s="413"/>
      <c r="CG201" s="413"/>
      <c r="CH201" s="413"/>
      <c r="CI201" s="413"/>
      <c r="CJ201" s="413"/>
      <c r="CK201" s="413"/>
      <c r="CL201" s="413"/>
      <c r="CM201" s="413"/>
      <c r="CN201" s="413"/>
      <c r="CO201" s="413"/>
      <c r="CP201" s="413"/>
      <c r="CQ201" s="413"/>
      <c r="CR201" s="413"/>
      <c r="CS201" s="413"/>
      <c r="CT201" s="413"/>
      <c r="CU201" s="413"/>
      <c r="CV201" s="413"/>
      <c r="CW201" s="413"/>
      <c r="CX201" s="413"/>
      <c r="CY201" s="413"/>
      <c r="CZ201" s="413"/>
      <c r="DA201" s="413"/>
      <c r="DB201" s="413"/>
      <c r="DC201" s="413"/>
      <c r="DD201" s="413"/>
      <c r="DE201" s="413"/>
      <c r="DF201" s="413"/>
      <c r="DG201" s="413"/>
      <c r="DH201" s="413"/>
      <c r="DI201" s="413"/>
      <c r="DJ201" s="413"/>
      <c r="DK201" s="413"/>
    </row>
    <row r="202" spans="30:115" ht="14.25" customHeight="1">
      <c r="AD202" s="413"/>
      <c r="AE202" s="413"/>
      <c r="AF202" s="413"/>
      <c r="AG202" s="413"/>
      <c r="AH202" s="413"/>
      <c r="AI202" s="413"/>
      <c r="AJ202" s="413"/>
      <c r="AK202" s="413"/>
      <c r="AL202" s="413"/>
      <c r="AM202" s="413"/>
      <c r="AN202" s="413"/>
      <c r="AO202" s="413"/>
      <c r="AP202" s="413"/>
      <c r="AQ202" s="413"/>
      <c r="AR202" s="413"/>
      <c r="AS202" s="413"/>
      <c r="AT202" s="413"/>
      <c r="AU202" s="413"/>
      <c r="AV202" s="413"/>
      <c r="AW202" s="413"/>
      <c r="AX202" s="413"/>
      <c r="AY202" s="413"/>
      <c r="AZ202" s="413"/>
      <c r="BA202" s="413"/>
      <c r="BB202" s="413"/>
      <c r="BC202" s="413"/>
      <c r="BD202" s="413"/>
      <c r="BE202" s="413"/>
      <c r="BF202" s="413"/>
      <c r="BG202" s="413"/>
      <c r="BH202" s="413"/>
      <c r="BI202" s="413"/>
      <c r="BJ202" s="413"/>
      <c r="BK202" s="413"/>
      <c r="BL202" s="413"/>
      <c r="BM202" s="413"/>
      <c r="BN202" s="413"/>
      <c r="BO202" s="413"/>
      <c r="BP202" s="413"/>
      <c r="BQ202" s="413"/>
      <c r="BR202" s="413"/>
      <c r="BS202" s="413"/>
      <c r="BT202" s="413"/>
      <c r="BU202" s="413"/>
      <c r="BV202" s="413"/>
      <c r="BW202" s="413"/>
      <c r="BX202" s="413"/>
      <c r="BY202" s="413"/>
      <c r="BZ202" s="413"/>
      <c r="CA202" s="413"/>
      <c r="CB202" s="413"/>
      <c r="CC202" s="413"/>
      <c r="CD202" s="413"/>
      <c r="CE202" s="413"/>
      <c r="CF202" s="413"/>
      <c r="CG202" s="413"/>
      <c r="CH202" s="413"/>
      <c r="CI202" s="413"/>
      <c r="CJ202" s="413"/>
      <c r="CK202" s="413"/>
      <c r="CL202" s="413"/>
      <c r="CM202" s="413"/>
      <c r="CN202" s="413"/>
      <c r="CO202" s="413"/>
      <c r="CP202" s="413"/>
      <c r="CQ202" s="413"/>
      <c r="CR202" s="413"/>
      <c r="CS202" s="413"/>
      <c r="CT202" s="413"/>
      <c r="CU202" s="413"/>
      <c r="CV202" s="413"/>
      <c r="CW202" s="413"/>
      <c r="CX202" s="413"/>
      <c r="CY202" s="413"/>
      <c r="CZ202" s="413"/>
      <c r="DA202" s="413"/>
      <c r="DB202" s="413"/>
      <c r="DC202" s="413"/>
      <c r="DD202" s="413"/>
      <c r="DE202" s="413"/>
      <c r="DF202" s="413"/>
      <c r="DG202" s="413"/>
      <c r="DH202" s="413"/>
      <c r="DI202" s="413"/>
      <c r="DJ202" s="413"/>
      <c r="DK202" s="413"/>
    </row>
    <row r="203" spans="30:115" ht="14.25" customHeight="1">
      <c r="AD203" s="413"/>
      <c r="AE203" s="413"/>
      <c r="AF203" s="413"/>
      <c r="AG203" s="413"/>
      <c r="AH203" s="413"/>
      <c r="AI203" s="413"/>
      <c r="AJ203" s="413"/>
      <c r="AK203" s="413"/>
      <c r="AL203" s="413"/>
      <c r="AM203" s="413"/>
      <c r="AN203" s="413"/>
      <c r="AO203" s="413"/>
      <c r="AP203" s="413"/>
      <c r="AQ203" s="413"/>
      <c r="AR203" s="413"/>
      <c r="AS203" s="413"/>
      <c r="AT203" s="413"/>
      <c r="AU203" s="413"/>
      <c r="AV203" s="413"/>
      <c r="AW203" s="413"/>
      <c r="AX203" s="413"/>
      <c r="AY203" s="413"/>
      <c r="AZ203" s="413"/>
      <c r="BA203" s="413"/>
      <c r="BB203" s="413"/>
      <c r="BC203" s="413"/>
      <c r="BD203" s="413"/>
      <c r="BE203" s="413"/>
      <c r="BF203" s="413"/>
      <c r="BG203" s="413"/>
      <c r="BH203" s="413"/>
      <c r="BI203" s="413"/>
      <c r="BJ203" s="413"/>
      <c r="BK203" s="413"/>
      <c r="BL203" s="413"/>
      <c r="BM203" s="413"/>
      <c r="BN203" s="413"/>
      <c r="BO203" s="413"/>
      <c r="BP203" s="413"/>
      <c r="BQ203" s="413"/>
      <c r="BR203" s="413"/>
      <c r="BS203" s="413"/>
      <c r="BT203" s="413"/>
      <c r="BU203" s="413"/>
      <c r="BV203" s="413"/>
      <c r="BW203" s="413"/>
      <c r="BX203" s="413"/>
      <c r="BY203" s="413"/>
      <c r="BZ203" s="413"/>
      <c r="CA203" s="413"/>
      <c r="CB203" s="413"/>
      <c r="CC203" s="413"/>
      <c r="CD203" s="413"/>
      <c r="CE203" s="413"/>
      <c r="CF203" s="413"/>
      <c r="CG203" s="413"/>
      <c r="CH203" s="413"/>
      <c r="CI203" s="413"/>
      <c r="CJ203" s="413"/>
      <c r="CK203" s="413"/>
      <c r="CL203" s="413"/>
      <c r="CM203" s="413"/>
      <c r="CN203" s="413"/>
      <c r="CO203" s="413"/>
      <c r="CP203" s="413"/>
      <c r="CQ203" s="413"/>
      <c r="CR203" s="413"/>
      <c r="CS203" s="413"/>
      <c r="CT203" s="413"/>
      <c r="CU203" s="413"/>
      <c r="CV203" s="413"/>
      <c r="CW203" s="413"/>
      <c r="CX203" s="413"/>
      <c r="CY203" s="413"/>
      <c r="CZ203" s="413"/>
      <c r="DA203" s="413"/>
      <c r="DB203" s="413"/>
      <c r="DC203" s="413"/>
      <c r="DD203" s="413"/>
      <c r="DE203" s="413"/>
      <c r="DF203" s="413"/>
      <c r="DG203" s="413"/>
      <c r="DH203" s="413"/>
      <c r="DI203" s="413"/>
      <c r="DJ203" s="413"/>
      <c r="DK203" s="413"/>
    </row>
    <row r="204" spans="30:115" ht="14.25" customHeight="1">
      <c r="AD204" s="413"/>
      <c r="AE204" s="413"/>
      <c r="AF204" s="413"/>
      <c r="AG204" s="413"/>
      <c r="AH204" s="413"/>
      <c r="AI204" s="413"/>
      <c r="AJ204" s="413"/>
      <c r="AK204" s="413"/>
      <c r="AL204" s="413"/>
      <c r="AM204" s="413"/>
      <c r="AN204" s="413"/>
      <c r="AO204" s="413"/>
      <c r="AP204" s="413"/>
      <c r="AQ204" s="413"/>
      <c r="AR204" s="413"/>
      <c r="AS204" s="413"/>
      <c r="AT204" s="413"/>
      <c r="AU204" s="413"/>
      <c r="AV204" s="413"/>
      <c r="AW204" s="413"/>
      <c r="AX204" s="413"/>
      <c r="AY204" s="413"/>
      <c r="AZ204" s="413"/>
      <c r="BA204" s="413"/>
      <c r="BB204" s="413"/>
      <c r="BC204" s="413"/>
      <c r="BD204" s="413"/>
      <c r="BE204" s="413"/>
      <c r="BF204" s="413"/>
      <c r="BG204" s="413"/>
      <c r="BH204" s="413"/>
      <c r="BI204" s="413"/>
      <c r="BJ204" s="413"/>
      <c r="BK204" s="413"/>
      <c r="BL204" s="413"/>
      <c r="BM204" s="413"/>
      <c r="BN204" s="413"/>
      <c r="BO204" s="413"/>
      <c r="BP204" s="413"/>
      <c r="BQ204" s="413"/>
      <c r="BR204" s="413"/>
      <c r="BS204" s="413"/>
      <c r="BT204" s="413"/>
      <c r="BU204" s="413"/>
      <c r="BV204" s="413"/>
      <c r="BW204" s="413"/>
      <c r="BX204" s="413"/>
      <c r="BY204" s="413"/>
      <c r="BZ204" s="413"/>
      <c r="CA204" s="413"/>
      <c r="CB204" s="413"/>
      <c r="CC204" s="413"/>
      <c r="CD204" s="413"/>
      <c r="CE204" s="413"/>
      <c r="CF204" s="413"/>
      <c r="CG204" s="413"/>
      <c r="CH204" s="413"/>
      <c r="CI204" s="413"/>
      <c r="CJ204" s="413"/>
      <c r="CK204" s="413"/>
      <c r="CL204" s="413"/>
      <c r="CM204" s="413"/>
      <c r="CN204" s="413"/>
      <c r="CO204" s="413"/>
      <c r="CP204" s="413"/>
      <c r="CQ204" s="413"/>
      <c r="CR204" s="413"/>
      <c r="CS204" s="413"/>
      <c r="CT204" s="413"/>
      <c r="CU204" s="413"/>
      <c r="CV204" s="413"/>
      <c r="CW204" s="413"/>
      <c r="CX204" s="413"/>
      <c r="CY204" s="413"/>
      <c r="CZ204" s="413"/>
      <c r="DA204" s="413"/>
      <c r="DB204" s="413"/>
      <c r="DC204" s="413"/>
      <c r="DD204" s="413"/>
      <c r="DE204" s="413"/>
      <c r="DF204" s="413"/>
      <c r="DG204" s="413"/>
      <c r="DH204" s="413"/>
      <c r="DI204" s="413"/>
      <c r="DJ204" s="413"/>
      <c r="DK204" s="413"/>
    </row>
    <row r="205" spans="30:115" ht="14.25" customHeight="1">
      <c r="AD205" s="413"/>
      <c r="AE205" s="413"/>
      <c r="AF205" s="413"/>
      <c r="AG205" s="413"/>
      <c r="AH205" s="413"/>
      <c r="AI205" s="413"/>
      <c r="AJ205" s="413"/>
      <c r="AK205" s="413"/>
      <c r="AL205" s="413"/>
      <c r="AM205" s="413"/>
      <c r="AN205" s="413"/>
      <c r="AO205" s="413"/>
      <c r="AP205" s="413"/>
      <c r="AQ205" s="413"/>
      <c r="AR205" s="413"/>
      <c r="AS205" s="413"/>
      <c r="AT205" s="413"/>
      <c r="AU205" s="413"/>
      <c r="AV205" s="413"/>
      <c r="AW205" s="413"/>
      <c r="AX205" s="413"/>
      <c r="AY205" s="413"/>
      <c r="AZ205" s="413"/>
      <c r="BA205" s="413"/>
      <c r="BB205" s="413"/>
      <c r="BC205" s="413"/>
      <c r="BD205" s="413"/>
      <c r="BE205" s="413"/>
      <c r="BF205" s="413"/>
      <c r="BG205" s="413"/>
      <c r="BH205" s="413"/>
      <c r="BI205" s="413"/>
      <c r="BJ205" s="413"/>
      <c r="BK205" s="413"/>
      <c r="BL205" s="413"/>
      <c r="BM205" s="413"/>
      <c r="BN205" s="413"/>
      <c r="BO205" s="413"/>
      <c r="BP205" s="413"/>
      <c r="BQ205" s="413"/>
      <c r="BR205" s="413"/>
      <c r="BS205" s="413"/>
      <c r="BT205" s="413"/>
      <c r="BU205" s="413"/>
      <c r="BV205" s="413"/>
      <c r="BW205" s="413"/>
      <c r="BX205" s="413"/>
      <c r="BY205" s="413"/>
      <c r="BZ205" s="413"/>
      <c r="CA205" s="413"/>
      <c r="CB205" s="413"/>
      <c r="CC205" s="413"/>
      <c r="CD205" s="413"/>
      <c r="CE205" s="413"/>
      <c r="CF205" s="413"/>
      <c r="CG205" s="413"/>
      <c r="CH205" s="413"/>
      <c r="CI205" s="413"/>
      <c r="CJ205" s="413"/>
      <c r="CK205" s="413"/>
      <c r="CL205" s="413"/>
      <c r="CM205" s="413"/>
      <c r="CN205" s="413"/>
      <c r="CO205" s="413"/>
      <c r="CP205" s="413"/>
      <c r="CQ205" s="413"/>
      <c r="CR205" s="413"/>
      <c r="CS205" s="413"/>
      <c r="CT205" s="413"/>
      <c r="CU205" s="413"/>
      <c r="CV205" s="413"/>
      <c r="CW205" s="413"/>
      <c r="CX205" s="413"/>
      <c r="CY205" s="413"/>
      <c r="CZ205" s="413"/>
      <c r="DA205" s="413"/>
      <c r="DB205" s="413"/>
      <c r="DC205" s="413"/>
      <c r="DD205" s="413"/>
      <c r="DE205" s="413"/>
      <c r="DF205" s="413"/>
      <c r="DG205" s="413"/>
      <c r="DH205" s="413"/>
      <c r="DI205" s="413"/>
      <c r="DJ205" s="413"/>
      <c r="DK205" s="413"/>
    </row>
    <row r="206" spans="30:115" ht="14.25" customHeight="1">
      <c r="AD206" s="413"/>
      <c r="AE206" s="413"/>
      <c r="AF206" s="413"/>
      <c r="AG206" s="413"/>
      <c r="AH206" s="413"/>
      <c r="AI206" s="413"/>
      <c r="AJ206" s="413"/>
      <c r="AK206" s="413"/>
      <c r="AL206" s="413"/>
      <c r="AM206" s="413"/>
      <c r="AN206" s="413"/>
      <c r="AO206" s="413"/>
      <c r="AP206" s="413"/>
      <c r="AQ206" s="413"/>
      <c r="AR206" s="413"/>
      <c r="AS206" s="413"/>
      <c r="AT206" s="413"/>
      <c r="AU206" s="413"/>
      <c r="AV206" s="413"/>
      <c r="AW206" s="413"/>
      <c r="AX206" s="413"/>
      <c r="AY206" s="413"/>
      <c r="AZ206" s="413"/>
      <c r="BA206" s="413"/>
      <c r="BB206" s="413"/>
      <c r="BC206" s="413"/>
      <c r="BD206" s="413"/>
      <c r="BE206" s="413"/>
      <c r="BF206" s="413"/>
      <c r="BG206" s="413"/>
      <c r="BH206" s="413"/>
      <c r="BI206" s="413"/>
      <c r="BJ206" s="413"/>
      <c r="BK206" s="413"/>
      <c r="BL206" s="413"/>
      <c r="BM206" s="413"/>
      <c r="BN206" s="413"/>
      <c r="BO206" s="413"/>
      <c r="BP206" s="413"/>
      <c r="BQ206" s="413"/>
      <c r="BR206" s="413"/>
      <c r="BS206" s="413"/>
      <c r="BT206" s="413"/>
      <c r="BU206" s="413"/>
      <c r="BV206" s="413"/>
      <c r="BW206" s="413"/>
      <c r="BX206" s="413"/>
      <c r="BY206" s="413"/>
      <c r="BZ206" s="413"/>
      <c r="CA206" s="413"/>
      <c r="CB206" s="413"/>
      <c r="CC206" s="413"/>
      <c r="CD206" s="413"/>
      <c r="CE206" s="413"/>
      <c r="CF206" s="413"/>
      <c r="CG206" s="413"/>
      <c r="CH206" s="413"/>
      <c r="CI206" s="413"/>
      <c r="CJ206" s="413"/>
      <c r="CK206" s="413"/>
      <c r="CL206" s="413"/>
      <c r="CM206" s="413"/>
      <c r="CN206" s="413"/>
      <c r="CO206" s="413"/>
      <c r="CP206" s="413"/>
      <c r="CQ206" s="413"/>
      <c r="CR206" s="413"/>
      <c r="CS206" s="413"/>
      <c r="CT206" s="413"/>
      <c r="CU206" s="413"/>
      <c r="CV206" s="413"/>
      <c r="CW206" s="413"/>
      <c r="CX206" s="413"/>
      <c r="CY206" s="413"/>
      <c r="CZ206" s="413"/>
      <c r="DA206" s="413"/>
      <c r="DB206" s="413"/>
      <c r="DC206" s="413"/>
      <c r="DD206" s="413"/>
      <c r="DE206" s="413"/>
      <c r="DF206" s="413"/>
      <c r="DG206" s="413"/>
      <c r="DH206" s="413"/>
      <c r="DI206" s="413"/>
      <c r="DJ206" s="413"/>
      <c r="DK206" s="413"/>
    </row>
    <row r="207" spans="30:115" ht="14.25" customHeight="1">
      <c r="AD207" s="413"/>
      <c r="AE207" s="413"/>
      <c r="AF207" s="413"/>
      <c r="AG207" s="413"/>
      <c r="AH207" s="413"/>
      <c r="AI207" s="413"/>
      <c r="AJ207" s="413"/>
      <c r="AK207" s="413"/>
      <c r="AL207" s="413"/>
      <c r="AM207" s="413"/>
      <c r="AN207" s="413"/>
      <c r="AO207" s="413"/>
      <c r="AP207" s="413"/>
      <c r="AQ207" s="413"/>
      <c r="AR207" s="413"/>
      <c r="AS207" s="413"/>
      <c r="AT207" s="413"/>
      <c r="AU207" s="413"/>
      <c r="AV207" s="413"/>
      <c r="AW207" s="413"/>
      <c r="AX207" s="413"/>
      <c r="AY207" s="413"/>
      <c r="AZ207" s="413"/>
      <c r="BA207" s="413"/>
      <c r="BB207" s="413"/>
      <c r="BC207" s="413"/>
      <c r="BD207" s="413"/>
      <c r="BE207" s="413"/>
      <c r="BF207" s="413"/>
      <c r="BG207" s="413"/>
      <c r="BH207" s="413"/>
      <c r="BI207" s="413"/>
      <c r="BJ207" s="413"/>
      <c r="BK207" s="413"/>
      <c r="BL207" s="413"/>
      <c r="BM207" s="413"/>
      <c r="BN207" s="413"/>
      <c r="BO207" s="413"/>
      <c r="BP207" s="413"/>
      <c r="BQ207" s="413"/>
      <c r="BR207" s="413"/>
      <c r="BS207" s="413"/>
      <c r="BT207" s="413"/>
      <c r="BU207" s="413"/>
      <c r="BV207" s="413"/>
      <c r="BW207" s="413"/>
      <c r="BX207" s="413"/>
      <c r="BY207" s="413"/>
      <c r="BZ207" s="413"/>
      <c r="CA207" s="413"/>
      <c r="CB207" s="413"/>
      <c r="CC207" s="413"/>
      <c r="CD207" s="413"/>
      <c r="CE207" s="413"/>
      <c r="CF207" s="413"/>
      <c r="CG207" s="413"/>
      <c r="CH207" s="413"/>
      <c r="CI207" s="413"/>
      <c r="CJ207" s="413"/>
      <c r="CK207" s="413"/>
      <c r="CL207" s="413"/>
      <c r="CM207" s="413"/>
      <c r="CN207" s="413"/>
      <c r="CO207" s="413"/>
      <c r="CP207" s="413"/>
      <c r="CQ207" s="413"/>
      <c r="CR207" s="413"/>
      <c r="CS207" s="413"/>
      <c r="CT207" s="413"/>
      <c r="CU207" s="413"/>
      <c r="CV207" s="413"/>
      <c r="CW207" s="413"/>
      <c r="CX207" s="413"/>
      <c r="CY207" s="413"/>
      <c r="CZ207" s="413"/>
      <c r="DA207" s="413"/>
      <c r="DB207" s="413"/>
      <c r="DC207" s="413"/>
      <c r="DD207" s="413"/>
      <c r="DE207" s="413"/>
      <c r="DF207" s="413"/>
      <c r="DG207" s="413"/>
      <c r="DH207" s="413"/>
      <c r="DI207" s="413"/>
      <c r="DJ207" s="413"/>
      <c r="DK207" s="413"/>
    </row>
    <row r="208" spans="30:115" ht="14.25" customHeight="1">
      <c r="AD208" s="413"/>
      <c r="AE208" s="413"/>
      <c r="AF208" s="413"/>
      <c r="AG208" s="413"/>
      <c r="AH208" s="413"/>
      <c r="AI208" s="413"/>
      <c r="AJ208" s="413"/>
      <c r="AK208" s="413"/>
      <c r="AL208" s="413"/>
      <c r="AM208" s="413"/>
      <c r="AN208" s="413"/>
      <c r="AO208" s="413"/>
      <c r="AP208" s="413"/>
      <c r="AQ208" s="413"/>
      <c r="AR208" s="413"/>
      <c r="AS208" s="413"/>
      <c r="AT208" s="413"/>
      <c r="AU208" s="413"/>
      <c r="AV208" s="413"/>
      <c r="AW208" s="413"/>
      <c r="AX208" s="413"/>
      <c r="AY208" s="413"/>
      <c r="AZ208" s="413"/>
      <c r="BA208" s="413"/>
      <c r="BB208" s="413"/>
      <c r="BC208" s="413"/>
      <c r="BD208" s="413"/>
      <c r="BE208" s="413"/>
      <c r="BF208" s="413"/>
      <c r="BG208" s="413"/>
      <c r="BH208" s="413"/>
      <c r="BI208" s="413"/>
      <c r="BJ208" s="413"/>
      <c r="BK208" s="413"/>
      <c r="BL208" s="413"/>
      <c r="BM208" s="413"/>
      <c r="BN208" s="413"/>
      <c r="BO208" s="413"/>
      <c r="BP208" s="413"/>
      <c r="BQ208" s="413"/>
      <c r="BR208" s="413"/>
      <c r="BS208" s="413"/>
      <c r="BT208" s="413"/>
      <c r="BU208" s="413"/>
      <c r="BV208" s="413"/>
      <c r="BW208" s="413"/>
      <c r="BX208" s="413"/>
      <c r="BY208" s="413"/>
      <c r="BZ208" s="413"/>
      <c r="CA208" s="413"/>
      <c r="CB208" s="413"/>
      <c r="CC208" s="413"/>
      <c r="CD208" s="413"/>
      <c r="CE208" s="413"/>
      <c r="CF208" s="413"/>
      <c r="CG208" s="413"/>
      <c r="CH208" s="413"/>
      <c r="CI208" s="413"/>
      <c r="CJ208" s="413"/>
      <c r="CK208" s="413"/>
      <c r="CL208" s="413"/>
      <c r="CM208" s="413"/>
      <c r="CN208" s="413"/>
      <c r="CO208" s="413"/>
      <c r="CP208" s="413"/>
      <c r="CQ208" s="413"/>
      <c r="CR208" s="413"/>
      <c r="CS208" s="413"/>
      <c r="CT208" s="413"/>
      <c r="CU208" s="413"/>
      <c r="CV208" s="413"/>
      <c r="CW208" s="413"/>
      <c r="CX208" s="413"/>
      <c r="CY208" s="413"/>
      <c r="CZ208" s="413"/>
      <c r="DA208" s="413"/>
      <c r="DB208" s="413"/>
      <c r="DC208" s="413"/>
      <c r="DD208" s="413"/>
      <c r="DE208" s="413"/>
      <c r="DF208" s="413"/>
      <c r="DG208" s="413"/>
      <c r="DH208" s="413"/>
      <c r="DI208" s="413"/>
      <c r="DJ208" s="413"/>
      <c r="DK208" s="413"/>
    </row>
    <row r="209" spans="30:115" ht="14.25" customHeight="1">
      <c r="AD209" s="413"/>
      <c r="AE209" s="413"/>
      <c r="AF209" s="413"/>
      <c r="AG209" s="413"/>
      <c r="AH209" s="413"/>
      <c r="AI209" s="413"/>
      <c r="AJ209" s="413"/>
      <c r="AK209" s="413"/>
      <c r="AL209" s="413"/>
      <c r="AM209" s="413"/>
      <c r="AN209" s="413"/>
      <c r="AO209" s="413"/>
      <c r="AP209" s="413"/>
      <c r="AQ209" s="413"/>
      <c r="AR209" s="413"/>
      <c r="AS209" s="413"/>
      <c r="AT209" s="413"/>
      <c r="AU209" s="413"/>
      <c r="AV209" s="413"/>
      <c r="AW209" s="413"/>
      <c r="AX209" s="413"/>
      <c r="AY209" s="413"/>
      <c r="AZ209" s="413"/>
      <c r="BA209" s="413"/>
      <c r="BB209" s="413"/>
      <c r="BC209" s="413"/>
      <c r="BD209" s="413"/>
      <c r="BE209" s="413"/>
      <c r="BF209" s="413"/>
      <c r="BG209" s="413"/>
      <c r="BH209" s="413"/>
      <c r="BI209" s="413"/>
      <c r="BJ209" s="413"/>
      <c r="BK209" s="413"/>
      <c r="BL209" s="413"/>
      <c r="BM209" s="413"/>
      <c r="BN209" s="413"/>
      <c r="BO209" s="413"/>
      <c r="BP209" s="413"/>
      <c r="BQ209" s="413"/>
      <c r="BR209" s="413"/>
      <c r="BS209" s="413"/>
      <c r="BT209" s="413"/>
      <c r="BU209" s="413"/>
      <c r="BV209" s="413"/>
      <c r="BW209" s="413"/>
      <c r="BX209" s="413"/>
      <c r="BY209" s="413"/>
      <c r="BZ209" s="413"/>
      <c r="CA209" s="413"/>
      <c r="CB209" s="413"/>
      <c r="CC209" s="413"/>
      <c r="CD209" s="413"/>
      <c r="CE209" s="413"/>
      <c r="CF209" s="413"/>
      <c r="CG209" s="413"/>
      <c r="CH209" s="413"/>
      <c r="CI209" s="413"/>
      <c r="CJ209" s="413"/>
      <c r="CK209" s="413"/>
      <c r="CL209" s="413"/>
      <c r="CM209" s="413"/>
      <c r="CN209" s="413"/>
      <c r="CO209" s="413"/>
      <c r="CP209" s="413"/>
      <c r="CQ209" s="413"/>
      <c r="CR209" s="413"/>
      <c r="CS209" s="413"/>
      <c r="CT209" s="413"/>
      <c r="CU209" s="413"/>
      <c r="CV209" s="413"/>
      <c r="CW209" s="413"/>
      <c r="CX209" s="413"/>
      <c r="CY209" s="413"/>
      <c r="CZ209" s="413"/>
      <c r="DA209" s="413"/>
      <c r="DB209" s="413"/>
      <c r="DC209" s="413"/>
      <c r="DD209" s="413"/>
      <c r="DE209" s="413"/>
      <c r="DF209" s="413"/>
      <c r="DG209" s="413"/>
      <c r="DH209" s="413"/>
      <c r="DI209" s="413"/>
      <c r="DJ209" s="413"/>
      <c r="DK209" s="413"/>
    </row>
    <row r="210" spans="30:115" ht="14.25" customHeight="1">
      <c r="AD210" s="413"/>
      <c r="AE210" s="413"/>
      <c r="AF210" s="413"/>
      <c r="AG210" s="413"/>
      <c r="AH210" s="413"/>
      <c r="AI210" s="413"/>
      <c r="AJ210" s="413"/>
      <c r="AK210" s="413"/>
      <c r="AL210" s="413"/>
      <c r="AM210" s="413"/>
      <c r="AN210" s="413"/>
      <c r="AO210" s="413"/>
      <c r="AP210" s="413"/>
      <c r="AQ210" s="413"/>
      <c r="AR210" s="413"/>
      <c r="AS210" s="413"/>
      <c r="AT210" s="413"/>
      <c r="AU210" s="413"/>
      <c r="AV210" s="413"/>
      <c r="AW210" s="413"/>
      <c r="AX210" s="413"/>
      <c r="AY210" s="413"/>
      <c r="AZ210" s="413"/>
      <c r="BA210" s="413"/>
      <c r="BB210" s="413"/>
      <c r="BC210" s="413"/>
      <c r="BD210" s="413"/>
      <c r="BE210" s="413"/>
      <c r="BF210" s="413"/>
      <c r="BG210" s="413"/>
      <c r="BH210" s="413"/>
      <c r="BI210" s="413"/>
      <c r="BJ210" s="413"/>
      <c r="BK210" s="413"/>
      <c r="BL210" s="413"/>
      <c r="BM210" s="413"/>
      <c r="BN210" s="413"/>
      <c r="BO210" s="413"/>
      <c r="BP210" s="413"/>
      <c r="BQ210" s="413"/>
      <c r="BR210" s="413"/>
      <c r="BS210" s="413"/>
      <c r="BT210" s="413"/>
      <c r="BU210" s="413"/>
      <c r="BV210" s="413"/>
      <c r="BW210" s="413"/>
      <c r="BX210" s="413"/>
      <c r="BY210" s="413"/>
      <c r="BZ210" s="413"/>
      <c r="CA210" s="413"/>
      <c r="CB210" s="413"/>
      <c r="CC210" s="413"/>
      <c r="CD210" s="413"/>
      <c r="CE210" s="413"/>
      <c r="CF210" s="413"/>
      <c r="CG210" s="413"/>
      <c r="CH210" s="413"/>
      <c r="CI210" s="413"/>
      <c r="CJ210" s="413"/>
      <c r="CK210" s="413"/>
      <c r="CL210" s="413"/>
      <c r="CM210" s="413"/>
      <c r="CN210" s="413"/>
      <c r="CO210" s="413"/>
      <c r="CP210" s="413"/>
      <c r="CQ210" s="413"/>
      <c r="CR210" s="413"/>
      <c r="CS210" s="413"/>
      <c r="CT210" s="413"/>
      <c r="CU210" s="413"/>
      <c r="CV210" s="413"/>
      <c r="CW210" s="413"/>
      <c r="CX210" s="413"/>
      <c r="CY210" s="413"/>
      <c r="CZ210" s="413"/>
      <c r="DA210" s="413"/>
      <c r="DB210" s="413"/>
      <c r="DC210" s="413"/>
      <c r="DD210" s="413"/>
      <c r="DE210" s="413"/>
      <c r="DF210" s="413"/>
      <c r="DG210" s="413"/>
      <c r="DH210" s="413"/>
      <c r="DI210" s="413"/>
      <c r="DJ210" s="413"/>
      <c r="DK210" s="413"/>
    </row>
    <row r="211" spans="30:115" ht="14.25" customHeight="1">
      <c r="AD211" s="413"/>
      <c r="AE211" s="413"/>
      <c r="AF211" s="413"/>
      <c r="AG211" s="413"/>
      <c r="AH211" s="413"/>
      <c r="AI211" s="413"/>
      <c r="AJ211" s="413"/>
      <c r="AK211" s="413"/>
      <c r="AL211" s="413"/>
      <c r="AM211" s="413"/>
      <c r="AN211" s="413"/>
      <c r="AO211" s="413"/>
      <c r="AP211" s="413"/>
      <c r="AQ211" s="413"/>
      <c r="AR211" s="413"/>
      <c r="AS211" s="413"/>
      <c r="AT211" s="413"/>
      <c r="AU211" s="413"/>
      <c r="AV211" s="413"/>
      <c r="AW211" s="413"/>
      <c r="AX211" s="413"/>
      <c r="AY211" s="413"/>
      <c r="AZ211" s="413"/>
      <c r="BA211" s="413"/>
      <c r="BB211" s="413"/>
      <c r="BC211" s="413"/>
      <c r="BD211" s="413"/>
      <c r="BE211" s="413"/>
      <c r="BF211" s="413"/>
      <c r="BG211" s="413"/>
      <c r="BH211" s="413"/>
      <c r="BI211" s="413"/>
      <c r="BJ211" s="413"/>
      <c r="BK211" s="413"/>
      <c r="BL211" s="413"/>
      <c r="BM211" s="413"/>
      <c r="BN211" s="413"/>
      <c r="BO211" s="413"/>
      <c r="BP211" s="413"/>
      <c r="BQ211" s="413"/>
      <c r="BR211" s="413"/>
      <c r="BS211" s="413"/>
      <c r="BT211" s="413"/>
      <c r="BU211" s="413"/>
      <c r="BV211" s="413"/>
      <c r="BW211" s="413"/>
      <c r="BX211" s="413"/>
      <c r="BY211" s="413"/>
      <c r="BZ211" s="413"/>
      <c r="CA211" s="413"/>
      <c r="CB211" s="413"/>
      <c r="CC211" s="413"/>
      <c r="CD211" s="413"/>
      <c r="CE211" s="413"/>
      <c r="CF211" s="413"/>
      <c r="CG211" s="413"/>
      <c r="CH211" s="413"/>
      <c r="CI211" s="413"/>
      <c r="CJ211" s="413"/>
      <c r="CK211" s="413"/>
      <c r="CL211" s="413"/>
      <c r="CM211" s="413"/>
      <c r="CN211" s="413"/>
      <c r="CO211" s="413"/>
      <c r="CP211" s="413"/>
      <c r="CQ211" s="413"/>
      <c r="CR211" s="413"/>
      <c r="CS211" s="413"/>
      <c r="CT211" s="413"/>
      <c r="CU211" s="413"/>
      <c r="CV211" s="413"/>
      <c r="CW211" s="413"/>
      <c r="CX211" s="413"/>
      <c r="CY211" s="413"/>
      <c r="CZ211" s="413"/>
      <c r="DA211" s="413"/>
      <c r="DB211" s="413"/>
      <c r="DC211" s="413"/>
      <c r="DD211" s="413"/>
      <c r="DE211" s="413"/>
      <c r="DF211" s="413"/>
      <c r="DG211" s="413"/>
      <c r="DH211" s="413"/>
      <c r="DI211" s="413"/>
      <c r="DJ211" s="413"/>
      <c r="DK211" s="413"/>
    </row>
    <row r="212" spans="30:115" ht="14.25" customHeight="1">
      <c r="AD212" s="413"/>
      <c r="AE212" s="413"/>
      <c r="AF212" s="413"/>
      <c r="AG212" s="413"/>
      <c r="AH212" s="413"/>
      <c r="AI212" s="413"/>
      <c r="AJ212" s="413"/>
      <c r="AK212" s="413"/>
      <c r="AL212" s="413"/>
      <c r="AM212" s="413"/>
      <c r="AN212" s="413"/>
      <c r="AO212" s="413"/>
      <c r="AP212" s="413"/>
      <c r="AQ212" s="413"/>
      <c r="AR212" s="413"/>
      <c r="AS212" s="413"/>
      <c r="AT212" s="413"/>
      <c r="AU212" s="413"/>
      <c r="AV212" s="413"/>
      <c r="AW212" s="413"/>
      <c r="AX212" s="413"/>
      <c r="AY212" s="413"/>
      <c r="AZ212" s="413"/>
      <c r="BA212" s="413"/>
      <c r="BB212" s="413"/>
      <c r="BC212" s="413"/>
      <c r="BD212" s="413"/>
      <c r="BE212" s="413"/>
      <c r="BF212" s="413"/>
      <c r="BG212" s="413"/>
      <c r="BH212" s="413"/>
      <c r="BI212" s="413"/>
      <c r="BJ212" s="413"/>
      <c r="BK212" s="413"/>
      <c r="BL212" s="413"/>
      <c r="BM212" s="413"/>
      <c r="BN212" s="413"/>
      <c r="BO212" s="413"/>
      <c r="BP212" s="413"/>
      <c r="BQ212" s="413"/>
      <c r="BR212" s="413"/>
      <c r="BS212" s="413"/>
      <c r="BT212" s="413"/>
      <c r="BU212" s="413"/>
      <c r="BV212" s="413"/>
      <c r="BW212" s="413"/>
      <c r="BX212" s="413"/>
      <c r="BY212" s="413"/>
      <c r="BZ212" s="413"/>
      <c r="CA212" s="413"/>
      <c r="CB212" s="413"/>
      <c r="CC212" s="413"/>
      <c r="CD212" s="413"/>
      <c r="CE212" s="413"/>
      <c r="CF212" s="413"/>
      <c r="CG212" s="413"/>
      <c r="CH212" s="413"/>
      <c r="CI212" s="413"/>
      <c r="CJ212" s="413"/>
      <c r="CK212" s="413"/>
      <c r="CL212" s="413"/>
      <c r="CM212" s="413"/>
      <c r="CN212" s="413"/>
      <c r="CO212" s="413"/>
      <c r="CP212" s="413"/>
      <c r="CQ212" s="413"/>
      <c r="CR212" s="413"/>
      <c r="CS212" s="413"/>
      <c r="CT212" s="413"/>
      <c r="CU212" s="413"/>
      <c r="CV212" s="413"/>
      <c r="CW212" s="413"/>
      <c r="CX212" s="413"/>
      <c r="CY212" s="413"/>
      <c r="CZ212" s="413"/>
      <c r="DA212" s="413"/>
      <c r="DB212" s="413"/>
      <c r="DC212" s="413"/>
      <c r="DD212" s="413"/>
      <c r="DE212" s="413"/>
      <c r="DF212" s="413"/>
      <c r="DG212" s="413"/>
      <c r="DH212" s="413"/>
      <c r="DI212" s="413"/>
      <c r="DJ212" s="413"/>
      <c r="DK212" s="413"/>
    </row>
    <row r="213" spans="30:115" ht="14.25" customHeight="1">
      <c r="AD213" s="413"/>
      <c r="AE213" s="413"/>
      <c r="AF213" s="413"/>
      <c r="AG213" s="413"/>
      <c r="AH213" s="413"/>
      <c r="AI213" s="413"/>
      <c r="AJ213" s="413"/>
      <c r="AK213" s="413"/>
      <c r="AL213" s="413"/>
      <c r="AM213" s="413"/>
      <c r="AN213" s="413"/>
      <c r="AO213" s="413"/>
      <c r="AP213" s="413"/>
      <c r="AQ213" s="413"/>
      <c r="AR213" s="413"/>
      <c r="AS213" s="413"/>
      <c r="AT213" s="413"/>
      <c r="AU213" s="413"/>
      <c r="AV213" s="413"/>
      <c r="AW213" s="413"/>
      <c r="AX213" s="413"/>
      <c r="AY213" s="413"/>
      <c r="AZ213" s="413"/>
      <c r="BA213" s="413"/>
      <c r="BB213" s="413"/>
      <c r="BC213" s="413"/>
      <c r="BD213" s="413"/>
      <c r="BE213" s="413"/>
      <c r="BF213" s="413"/>
      <c r="BG213" s="413"/>
      <c r="BH213" s="413"/>
      <c r="BI213" s="413"/>
      <c r="BJ213" s="413"/>
      <c r="BK213" s="413"/>
      <c r="BL213" s="413"/>
      <c r="BM213" s="413"/>
      <c r="BN213" s="413"/>
      <c r="BO213" s="413"/>
      <c r="BP213" s="413"/>
      <c r="BQ213" s="413"/>
      <c r="BR213" s="413"/>
      <c r="BS213" s="413"/>
      <c r="BT213" s="413"/>
      <c r="BU213" s="413"/>
      <c r="BV213" s="413"/>
      <c r="BW213" s="413"/>
      <c r="BX213" s="413"/>
      <c r="BY213" s="413"/>
      <c r="BZ213" s="413"/>
      <c r="CA213" s="413"/>
      <c r="CB213" s="413"/>
      <c r="CC213" s="413"/>
      <c r="CD213" s="413"/>
      <c r="CE213" s="413"/>
      <c r="CF213" s="413"/>
      <c r="CG213" s="413"/>
      <c r="CH213" s="413"/>
      <c r="CI213" s="413"/>
      <c r="CJ213" s="413"/>
      <c r="CK213" s="413"/>
      <c r="CL213" s="413"/>
      <c r="CM213" s="413"/>
      <c r="CN213" s="413"/>
      <c r="CO213" s="413"/>
      <c r="CP213" s="413"/>
      <c r="CQ213" s="413"/>
      <c r="CR213" s="413"/>
      <c r="CS213" s="413"/>
      <c r="CT213" s="413"/>
      <c r="CU213" s="413"/>
      <c r="CV213" s="413"/>
      <c r="CW213" s="413"/>
      <c r="CX213" s="413"/>
      <c r="CY213" s="413"/>
      <c r="CZ213" s="413"/>
      <c r="DA213" s="413"/>
      <c r="DB213" s="413"/>
      <c r="DC213" s="413"/>
      <c r="DD213" s="413"/>
      <c r="DE213" s="413"/>
      <c r="DF213" s="413"/>
      <c r="DG213" s="413"/>
      <c r="DH213" s="413"/>
      <c r="DI213" s="413"/>
      <c r="DJ213" s="413"/>
      <c r="DK213" s="413"/>
    </row>
    <row r="214" spans="30:115" ht="14.25" customHeight="1">
      <c r="AD214" s="413"/>
      <c r="AE214" s="413"/>
      <c r="AF214" s="413"/>
      <c r="AG214" s="413"/>
      <c r="AH214" s="413"/>
      <c r="AI214" s="413"/>
      <c r="AJ214" s="413"/>
      <c r="AK214" s="413"/>
      <c r="AL214" s="413"/>
      <c r="AM214" s="413"/>
      <c r="AN214" s="413"/>
      <c r="AO214" s="413"/>
      <c r="AP214" s="413"/>
      <c r="AQ214" s="413"/>
      <c r="AR214" s="413"/>
      <c r="AS214" s="413"/>
      <c r="AT214" s="413"/>
      <c r="AU214" s="413"/>
      <c r="AV214" s="413"/>
      <c r="AW214" s="413"/>
      <c r="AX214" s="413"/>
      <c r="AY214" s="413"/>
      <c r="AZ214" s="413"/>
      <c r="BA214" s="413"/>
      <c r="BB214" s="413"/>
      <c r="BC214" s="413"/>
      <c r="BD214" s="413"/>
      <c r="BE214" s="413"/>
      <c r="BF214" s="413"/>
      <c r="BG214" s="413"/>
      <c r="BH214" s="413"/>
      <c r="BI214" s="413"/>
      <c r="BJ214" s="413"/>
      <c r="BK214" s="413"/>
      <c r="BL214" s="413"/>
      <c r="BM214" s="413"/>
      <c r="BN214" s="413"/>
      <c r="BO214" s="413"/>
      <c r="BP214" s="413"/>
      <c r="BQ214" s="413"/>
      <c r="BR214" s="413"/>
      <c r="BS214" s="413"/>
      <c r="BT214" s="413"/>
      <c r="BU214" s="413"/>
      <c r="BV214" s="413"/>
      <c r="BW214" s="413"/>
      <c r="BX214" s="413"/>
      <c r="BY214" s="413"/>
      <c r="BZ214" s="413"/>
      <c r="CA214" s="413"/>
      <c r="CB214" s="413"/>
      <c r="CC214" s="413"/>
      <c r="CD214" s="413"/>
      <c r="CE214" s="413"/>
      <c r="CF214" s="413"/>
      <c r="CG214" s="413"/>
      <c r="CH214" s="413"/>
      <c r="CI214" s="413"/>
      <c r="CJ214" s="413"/>
      <c r="CK214" s="413"/>
      <c r="CL214" s="413"/>
      <c r="CM214" s="413"/>
      <c r="CN214" s="413"/>
      <c r="CO214" s="413"/>
      <c r="CP214" s="413"/>
      <c r="CQ214" s="413"/>
      <c r="CR214" s="413"/>
      <c r="CS214" s="413"/>
      <c r="CT214" s="413"/>
      <c r="CU214" s="413"/>
      <c r="CV214" s="413"/>
      <c r="CW214" s="413"/>
      <c r="CX214" s="413"/>
      <c r="CY214" s="413"/>
      <c r="CZ214" s="413"/>
      <c r="DA214" s="413"/>
      <c r="DB214" s="413"/>
      <c r="DC214" s="413"/>
      <c r="DD214" s="413"/>
      <c r="DE214" s="413"/>
      <c r="DF214" s="413"/>
      <c r="DG214" s="413"/>
      <c r="DH214" s="413"/>
      <c r="DI214" s="413"/>
      <c r="DJ214" s="413"/>
      <c r="DK214" s="413"/>
    </row>
    <row r="215" spans="30:115" ht="14.25" customHeight="1">
      <c r="AD215" s="413"/>
      <c r="AE215" s="413"/>
      <c r="AF215" s="413"/>
      <c r="AG215" s="413"/>
      <c r="AH215" s="413"/>
      <c r="AI215" s="413"/>
      <c r="AJ215" s="413"/>
      <c r="AK215" s="413"/>
      <c r="AL215" s="413"/>
      <c r="AM215" s="413"/>
      <c r="AN215" s="413"/>
      <c r="AO215" s="413"/>
      <c r="AP215" s="413"/>
      <c r="AQ215" s="413"/>
      <c r="AR215" s="413"/>
      <c r="AS215" s="413"/>
      <c r="AT215" s="413"/>
      <c r="AU215" s="413"/>
      <c r="AV215" s="413"/>
      <c r="AW215" s="413"/>
      <c r="AX215" s="413"/>
      <c r="AY215" s="413"/>
      <c r="AZ215" s="413"/>
      <c r="BA215" s="413"/>
      <c r="BB215" s="413"/>
      <c r="BC215" s="413"/>
      <c r="BD215" s="413"/>
      <c r="BE215" s="413"/>
      <c r="BF215" s="413"/>
      <c r="BG215" s="413"/>
      <c r="BH215" s="413"/>
      <c r="BI215" s="413"/>
      <c r="BJ215" s="413"/>
      <c r="BK215" s="413"/>
      <c r="BL215" s="413"/>
      <c r="BM215" s="413"/>
      <c r="BN215" s="413"/>
      <c r="BO215" s="413"/>
      <c r="BP215" s="413"/>
      <c r="BQ215" s="413"/>
      <c r="BR215" s="413"/>
      <c r="BS215" s="413"/>
      <c r="BT215" s="413"/>
      <c r="BU215" s="413"/>
      <c r="BV215" s="413"/>
      <c r="BW215" s="413"/>
      <c r="BX215" s="413"/>
      <c r="BY215" s="413"/>
      <c r="BZ215" s="413"/>
      <c r="CA215" s="413"/>
      <c r="CB215" s="413"/>
      <c r="CC215" s="413"/>
      <c r="CD215" s="413"/>
      <c r="CE215" s="413"/>
      <c r="CF215" s="413"/>
      <c r="CG215" s="413"/>
      <c r="CH215" s="413"/>
      <c r="CI215" s="413"/>
      <c r="CJ215" s="413"/>
      <c r="CK215" s="413"/>
      <c r="CL215" s="413"/>
      <c r="CM215" s="413"/>
      <c r="CN215" s="413"/>
      <c r="CO215" s="413"/>
      <c r="CP215" s="413"/>
      <c r="CQ215" s="413"/>
      <c r="CR215" s="413"/>
      <c r="CS215" s="413"/>
      <c r="CT215" s="413"/>
      <c r="CU215" s="413"/>
      <c r="CV215" s="413"/>
      <c r="CW215" s="413"/>
      <c r="CX215" s="413"/>
      <c r="CY215" s="413"/>
      <c r="CZ215" s="413"/>
      <c r="DA215" s="413"/>
      <c r="DB215" s="413"/>
      <c r="DC215" s="413"/>
      <c r="DD215" s="413"/>
      <c r="DE215" s="413"/>
      <c r="DF215" s="413"/>
      <c r="DG215" s="413"/>
      <c r="DH215" s="413"/>
      <c r="DI215" s="413"/>
      <c r="DJ215" s="413"/>
      <c r="DK215" s="413"/>
    </row>
    <row r="216" spans="30:115" ht="14.25" customHeight="1">
      <c r="AD216" s="413"/>
      <c r="AE216" s="413"/>
      <c r="AF216" s="413"/>
      <c r="AG216" s="413"/>
      <c r="AH216" s="413"/>
      <c r="AI216" s="413"/>
      <c r="AJ216" s="413"/>
      <c r="AK216" s="413"/>
      <c r="AL216" s="413"/>
      <c r="AM216" s="413"/>
      <c r="AN216" s="413"/>
      <c r="AO216" s="413"/>
      <c r="AP216" s="413"/>
      <c r="AQ216" s="413"/>
      <c r="AR216" s="413"/>
      <c r="AS216" s="413"/>
      <c r="AT216" s="413"/>
      <c r="AU216" s="413"/>
      <c r="AV216" s="413"/>
      <c r="AW216" s="413"/>
      <c r="AX216" s="413"/>
      <c r="AY216" s="413"/>
      <c r="AZ216" s="413"/>
      <c r="BA216" s="413"/>
      <c r="BB216" s="413"/>
      <c r="BC216" s="413"/>
      <c r="BD216" s="413"/>
      <c r="BE216" s="413"/>
      <c r="BF216" s="413"/>
      <c r="BG216" s="413"/>
      <c r="BH216" s="413"/>
      <c r="BI216" s="413"/>
      <c r="BJ216" s="413"/>
      <c r="BK216" s="413"/>
      <c r="BL216" s="413"/>
      <c r="BM216" s="413"/>
      <c r="BN216" s="413"/>
      <c r="BO216" s="413"/>
      <c r="BP216" s="413"/>
      <c r="BQ216" s="413"/>
      <c r="BR216" s="413"/>
      <c r="BS216" s="413"/>
      <c r="BT216" s="413"/>
      <c r="BU216" s="413"/>
      <c r="BV216" s="413"/>
      <c r="BW216" s="413"/>
      <c r="BX216" s="413"/>
      <c r="BY216" s="413"/>
      <c r="BZ216" s="413"/>
      <c r="CA216" s="413"/>
      <c r="CB216" s="413"/>
      <c r="CC216" s="413"/>
      <c r="CD216" s="413"/>
      <c r="CE216" s="413"/>
      <c r="CF216" s="413"/>
      <c r="CG216" s="413"/>
      <c r="CH216" s="413"/>
      <c r="CI216" s="413"/>
      <c r="CJ216" s="413"/>
      <c r="CK216" s="413"/>
      <c r="CL216" s="413"/>
      <c r="CM216" s="413"/>
      <c r="CN216" s="413"/>
      <c r="CO216" s="413"/>
      <c r="CP216" s="413"/>
      <c r="CQ216" s="413"/>
      <c r="CR216" s="413"/>
      <c r="CS216" s="413"/>
      <c r="CT216" s="413"/>
      <c r="CU216" s="413"/>
      <c r="CV216" s="413"/>
      <c r="CW216" s="413"/>
      <c r="CX216" s="413"/>
      <c r="CY216" s="413"/>
      <c r="CZ216" s="413"/>
      <c r="DA216" s="413"/>
      <c r="DB216" s="413"/>
      <c r="DC216" s="413"/>
      <c r="DD216" s="413"/>
      <c r="DE216" s="413"/>
      <c r="DF216" s="413"/>
      <c r="DG216" s="413"/>
      <c r="DH216" s="413"/>
      <c r="DI216" s="413"/>
      <c r="DJ216" s="413"/>
      <c r="DK216" s="413"/>
    </row>
    <row r="217" spans="30:115" ht="14.25" customHeight="1">
      <c r="AD217" s="413"/>
      <c r="AE217" s="413"/>
      <c r="AF217" s="413"/>
      <c r="AG217" s="413"/>
      <c r="AH217" s="413"/>
      <c r="AI217" s="413"/>
      <c r="AJ217" s="413"/>
      <c r="AK217" s="413"/>
      <c r="AL217" s="413"/>
      <c r="AM217" s="413"/>
      <c r="AN217" s="413"/>
      <c r="AO217" s="413"/>
      <c r="AP217" s="413"/>
      <c r="AQ217" s="413"/>
      <c r="AR217" s="413"/>
      <c r="AS217" s="413"/>
      <c r="AT217" s="413"/>
      <c r="AU217" s="413"/>
      <c r="AV217" s="413"/>
      <c r="AW217" s="413"/>
      <c r="AX217" s="413"/>
      <c r="AY217" s="413"/>
      <c r="AZ217" s="413"/>
      <c r="BA217" s="413"/>
      <c r="BB217" s="413"/>
      <c r="BC217" s="413"/>
      <c r="BD217" s="413"/>
      <c r="BE217" s="413"/>
      <c r="BF217" s="413"/>
      <c r="BG217" s="413"/>
      <c r="BH217" s="413"/>
      <c r="BI217" s="413"/>
      <c r="BJ217" s="413"/>
      <c r="BK217" s="413"/>
      <c r="BL217" s="413"/>
      <c r="BM217" s="413"/>
      <c r="BN217" s="413"/>
      <c r="BO217" s="413"/>
      <c r="BP217" s="413"/>
      <c r="BQ217" s="413"/>
      <c r="BR217" s="413"/>
      <c r="BS217" s="413"/>
      <c r="BT217" s="413"/>
      <c r="BU217" s="413"/>
      <c r="BV217" s="413"/>
      <c r="BW217" s="413"/>
      <c r="BX217" s="413"/>
      <c r="BY217" s="413"/>
      <c r="BZ217" s="413"/>
      <c r="CA217" s="413"/>
      <c r="CB217" s="413"/>
      <c r="CC217" s="413"/>
      <c r="CD217" s="413"/>
      <c r="CE217" s="413"/>
      <c r="CF217" s="413"/>
      <c r="CG217" s="413"/>
      <c r="CH217" s="413"/>
      <c r="CI217" s="413"/>
      <c r="CJ217" s="413"/>
      <c r="CK217" s="413"/>
      <c r="CL217" s="413"/>
      <c r="CM217" s="413"/>
      <c r="CN217" s="413"/>
      <c r="CO217" s="413"/>
      <c r="CP217" s="413"/>
      <c r="CQ217" s="413"/>
      <c r="CR217" s="413"/>
      <c r="CS217" s="413"/>
      <c r="CT217" s="413"/>
      <c r="CU217" s="413"/>
      <c r="CV217" s="413"/>
      <c r="CW217" s="413"/>
      <c r="CX217" s="413"/>
      <c r="CY217" s="413"/>
      <c r="CZ217" s="413"/>
      <c r="DA217" s="413"/>
      <c r="DB217" s="413"/>
      <c r="DC217" s="413"/>
      <c r="DD217" s="413"/>
      <c r="DE217" s="413"/>
      <c r="DF217" s="413"/>
      <c r="DG217" s="413"/>
      <c r="DH217" s="413"/>
      <c r="DI217" s="413"/>
      <c r="DJ217" s="413"/>
      <c r="DK217" s="413"/>
    </row>
    <row r="218" spans="30:115" ht="14.25" customHeight="1">
      <c r="AD218" s="413"/>
      <c r="AE218" s="413"/>
      <c r="AF218" s="413"/>
      <c r="AG218" s="413"/>
      <c r="AH218" s="413"/>
      <c r="AI218" s="413"/>
      <c r="AJ218" s="413"/>
      <c r="AK218" s="413"/>
      <c r="AL218" s="413"/>
      <c r="AM218" s="413"/>
      <c r="AN218" s="413"/>
      <c r="AO218" s="413"/>
      <c r="AP218" s="413"/>
      <c r="AQ218" s="413"/>
      <c r="AR218" s="413"/>
      <c r="AS218" s="413"/>
      <c r="AT218" s="413"/>
      <c r="AU218" s="413"/>
      <c r="AV218" s="413"/>
      <c r="AW218" s="413"/>
      <c r="AX218" s="413"/>
      <c r="AY218" s="413"/>
      <c r="AZ218" s="413"/>
      <c r="BA218" s="413"/>
      <c r="BB218" s="413"/>
      <c r="BC218" s="413"/>
      <c r="BD218" s="413"/>
      <c r="BE218" s="413"/>
      <c r="BF218" s="413"/>
      <c r="BG218" s="413"/>
      <c r="BH218" s="413"/>
      <c r="BI218" s="413"/>
      <c r="BJ218" s="413"/>
      <c r="BK218" s="413"/>
      <c r="BL218" s="413"/>
      <c r="BM218" s="413"/>
      <c r="BN218" s="413"/>
      <c r="BO218" s="413"/>
      <c r="BP218" s="413"/>
      <c r="BQ218" s="413"/>
      <c r="BR218" s="413"/>
      <c r="BS218" s="413"/>
      <c r="BT218" s="413"/>
      <c r="BU218" s="413"/>
      <c r="BV218" s="413"/>
      <c r="BW218" s="413"/>
      <c r="BX218" s="413"/>
      <c r="BY218" s="413"/>
      <c r="BZ218" s="413"/>
      <c r="CA218" s="413"/>
      <c r="CB218" s="413"/>
      <c r="CC218" s="413"/>
      <c r="CD218" s="413"/>
      <c r="CE218" s="413"/>
      <c r="CF218" s="413"/>
      <c r="CG218" s="413"/>
      <c r="CH218" s="413"/>
      <c r="CI218" s="413"/>
      <c r="CJ218" s="413"/>
      <c r="CK218" s="413"/>
      <c r="CL218" s="413"/>
      <c r="CM218" s="413"/>
      <c r="CN218" s="413"/>
      <c r="CO218" s="413"/>
      <c r="CP218" s="413"/>
      <c r="CQ218" s="413"/>
      <c r="CR218" s="413"/>
      <c r="CS218" s="413"/>
      <c r="CT218" s="413"/>
      <c r="CU218" s="413"/>
      <c r="CV218" s="413"/>
      <c r="CW218" s="413"/>
      <c r="CX218" s="413"/>
      <c r="CY218" s="413"/>
      <c r="CZ218" s="413"/>
      <c r="DA218" s="413"/>
      <c r="DB218" s="413"/>
      <c r="DC218" s="413"/>
      <c r="DD218" s="413"/>
      <c r="DE218" s="413"/>
      <c r="DF218" s="413"/>
      <c r="DG218" s="413"/>
      <c r="DH218" s="413"/>
      <c r="DI218" s="413"/>
      <c r="DJ218" s="413"/>
      <c r="DK218" s="413"/>
    </row>
    <row r="219" spans="30:115" ht="14.25" customHeight="1">
      <c r="AD219" s="413"/>
      <c r="AE219" s="413"/>
      <c r="AF219" s="413"/>
      <c r="AG219" s="413"/>
      <c r="AH219" s="413"/>
      <c r="AI219" s="413"/>
      <c r="AJ219" s="413"/>
      <c r="AK219" s="413"/>
      <c r="AL219" s="413"/>
      <c r="AM219" s="413"/>
      <c r="AN219" s="413"/>
      <c r="AO219" s="413"/>
      <c r="AP219" s="413"/>
      <c r="AQ219" s="413"/>
      <c r="AR219" s="413"/>
      <c r="AS219" s="413"/>
      <c r="AT219" s="413"/>
      <c r="AU219" s="413"/>
      <c r="AV219" s="413"/>
      <c r="AW219" s="413"/>
      <c r="AX219" s="413"/>
      <c r="AY219" s="413"/>
      <c r="AZ219" s="413"/>
      <c r="BA219" s="413"/>
      <c r="BB219" s="413"/>
      <c r="BC219" s="413"/>
      <c r="BD219" s="413"/>
      <c r="BE219" s="413"/>
      <c r="BF219" s="413"/>
      <c r="BG219" s="413"/>
      <c r="BH219" s="413"/>
      <c r="BI219" s="413"/>
      <c r="BJ219" s="413"/>
      <c r="BK219" s="413"/>
      <c r="BL219" s="413"/>
      <c r="BM219" s="413"/>
      <c r="BN219" s="413"/>
      <c r="BO219" s="413"/>
      <c r="BP219" s="413"/>
      <c r="BQ219" s="413"/>
      <c r="BR219" s="413"/>
      <c r="BS219" s="413"/>
      <c r="BT219" s="413"/>
      <c r="BU219" s="413"/>
      <c r="BV219" s="413"/>
      <c r="BW219" s="413"/>
      <c r="BX219" s="413"/>
      <c r="BY219" s="413"/>
      <c r="BZ219" s="413"/>
      <c r="CA219" s="413"/>
      <c r="CB219" s="413"/>
      <c r="CC219" s="413"/>
      <c r="CD219" s="413"/>
      <c r="CE219" s="413"/>
      <c r="CF219" s="413"/>
      <c r="CG219" s="413"/>
      <c r="CH219" s="413"/>
      <c r="CI219" s="413"/>
      <c r="CJ219" s="413"/>
      <c r="CK219" s="413"/>
      <c r="CL219" s="413"/>
      <c r="CM219" s="413"/>
      <c r="CN219" s="413"/>
      <c r="CO219" s="413"/>
      <c r="CP219" s="413"/>
      <c r="CQ219" s="413"/>
      <c r="CR219" s="413"/>
      <c r="CS219" s="413"/>
      <c r="CT219" s="413"/>
      <c r="CU219" s="413"/>
      <c r="CV219" s="413"/>
      <c r="CW219" s="413"/>
      <c r="CX219" s="413"/>
      <c r="CY219" s="413"/>
      <c r="CZ219" s="413"/>
      <c r="DA219" s="413"/>
      <c r="DB219" s="413"/>
      <c r="DC219" s="413"/>
      <c r="DD219" s="413"/>
      <c r="DE219" s="413"/>
      <c r="DF219" s="413"/>
      <c r="DG219" s="413"/>
      <c r="DH219" s="413"/>
      <c r="DI219" s="413"/>
      <c r="DJ219" s="413"/>
      <c r="DK219" s="413"/>
    </row>
    <row r="220" spans="30:115" ht="14.25" customHeight="1">
      <c r="AD220" s="413"/>
      <c r="AE220" s="413"/>
      <c r="AF220" s="413"/>
      <c r="AG220" s="413"/>
      <c r="AH220" s="413"/>
      <c r="AI220" s="413"/>
      <c r="AJ220" s="413"/>
      <c r="AK220" s="413"/>
      <c r="AL220" s="413"/>
      <c r="AM220" s="413"/>
      <c r="AN220" s="413"/>
      <c r="AO220" s="413"/>
      <c r="AP220" s="413"/>
      <c r="AQ220" s="413"/>
      <c r="AR220" s="413"/>
      <c r="AS220" s="413"/>
      <c r="AT220" s="413"/>
      <c r="AU220" s="413"/>
      <c r="AV220" s="413"/>
      <c r="AW220" s="413"/>
      <c r="AX220" s="413"/>
      <c r="AY220" s="413"/>
      <c r="AZ220" s="413"/>
      <c r="BA220" s="413"/>
      <c r="BB220" s="413"/>
      <c r="BC220" s="413"/>
      <c r="BD220" s="413"/>
      <c r="BE220" s="413"/>
      <c r="BF220" s="413"/>
      <c r="BG220" s="413"/>
      <c r="BH220" s="413"/>
      <c r="BI220" s="413"/>
      <c r="BJ220" s="413"/>
      <c r="BK220" s="413"/>
      <c r="BL220" s="413"/>
      <c r="BM220" s="413"/>
      <c r="BN220" s="413"/>
      <c r="BO220" s="413"/>
      <c r="BP220" s="413"/>
      <c r="BQ220" s="413"/>
      <c r="BR220" s="413"/>
      <c r="BS220" s="413"/>
      <c r="BT220" s="413"/>
      <c r="BU220" s="413"/>
      <c r="BV220" s="413"/>
      <c r="BW220" s="413"/>
      <c r="BX220" s="413"/>
      <c r="BY220" s="413"/>
      <c r="BZ220" s="413"/>
      <c r="CA220" s="413"/>
      <c r="CB220" s="413"/>
      <c r="CC220" s="413"/>
      <c r="CD220" s="413"/>
      <c r="CE220" s="413"/>
      <c r="CF220" s="413"/>
      <c r="CG220" s="413"/>
      <c r="CH220" s="413"/>
      <c r="CI220" s="413"/>
      <c r="CJ220" s="413"/>
      <c r="CK220" s="413"/>
      <c r="CL220" s="413"/>
      <c r="CM220" s="413"/>
      <c r="CN220" s="413"/>
      <c r="CO220" s="413"/>
      <c r="CP220" s="413"/>
      <c r="CQ220" s="413"/>
      <c r="CR220" s="413"/>
      <c r="CS220" s="413"/>
      <c r="CT220" s="413"/>
      <c r="CU220" s="413"/>
      <c r="CV220" s="413"/>
      <c r="CW220" s="413"/>
      <c r="CX220" s="413"/>
      <c r="CY220" s="413"/>
      <c r="CZ220" s="413"/>
      <c r="DA220" s="413"/>
      <c r="DB220" s="413"/>
      <c r="DC220" s="413"/>
      <c r="DD220" s="413"/>
      <c r="DE220" s="413"/>
      <c r="DF220" s="413"/>
      <c r="DG220" s="413"/>
      <c r="DH220" s="413"/>
      <c r="DI220" s="413"/>
      <c r="DJ220" s="413"/>
      <c r="DK220" s="413"/>
    </row>
    <row r="221" spans="30:115" ht="14.25" customHeight="1">
      <c r="AD221" s="413"/>
      <c r="AE221" s="413"/>
      <c r="AF221" s="413"/>
      <c r="AG221" s="413"/>
      <c r="AH221" s="413"/>
      <c r="AI221" s="413"/>
      <c r="AJ221" s="413"/>
      <c r="AK221" s="413"/>
      <c r="AL221" s="413"/>
      <c r="AM221" s="413"/>
      <c r="AN221" s="413"/>
      <c r="AO221" s="413"/>
      <c r="AP221" s="413"/>
      <c r="AQ221" s="413"/>
      <c r="AR221" s="413"/>
      <c r="AS221" s="413"/>
      <c r="AT221" s="413"/>
      <c r="AU221" s="413"/>
      <c r="AV221" s="413"/>
      <c r="AW221" s="413"/>
      <c r="AX221" s="413"/>
      <c r="AY221" s="413"/>
      <c r="AZ221" s="413"/>
      <c r="BA221" s="413"/>
      <c r="BB221" s="413"/>
      <c r="BC221" s="413"/>
      <c r="BD221" s="413"/>
      <c r="BE221" s="413"/>
      <c r="BF221" s="413"/>
      <c r="BG221" s="413"/>
      <c r="BH221" s="413"/>
      <c r="BI221" s="413"/>
      <c r="BJ221" s="413"/>
      <c r="BK221" s="413"/>
      <c r="BL221" s="413"/>
      <c r="BM221" s="413"/>
      <c r="BN221" s="413"/>
      <c r="BO221" s="413"/>
      <c r="BP221" s="413"/>
      <c r="BQ221" s="413"/>
      <c r="BR221" s="413"/>
      <c r="BS221" s="413"/>
      <c r="BT221" s="413"/>
      <c r="BU221" s="413"/>
      <c r="BV221" s="413"/>
      <c r="BW221" s="413"/>
      <c r="BX221" s="413"/>
      <c r="BY221" s="413"/>
      <c r="BZ221" s="413"/>
      <c r="CA221" s="413"/>
      <c r="CB221" s="413"/>
      <c r="CC221" s="413"/>
      <c r="CD221" s="413"/>
      <c r="CE221" s="413"/>
      <c r="CF221" s="413"/>
      <c r="CG221" s="413"/>
      <c r="CH221" s="413"/>
      <c r="CI221" s="413"/>
      <c r="CJ221" s="413"/>
      <c r="CK221" s="413"/>
      <c r="CL221" s="413"/>
      <c r="CM221" s="413"/>
      <c r="CN221" s="413"/>
      <c r="CO221" s="413"/>
      <c r="CP221" s="413"/>
      <c r="CQ221" s="413"/>
      <c r="CR221" s="413"/>
      <c r="CS221" s="413"/>
      <c r="CT221" s="413"/>
      <c r="CU221" s="413"/>
      <c r="CV221" s="413"/>
      <c r="CW221" s="413"/>
      <c r="CX221" s="413"/>
      <c r="CY221" s="413"/>
      <c r="CZ221" s="413"/>
      <c r="DA221" s="413"/>
      <c r="DB221" s="413"/>
      <c r="DC221" s="413"/>
      <c r="DD221" s="413"/>
      <c r="DE221" s="413"/>
      <c r="DF221" s="413"/>
      <c r="DG221" s="413"/>
      <c r="DH221" s="413"/>
      <c r="DI221" s="413"/>
      <c r="DJ221" s="413"/>
      <c r="DK221" s="413"/>
    </row>
    <row r="222" spans="30:115" ht="14.25" customHeight="1">
      <c r="AD222" s="413"/>
      <c r="AE222" s="413"/>
      <c r="AF222" s="413"/>
      <c r="AG222" s="413"/>
      <c r="AH222" s="413"/>
      <c r="AI222" s="413"/>
      <c r="AJ222" s="413"/>
      <c r="AK222" s="413"/>
      <c r="AL222" s="413"/>
      <c r="AM222" s="413"/>
      <c r="AN222" s="413"/>
      <c r="AO222" s="413"/>
      <c r="AP222" s="413"/>
      <c r="AQ222" s="413"/>
      <c r="AR222" s="413"/>
      <c r="AS222" s="413"/>
      <c r="AT222" s="413"/>
      <c r="AU222" s="413"/>
      <c r="AV222" s="413"/>
      <c r="AW222" s="413"/>
      <c r="AX222" s="413"/>
      <c r="AY222" s="413"/>
      <c r="AZ222" s="413"/>
      <c r="BA222" s="413"/>
      <c r="BB222" s="413"/>
      <c r="BC222" s="413"/>
      <c r="BD222" s="413"/>
      <c r="BE222" s="413"/>
      <c r="BF222" s="413"/>
      <c r="BG222" s="413"/>
      <c r="BH222" s="413"/>
      <c r="BI222" s="413"/>
      <c r="BJ222" s="413"/>
      <c r="BK222" s="413"/>
      <c r="BL222" s="413"/>
      <c r="BM222" s="413"/>
      <c r="BN222" s="413"/>
      <c r="BO222" s="413"/>
      <c r="BP222" s="413"/>
      <c r="BQ222" s="413"/>
      <c r="BR222" s="413"/>
      <c r="BS222" s="413"/>
      <c r="BT222" s="413"/>
      <c r="BU222" s="413"/>
      <c r="BV222" s="413"/>
      <c r="BW222" s="413"/>
      <c r="BX222" s="413"/>
      <c r="BY222" s="413"/>
      <c r="BZ222" s="413"/>
      <c r="CA222" s="413"/>
      <c r="CB222" s="413"/>
      <c r="CC222" s="413"/>
      <c r="CD222" s="413"/>
      <c r="CE222" s="413"/>
      <c r="CF222" s="413"/>
      <c r="CG222" s="413"/>
      <c r="CH222" s="413"/>
      <c r="CI222" s="413"/>
      <c r="CJ222" s="413"/>
      <c r="CK222" s="413"/>
      <c r="CL222" s="413"/>
      <c r="CM222" s="413"/>
      <c r="CN222" s="413"/>
      <c r="CO222" s="413"/>
      <c r="CP222" s="413"/>
      <c r="CQ222" s="413"/>
      <c r="CR222" s="413"/>
      <c r="CS222" s="413"/>
      <c r="CT222" s="413"/>
      <c r="CU222" s="413"/>
      <c r="CV222" s="413"/>
      <c r="CW222" s="413"/>
      <c r="CX222" s="413"/>
      <c r="CY222" s="413"/>
      <c r="CZ222" s="413"/>
      <c r="DA222" s="413"/>
      <c r="DB222" s="413"/>
      <c r="DC222" s="413"/>
      <c r="DD222" s="413"/>
      <c r="DE222" s="413"/>
      <c r="DF222" s="413"/>
      <c r="DG222" s="413"/>
      <c r="DH222" s="413"/>
      <c r="DI222" s="413"/>
      <c r="DJ222" s="413"/>
      <c r="DK222" s="413"/>
    </row>
    <row r="223" spans="30:115" ht="14.25" customHeight="1">
      <c r="AD223" s="413"/>
      <c r="AE223" s="413"/>
      <c r="AF223" s="413"/>
      <c r="AG223" s="413"/>
      <c r="AH223" s="413"/>
      <c r="AI223" s="413"/>
      <c r="AJ223" s="413"/>
      <c r="AK223" s="413"/>
      <c r="AL223" s="413"/>
      <c r="AM223" s="413"/>
      <c r="AN223" s="413"/>
      <c r="AO223" s="413"/>
      <c r="AP223" s="413"/>
      <c r="AQ223" s="413"/>
      <c r="AR223" s="413"/>
      <c r="AS223" s="413"/>
      <c r="AT223" s="413"/>
      <c r="AU223" s="413"/>
      <c r="AV223" s="413"/>
      <c r="AW223" s="413"/>
      <c r="AX223" s="413"/>
      <c r="AY223" s="413"/>
      <c r="AZ223" s="413"/>
      <c r="BA223" s="413"/>
      <c r="BB223" s="413"/>
      <c r="BC223" s="413"/>
      <c r="BD223" s="413"/>
      <c r="BE223" s="413"/>
      <c r="BF223" s="413"/>
      <c r="BG223" s="413"/>
      <c r="BH223" s="413"/>
      <c r="BI223" s="413"/>
      <c r="BJ223" s="413"/>
      <c r="BK223" s="413"/>
      <c r="BL223" s="413"/>
      <c r="BM223" s="413"/>
      <c r="BN223" s="413"/>
      <c r="BO223" s="413"/>
      <c r="BP223" s="413"/>
      <c r="BQ223" s="413"/>
      <c r="BR223" s="413"/>
      <c r="BS223" s="413"/>
      <c r="BT223" s="413"/>
      <c r="BU223" s="413"/>
      <c r="BV223" s="413"/>
      <c r="BW223" s="413"/>
      <c r="BX223" s="413"/>
      <c r="BY223" s="413"/>
      <c r="BZ223" s="413"/>
      <c r="CA223" s="413"/>
      <c r="CB223" s="413"/>
      <c r="CC223" s="413"/>
      <c r="CD223" s="413"/>
      <c r="CE223" s="413"/>
      <c r="CF223" s="413"/>
      <c r="CG223" s="413"/>
      <c r="CH223" s="413"/>
      <c r="CI223" s="413"/>
      <c r="CJ223" s="413"/>
      <c r="CK223" s="413"/>
      <c r="CL223" s="413"/>
      <c r="CM223" s="413"/>
      <c r="CN223" s="413"/>
      <c r="CO223" s="413"/>
      <c r="CP223" s="413"/>
      <c r="CQ223" s="413"/>
      <c r="CR223" s="413"/>
      <c r="CS223" s="413"/>
      <c r="CT223" s="413"/>
      <c r="CU223" s="413"/>
      <c r="CV223" s="413"/>
      <c r="CW223" s="413"/>
      <c r="CX223" s="413"/>
      <c r="CY223" s="413"/>
      <c r="CZ223" s="413"/>
      <c r="DA223" s="413"/>
      <c r="DB223" s="413"/>
      <c r="DC223" s="413"/>
      <c r="DD223" s="413"/>
      <c r="DE223" s="413"/>
      <c r="DF223" s="413"/>
      <c r="DG223" s="413"/>
      <c r="DH223" s="413"/>
      <c r="DI223" s="413"/>
      <c r="DJ223" s="413"/>
      <c r="DK223" s="413"/>
    </row>
    <row r="224" spans="30:115" ht="14.25" customHeight="1">
      <c r="AD224" s="413"/>
      <c r="AE224" s="413"/>
      <c r="AF224" s="413"/>
      <c r="AG224" s="413"/>
      <c r="AH224" s="413"/>
      <c r="AI224" s="413"/>
      <c r="AJ224" s="413"/>
      <c r="AK224" s="413"/>
      <c r="AL224" s="413"/>
      <c r="AM224" s="413"/>
      <c r="AN224" s="413"/>
      <c r="AO224" s="413"/>
      <c r="AP224" s="413"/>
      <c r="AQ224" s="413"/>
      <c r="AR224" s="413"/>
      <c r="AS224" s="413"/>
      <c r="AT224" s="413"/>
      <c r="AU224" s="413"/>
      <c r="AV224" s="413"/>
      <c r="AW224" s="413"/>
      <c r="AX224" s="413"/>
      <c r="AY224" s="413"/>
      <c r="AZ224" s="413"/>
      <c r="BA224" s="413"/>
      <c r="BB224" s="413"/>
      <c r="BC224" s="413"/>
      <c r="BD224" s="413"/>
      <c r="BE224" s="413"/>
      <c r="BF224" s="413"/>
      <c r="BG224" s="413"/>
      <c r="BH224" s="413"/>
      <c r="BI224" s="413"/>
      <c r="BJ224" s="413"/>
      <c r="BK224" s="413"/>
      <c r="BL224" s="413"/>
      <c r="BM224" s="413"/>
      <c r="BN224" s="413"/>
      <c r="BO224" s="413"/>
      <c r="BP224" s="413"/>
      <c r="BQ224" s="413"/>
      <c r="BR224" s="413"/>
      <c r="BS224" s="413"/>
      <c r="BT224" s="413"/>
      <c r="BU224" s="413"/>
      <c r="BV224" s="413"/>
      <c r="BW224" s="413"/>
      <c r="BX224" s="413"/>
      <c r="BY224" s="413"/>
      <c r="BZ224" s="413"/>
      <c r="CA224" s="413"/>
      <c r="CB224" s="413"/>
      <c r="CC224" s="413"/>
      <c r="CD224" s="413"/>
      <c r="CE224" s="413"/>
      <c r="CF224" s="413"/>
      <c r="CG224" s="413"/>
      <c r="CH224" s="413"/>
      <c r="CI224" s="413"/>
      <c r="CJ224" s="413"/>
      <c r="CK224" s="413"/>
      <c r="CL224" s="413"/>
      <c r="CM224" s="413"/>
      <c r="CN224" s="413"/>
      <c r="CO224" s="413"/>
      <c r="CP224" s="413"/>
      <c r="CQ224" s="413"/>
      <c r="CR224" s="413"/>
      <c r="CS224" s="413"/>
      <c r="CT224" s="413"/>
      <c r="CU224" s="413"/>
      <c r="CV224" s="413"/>
      <c r="CW224" s="413"/>
      <c r="CX224" s="413"/>
      <c r="CY224" s="413"/>
      <c r="CZ224" s="413"/>
      <c r="DA224" s="413"/>
      <c r="DB224" s="413"/>
      <c r="DC224" s="413"/>
      <c r="DD224" s="413"/>
      <c r="DE224" s="413"/>
      <c r="DF224" s="413"/>
      <c r="DG224" s="413"/>
      <c r="DH224" s="413"/>
      <c r="DI224" s="413"/>
      <c r="DJ224" s="413"/>
      <c r="DK224" s="413"/>
    </row>
    <row r="225" spans="30:115" ht="14.25" customHeight="1">
      <c r="AD225" s="413"/>
      <c r="AE225" s="413"/>
      <c r="AF225" s="413"/>
      <c r="AG225" s="413"/>
      <c r="AH225" s="413"/>
      <c r="AI225" s="413"/>
      <c r="AJ225" s="413"/>
      <c r="AK225" s="413"/>
      <c r="AL225" s="413"/>
      <c r="AM225" s="413"/>
      <c r="AN225" s="413"/>
      <c r="AO225" s="413"/>
      <c r="AP225" s="413"/>
      <c r="AQ225" s="413"/>
      <c r="AR225" s="413"/>
      <c r="AS225" s="413"/>
      <c r="AT225" s="413"/>
      <c r="AU225" s="413"/>
      <c r="AV225" s="413"/>
      <c r="AW225" s="413"/>
      <c r="AX225" s="413"/>
      <c r="AY225" s="413"/>
      <c r="AZ225" s="413"/>
      <c r="BA225" s="413"/>
      <c r="BB225" s="413"/>
      <c r="BC225" s="413"/>
      <c r="BD225" s="413"/>
      <c r="BE225" s="413"/>
      <c r="BF225" s="413"/>
      <c r="BG225" s="413"/>
      <c r="BH225" s="413"/>
      <c r="BI225" s="413"/>
      <c r="BJ225" s="413"/>
      <c r="BK225" s="413"/>
      <c r="BL225" s="413"/>
      <c r="BM225" s="413"/>
      <c r="BN225" s="413"/>
      <c r="BO225" s="413"/>
      <c r="BP225" s="413"/>
      <c r="BQ225" s="413"/>
      <c r="BR225" s="413"/>
      <c r="BS225" s="413"/>
      <c r="BT225" s="413"/>
      <c r="BU225" s="413"/>
      <c r="BV225" s="413"/>
      <c r="BW225" s="413"/>
      <c r="BX225" s="413"/>
      <c r="BY225" s="413"/>
      <c r="BZ225" s="413"/>
      <c r="CA225" s="413"/>
      <c r="CB225" s="413"/>
      <c r="CC225" s="413"/>
      <c r="CD225" s="413"/>
      <c r="CE225" s="413"/>
      <c r="CF225" s="413"/>
      <c r="CG225" s="413"/>
      <c r="CH225" s="413"/>
      <c r="CI225" s="413"/>
      <c r="CJ225" s="413"/>
      <c r="CK225" s="413"/>
      <c r="CL225" s="413"/>
      <c r="CM225" s="413"/>
      <c r="CN225" s="413"/>
      <c r="CO225" s="413"/>
      <c r="CP225" s="413"/>
      <c r="CQ225" s="413"/>
      <c r="CR225" s="413"/>
      <c r="CS225" s="413"/>
      <c r="CT225" s="413"/>
      <c r="CU225" s="413"/>
      <c r="CV225" s="413"/>
      <c r="CW225" s="413"/>
      <c r="CX225" s="413"/>
      <c r="CY225" s="413"/>
      <c r="CZ225" s="413"/>
      <c r="DA225" s="413"/>
      <c r="DB225" s="413"/>
      <c r="DC225" s="413"/>
      <c r="DD225" s="413"/>
      <c r="DE225" s="413"/>
      <c r="DF225" s="413"/>
      <c r="DG225" s="413"/>
      <c r="DH225" s="413"/>
      <c r="DI225" s="413"/>
      <c r="DJ225" s="413"/>
      <c r="DK225" s="413"/>
    </row>
    <row r="226" spans="30:115" ht="14.25" customHeight="1">
      <c r="AD226" s="413"/>
      <c r="AE226" s="413"/>
      <c r="AF226" s="413"/>
      <c r="AG226" s="413"/>
      <c r="AH226" s="413"/>
      <c r="AI226" s="413"/>
      <c r="AJ226" s="413"/>
      <c r="AK226" s="413"/>
      <c r="AL226" s="413"/>
      <c r="AM226" s="413"/>
      <c r="AN226" s="413"/>
      <c r="AO226" s="413"/>
      <c r="AP226" s="413"/>
      <c r="AQ226" s="413"/>
      <c r="AR226" s="413"/>
      <c r="AS226" s="413"/>
      <c r="AT226" s="413"/>
      <c r="AU226" s="413"/>
      <c r="AV226" s="413"/>
      <c r="AW226" s="413"/>
      <c r="AX226" s="413"/>
      <c r="AY226" s="413"/>
      <c r="AZ226" s="413"/>
      <c r="BA226" s="413"/>
      <c r="BB226" s="413"/>
      <c r="BC226" s="413"/>
      <c r="BD226" s="413"/>
      <c r="BE226" s="413"/>
      <c r="BF226" s="413"/>
      <c r="BG226" s="413"/>
      <c r="BH226" s="413"/>
      <c r="BI226" s="413"/>
      <c r="BJ226" s="413"/>
      <c r="BK226" s="413"/>
      <c r="BL226" s="413"/>
      <c r="BM226" s="413"/>
      <c r="BN226" s="413"/>
      <c r="BO226" s="413"/>
      <c r="BP226" s="413"/>
      <c r="BQ226" s="413"/>
      <c r="BR226" s="413"/>
      <c r="BS226" s="413"/>
      <c r="BT226" s="413"/>
      <c r="BU226" s="413"/>
      <c r="BV226" s="413"/>
      <c r="BW226" s="413"/>
      <c r="BX226" s="413"/>
      <c r="BY226" s="413"/>
      <c r="BZ226" s="413"/>
      <c r="CA226" s="413"/>
      <c r="CB226" s="413"/>
      <c r="CC226" s="413"/>
      <c r="CD226" s="413"/>
      <c r="CE226" s="413"/>
      <c r="CF226" s="413"/>
      <c r="CG226" s="413"/>
      <c r="CH226" s="413"/>
      <c r="CI226" s="413"/>
      <c r="CJ226" s="413"/>
      <c r="CK226" s="413"/>
      <c r="CL226" s="413"/>
      <c r="CM226" s="413"/>
      <c r="CN226" s="413"/>
      <c r="CO226" s="413"/>
      <c r="CP226" s="413"/>
      <c r="CQ226" s="413"/>
      <c r="CR226" s="413"/>
      <c r="CS226" s="413"/>
      <c r="CT226" s="413"/>
      <c r="CU226" s="413"/>
      <c r="CV226" s="413"/>
      <c r="CW226" s="413"/>
      <c r="CX226" s="413"/>
      <c r="CY226" s="413"/>
      <c r="CZ226" s="413"/>
      <c r="DA226" s="413"/>
      <c r="DB226" s="413"/>
      <c r="DC226" s="413"/>
      <c r="DD226" s="413"/>
      <c r="DE226" s="413"/>
      <c r="DF226" s="413"/>
      <c r="DG226" s="413"/>
      <c r="DH226" s="413"/>
      <c r="DI226" s="413"/>
      <c r="DJ226" s="413"/>
      <c r="DK226" s="413"/>
    </row>
    <row r="227" spans="30:115" ht="14.25" customHeight="1">
      <c r="AD227" s="413"/>
      <c r="AE227" s="413"/>
      <c r="AF227" s="413"/>
      <c r="AG227" s="413"/>
      <c r="AH227" s="413"/>
      <c r="AI227" s="413"/>
      <c r="AJ227" s="413"/>
      <c r="AK227" s="413"/>
      <c r="AL227" s="413"/>
      <c r="AM227" s="413"/>
      <c r="AN227" s="413"/>
      <c r="AO227" s="413"/>
      <c r="AP227" s="413"/>
      <c r="AQ227" s="413"/>
      <c r="AR227" s="413"/>
      <c r="AS227" s="413"/>
      <c r="AT227" s="413"/>
      <c r="AU227" s="413"/>
      <c r="AV227" s="413"/>
      <c r="AW227" s="413"/>
      <c r="AX227" s="413"/>
      <c r="AY227" s="413"/>
      <c r="AZ227" s="413"/>
      <c r="BA227" s="413"/>
      <c r="BB227" s="413"/>
      <c r="BC227" s="413"/>
      <c r="BD227" s="413"/>
      <c r="BE227" s="413"/>
      <c r="BF227" s="413"/>
      <c r="BG227" s="413"/>
      <c r="BH227" s="413"/>
      <c r="BI227" s="413"/>
      <c r="BJ227" s="413"/>
      <c r="BK227" s="413"/>
      <c r="BL227" s="413"/>
      <c r="BM227" s="413"/>
      <c r="BN227" s="413"/>
      <c r="BO227" s="413"/>
      <c r="BP227" s="413"/>
      <c r="BQ227" s="413"/>
      <c r="BR227" s="413"/>
      <c r="BS227" s="413"/>
      <c r="BT227" s="413"/>
      <c r="BU227" s="413"/>
      <c r="BV227" s="413"/>
      <c r="BW227" s="413"/>
      <c r="BX227" s="413"/>
      <c r="BY227" s="413"/>
      <c r="BZ227" s="413"/>
      <c r="CA227" s="413"/>
      <c r="CB227" s="413"/>
      <c r="CC227" s="413"/>
      <c r="CD227" s="413"/>
      <c r="CE227" s="413"/>
      <c r="CF227" s="413"/>
      <c r="CG227" s="413"/>
      <c r="CH227" s="413"/>
      <c r="CI227" s="413"/>
      <c r="CJ227" s="413"/>
      <c r="CK227" s="413"/>
      <c r="CL227" s="413"/>
      <c r="CM227" s="413"/>
      <c r="CN227" s="413"/>
      <c r="CO227" s="413"/>
      <c r="CP227" s="413"/>
      <c r="CQ227" s="413"/>
      <c r="CR227" s="413"/>
      <c r="CS227" s="413"/>
      <c r="CT227" s="413"/>
      <c r="CU227" s="413"/>
      <c r="CV227" s="413"/>
      <c r="CW227" s="413"/>
      <c r="CX227" s="413"/>
      <c r="CY227" s="413"/>
      <c r="CZ227" s="413"/>
      <c r="DA227" s="413"/>
      <c r="DB227" s="413"/>
      <c r="DC227" s="413"/>
      <c r="DD227" s="413"/>
      <c r="DE227" s="413"/>
      <c r="DF227" s="413"/>
      <c r="DG227" s="413"/>
      <c r="DH227" s="413"/>
      <c r="DI227" s="413"/>
      <c r="DJ227" s="413"/>
      <c r="DK227" s="413"/>
    </row>
    <row r="228" spans="30:115" ht="14.25" customHeight="1">
      <c r="AD228" s="413"/>
      <c r="AE228" s="413"/>
      <c r="AF228" s="413"/>
      <c r="AG228" s="413"/>
      <c r="AH228" s="413"/>
      <c r="AI228" s="413"/>
      <c r="AJ228" s="413"/>
      <c r="AK228" s="413"/>
      <c r="AL228" s="413"/>
      <c r="AM228" s="413"/>
      <c r="AN228" s="413"/>
      <c r="AO228" s="413"/>
      <c r="AP228" s="413"/>
      <c r="AQ228" s="413"/>
      <c r="AR228" s="413"/>
      <c r="AS228" s="413"/>
      <c r="AT228" s="413"/>
      <c r="AU228" s="413"/>
      <c r="AV228" s="413"/>
      <c r="AW228" s="413"/>
      <c r="AX228" s="413"/>
      <c r="AY228" s="413"/>
      <c r="AZ228" s="413"/>
      <c r="BA228" s="413"/>
      <c r="BB228" s="413"/>
      <c r="BC228" s="413"/>
      <c r="BD228" s="413"/>
      <c r="BE228" s="413"/>
      <c r="BF228" s="413"/>
      <c r="BG228" s="413"/>
      <c r="BH228" s="413"/>
      <c r="BI228" s="413"/>
      <c r="BJ228" s="413"/>
      <c r="BK228" s="413"/>
      <c r="BL228" s="413"/>
      <c r="BM228" s="413"/>
      <c r="BN228" s="413"/>
      <c r="BO228" s="413"/>
      <c r="BP228" s="413"/>
      <c r="BQ228" s="413"/>
      <c r="BR228" s="413"/>
      <c r="BS228" s="413"/>
      <c r="BT228" s="413"/>
      <c r="BU228" s="413"/>
      <c r="BV228" s="413"/>
      <c r="BW228" s="413"/>
      <c r="BX228" s="413"/>
      <c r="BY228" s="413"/>
      <c r="BZ228" s="413"/>
      <c r="CA228" s="413"/>
      <c r="CB228" s="413"/>
      <c r="CC228" s="413"/>
      <c r="CD228" s="413"/>
      <c r="CE228" s="413"/>
      <c r="CF228" s="413"/>
      <c r="CG228" s="413"/>
      <c r="CH228" s="413"/>
      <c r="CI228" s="413"/>
      <c r="CJ228" s="413"/>
      <c r="CK228" s="413"/>
      <c r="CL228" s="413"/>
      <c r="CM228" s="413"/>
      <c r="CN228" s="413"/>
      <c r="CO228" s="413"/>
      <c r="CP228" s="413"/>
      <c r="CQ228" s="413"/>
      <c r="CR228" s="413"/>
      <c r="CS228" s="413"/>
      <c r="CT228" s="413"/>
      <c r="CU228" s="413"/>
      <c r="CV228" s="413"/>
      <c r="CW228" s="413"/>
      <c r="CX228" s="413"/>
      <c r="CY228" s="413"/>
      <c r="CZ228" s="413"/>
      <c r="DA228" s="413"/>
      <c r="DB228" s="413"/>
      <c r="DC228" s="413"/>
      <c r="DD228" s="413"/>
      <c r="DE228" s="413"/>
      <c r="DF228" s="413"/>
      <c r="DG228" s="413"/>
      <c r="DH228" s="413"/>
      <c r="DI228" s="413"/>
      <c r="DJ228" s="413"/>
      <c r="DK228" s="413"/>
    </row>
    <row r="229" spans="30:115" ht="14.25" customHeight="1">
      <c r="AD229" s="413"/>
      <c r="AE229" s="413"/>
      <c r="AF229" s="413"/>
      <c r="AG229" s="413"/>
      <c r="AH229" s="413"/>
      <c r="AI229" s="413"/>
      <c r="AJ229" s="413"/>
      <c r="AK229" s="413"/>
      <c r="AL229" s="413"/>
      <c r="AM229" s="413"/>
      <c r="AN229" s="413"/>
      <c r="AO229" s="413"/>
      <c r="AP229" s="413"/>
      <c r="AQ229" s="413"/>
      <c r="AR229" s="413"/>
      <c r="AS229" s="413"/>
      <c r="AT229" s="413"/>
      <c r="AU229" s="413"/>
      <c r="AV229" s="413"/>
      <c r="AW229" s="413"/>
      <c r="AX229" s="413"/>
      <c r="AY229" s="413"/>
      <c r="AZ229" s="413"/>
      <c r="BA229" s="413"/>
      <c r="BB229" s="413"/>
      <c r="BC229" s="413"/>
      <c r="BD229" s="413"/>
      <c r="BE229" s="413"/>
      <c r="BF229" s="413"/>
      <c r="BG229" s="413"/>
      <c r="BH229" s="413"/>
      <c r="BI229" s="413"/>
      <c r="BJ229" s="413"/>
      <c r="BK229" s="413"/>
      <c r="BL229" s="413"/>
      <c r="BM229" s="413"/>
      <c r="BN229" s="413"/>
      <c r="BO229" s="413"/>
      <c r="BP229" s="413"/>
      <c r="BQ229" s="413"/>
      <c r="BR229" s="413"/>
      <c r="BS229" s="413"/>
      <c r="BT229" s="413"/>
      <c r="BU229" s="413"/>
      <c r="BV229" s="413"/>
      <c r="BW229" s="413"/>
      <c r="BX229" s="413"/>
      <c r="BY229" s="413"/>
      <c r="BZ229" s="413"/>
      <c r="CA229" s="413"/>
      <c r="CB229" s="413"/>
      <c r="CC229" s="413"/>
      <c r="CD229" s="413"/>
      <c r="CE229" s="413"/>
      <c r="CF229" s="413"/>
      <c r="CG229" s="413"/>
      <c r="CH229" s="413"/>
      <c r="CI229" s="413"/>
      <c r="CJ229" s="413"/>
      <c r="CK229" s="413"/>
      <c r="CL229" s="413"/>
      <c r="CM229" s="413"/>
      <c r="CN229" s="413"/>
      <c r="CO229" s="413"/>
      <c r="CP229" s="413"/>
      <c r="CQ229" s="413"/>
      <c r="CR229" s="413"/>
      <c r="CS229" s="413"/>
      <c r="CT229" s="413"/>
      <c r="CU229" s="413"/>
      <c r="CV229" s="413"/>
      <c r="CW229" s="413"/>
      <c r="CX229" s="413"/>
      <c r="CY229" s="413"/>
      <c r="CZ229" s="413"/>
      <c r="DA229" s="413"/>
      <c r="DB229" s="413"/>
      <c r="DC229" s="413"/>
      <c r="DD229" s="413"/>
      <c r="DE229" s="413"/>
      <c r="DF229" s="413"/>
      <c r="DG229" s="413"/>
      <c r="DH229" s="413"/>
      <c r="DI229" s="413"/>
      <c r="DJ229" s="413"/>
      <c r="DK229" s="413"/>
    </row>
    <row r="230" spans="30:115" ht="14.25" customHeight="1">
      <c r="AD230" s="413"/>
      <c r="AE230" s="413"/>
      <c r="AF230" s="413"/>
      <c r="AG230" s="413"/>
      <c r="AH230" s="413"/>
      <c r="AI230" s="413"/>
      <c r="AJ230" s="413"/>
      <c r="AK230" s="413"/>
      <c r="AL230" s="413"/>
      <c r="AM230" s="413"/>
      <c r="AN230" s="413"/>
      <c r="AO230" s="413"/>
      <c r="AP230" s="413"/>
      <c r="AQ230" s="413"/>
      <c r="AR230" s="413"/>
      <c r="AS230" s="413"/>
      <c r="AT230" s="413"/>
      <c r="AU230" s="413"/>
      <c r="AV230" s="413"/>
      <c r="AW230" s="413"/>
      <c r="AX230" s="413"/>
      <c r="AY230" s="413"/>
      <c r="AZ230" s="413"/>
      <c r="BA230" s="413"/>
      <c r="BB230" s="413"/>
      <c r="BC230" s="413"/>
      <c r="BD230" s="413"/>
      <c r="BE230" s="413"/>
      <c r="BF230" s="413"/>
      <c r="BG230" s="413"/>
      <c r="BH230" s="413"/>
      <c r="BI230" s="413"/>
      <c r="BJ230" s="413"/>
      <c r="BK230" s="413"/>
      <c r="BL230" s="413"/>
      <c r="BM230" s="413"/>
      <c r="BN230" s="413"/>
      <c r="BO230" s="413"/>
      <c r="BP230" s="413"/>
      <c r="BQ230" s="413"/>
      <c r="BR230" s="413"/>
      <c r="BS230" s="413"/>
      <c r="BT230" s="413"/>
      <c r="BU230" s="413"/>
      <c r="BV230" s="413"/>
      <c r="BW230" s="413"/>
      <c r="BX230" s="413"/>
      <c r="BY230" s="413"/>
      <c r="BZ230" s="413"/>
      <c r="CA230" s="413"/>
      <c r="CB230" s="413"/>
      <c r="CC230" s="413"/>
      <c r="CD230" s="413"/>
      <c r="CE230" s="413"/>
      <c r="CF230" s="413"/>
      <c r="CG230" s="413"/>
      <c r="CH230" s="413"/>
      <c r="CI230" s="413"/>
      <c r="CJ230" s="413"/>
      <c r="CK230" s="413"/>
      <c r="CL230" s="413"/>
      <c r="CM230" s="413"/>
      <c r="CN230" s="413"/>
      <c r="CO230" s="413"/>
      <c r="CP230" s="413"/>
      <c r="CQ230" s="413"/>
      <c r="CR230" s="413"/>
      <c r="CS230" s="413"/>
      <c r="CT230" s="413"/>
      <c r="CU230" s="413"/>
      <c r="CV230" s="413"/>
      <c r="CW230" s="413"/>
      <c r="CX230" s="413"/>
      <c r="CY230" s="413"/>
      <c r="CZ230" s="413"/>
      <c r="DA230" s="413"/>
      <c r="DB230" s="413"/>
      <c r="DC230" s="413"/>
      <c r="DD230" s="413"/>
      <c r="DE230" s="413"/>
      <c r="DF230" s="413"/>
      <c r="DG230" s="413"/>
      <c r="DH230" s="413"/>
      <c r="DI230" s="413"/>
      <c r="DJ230" s="413"/>
      <c r="DK230" s="413"/>
    </row>
    <row r="231" spans="30:115" ht="14.25" customHeight="1">
      <c r="AD231" s="413"/>
      <c r="AE231" s="413"/>
      <c r="AF231" s="413"/>
      <c r="AG231" s="413"/>
      <c r="AH231" s="413"/>
      <c r="AI231" s="413"/>
      <c r="AJ231" s="413"/>
      <c r="AK231" s="413"/>
      <c r="AL231" s="413"/>
      <c r="AM231" s="413"/>
      <c r="AN231" s="413"/>
      <c r="AO231" s="413"/>
      <c r="AP231" s="413"/>
      <c r="AQ231" s="413"/>
      <c r="AR231" s="413"/>
      <c r="AS231" s="413"/>
      <c r="AT231" s="413"/>
      <c r="AU231" s="413"/>
      <c r="AV231" s="413"/>
      <c r="AW231" s="413"/>
      <c r="AX231" s="413"/>
      <c r="AY231" s="413"/>
      <c r="AZ231" s="413"/>
      <c r="BA231" s="413"/>
      <c r="BB231" s="413"/>
      <c r="BC231" s="413"/>
      <c r="BD231" s="413"/>
      <c r="BE231" s="413"/>
      <c r="BF231" s="413"/>
      <c r="BG231" s="413"/>
      <c r="BH231" s="413"/>
      <c r="BI231" s="413"/>
      <c r="BJ231" s="413"/>
      <c r="BK231" s="413"/>
      <c r="BL231" s="413"/>
      <c r="BM231" s="413"/>
      <c r="BN231" s="413"/>
      <c r="BO231" s="413"/>
      <c r="BP231" s="413"/>
      <c r="BQ231" s="413"/>
      <c r="BR231" s="413"/>
      <c r="BS231" s="413"/>
      <c r="BT231" s="413"/>
      <c r="BU231" s="413"/>
      <c r="BV231" s="413"/>
      <c r="BW231" s="413"/>
      <c r="BX231" s="413"/>
      <c r="BY231" s="413"/>
      <c r="BZ231" s="413"/>
      <c r="CA231" s="413"/>
      <c r="CB231" s="413"/>
      <c r="CC231" s="413"/>
      <c r="CD231" s="413"/>
      <c r="CE231" s="413"/>
      <c r="CF231" s="413"/>
      <c r="CG231" s="413"/>
      <c r="CH231" s="413"/>
      <c r="CI231" s="413"/>
      <c r="CJ231" s="413"/>
      <c r="CK231" s="413"/>
      <c r="CL231" s="413"/>
      <c r="CM231" s="413"/>
      <c r="CN231" s="413"/>
      <c r="CO231" s="413"/>
      <c r="CP231" s="413"/>
      <c r="CQ231" s="413"/>
      <c r="CR231" s="413"/>
      <c r="CS231" s="413"/>
      <c r="CT231" s="413"/>
      <c r="CU231" s="413"/>
      <c r="CV231" s="413"/>
      <c r="CW231" s="413"/>
      <c r="CX231" s="413"/>
      <c r="CY231" s="413"/>
      <c r="CZ231" s="413"/>
      <c r="DA231" s="413"/>
      <c r="DB231" s="413"/>
      <c r="DC231" s="413"/>
      <c r="DD231" s="413"/>
      <c r="DE231" s="413"/>
      <c r="DF231" s="413"/>
      <c r="DG231" s="413"/>
      <c r="DH231" s="413"/>
      <c r="DI231" s="413"/>
      <c r="DJ231" s="413"/>
      <c r="DK231" s="413"/>
    </row>
    <row r="232" spans="30:115" ht="14.25" customHeight="1">
      <c r="AD232" s="413"/>
      <c r="AE232" s="413"/>
      <c r="AF232" s="413"/>
      <c r="AG232" s="413"/>
      <c r="AH232" s="413"/>
      <c r="AI232" s="413"/>
      <c r="AJ232" s="413"/>
      <c r="AK232" s="413"/>
      <c r="AL232" s="413"/>
      <c r="AM232" s="413"/>
      <c r="AN232" s="413"/>
      <c r="AO232" s="413"/>
      <c r="AP232" s="413"/>
      <c r="AQ232" s="413"/>
      <c r="AR232" s="413"/>
      <c r="AS232" s="413"/>
      <c r="AT232" s="413"/>
      <c r="AU232" s="413"/>
      <c r="AV232" s="413"/>
      <c r="AW232" s="413"/>
      <c r="AX232" s="413"/>
      <c r="AY232" s="413"/>
      <c r="AZ232" s="413"/>
      <c r="BA232" s="413"/>
      <c r="BB232" s="413"/>
      <c r="BC232" s="413"/>
      <c r="BD232" s="413"/>
      <c r="BE232" s="413"/>
      <c r="BF232" s="413"/>
      <c r="BG232" s="413"/>
      <c r="BH232" s="413"/>
      <c r="BI232" s="413"/>
      <c r="BJ232" s="413"/>
      <c r="BK232" s="413"/>
      <c r="BL232" s="413"/>
      <c r="BM232" s="413"/>
      <c r="BN232" s="413"/>
      <c r="BO232" s="413"/>
      <c r="BP232" s="413"/>
      <c r="BQ232" s="413"/>
      <c r="BR232" s="413"/>
      <c r="BS232" s="413"/>
      <c r="BT232" s="413"/>
      <c r="BU232" s="413"/>
      <c r="BV232" s="413"/>
      <c r="BW232" s="413"/>
      <c r="BX232" s="413"/>
      <c r="BY232" s="413"/>
      <c r="BZ232" s="413"/>
      <c r="CA232" s="413"/>
      <c r="CB232" s="413"/>
      <c r="CC232" s="413"/>
      <c r="CD232" s="413"/>
      <c r="CE232" s="413"/>
      <c r="CF232" s="413"/>
      <c r="CG232" s="413"/>
      <c r="CH232" s="413"/>
      <c r="CI232" s="413"/>
      <c r="CJ232" s="413"/>
      <c r="CK232" s="413"/>
      <c r="CL232" s="413"/>
      <c r="CM232" s="413"/>
      <c r="CN232" s="413"/>
      <c r="CO232" s="413"/>
      <c r="CP232" s="413"/>
      <c r="CQ232" s="413"/>
      <c r="CR232" s="413"/>
      <c r="CS232" s="413"/>
      <c r="CT232" s="413"/>
      <c r="CU232" s="413"/>
      <c r="CV232" s="413"/>
      <c r="CW232" s="413"/>
      <c r="CX232" s="413"/>
      <c r="CY232" s="413"/>
      <c r="CZ232" s="413"/>
      <c r="DA232" s="413"/>
      <c r="DB232" s="413"/>
      <c r="DC232" s="413"/>
      <c r="DD232" s="413"/>
      <c r="DE232" s="413"/>
      <c r="DF232" s="413"/>
      <c r="DG232" s="413"/>
      <c r="DH232" s="413"/>
      <c r="DI232" s="413"/>
      <c r="DJ232" s="413"/>
      <c r="DK232" s="413"/>
    </row>
    <row r="233" spans="30:115" ht="14.25" customHeight="1">
      <c r="AD233" s="413"/>
      <c r="AE233" s="413"/>
      <c r="AF233" s="413"/>
      <c r="AG233" s="413"/>
      <c r="AH233" s="413"/>
      <c r="AI233" s="413"/>
      <c r="AJ233" s="413"/>
      <c r="AK233" s="413"/>
      <c r="AL233" s="413"/>
      <c r="AM233" s="413"/>
      <c r="AN233" s="413"/>
      <c r="AO233" s="413"/>
      <c r="AP233" s="413"/>
      <c r="AQ233" s="413"/>
      <c r="AR233" s="413"/>
      <c r="AS233" s="413"/>
      <c r="AT233" s="413"/>
      <c r="AU233" s="413"/>
      <c r="AV233" s="413"/>
      <c r="AW233" s="413"/>
      <c r="AX233" s="413"/>
      <c r="AY233" s="413"/>
      <c r="AZ233" s="413"/>
      <c r="BA233" s="413"/>
      <c r="BB233" s="413"/>
      <c r="BC233" s="413"/>
      <c r="BD233" s="413"/>
      <c r="BE233" s="413"/>
      <c r="BF233" s="413"/>
      <c r="BG233" s="413"/>
      <c r="BH233" s="413"/>
      <c r="BI233" s="413"/>
      <c r="BJ233" s="413"/>
      <c r="BK233" s="413"/>
      <c r="BL233" s="413"/>
      <c r="BM233" s="413"/>
      <c r="BN233" s="413"/>
      <c r="BO233" s="413"/>
      <c r="BP233" s="413"/>
      <c r="BQ233" s="413"/>
      <c r="BR233" s="413"/>
      <c r="BS233" s="413"/>
      <c r="BT233" s="413"/>
      <c r="BU233" s="413"/>
      <c r="BV233" s="413"/>
      <c r="BW233" s="413"/>
      <c r="BX233" s="413"/>
      <c r="BY233" s="413"/>
      <c r="BZ233" s="413"/>
      <c r="CA233" s="413"/>
      <c r="CB233" s="413"/>
      <c r="CC233" s="413"/>
      <c r="CD233" s="413"/>
      <c r="CE233" s="413"/>
      <c r="CF233" s="413"/>
      <c r="CG233" s="413"/>
      <c r="CH233" s="413"/>
      <c r="CI233" s="413"/>
      <c r="CJ233" s="413"/>
      <c r="CK233" s="413"/>
      <c r="CL233" s="413"/>
      <c r="CM233" s="413"/>
      <c r="CN233" s="413"/>
      <c r="CO233" s="413"/>
      <c r="CP233" s="413"/>
      <c r="CQ233" s="413"/>
      <c r="CR233" s="413"/>
      <c r="CS233" s="413"/>
      <c r="CT233" s="413"/>
      <c r="CU233" s="413"/>
      <c r="CV233" s="413"/>
      <c r="CW233" s="413"/>
      <c r="CX233" s="413"/>
      <c r="CY233" s="413"/>
      <c r="CZ233" s="413"/>
      <c r="DA233" s="413"/>
      <c r="DB233" s="413"/>
      <c r="DC233" s="413"/>
      <c r="DD233" s="413"/>
      <c r="DE233" s="413"/>
      <c r="DF233" s="413"/>
      <c r="DG233" s="413"/>
      <c r="DH233" s="413"/>
      <c r="DI233" s="413"/>
      <c r="DJ233" s="413"/>
      <c r="DK233" s="413"/>
    </row>
    <row r="234" spans="30:115" ht="14.25" customHeight="1">
      <c r="AD234" s="413"/>
      <c r="AE234" s="413"/>
      <c r="AF234" s="413"/>
      <c r="AG234" s="413"/>
      <c r="AH234" s="413"/>
      <c r="AI234" s="413"/>
      <c r="AJ234" s="413"/>
      <c r="AK234" s="413"/>
      <c r="AL234" s="413"/>
      <c r="AM234" s="413"/>
      <c r="AN234" s="413"/>
      <c r="AO234" s="413"/>
      <c r="AP234" s="413"/>
      <c r="AQ234" s="413"/>
      <c r="AR234" s="413"/>
      <c r="AS234" s="413"/>
      <c r="AT234" s="413"/>
      <c r="AU234" s="413"/>
      <c r="AV234" s="413"/>
      <c r="AW234" s="413"/>
      <c r="AX234" s="413"/>
      <c r="AY234" s="413"/>
      <c r="AZ234" s="413"/>
      <c r="BA234" s="413"/>
      <c r="BB234" s="413"/>
      <c r="BC234" s="413"/>
      <c r="BD234" s="413"/>
      <c r="BE234" s="413"/>
      <c r="BF234" s="413"/>
      <c r="BG234" s="413"/>
      <c r="BH234" s="413"/>
      <c r="BI234" s="413"/>
      <c r="BJ234" s="413"/>
      <c r="BK234" s="413"/>
      <c r="BL234" s="413"/>
      <c r="BM234" s="413"/>
      <c r="BN234" s="413"/>
      <c r="BO234" s="413"/>
      <c r="BP234" s="413"/>
      <c r="BQ234" s="413"/>
      <c r="BR234" s="413"/>
      <c r="BS234" s="413"/>
      <c r="BT234" s="413"/>
      <c r="BU234" s="413"/>
      <c r="BV234" s="413"/>
      <c r="BW234" s="413"/>
      <c r="BX234" s="413"/>
      <c r="BY234" s="413"/>
      <c r="BZ234" s="413"/>
      <c r="CA234" s="413"/>
      <c r="CB234" s="413"/>
      <c r="CC234" s="413"/>
      <c r="CD234" s="413"/>
      <c r="CE234" s="413"/>
      <c r="CF234" s="413"/>
      <c r="CG234" s="413"/>
      <c r="CH234" s="413"/>
      <c r="CI234" s="413"/>
      <c r="CJ234" s="413"/>
      <c r="CK234" s="413"/>
      <c r="CL234" s="413"/>
      <c r="CM234" s="413"/>
      <c r="CN234" s="413"/>
      <c r="CO234" s="413"/>
      <c r="CP234" s="413"/>
      <c r="CQ234" s="413"/>
      <c r="CR234" s="413"/>
      <c r="CS234" s="413"/>
      <c r="CT234" s="413"/>
      <c r="CU234" s="413"/>
      <c r="CV234" s="413"/>
      <c r="CW234" s="413"/>
      <c r="CX234" s="413"/>
      <c r="CY234" s="413"/>
      <c r="CZ234" s="413"/>
      <c r="DA234" s="413"/>
      <c r="DB234" s="413"/>
      <c r="DC234" s="413"/>
      <c r="DD234" s="413"/>
      <c r="DE234" s="413"/>
      <c r="DF234" s="413"/>
      <c r="DG234" s="413"/>
      <c r="DH234" s="413"/>
      <c r="DI234" s="413"/>
      <c r="DJ234" s="413"/>
      <c r="DK234" s="413"/>
    </row>
    <row r="235" spans="30:115" ht="14.25" customHeight="1">
      <c r="AD235" s="413"/>
      <c r="AE235" s="413"/>
      <c r="AF235" s="413"/>
      <c r="AG235" s="413"/>
      <c r="AH235" s="413"/>
      <c r="AI235" s="413"/>
      <c r="AJ235" s="413"/>
      <c r="AK235" s="413"/>
      <c r="AL235" s="413"/>
      <c r="AM235" s="413"/>
      <c r="AN235" s="413"/>
      <c r="AO235" s="413"/>
      <c r="AP235" s="413"/>
      <c r="AQ235" s="413"/>
      <c r="AR235" s="413"/>
      <c r="AS235" s="413"/>
      <c r="AT235" s="413"/>
      <c r="AU235" s="413"/>
      <c r="AV235" s="413"/>
      <c r="AW235" s="413"/>
      <c r="AX235" s="413"/>
      <c r="AY235" s="413"/>
      <c r="AZ235" s="413"/>
      <c r="BA235" s="413"/>
      <c r="BB235" s="413"/>
      <c r="BC235" s="413"/>
      <c r="BD235" s="413"/>
      <c r="BE235" s="413"/>
      <c r="BF235" s="413"/>
      <c r="BG235" s="413"/>
      <c r="BH235" s="413"/>
      <c r="BI235" s="413"/>
      <c r="BJ235" s="413"/>
      <c r="BK235" s="413"/>
      <c r="BL235" s="413"/>
      <c r="BM235" s="413"/>
      <c r="BN235" s="413"/>
      <c r="BO235" s="413"/>
      <c r="BP235" s="413"/>
      <c r="BQ235" s="413"/>
      <c r="BR235" s="413"/>
      <c r="BS235" s="413"/>
      <c r="BT235" s="413"/>
      <c r="BU235" s="413"/>
      <c r="BV235" s="413"/>
      <c r="BW235" s="413"/>
      <c r="BX235" s="413"/>
      <c r="BY235" s="413"/>
      <c r="BZ235" s="413"/>
      <c r="CA235" s="413"/>
      <c r="CB235" s="413"/>
      <c r="CC235" s="413"/>
      <c r="CD235" s="413"/>
      <c r="CE235" s="413"/>
      <c r="CF235" s="413"/>
      <c r="CG235" s="413"/>
      <c r="CH235" s="413"/>
      <c r="CI235" s="413"/>
      <c r="CJ235" s="413"/>
      <c r="CK235" s="413"/>
      <c r="CL235" s="413"/>
      <c r="CM235" s="413"/>
      <c r="CN235" s="413"/>
      <c r="CO235" s="413"/>
      <c r="CP235" s="413"/>
      <c r="CQ235" s="413"/>
      <c r="CR235" s="413"/>
      <c r="CS235" s="413"/>
      <c r="CT235" s="413"/>
      <c r="CU235" s="413"/>
      <c r="CV235" s="413"/>
      <c r="CW235" s="413"/>
      <c r="CX235" s="413"/>
      <c r="CY235" s="413"/>
      <c r="CZ235" s="413"/>
      <c r="DA235" s="413"/>
      <c r="DB235" s="413"/>
      <c r="DC235" s="413"/>
      <c r="DD235" s="413"/>
      <c r="DE235" s="413"/>
      <c r="DF235" s="413"/>
      <c r="DG235" s="413"/>
      <c r="DH235" s="413"/>
      <c r="DI235" s="413"/>
      <c r="DJ235" s="413"/>
      <c r="DK235" s="413"/>
    </row>
    <row r="236" spans="30:115" ht="14.25" customHeight="1">
      <c r="AD236" s="413"/>
      <c r="AE236" s="413"/>
      <c r="AF236" s="413"/>
      <c r="AG236" s="413"/>
      <c r="AH236" s="413"/>
      <c r="AI236" s="413"/>
      <c r="AJ236" s="413"/>
      <c r="AK236" s="413"/>
      <c r="AL236" s="413"/>
      <c r="AM236" s="413"/>
      <c r="AN236" s="413"/>
      <c r="AO236" s="413"/>
      <c r="AP236" s="413"/>
      <c r="AQ236" s="413"/>
      <c r="AR236" s="413"/>
      <c r="AS236" s="413"/>
      <c r="AT236" s="413"/>
      <c r="AU236" s="413"/>
      <c r="AV236" s="413"/>
      <c r="AW236" s="413"/>
      <c r="AX236" s="413"/>
      <c r="AY236" s="413"/>
      <c r="AZ236" s="413"/>
      <c r="BA236" s="413"/>
      <c r="BB236" s="413"/>
      <c r="BC236" s="413"/>
      <c r="BD236" s="413"/>
      <c r="BE236" s="413"/>
      <c r="BF236" s="413"/>
      <c r="BG236" s="413"/>
      <c r="BH236" s="413"/>
      <c r="BI236" s="413"/>
      <c r="BJ236" s="413"/>
      <c r="BK236" s="413"/>
      <c r="BL236" s="413"/>
      <c r="BM236" s="413"/>
      <c r="BN236" s="413"/>
      <c r="BO236" s="413"/>
      <c r="BP236" s="413"/>
      <c r="BQ236" s="413"/>
      <c r="BR236" s="413"/>
      <c r="BS236" s="413"/>
      <c r="BT236" s="413"/>
      <c r="BU236" s="413"/>
      <c r="BV236" s="413"/>
      <c r="BW236" s="413"/>
      <c r="BX236" s="413"/>
      <c r="BY236" s="413"/>
      <c r="BZ236" s="413"/>
      <c r="CA236" s="413"/>
      <c r="CB236" s="413"/>
      <c r="CC236" s="413"/>
      <c r="CD236" s="413"/>
      <c r="CE236" s="413"/>
      <c r="CF236" s="413"/>
      <c r="CG236" s="413"/>
      <c r="CH236" s="413"/>
      <c r="CI236" s="413"/>
      <c r="CJ236" s="413"/>
      <c r="CK236" s="413"/>
      <c r="CL236" s="413"/>
      <c r="CM236" s="413"/>
      <c r="CN236" s="413"/>
      <c r="CO236" s="413"/>
      <c r="CP236" s="413"/>
      <c r="CQ236" s="413"/>
      <c r="CR236" s="413"/>
      <c r="CS236" s="413"/>
      <c r="CT236" s="413"/>
      <c r="CU236" s="413"/>
      <c r="CV236" s="413"/>
      <c r="CW236" s="413"/>
      <c r="CX236" s="413"/>
      <c r="CY236" s="413"/>
      <c r="CZ236" s="413"/>
      <c r="DA236" s="413"/>
      <c r="DB236" s="413"/>
      <c r="DC236" s="413"/>
      <c r="DD236" s="413"/>
      <c r="DE236" s="413"/>
      <c r="DF236" s="413"/>
      <c r="DG236" s="413"/>
      <c r="DH236" s="413"/>
      <c r="DI236" s="413"/>
      <c r="DJ236" s="413"/>
      <c r="DK236" s="413"/>
    </row>
    <row r="237" spans="30:115" ht="14.25" customHeight="1">
      <c r="AD237" s="413"/>
      <c r="AE237" s="413"/>
      <c r="AF237" s="413"/>
      <c r="AG237" s="413"/>
      <c r="AH237" s="413"/>
      <c r="AI237" s="413"/>
      <c r="AJ237" s="413"/>
      <c r="AK237" s="413"/>
      <c r="AL237" s="413"/>
      <c r="AM237" s="413"/>
      <c r="AN237" s="413"/>
      <c r="AO237" s="413"/>
      <c r="AP237" s="413"/>
      <c r="AQ237" s="413"/>
      <c r="AR237" s="413"/>
      <c r="AS237" s="413"/>
      <c r="AT237" s="413"/>
      <c r="AU237" s="413"/>
      <c r="AV237" s="413"/>
      <c r="AW237" s="413"/>
      <c r="AX237" s="413"/>
      <c r="AY237" s="413"/>
      <c r="AZ237" s="413"/>
      <c r="BA237" s="413"/>
      <c r="BB237" s="413"/>
      <c r="BC237" s="413"/>
      <c r="BD237" s="413"/>
      <c r="BE237" s="413"/>
      <c r="BF237" s="413"/>
      <c r="BG237" s="413"/>
      <c r="BH237" s="413"/>
      <c r="BI237" s="413"/>
      <c r="BJ237" s="413"/>
      <c r="BK237" s="413"/>
      <c r="BL237" s="413"/>
      <c r="BM237" s="413"/>
      <c r="BN237" s="413"/>
      <c r="BO237" s="413"/>
      <c r="BP237" s="413"/>
      <c r="BQ237" s="413"/>
      <c r="BR237" s="413"/>
      <c r="BS237" s="413"/>
      <c r="BT237" s="413"/>
      <c r="BU237" s="413"/>
      <c r="BV237" s="413"/>
      <c r="BW237" s="413"/>
      <c r="BX237" s="413"/>
      <c r="BY237" s="413"/>
      <c r="BZ237" s="413"/>
      <c r="CA237" s="413"/>
      <c r="CB237" s="413"/>
      <c r="CC237" s="413"/>
      <c r="CD237" s="413"/>
      <c r="CE237" s="413"/>
      <c r="CF237" s="413"/>
      <c r="CG237" s="413"/>
      <c r="CH237" s="413"/>
      <c r="CI237" s="413"/>
      <c r="CJ237" s="413"/>
      <c r="CK237" s="413"/>
      <c r="CL237" s="413"/>
      <c r="CM237" s="413"/>
      <c r="CN237" s="413"/>
      <c r="CO237" s="413"/>
      <c r="CP237" s="413"/>
      <c r="CQ237" s="413"/>
      <c r="CR237" s="413"/>
      <c r="CS237" s="413"/>
      <c r="CT237" s="413"/>
      <c r="CU237" s="413"/>
      <c r="CV237" s="413"/>
      <c r="CW237" s="413"/>
      <c r="CX237" s="413"/>
      <c r="CY237" s="413"/>
      <c r="CZ237" s="413"/>
      <c r="DA237" s="413"/>
      <c r="DB237" s="413"/>
      <c r="DC237" s="413"/>
      <c r="DD237" s="413"/>
      <c r="DE237" s="413"/>
      <c r="DF237" s="413"/>
      <c r="DG237" s="413"/>
      <c r="DH237" s="413"/>
      <c r="DI237" s="413"/>
      <c r="DJ237" s="413"/>
      <c r="DK237" s="413"/>
    </row>
    <row r="238" spans="30:115" ht="14.25" customHeight="1">
      <c r="AD238" s="413"/>
      <c r="AE238" s="413"/>
      <c r="AF238" s="413"/>
      <c r="AG238" s="413"/>
      <c r="AH238" s="413"/>
      <c r="AI238" s="413"/>
      <c r="AJ238" s="413"/>
      <c r="AK238" s="413"/>
      <c r="AL238" s="413"/>
      <c r="AM238" s="413"/>
      <c r="AN238" s="413"/>
      <c r="AO238" s="413"/>
      <c r="AP238" s="413"/>
      <c r="AQ238" s="413"/>
      <c r="AR238" s="413"/>
      <c r="AS238" s="413"/>
      <c r="AT238" s="413"/>
      <c r="AU238" s="413"/>
      <c r="AV238" s="413"/>
      <c r="AW238" s="413"/>
      <c r="AX238" s="413"/>
      <c r="AY238" s="413"/>
      <c r="AZ238" s="413"/>
      <c r="BA238" s="413"/>
      <c r="BB238" s="413"/>
      <c r="BC238" s="413"/>
      <c r="BD238" s="413"/>
      <c r="BE238" s="413"/>
      <c r="BF238" s="413"/>
      <c r="BG238" s="413"/>
      <c r="BH238" s="413"/>
      <c r="BI238" s="413"/>
      <c r="BJ238" s="413"/>
      <c r="BK238" s="413"/>
      <c r="BL238" s="413"/>
      <c r="BM238" s="413"/>
      <c r="BN238" s="413"/>
      <c r="BO238" s="413"/>
      <c r="BP238" s="413"/>
      <c r="BQ238" s="413"/>
      <c r="BR238" s="413"/>
      <c r="BS238" s="413"/>
      <c r="BT238" s="413"/>
      <c r="BU238" s="413"/>
      <c r="BV238" s="413"/>
      <c r="BW238" s="413"/>
      <c r="BX238" s="413"/>
      <c r="BY238" s="413"/>
      <c r="BZ238" s="413"/>
      <c r="CA238" s="413"/>
      <c r="CB238" s="413"/>
      <c r="CC238" s="413"/>
      <c r="CD238" s="413"/>
      <c r="CE238" s="413"/>
      <c r="CF238" s="413"/>
      <c r="CG238" s="413"/>
      <c r="CH238" s="413"/>
      <c r="CI238" s="413"/>
      <c r="CJ238" s="413"/>
      <c r="CK238" s="413"/>
      <c r="CL238" s="413"/>
      <c r="CM238" s="413"/>
      <c r="CN238" s="413"/>
      <c r="CO238" s="413"/>
      <c r="CP238" s="413"/>
      <c r="CQ238" s="413"/>
      <c r="CR238" s="413"/>
      <c r="CS238" s="413"/>
      <c r="CT238" s="413"/>
      <c r="CU238" s="413"/>
      <c r="CV238" s="413"/>
      <c r="CW238" s="413"/>
      <c r="CX238" s="413"/>
      <c r="CY238" s="413"/>
      <c r="CZ238" s="413"/>
      <c r="DA238" s="413"/>
      <c r="DB238" s="413"/>
      <c r="DC238" s="413"/>
      <c r="DD238" s="413"/>
      <c r="DE238" s="413"/>
      <c r="DF238" s="413"/>
      <c r="DG238" s="413"/>
      <c r="DH238" s="413"/>
      <c r="DI238" s="413"/>
      <c r="DJ238" s="413"/>
      <c r="DK238" s="413"/>
    </row>
    <row r="239" spans="30:115" ht="14.25" customHeight="1">
      <c r="AD239" s="413"/>
      <c r="AE239" s="413"/>
      <c r="AF239" s="413"/>
      <c r="AG239" s="413"/>
      <c r="AH239" s="413"/>
      <c r="AI239" s="413"/>
      <c r="AJ239" s="413"/>
      <c r="AK239" s="413"/>
      <c r="AL239" s="413"/>
      <c r="AM239" s="413"/>
      <c r="AN239" s="413"/>
      <c r="AO239" s="413"/>
      <c r="AP239" s="413"/>
      <c r="AQ239" s="413"/>
      <c r="AR239" s="413"/>
      <c r="AS239" s="413"/>
      <c r="AT239" s="413"/>
      <c r="AU239" s="413"/>
      <c r="AV239" s="413"/>
      <c r="AW239" s="413"/>
      <c r="AX239" s="413"/>
      <c r="AY239" s="413"/>
      <c r="AZ239" s="413"/>
      <c r="BA239" s="413"/>
      <c r="BB239" s="413"/>
      <c r="BC239" s="413"/>
      <c r="BD239" s="413"/>
      <c r="BE239" s="413"/>
      <c r="BF239" s="413"/>
      <c r="BG239" s="413"/>
      <c r="BH239" s="413"/>
      <c r="BI239" s="413"/>
      <c r="BJ239" s="413"/>
      <c r="BK239" s="413"/>
      <c r="BL239" s="413"/>
      <c r="BM239" s="413"/>
      <c r="BN239" s="413"/>
      <c r="BO239" s="413"/>
      <c r="BP239" s="413"/>
      <c r="BQ239" s="413"/>
      <c r="BR239" s="413"/>
      <c r="BS239" s="413"/>
      <c r="BT239" s="413"/>
      <c r="BU239" s="413"/>
      <c r="BV239" s="413"/>
      <c r="BW239" s="413"/>
      <c r="BX239" s="413"/>
      <c r="BY239" s="413"/>
      <c r="BZ239" s="413"/>
      <c r="CA239" s="413"/>
      <c r="CB239" s="413"/>
      <c r="CC239" s="413"/>
      <c r="CD239" s="413"/>
      <c r="CE239" s="413"/>
      <c r="CF239" s="413"/>
      <c r="CG239" s="413"/>
      <c r="CH239" s="413"/>
      <c r="CI239" s="413"/>
      <c r="CJ239" s="413"/>
      <c r="CK239" s="413"/>
      <c r="CL239" s="413"/>
      <c r="CM239" s="413"/>
      <c r="CN239" s="413"/>
      <c r="CO239" s="413"/>
      <c r="CP239" s="413"/>
      <c r="CQ239" s="413"/>
      <c r="CR239" s="413"/>
      <c r="CS239" s="413"/>
      <c r="CT239" s="413"/>
      <c r="CU239" s="413"/>
      <c r="CV239" s="413"/>
      <c r="CW239" s="413"/>
      <c r="CX239" s="413"/>
      <c r="CY239" s="413"/>
      <c r="CZ239" s="413"/>
      <c r="DA239" s="413"/>
      <c r="DB239" s="413"/>
      <c r="DC239" s="413"/>
      <c r="DD239" s="413"/>
      <c r="DE239" s="413"/>
      <c r="DF239" s="413"/>
      <c r="DG239" s="413"/>
      <c r="DH239" s="413"/>
      <c r="DI239" s="413"/>
      <c r="DJ239" s="413"/>
      <c r="DK239" s="413"/>
    </row>
    <row r="240" spans="30:115" ht="14.25" customHeight="1">
      <c r="AD240" s="413"/>
      <c r="AE240" s="413"/>
      <c r="AF240" s="413"/>
      <c r="AG240" s="413"/>
      <c r="AH240" s="413"/>
      <c r="AI240" s="413"/>
      <c r="AJ240" s="413"/>
      <c r="AK240" s="413"/>
      <c r="AL240" s="413"/>
      <c r="AM240" s="413"/>
      <c r="AN240" s="413"/>
      <c r="AO240" s="413"/>
      <c r="AP240" s="413"/>
      <c r="AQ240" s="413"/>
      <c r="AR240" s="413"/>
      <c r="AS240" s="413"/>
      <c r="AT240" s="413"/>
      <c r="AU240" s="413"/>
      <c r="AV240" s="413"/>
      <c r="AW240" s="413"/>
      <c r="AX240" s="413"/>
      <c r="AY240" s="413"/>
      <c r="AZ240" s="413"/>
      <c r="BA240" s="413"/>
      <c r="BB240" s="413"/>
      <c r="BC240" s="413"/>
      <c r="BD240" s="413"/>
      <c r="BE240" s="413"/>
      <c r="BF240" s="413"/>
      <c r="BG240" s="413"/>
      <c r="BH240" s="413"/>
      <c r="BI240" s="413"/>
      <c r="BJ240" s="413"/>
      <c r="BK240" s="413"/>
      <c r="BL240" s="413"/>
      <c r="BM240" s="413"/>
      <c r="BN240" s="413"/>
      <c r="BO240" s="413"/>
      <c r="BP240" s="413"/>
      <c r="BQ240" s="413"/>
      <c r="BR240" s="413"/>
      <c r="BS240" s="413"/>
      <c r="BT240" s="413"/>
      <c r="BU240" s="413"/>
      <c r="BV240" s="413"/>
      <c r="BW240" s="413"/>
      <c r="BX240" s="413"/>
      <c r="BY240" s="413"/>
      <c r="BZ240" s="413"/>
      <c r="CA240" s="413"/>
      <c r="CB240" s="413"/>
      <c r="CC240" s="413"/>
      <c r="CD240" s="413"/>
      <c r="CE240" s="413"/>
      <c r="CF240" s="413"/>
      <c r="CG240" s="413"/>
      <c r="CH240" s="413"/>
      <c r="CI240" s="413"/>
      <c r="CJ240" s="413"/>
      <c r="CK240" s="413"/>
      <c r="CL240" s="413"/>
      <c r="CM240" s="413"/>
      <c r="CN240" s="413"/>
      <c r="CO240" s="413"/>
      <c r="CP240" s="413"/>
      <c r="CQ240" s="413"/>
      <c r="CR240" s="413"/>
      <c r="CS240" s="413"/>
      <c r="CT240" s="413"/>
      <c r="CU240" s="413"/>
      <c r="CV240" s="413"/>
      <c r="CW240" s="413"/>
      <c r="CX240" s="413"/>
      <c r="CY240" s="413"/>
      <c r="CZ240" s="413"/>
      <c r="DA240" s="413"/>
      <c r="DB240" s="413"/>
      <c r="DC240" s="413"/>
      <c r="DD240" s="413"/>
      <c r="DE240" s="413"/>
      <c r="DF240" s="413"/>
      <c r="DG240" s="413"/>
      <c r="DH240" s="413"/>
      <c r="DI240" s="413"/>
      <c r="DJ240" s="413"/>
      <c r="DK240" s="413"/>
    </row>
    <row r="241" spans="30:115" ht="14.25" customHeight="1">
      <c r="AD241" s="413"/>
      <c r="AE241" s="413"/>
      <c r="AF241" s="413"/>
      <c r="AG241" s="413"/>
      <c r="AH241" s="413"/>
      <c r="AI241" s="413"/>
      <c r="AJ241" s="413"/>
      <c r="AK241" s="413"/>
      <c r="AL241" s="413"/>
      <c r="AM241" s="413"/>
      <c r="AN241" s="413"/>
      <c r="AO241" s="413"/>
      <c r="AP241" s="413"/>
      <c r="AQ241" s="413"/>
      <c r="AR241" s="413"/>
      <c r="AS241" s="413"/>
      <c r="AT241" s="413"/>
      <c r="AU241" s="413"/>
      <c r="AV241" s="413"/>
      <c r="AW241" s="413"/>
      <c r="AX241" s="413"/>
      <c r="AY241" s="413"/>
      <c r="AZ241" s="413"/>
      <c r="BA241" s="413"/>
      <c r="BB241" s="413"/>
      <c r="BC241" s="413"/>
      <c r="BD241" s="413"/>
      <c r="BE241" s="413"/>
      <c r="BF241" s="413"/>
      <c r="BG241" s="413"/>
      <c r="BH241" s="413"/>
      <c r="BI241" s="413"/>
      <c r="BJ241" s="413"/>
      <c r="BK241" s="413"/>
      <c r="BL241" s="413"/>
      <c r="BM241" s="413"/>
      <c r="BN241" s="413"/>
      <c r="BO241" s="413"/>
      <c r="BP241" s="413"/>
      <c r="BQ241" s="413"/>
      <c r="BR241" s="413"/>
      <c r="BS241" s="413"/>
      <c r="BT241" s="413"/>
      <c r="BU241" s="413"/>
      <c r="BV241" s="413"/>
      <c r="BW241" s="413"/>
      <c r="BX241" s="413"/>
      <c r="BY241" s="413"/>
      <c r="BZ241" s="413"/>
      <c r="CA241" s="413"/>
      <c r="CB241" s="413"/>
      <c r="CC241" s="413"/>
      <c r="CD241" s="413"/>
      <c r="CE241" s="413"/>
      <c r="CF241" s="413"/>
      <c r="CG241" s="413"/>
      <c r="CH241" s="413"/>
      <c r="CI241" s="413"/>
      <c r="CJ241" s="413"/>
      <c r="CK241" s="413"/>
      <c r="CL241" s="413"/>
      <c r="CM241" s="413"/>
      <c r="CN241" s="413"/>
      <c r="CO241" s="413"/>
      <c r="CP241" s="413"/>
      <c r="CQ241" s="413"/>
      <c r="CR241" s="413"/>
      <c r="CS241" s="413"/>
      <c r="CT241" s="413"/>
      <c r="CU241" s="413"/>
      <c r="CV241" s="413"/>
      <c r="CW241" s="413"/>
      <c r="CX241" s="413"/>
      <c r="CY241" s="413"/>
      <c r="CZ241" s="413"/>
      <c r="DA241" s="413"/>
      <c r="DB241" s="413"/>
      <c r="DC241" s="413"/>
      <c r="DD241" s="413"/>
      <c r="DE241" s="413"/>
      <c r="DF241" s="413"/>
      <c r="DG241" s="413"/>
      <c r="DH241" s="413"/>
      <c r="DI241" s="413"/>
      <c r="DJ241" s="413"/>
      <c r="DK241" s="413"/>
    </row>
    <row r="242" spans="30:115" ht="14.25" customHeight="1">
      <c r="AD242" s="413"/>
      <c r="AE242" s="413"/>
      <c r="AF242" s="413"/>
      <c r="AG242" s="413"/>
      <c r="AH242" s="413"/>
      <c r="AI242" s="413"/>
      <c r="AJ242" s="413"/>
      <c r="AK242" s="413"/>
      <c r="AL242" s="413"/>
      <c r="AM242" s="413"/>
      <c r="AN242" s="413"/>
      <c r="AO242" s="413"/>
      <c r="AP242" s="413"/>
      <c r="AQ242" s="413"/>
      <c r="AR242" s="413"/>
      <c r="AS242" s="413"/>
      <c r="AT242" s="413"/>
      <c r="AU242" s="413"/>
      <c r="AV242" s="413"/>
      <c r="AW242" s="413"/>
      <c r="AX242" s="413"/>
      <c r="AY242" s="413"/>
      <c r="AZ242" s="413"/>
      <c r="BA242" s="413"/>
      <c r="BB242" s="413"/>
      <c r="BC242" s="413"/>
      <c r="BD242" s="413"/>
      <c r="BE242" s="413"/>
      <c r="BF242" s="413"/>
      <c r="BG242" s="413"/>
      <c r="BH242" s="413"/>
      <c r="BI242" s="413"/>
      <c r="BJ242" s="413"/>
      <c r="BK242" s="413"/>
      <c r="BL242" s="413"/>
      <c r="BM242" s="413"/>
      <c r="BN242" s="413"/>
      <c r="BO242" s="413"/>
      <c r="BP242" s="413"/>
      <c r="BQ242" s="413"/>
      <c r="BR242" s="413"/>
      <c r="BS242" s="413"/>
      <c r="BT242" s="413"/>
      <c r="BU242" s="413"/>
      <c r="BV242" s="413"/>
      <c r="BW242" s="413"/>
      <c r="BX242" s="413"/>
      <c r="BY242" s="413"/>
      <c r="BZ242" s="413"/>
      <c r="CA242" s="413"/>
      <c r="CB242" s="413"/>
      <c r="CC242" s="413"/>
      <c r="CD242" s="413"/>
      <c r="CE242" s="413"/>
      <c r="CF242" s="413"/>
      <c r="CG242" s="413"/>
      <c r="CH242" s="413"/>
      <c r="CI242" s="413"/>
      <c r="CJ242" s="413"/>
      <c r="CK242" s="413"/>
      <c r="CL242" s="413"/>
      <c r="CM242" s="413"/>
      <c r="CN242" s="413"/>
      <c r="CO242" s="413"/>
      <c r="CP242" s="413"/>
      <c r="CQ242" s="413"/>
      <c r="CR242" s="413"/>
      <c r="CS242" s="413"/>
      <c r="CT242" s="413"/>
      <c r="CU242" s="413"/>
      <c r="CV242" s="413"/>
      <c r="CW242" s="413"/>
      <c r="CX242" s="413"/>
      <c r="CY242" s="413"/>
      <c r="CZ242" s="413"/>
      <c r="DA242" s="413"/>
      <c r="DB242" s="413"/>
      <c r="DC242" s="413"/>
      <c r="DD242" s="413"/>
      <c r="DE242" s="413"/>
      <c r="DF242" s="413"/>
      <c r="DG242" s="413"/>
      <c r="DH242" s="413"/>
      <c r="DI242" s="413"/>
      <c r="DJ242" s="413"/>
      <c r="DK242" s="413"/>
    </row>
    <row r="243" spans="30:115" ht="14.25" customHeight="1">
      <c r="AD243" s="413"/>
      <c r="AE243" s="413"/>
      <c r="AF243" s="413"/>
      <c r="AG243" s="413"/>
      <c r="AH243" s="413"/>
      <c r="AI243" s="413"/>
      <c r="AJ243" s="413"/>
      <c r="AK243" s="413"/>
      <c r="AL243" s="413"/>
      <c r="AM243" s="413"/>
      <c r="AN243" s="413"/>
      <c r="AO243" s="413"/>
      <c r="AP243" s="413"/>
      <c r="AQ243" s="413"/>
      <c r="AR243" s="413"/>
      <c r="AS243" s="413"/>
      <c r="AT243" s="413"/>
      <c r="AU243" s="413"/>
      <c r="AV243" s="413"/>
      <c r="AW243" s="413"/>
      <c r="AX243" s="413"/>
      <c r="AY243" s="413"/>
      <c r="AZ243" s="413"/>
      <c r="BA243" s="413"/>
      <c r="BB243" s="413"/>
      <c r="BC243" s="413"/>
      <c r="BD243" s="413"/>
      <c r="BE243" s="413"/>
      <c r="BF243" s="413"/>
      <c r="BG243" s="413"/>
      <c r="BH243" s="413"/>
      <c r="BI243" s="413"/>
      <c r="BJ243" s="413"/>
      <c r="BK243" s="413"/>
      <c r="BL243" s="413"/>
      <c r="BM243" s="413"/>
      <c r="BN243" s="413"/>
      <c r="BO243" s="413"/>
      <c r="BP243" s="413"/>
      <c r="BQ243" s="413"/>
      <c r="BR243" s="413"/>
      <c r="BS243" s="413"/>
      <c r="BT243" s="413"/>
      <c r="BU243" s="413"/>
      <c r="BV243" s="413"/>
      <c r="BW243" s="413"/>
      <c r="BX243" s="413"/>
      <c r="BY243" s="413"/>
      <c r="BZ243" s="413"/>
      <c r="CA243" s="413"/>
      <c r="CB243" s="413"/>
      <c r="CC243" s="413"/>
      <c r="CD243" s="413"/>
      <c r="CE243" s="413"/>
      <c r="CF243" s="413"/>
      <c r="CG243" s="413"/>
      <c r="CH243" s="413"/>
      <c r="CI243" s="413"/>
      <c r="CJ243" s="413"/>
      <c r="CK243" s="413"/>
      <c r="CL243" s="413"/>
      <c r="CM243" s="413"/>
      <c r="CN243" s="413"/>
      <c r="CO243" s="413"/>
      <c r="CP243" s="413"/>
      <c r="CQ243" s="413"/>
      <c r="CR243" s="413"/>
      <c r="CS243" s="413"/>
      <c r="CT243" s="413"/>
      <c r="CU243" s="413"/>
      <c r="CV243" s="413"/>
      <c r="CW243" s="413"/>
      <c r="CX243" s="413"/>
      <c r="CY243" s="413"/>
      <c r="CZ243" s="413"/>
      <c r="DA243" s="413"/>
      <c r="DB243" s="413"/>
      <c r="DC243" s="413"/>
      <c r="DD243" s="413"/>
      <c r="DE243" s="413"/>
      <c r="DF243" s="413"/>
      <c r="DG243" s="413"/>
      <c r="DH243" s="413"/>
      <c r="DI243" s="413"/>
      <c r="DJ243" s="413"/>
      <c r="DK243" s="413"/>
    </row>
    <row r="244" spans="30:115" ht="14.25" customHeight="1">
      <c r="AD244" s="413"/>
      <c r="AE244" s="413"/>
      <c r="AF244" s="413"/>
      <c r="AG244" s="413"/>
      <c r="AH244" s="413"/>
      <c r="AI244" s="413"/>
      <c r="AJ244" s="413"/>
      <c r="AK244" s="413"/>
      <c r="AL244" s="413"/>
      <c r="AM244" s="413"/>
      <c r="AN244" s="413"/>
      <c r="AO244" s="413"/>
      <c r="AP244" s="413"/>
      <c r="AQ244" s="413"/>
      <c r="AR244" s="413"/>
      <c r="AS244" s="413"/>
      <c r="AT244" s="413"/>
      <c r="AU244" s="413"/>
      <c r="AV244" s="413"/>
      <c r="AW244" s="413"/>
      <c r="AX244" s="413"/>
      <c r="AY244" s="413"/>
      <c r="AZ244" s="413"/>
      <c r="BA244" s="413"/>
      <c r="BB244" s="413"/>
      <c r="BC244" s="413"/>
      <c r="BD244" s="413"/>
      <c r="BE244" s="413"/>
      <c r="BF244" s="413"/>
      <c r="BG244" s="413"/>
      <c r="BH244" s="413"/>
      <c r="BI244" s="413"/>
      <c r="BJ244" s="413"/>
      <c r="BK244" s="413"/>
      <c r="BL244" s="413"/>
      <c r="BM244" s="413"/>
      <c r="BN244" s="413"/>
      <c r="BO244" s="413"/>
      <c r="BP244" s="413"/>
      <c r="BQ244" s="413"/>
      <c r="BR244" s="413"/>
      <c r="BS244" s="413"/>
      <c r="BT244" s="413"/>
      <c r="BU244" s="413"/>
      <c r="BV244" s="413"/>
      <c r="BW244" s="413"/>
      <c r="BX244" s="413"/>
      <c r="BY244" s="413"/>
      <c r="BZ244" s="413"/>
      <c r="CA244" s="413"/>
      <c r="CB244" s="413"/>
      <c r="CC244" s="413"/>
      <c r="CD244" s="413"/>
      <c r="CE244" s="413"/>
      <c r="CF244" s="413"/>
      <c r="CG244" s="413"/>
      <c r="CH244" s="413"/>
      <c r="CI244" s="413"/>
      <c r="CJ244" s="413"/>
      <c r="CK244" s="413"/>
      <c r="CL244" s="413"/>
      <c r="CM244" s="413"/>
      <c r="CN244" s="413"/>
      <c r="CO244" s="413"/>
      <c r="CP244" s="413"/>
      <c r="CQ244" s="413"/>
      <c r="CR244" s="413"/>
      <c r="CS244" s="413"/>
      <c r="CT244" s="413"/>
      <c r="CU244" s="413"/>
      <c r="CV244" s="413"/>
      <c r="CW244" s="413"/>
      <c r="CX244" s="413"/>
      <c r="CY244" s="413"/>
      <c r="CZ244" s="413"/>
      <c r="DA244" s="413"/>
      <c r="DB244" s="413"/>
      <c r="DC244" s="413"/>
      <c r="DD244" s="413"/>
      <c r="DE244" s="413"/>
      <c r="DF244" s="413"/>
      <c r="DG244" s="413"/>
      <c r="DH244" s="413"/>
      <c r="DI244" s="413"/>
      <c r="DJ244" s="413"/>
      <c r="DK244" s="413"/>
    </row>
    <row r="245" spans="30:115" ht="14.25" customHeight="1">
      <c r="AD245" s="413"/>
      <c r="AE245" s="413"/>
      <c r="AF245" s="413"/>
      <c r="AG245" s="413"/>
      <c r="AH245" s="413"/>
      <c r="AI245" s="413"/>
      <c r="AJ245" s="413"/>
      <c r="AK245" s="413"/>
      <c r="AL245" s="413"/>
      <c r="AM245" s="413"/>
      <c r="AN245" s="413"/>
      <c r="AO245" s="413"/>
      <c r="AP245" s="413"/>
      <c r="AQ245" s="413"/>
      <c r="AR245" s="413"/>
      <c r="AS245" s="413"/>
      <c r="AT245" s="413"/>
      <c r="AU245" s="413"/>
      <c r="AV245" s="413"/>
      <c r="AW245" s="413"/>
      <c r="AX245" s="413"/>
      <c r="AY245" s="413"/>
      <c r="AZ245" s="413"/>
      <c r="BA245" s="413"/>
      <c r="BB245" s="413"/>
      <c r="BC245" s="413"/>
      <c r="BD245" s="413"/>
      <c r="BE245" s="413"/>
      <c r="BF245" s="413"/>
      <c r="BG245" s="413"/>
      <c r="BH245" s="413"/>
      <c r="BI245" s="413"/>
      <c r="BJ245" s="413"/>
      <c r="BK245" s="413"/>
      <c r="BL245" s="413"/>
      <c r="BM245" s="413"/>
      <c r="BN245" s="413"/>
      <c r="BO245" s="413"/>
      <c r="BP245" s="413"/>
      <c r="BQ245" s="413"/>
      <c r="BR245" s="413"/>
      <c r="BS245" s="413"/>
      <c r="BT245" s="413"/>
      <c r="BU245" s="413"/>
      <c r="BV245" s="413"/>
      <c r="BW245" s="413"/>
      <c r="BX245" s="413"/>
      <c r="BY245" s="413"/>
      <c r="BZ245" s="413"/>
      <c r="CA245" s="413"/>
      <c r="CB245" s="413"/>
      <c r="CC245" s="413"/>
      <c r="CD245" s="413"/>
      <c r="CE245" s="413"/>
      <c r="CF245" s="413"/>
      <c r="CG245" s="413"/>
      <c r="CH245" s="413"/>
      <c r="CI245" s="413"/>
      <c r="CJ245" s="413"/>
      <c r="CK245" s="413"/>
      <c r="CL245" s="413"/>
      <c r="CM245" s="413"/>
      <c r="CN245" s="413"/>
      <c r="CO245" s="413"/>
      <c r="CP245" s="413"/>
      <c r="CQ245" s="413"/>
      <c r="CR245" s="413"/>
      <c r="CS245" s="413"/>
      <c r="CT245" s="413"/>
      <c r="CU245" s="413"/>
      <c r="CV245" s="413"/>
      <c r="CW245" s="413"/>
      <c r="CX245" s="413"/>
      <c r="CY245" s="413"/>
      <c r="CZ245" s="413"/>
      <c r="DA245" s="413"/>
      <c r="DB245" s="413"/>
      <c r="DC245" s="413"/>
      <c r="DD245" s="413"/>
      <c r="DE245" s="413"/>
      <c r="DF245" s="413"/>
      <c r="DG245" s="413"/>
      <c r="DH245" s="413"/>
      <c r="DI245" s="413"/>
      <c r="DJ245" s="413"/>
      <c r="DK245" s="413"/>
    </row>
    <row r="246" spans="30:115" ht="14.25" customHeight="1">
      <c r="AD246" s="413"/>
      <c r="AE246" s="413"/>
      <c r="AF246" s="413"/>
      <c r="AG246" s="413"/>
      <c r="AH246" s="413"/>
      <c r="AI246" s="413"/>
      <c r="AJ246" s="413"/>
      <c r="AK246" s="413"/>
      <c r="AL246" s="413"/>
      <c r="AM246" s="413"/>
      <c r="AN246" s="413"/>
      <c r="AO246" s="413"/>
      <c r="AP246" s="413"/>
      <c r="AQ246" s="413"/>
      <c r="AR246" s="413"/>
      <c r="AS246" s="413"/>
      <c r="AT246" s="413"/>
      <c r="AU246" s="413"/>
      <c r="AV246" s="413"/>
      <c r="AW246" s="413"/>
      <c r="AX246" s="413"/>
      <c r="AY246" s="413"/>
      <c r="AZ246" s="413"/>
      <c r="BA246" s="413"/>
      <c r="BB246" s="413"/>
      <c r="BC246" s="413"/>
      <c r="BD246" s="413"/>
      <c r="BE246" s="413"/>
      <c r="BF246" s="413"/>
      <c r="BG246" s="413"/>
      <c r="BH246" s="413"/>
      <c r="BI246" s="413"/>
      <c r="BJ246" s="413"/>
      <c r="BK246" s="413"/>
      <c r="BL246" s="413"/>
      <c r="BM246" s="413"/>
      <c r="BN246" s="413"/>
      <c r="BO246" s="413"/>
      <c r="BP246" s="413"/>
      <c r="BQ246" s="413"/>
      <c r="BR246" s="413"/>
      <c r="BS246" s="413"/>
      <c r="BT246" s="413"/>
      <c r="BU246" s="413"/>
      <c r="BV246" s="413"/>
      <c r="BW246" s="413"/>
      <c r="BX246" s="413"/>
      <c r="BY246" s="413"/>
      <c r="BZ246" s="413"/>
      <c r="CA246" s="413"/>
      <c r="CB246" s="413"/>
      <c r="CC246" s="413"/>
      <c r="CD246" s="413"/>
      <c r="CE246" s="413"/>
      <c r="CF246" s="413"/>
      <c r="CG246" s="413"/>
      <c r="CH246" s="413"/>
      <c r="CI246" s="413"/>
      <c r="CJ246" s="413"/>
      <c r="CK246" s="413"/>
      <c r="CL246" s="413"/>
      <c r="CM246" s="413"/>
      <c r="CN246" s="413"/>
      <c r="CO246" s="413"/>
      <c r="CP246" s="413"/>
      <c r="CQ246" s="413"/>
      <c r="CR246" s="413"/>
      <c r="CS246" s="413"/>
      <c r="CT246" s="413"/>
      <c r="CU246" s="413"/>
      <c r="CV246" s="413"/>
      <c r="CW246" s="413"/>
      <c r="CX246" s="413"/>
      <c r="CY246" s="413"/>
      <c r="CZ246" s="413"/>
      <c r="DA246" s="413"/>
      <c r="DB246" s="413"/>
      <c r="DC246" s="413"/>
      <c r="DD246" s="413"/>
      <c r="DE246" s="413"/>
      <c r="DF246" s="413"/>
      <c r="DG246" s="413"/>
      <c r="DH246" s="413"/>
      <c r="DI246" s="413"/>
      <c r="DJ246" s="413"/>
      <c r="DK246" s="413"/>
    </row>
    <row r="247" spans="30:115" ht="14.25" customHeight="1">
      <c r="AD247" s="413"/>
      <c r="AE247" s="413"/>
      <c r="AF247" s="413"/>
      <c r="AG247" s="413"/>
      <c r="AH247" s="413"/>
      <c r="AI247" s="413"/>
      <c r="AJ247" s="413"/>
      <c r="AK247" s="413"/>
      <c r="AL247" s="413"/>
      <c r="AM247" s="413"/>
      <c r="AN247" s="413"/>
      <c r="AO247" s="413"/>
      <c r="AP247" s="413"/>
      <c r="AQ247" s="413"/>
      <c r="AR247" s="413"/>
      <c r="AS247" s="413"/>
      <c r="AT247" s="413"/>
      <c r="AU247" s="413"/>
      <c r="AV247" s="413"/>
      <c r="AW247" s="413"/>
      <c r="AX247" s="413"/>
      <c r="AY247" s="413"/>
      <c r="AZ247" s="413"/>
      <c r="BA247" s="413"/>
      <c r="BB247" s="413"/>
      <c r="BC247" s="413"/>
      <c r="BD247" s="413"/>
      <c r="BE247" s="413"/>
      <c r="BF247" s="413"/>
      <c r="BG247" s="413"/>
      <c r="BH247" s="413"/>
      <c r="BI247" s="413"/>
      <c r="BJ247" s="413"/>
      <c r="BK247" s="413"/>
      <c r="BL247" s="413"/>
      <c r="BM247" s="413"/>
      <c r="BN247" s="413"/>
      <c r="BO247" s="413"/>
      <c r="BP247" s="413"/>
      <c r="BQ247" s="413"/>
      <c r="BR247" s="414"/>
      <c r="BS247" s="413"/>
      <c r="BT247" s="413"/>
      <c r="BU247" s="413"/>
      <c r="BV247" s="413"/>
      <c r="BW247" s="413"/>
      <c r="BX247" s="413"/>
      <c r="BY247" s="413"/>
      <c r="BZ247" s="413"/>
      <c r="CA247" s="413"/>
      <c r="CB247" s="413"/>
      <c r="CC247" s="413"/>
      <c r="CD247" s="413"/>
      <c r="CE247" s="413"/>
      <c r="CF247" s="413"/>
      <c r="CG247" s="413"/>
      <c r="CH247" s="413"/>
      <c r="CI247" s="413"/>
      <c r="CJ247" s="413"/>
      <c r="CK247" s="413"/>
      <c r="CL247" s="413"/>
      <c r="CM247" s="413"/>
      <c r="CN247" s="413"/>
      <c r="CO247" s="413"/>
      <c r="CP247" s="413"/>
      <c r="CQ247" s="413"/>
      <c r="CR247" s="413"/>
      <c r="CS247" s="413"/>
      <c r="CT247" s="413"/>
      <c r="CU247" s="413"/>
      <c r="CV247" s="413"/>
      <c r="CW247" s="413"/>
      <c r="CX247" s="413"/>
      <c r="CY247" s="413"/>
      <c r="CZ247" s="413"/>
      <c r="DA247" s="413"/>
      <c r="DB247" s="413"/>
      <c r="DC247" s="413"/>
      <c r="DD247" s="413"/>
      <c r="DE247" s="413"/>
      <c r="DF247" s="413"/>
      <c r="DG247" s="413"/>
      <c r="DH247" s="413"/>
      <c r="DI247" s="413"/>
      <c r="DJ247" s="413"/>
      <c r="DK247" s="413"/>
    </row>
    <row r="248" spans="30:115" ht="14.25" customHeight="1">
      <c r="AD248" s="413"/>
      <c r="AE248" s="413"/>
      <c r="AF248" s="413"/>
      <c r="AG248" s="413"/>
      <c r="AH248" s="413"/>
      <c r="AI248" s="413"/>
      <c r="AJ248" s="413"/>
      <c r="AK248" s="413"/>
      <c r="AL248" s="413"/>
      <c r="AM248" s="413"/>
      <c r="AN248" s="413"/>
      <c r="AO248" s="413"/>
      <c r="AP248" s="413"/>
      <c r="AQ248" s="413"/>
      <c r="AR248" s="413"/>
      <c r="AS248" s="413"/>
      <c r="AT248" s="413"/>
      <c r="AU248" s="413"/>
      <c r="AV248" s="413"/>
      <c r="AW248" s="413"/>
      <c r="AX248" s="413"/>
      <c r="AY248" s="413"/>
      <c r="AZ248" s="413"/>
      <c r="BA248" s="413"/>
      <c r="BB248" s="413"/>
      <c r="BC248" s="413"/>
      <c r="BD248" s="413"/>
      <c r="BE248" s="413"/>
      <c r="BF248" s="413"/>
      <c r="BG248" s="413"/>
      <c r="BH248" s="413"/>
      <c r="BI248" s="413"/>
      <c r="BJ248" s="413"/>
      <c r="BK248" s="413"/>
      <c r="BL248" s="413"/>
      <c r="BM248" s="413"/>
      <c r="BN248" s="413"/>
      <c r="BO248" s="413"/>
      <c r="BP248" s="413"/>
      <c r="BQ248" s="413"/>
      <c r="BR248" s="414"/>
      <c r="BS248" s="413"/>
      <c r="BT248" s="413"/>
      <c r="BU248" s="413"/>
      <c r="BV248" s="413"/>
      <c r="BW248" s="413"/>
      <c r="BX248" s="413"/>
      <c r="BY248" s="413"/>
      <c r="BZ248" s="413"/>
      <c r="CA248" s="413"/>
      <c r="CB248" s="413"/>
      <c r="CC248" s="413"/>
      <c r="CD248" s="413"/>
      <c r="CE248" s="413"/>
      <c r="CF248" s="413"/>
      <c r="CG248" s="413"/>
      <c r="CH248" s="413"/>
      <c r="CI248" s="413"/>
      <c r="CJ248" s="413"/>
      <c r="CK248" s="413"/>
      <c r="CL248" s="413"/>
      <c r="CM248" s="413"/>
      <c r="CN248" s="413"/>
      <c r="CO248" s="413"/>
      <c r="CP248" s="413"/>
      <c r="CQ248" s="413"/>
      <c r="CR248" s="413"/>
      <c r="CS248" s="413"/>
      <c r="CT248" s="413"/>
      <c r="CU248" s="413"/>
      <c r="CV248" s="413"/>
      <c r="CW248" s="413"/>
      <c r="CX248" s="413"/>
      <c r="CY248" s="413"/>
      <c r="CZ248" s="413"/>
      <c r="DA248" s="413"/>
      <c r="DB248" s="413"/>
      <c r="DC248" s="413"/>
      <c r="DD248" s="413"/>
      <c r="DE248" s="413"/>
      <c r="DF248" s="413"/>
      <c r="DG248" s="413"/>
      <c r="DH248" s="413"/>
      <c r="DI248" s="413"/>
      <c r="DJ248" s="413"/>
      <c r="DK248" s="413"/>
    </row>
    <row r="249" spans="30:115" ht="14.25" customHeight="1">
      <c r="AD249" s="413"/>
      <c r="AE249" s="413"/>
      <c r="AF249" s="413"/>
      <c r="AG249" s="413"/>
      <c r="AH249" s="413"/>
      <c r="AI249" s="413"/>
      <c r="AJ249" s="413"/>
      <c r="AK249" s="413"/>
      <c r="AL249" s="413"/>
      <c r="AM249" s="413"/>
      <c r="AN249" s="413"/>
      <c r="AO249" s="413"/>
      <c r="AP249" s="413"/>
      <c r="AQ249" s="413"/>
      <c r="AR249" s="413"/>
      <c r="AS249" s="413"/>
      <c r="AT249" s="413"/>
      <c r="AU249" s="413"/>
      <c r="AV249" s="413"/>
      <c r="AW249" s="413"/>
      <c r="AX249" s="413"/>
      <c r="AY249" s="413"/>
      <c r="AZ249" s="413"/>
      <c r="BA249" s="413"/>
      <c r="BB249" s="413"/>
      <c r="BC249" s="413"/>
      <c r="BD249" s="413"/>
      <c r="BE249" s="413"/>
      <c r="BF249" s="413"/>
      <c r="BG249" s="413"/>
      <c r="BH249" s="413"/>
      <c r="BI249" s="413"/>
      <c r="BJ249" s="413"/>
      <c r="BK249" s="413"/>
      <c r="BL249" s="413"/>
      <c r="BM249" s="413"/>
      <c r="BN249" s="413"/>
      <c r="BO249" s="413"/>
      <c r="BP249" s="413"/>
      <c r="BQ249" s="413"/>
      <c r="BR249" s="414"/>
      <c r="BS249" s="413"/>
      <c r="BT249" s="413"/>
      <c r="BU249" s="413"/>
      <c r="BV249" s="413"/>
      <c r="BW249" s="413"/>
      <c r="BX249" s="413"/>
      <c r="BY249" s="413"/>
      <c r="BZ249" s="413"/>
      <c r="CA249" s="413"/>
      <c r="CB249" s="413"/>
      <c r="CC249" s="413"/>
      <c r="CD249" s="413"/>
      <c r="CE249" s="413"/>
      <c r="CF249" s="413"/>
      <c r="CG249" s="413"/>
      <c r="CH249" s="413"/>
      <c r="CI249" s="413"/>
      <c r="CJ249" s="413"/>
      <c r="CK249" s="413"/>
      <c r="CL249" s="413"/>
      <c r="CM249" s="413"/>
      <c r="CN249" s="413"/>
      <c r="CO249" s="413"/>
      <c r="CP249" s="413"/>
      <c r="CQ249" s="413"/>
      <c r="CR249" s="413"/>
      <c r="CS249" s="413"/>
      <c r="CT249" s="413"/>
      <c r="CU249" s="413"/>
      <c r="CV249" s="413"/>
      <c r="CW249" s="413"/>
      <c r="CX249" s="413"/>
      <c r="CY249" s="413"/>
      <c r="CZ249" s="413"/>
      <c r="DA249" s="413"/>
      <c r="DB249" s="413"/>
      <c r="DC249" s="413"/>
      <c r="DD249" s="413"/>
      <c r="DE249" s="413"/>
      <c r="DF249" s="413"/>
      <c r="DG249" s="413"/>
      <c r="DH249" s="413"/>
      <c r="DI249" s="413"/>
      <c r="DJ249" s="413"/>
      <c r="DK249" s="413"/>
    </row>
    <row r="250" spans="30:115" ht="14.25" customHeight="1">
      <c r="AD250" s="413"/>
      <c r="AE250" s="413"/>
      <c r="AF250" s="413"/>
      <c r="AG250" s="413"/>
      <c r="AH250" s="413"/>
      <c r="AI250" s="413"/>
      <c r="AJ250" s="413"/>
      <c r="AK250" s="413"/>
      <c r="AL250" s="413"/>
      <c r="AM250" s="413"/>
      <c r="AN250" s="413"/>
      <c r="AO250" s="413"/>
      <c r="AP250" s="413"/>
      <c r="AQ250" s="413"/>
      <c r="AR250" s="413"/>
      <c r="AS250" s="413"/>
      <c r="AT250" s="413"/>
      <c r="AU250" s="413"/>
      <c r="AV250" s="413"/>
      <c r="AW250" s="413"/>
      <c r="AX250" s="413"/>
      <c r="AY250" s="413"/>
      <c r="AZ250" s="413"/>
      <c r="BA250" s="413"/>
      <c r="BB250" s="413"/>
      <c r="BC250" s="413"/>
      <c r="BD250" s="413"/>
      <c r="BE250" s="413"/>
      <c r="BF250" s="413"/>
      <c r="BG250" s="413"/>
      <c r="BH250" s="413"/>
      <c r="BI250" s="413"/>
      <c r="BJ250" s="413"/>
      <c r="BK250" s="413"/>
      <c r="BL250" s="413"/>
      <c r="BM250" s="413"/>
      <c r="BN250" s="413"/>
      <c r="BO250" s="413"/>
      <c r="BP250" s="413"/>
      <c r="BQ250" s="413"/>
      <c r="BR250" s="414"/>
      <c r="BS250" s="413"/>
      <c r="BT250" s="413"/>
      <c r="BU250" s="413"/>
      <c r="BV250" s="413"/>
      <c r="BW250" s="413"/>
      <c r="BX250" s="413"/>
      <c r="BY250" s="413"/>
      <c r="BZ250" s="413"/>
      <c r="CA250" s="413"/>
      <c r="CB250" s="413"/>
      <c r="CC250" s="413"/>
      <c r="CD250" s="413"/>
      <c r="CE250" s="413"/>
      <c r="CF250" s="413"/>
      <c r="CG250" s="413"/>
      <c r="CH250" s="413"/>
      <c r="CI250" s="413"/>
      <c r="CJ250" s="413"/>
      <c r="CK250" s="413"/>
      <c r="CL250" s="413"/>
      <c r="CM250" s="413"/>
      <c r="CN250" s="413"/>
      <c r="CO250" s="413"/>
      <c r="CP250" s="413"/>
      <c r="CQ250" s="413"/>
      <c r="CR250" s="413"/>
      <c r="CS250" s="413"/>
      <c r="CT250" s="413"/>
      <c r="CU250" s="413"/>
      <c r="CV250" s="413"/>
      <c r="CW250" s="413"/>
      <c r="CX250" s="413"/>
      <c r="CY250" s="413"/>
      <c r="CZ250" s="413"/>
      <c r="DA250" s="413"/>
      <c r="DB250" s="413"/>
      <c r="DC250" s="413"/>
      <c r="DD250" s="413"/>
      <c r="DE250" s="413"/>
      <c r="DF250" s="413"/>
      <c r="DG250" s="413"/>
      <c r="DH250" s="413"/>
      <c r="DI250" s="413"/>
      <c r="DJ250" s="413"/>
      <c r="DK250" s="413"/>
    </row>
    <row r="251" spans="30:115" ht="14.25" customHeight="1">
      <c r="AD251" s="413"/>
      <c r="AE251" s="413"/>
      <c r="AF251" s="413"/>
      <c r="AG251" s="413"/>
      <c r="AH251" s="413"/>
      <c r="AI251" s="413"/>
      <c r="AJ251" s="413"/>
      <c r="AK251" s="413"/>
      <c r="AL251" s="413"/>
      <c r="AM251" s="413"/>
      <c r="AN251" s="413"/>
      <c r="AO251" s="413"/>
      <c r="AP251" s="413"/>
      <c r="AQ251" s="413"/>
      <c r="AR251" s="413"/>
      <c r="AS251" s="413"/>
      <c r="AT251" s="413"/>
      <c r="AU251" s="413"/>
      <c r="AV251" s="413"/>
      <c r="AW251" s="413"/>
      <c r="AX251" s="413"/>
      <c r="AY251" s="413"/>
      <c r="AZ251" s="413"/>
      <c r="BA251" s="413"/>
      <c r="BB251" s="413"/>
      <c r="BC251" s="413"/>
      <c r="BD251" s="413"/>
      <c r="BE251" s="413"/>
      <c r="BF251" s="413"/>
      <c r="BG251" s="413"/>
      <c r="BH251" s="413"/>
      <c r="BI251" s="413"/>
      <c r="BJ251" s="413"/>
      <c r="BK251" s="413"/>
      <c r="BL251" s="413"/>
      <c r="BM251" s="413"/>
      <c r="BN251" s="413"/>
      <c r="BO251" s="413"/>
      <c r="BP251" s="413"/>
      <c r="BQ251" s="413"/>
      <c r="BR251" s="414"/>
      <c r="BS251" s="413"/>
      <c r="BT251" s="413"/>
      <c r="BU251" s="413"/>
      <c r="BV251" s="413"/>
      <c r="BW251" s="413"/>
      <c r="BX251" s="413"/>
      <c r="BY251" s="413"/>
      <c r="BZ251" s="413"/>
      <c r="CA251" s="413"/>
      <c r="CB251" s="413"/>
      <c r="CC251" s="413"/>
      <c r="CD251" s="413"/>
      <c r="CE251" s="413"/>
      <c r="CF251" s="413"/>
      <c r="CG251" s="413"/>
      <c r="CH251" s="413"/>
      <c r="CI251" s="413"/>
      <c r="CJ251" s="413"/>
      <c r="CK251" s="413"/>
      <c r="CL251" s="413"/>
      <c r="CM251" s="413"/>
      <c r="CN251" s="413"/>
      <c r="CO251" s="413"/>
      <c r="CP251" s="413"/>
      <c r="CQ251" s="413"/>
      <c r="CR251" s="413"/>
      <c r="CS251" s="413"/>
      <c r="CT251" s="413"/>
      <c r="CU251" s="413"/>
      <c r="CV251" s="413"/>
      <c r="CW251" s="413"/>
      <c r="CX251" s="413"/>
      <c r="CY251" s="413"/>
      <c r="CZ251" s="413"/>
      <c r="DA251" s="413"/>
      <c r="DB251" s="413"/>
      <c r="DC251" s="413"/>
      <c r="DD251" s="413"/>
      <c r="DE251" s="413"/>
      <c r="DF251" s="413"/>
      <c r="DG251" s="413"/>
      <c r="DH251" s="413"/>
      <c r="DI251" s="413"/>
      <c r="DJ251" s="413"/>
      <c r="DK251" s="413"/>
    </row>
    <row r="252" spans="30:115" ht="14.25" customHeight="1">
      <c r="AD252" s="413"/>
      <c r="AE252" s="413"/>
      <c r="AF252" s="413"/>
      <c r="AG252" s="413"/>
      <c r="AH252" s="413"/>
      <c r="AI252" s="413"/>
      <c r="AJ252" s="413"/>
      <c r="AK252" s="413"/>
      <c r="AL252" s="413"/>
      <c r="AM252" s="413"/>
      <c r="AN252" s="413"/>
      <c r="AO252" s="413"/>
      <c r="AP252" s="413"/>
      <c r="AQ252" s="413"/>
      <c r="AR252" s="413"/>
      <c r="AS252" s="413"/>
      <c r="AT252" s="413"/>
      <c r="AU252" s="413"/>
      <c r="AV252" s="413"/>
      <c r="AW252" s="413"/>
      <c r="AX252" s="413"/>
      <c r="AY252" s="413"/>
      <c r="AZ252" s="413"/>
      <c r="BA252" s="413"/>
      <c r="BB252" s="413"/>
      <c r="BC252" s="413"/>
      <c r="BD252" s="413"/>
      <c r="BE252" s="413"/>
      <c r="BF252" s="413"/>
      <c r="BG252" s="413"/>
      <c r="BH252" s="413"/>
      <c r="BI252" s="413"/>
      <c r="BJ252" s="413"/>
      <c r="BK252" s="413"/>
      <c r="BL252" s="413"/>
      <c r="BM252" s="413"/>
      <c r="BN252" s="413"/>
      <c r="BO252" s="413"/>
      <c r="BP252" s="413"/>
      <c r="BQ252" s="413"/>
      <c r="BR252" s="414"/>
      <c r="BS252" s="413"/>
      <c r="BT252" s="413"/>
      <c r="BU252" s="413"/>
      <c r="BV252" s="413"/>
      <c r="BW252" s="413"/>
      <c r="BX252" s="413"/>
      <c r="BY252" s="413"/>
      <c r="BZ252" s="413"/>
      <c r="CA252" s="413"/>
      <c r="CB252" s="413"/>
      <c r="CC252" s="413"/>
      <c r="CD252" s="413"/>
      <c r="CE252" s="413"/>
      <c r="CF252" s="413"/>
      <c r="CG252" s="413"/>
      <c r="CH252" s="413"/>
      <c r="CI252" s="413"/>
      <c r="CJ252" s="413"/>
      <c r="CK252" s="413"/>
      <c r="CL252" s="413"/>
      <c r="CM252" s="413"/>
      <c r="CN252" s="413"/>
      <c r="CO252" s="413"/>
      <c r="CP252" s="413"/>
      <c r="CQ252" s="413"/>
      <c r="CR252" s="413"/>
      <c r="CS252" s="413"/>
      <c r="CT252" s="413"/>
      <c r="CU252" s="413"/>
      <c r="CV252" s="413"/>
      <c r="CW252" s="413"/>
      <c r="CX252" s="413"/>
      <c r="CY252" s="413"/>
      <c r="CZ252" s="413"/>
      <c r="DA252" s="413"/>
      <c r="DB252" s="413"/>
      <c r="DC252" s="413"/>
      <c r="DD252" s="413"/>
      <c r="DE252" s="413"/>
      <c r="DF252" s="413"/>
      <c r="DG252" s="413"/>
      <c r="DH252" s="413"/>
      <c r="DI252" s="413"/>
      <c r="DJ252" s="413"/>
      <c r="DK252" s="413"/>
    </row>
    <row r="253" spans="30:115" ht="14.25" customHeight="1">
      <c r="AD253" s="413"/>
      <c r="AE253" s="413"/>
      <c r="AF253" s="413"/>
      <c r="AG253" s="413"/>
      <c r="AH253" s="413"/>
      <c r="AI253" s="413"/>
      <c r="AJ253" s="413"/>
      <c r="AK253" s="413"/>
      <c r="AL253" s="413"/>
      <c r="AM253" s="413"/>
      <c r="AN253" s="413"/>
      <c r="AO253" s="413"/>
      <c r="AP253" s="413"/>
      <c r="AQ253" s="413"/>
      <c r="AR253" s="413"/>
      <c r="AS253" s="413"/>
      <c r="AT253" s="413"/>
      <c r="AU253" s="413"/>
      <c r="AV253" s="413"/>
      <c r="AW253" s="413"/>
      <c r="AX253" s="413"/>
      <c r="AY253" s="413"/>
      <c r="AZ253" s="413"/>
      <c r="BA253" s="413"/>
      <c r="BB253" s="413"/>
      <c r="BC253" s="413"/>
      <c r="BD253" s="413"/>
      <c r="BE253" s="413"/>
      <c r="BF253" s="413"/>
      <c r="BG253" s="413"/>
      <c r="BH253" s="413"/>
      <c r="BI253" s="413"/>
      <c r="BJ253" s="413"/>
      <c r="BK253" s="413"/>
      <c r="BL253" s="413"/>
      <c r="BM253" s="413"/>
      <c r="BN253" s="413"/>
      <c r="BO253" s="413"/>
      <c r="BP253" s="413"/>
      <c r="BQ253" s="413"/>
      <c r="BR253" s="414"/>
      <c r="BS253" s="413"/>
      <c r="BT253" s="413"/>
      <c r="BU253" s="413"/>
      <c r="BV253" s="413"/>
      <c r="BW253" s="413"/>
      <c r="BX253" s="413"/>
      <c r="BY253" s="413"/>
      <c r="BZ253" s="413"/>
      <c r="CA253" s="413"/>
      <c r="CB253" s="413"/>
      <c r="CC253" s="413"/>
      <c r="CD253" s="413"/>
      <c r="CE253" s="413"/>
      <c r="CF253" s="413"/>
      <c r="CG253" s="413"/>
      <c r="CH253" s="413"/>
      <c r="CI253" s="413"/>
      <c r="CJ253" s="413"/>
      <c r="CK253" s="413"/>
      <c r="CL253" s="413"/>
      <c r="CM253" s="413"/>
      <c r="CN253" s="413"/>
      <c r="CO253" s="413"/>
      <c r="CP253" s="413"/>
      <c r="CQ253" s="413"/>
      <c r="CR253" s="413"/>
      <c r="CS253" s="413"/>
      <c r="CT253" s="413"/>
      <c r="CU253" s="413"/>
      <c r="CV253" s="413"/>
      <c r="CW253" s="413"/>
      <c r="CX253" s="413"/>
      <c r="CY253" s="413"/>
      <c r="CZ253" s="413"/>
      <c r="DA253" s="413"/>
      <c r="DB253" s="413"/>
      <c r="DC253" s="413"/>
      <c r="DD253" s="413"/>
      <c r="DE253" s="413"/>
      <c r="DF253" s="413"/>
      <c r="DG253" s="413"/>
      <c r="DH253" s="413"/>
      <c r="DI253" s="413"/>
      <c r="DJ253" s="413"/>
      <c r="DK253" s="413"/>
    </row>
    <row r="254" spans="30:115" ht="14.25" customHeight="1">
      <c r="AD254" s="413"/>
      <c r="AE254" s="413"/>
      <c r="AF254" s="413"/>
      <c r="AG254" s="413"/>
      <c r="AH254" s="413"/>
      <c r="AI254" s="413"/>
      <c r="AJ254" s="413"/>
      <c r="AK254" s="413"/>
      <c r="AL254" s="413"/>
      <c r="AM254" s="413"/>
      <c r="AN254" s="413"/>
      <c r="AO254" s="413"/>
      <c r="AP254" s="413"/>
      <c r="AQ254" s="413"/>
      <c r="AR254" s="413"/>
      <c r="AS254" s="413"/>
      <c r="AT254" s="413"/>
      <c r="AU254" s="413"/>
      <c r="AV254" s="413"/>
      <c r="AW254" s="413"/>
      <c r="AX254" s="413"/>
      <c r="AY254" s="413"/>
      <c r="AZ254" s="413"/>
      <c r="BA254" s="413"/>
      <c r="BB254" s="413"/>
      <c r="BC254" s="413"/>
      <c r="BD254" s="413"/>
      <c r="BE254" s="413"/>
      <c r="BF254" s="413"/>
      <c r="BG254" s="413"/>
      <c r="BH254" s="413"/>
      <c r="BI254" s="413"/>
      <c r="BJ254" s="413"/>
      <c r="BK254" s="413"/>
      <c r="BL254" s="413"/>
      <c r="BM254" s="413"/>
      <c r="BN254" s="413"/>
      <c r="BO254" s="413"/>
      <c r="BP254" s="413"/>
      <c r="BQ254" s="413"/>
      <c r="BR254" s="414"/>
      <c r="BS254" s="413"/>
      <c r="BT254" s="413"/>
      <c r="BU254" s="413"/>
      <c r="BV254" s="413"/>
      <c r="BW254" s="413"/>
      <c r="BX254" s="413"/>
      <c r="BY254" s="413"/>
      <c r="BZ254" s="413"/>
      <c r="CA254" s="413"/>
      <c r="CB254" s="413"/>
      <c r="CC254" s="413"/>
      <c r="CD254" s="413"/>
      <c r="CE254" s="413"/>
      <c r="CF254" s="413"/>
      <c r="CG254" s="413"/>
      <c r="CH254" s="413"/>
      <c r="CI254" s="413"/>
      <c r="CJ254" s="413"/>
      <c r="CK254" s="413"/>
      <c r="CL254" s="413"/>
      <c r="CM254" s="413"/>
      <c r="CN254" s="413"/>
      <c r="CO254" s="413"/>
      <c r="CP254" s="413"/>
      <c r="CQ254" s="413"/>
      <c r="CR254" s="413"/>
      <c r="CS254" s="413"/>
      <c r="CT254" s="413"/>
      <c r="CU254" s="413"/>
      <c r="CV254" s="413"/>
      <c r="CW254" s="413"/>
      <c r="CX254" s="413"/>
      <c r="CY254" s="413"/>
      <c r="CZ254" s="413"/>
      <c r="DA254" s="413"/>
      <c r="DB254" s="413"/>
      <c r="DC254" s="413"/>
      <c r="DD254" s="413"/>
      <c r="DE254" s="413"/>
      <c r="DF254" s="413"/>
      <c r="DG254" s="413"/>
      <c r="DH254" s="413"/>
      <c r="DI254" s="413"/>
      <c r="DJ254" s="413"/>
      <c r="DK254" s="413"/>
    </row>
    <row r="255" spans="30:115" ht="14.25" customHeight="1">
      <c r="AD255" s="413"/>
      <c r="AE255" s="413"/>
      <c r="AF255" s="413"/>
      <c r="AG255" s="413"/>
      <c r="AH255" s="413"/>
      <c r="AI255" s="413"/>
      <c r="AJ255" s="413"/>
      <c r="AK255" s="413"/>
      <c r="AL255" s="413"/>
      <c r="AM255" s="413"/>
      <c r="AN255" s="413"/>
      <c r="AO255" s="413"/>
      <c r="AP255" s="413"/>
      <c r="AQ255" s="413"/>
      <c r="AR255" s="413"/>
      <c r="AS255" s="413"/>
      <c r="AT255" s="413"/>
      <c r="AU255" s="413"/>
      <c r="AV255" s="413"/>
      <c r="AW255" s="413"/>
      <c r="AX255" s="413"/>
      <c r="AY255" s="413"/>
      <c r="AZ255" s="413"/>
      <c r="BA255" s="413"/>
      <c r="BB255" s="413"/>
      <c r="BC255" s="413"/>
      <c r="BD255" s="413"/>
      <c r="BE255" s="413"/>
      <c r="BF255" s="413"/>
      <c r="BG255" s="413"/>
      <c r="BH255" s="413"/>
      <c r="BI255" s="413"/>
      <c r="BJ255" s="413"/>
      <c r="BK255" s="413"/>
      <c r="BL255" s="413"/>
      <c r="BM255" s="413"/>
      <c r="BN255" s="413"/>
      <c r="BO255" s="413"/>
      <c r="BP255" s="413"/>
      <c r="BQ255" s="413"/>
      <c r="BR255" s="414"/>
      <c r="BS255" s="413"/>
      <c r="BT255" s="413"/>
      <c r="BU255" s="413"/>
      <c r="BV255" s="413"/>
      <c r="BW255" s="413"/>
      <c r="BX255" s="413"/>
      <c r="BY255" s="413"/>
      <c r="BZ255" s="413"/>
      <c r="CA255" s="413"/>
      <c r="CB255" s="413"/>
      <c r="CC255" s="413"/>
      <c r="CD255" s="413"/>
      <c r="CE255" s="413"/>
      <c r="CF255" s="413"/>
      <c r="CG255" s="413"/>
      <c r="CH255" s="413"/>
      <c r="CI255" s="413"/>
      <c r="CJ255" s="413"/>
      <c r="CK255" s="413"/>
      <c r="CL255" s="413"/>
      <c r="CM255" s="413"/>
      <c r="CN255" s="413"/>
      <c r="CO255" s="413"/>
      <c r="CP255" s="413"/>
      <c r="CQ255" s="413"/>
      <c r="CR255" s="413"/>
      <c r="CS255" s="413"/>
      <c r="CT255" s="413"/>
      <c r="CU255" s="413"/>
      <c r="CV255" s="413"/>
      <c r="CW255" s="413"/>
      <c r="CX255" s="413"/>
      <c r="CY255" s="413"/>
      <c r="CZ255" s="413"/>
      <c r="DA255" s="413"/>
      <c r="DB255" s="413"/>
      <c r="DC255" s="413"/>
      <c r="DD255" s="413"/>
      <c r="DE255" s="413"/>
      <c r="DF255" s="413"/>
      <c r="DG255" s="413"/>
      <c r="DH255" s="413"/>
      <c r="DI255" s="413"/>
      <c r="DJ255" s="413"/>
      <c r="DK255" s="413"/>
    </row>
    <row r="256" spans="30:115" ht="14.25" customHeight="1">
      <c r="AD256" s="413"/>
      <c r="AE256" s="413"/>
      <c r="AF256" s="413"/>
      <c r="AG256" s="413"/>
      <c r="AH256" s="413"/>
      <c r="AI256" s="413"/>
      <c r="AJ256" s="413"/>
      <c r="AK256" s="413"/>
      <c r="AL256" s="413"/>
      <c r="AM256" s="413"/>
      <c r="AN256" s="413"/>
      <c r="AO256" s="413"/>
      <c r="AP256" s="413"/>
      <c r="AQ256" s="413"/>
      <c r="AR256" s="413"/>
      <c r="AS256" s="413"/>
      <c r="AT256" s="413"/>
      <c r="AU256" s="413"/>
      <c r="AV256" s="413"/>
      <c r="AW256" s="413"/>
      <c r="AX256" s="413"/>
      <c r="AY256" s="413"/>
      <c r="AZ256" s="413"/>
      <c r="BA256" s="413"/>
      <c r="BB256" s="413"/>
      <c r="BC256" s="413"/>
      <c r="BD256" s="413"/>
      <c r="BE256" s="413"/>
      <c r="BF256" s="413"/>
      <c r="BG256" s="413"/>
      <c r="BH256" s="413"/>
      <c r="BI256" s="413"/>
      <c r="BJ256" s="413"/>
      <c r="BK256" s="413"/>
      <c r="BL256" s="413"/>
      <c r="BM256" s="413"/>
      <c r="BN256" s="413"/>
      <c r="BO256" s="413"/>
      <c r="BP256" s="413"/>
      <c r="BQ256" s="413"/>
      <c r="BR256" s="414"/>
      <c r="BS256" s="413"/>
      <c r="BT256" s="413"/>
      <c r="BU256" s="413"/>
      <c r="BV256" s="413"/>
      <c r="BW256" s="413"/>
      <c r="BX256" s="413"/>
      <c r="BY256" s="413"/>
      <c r="BZ256" s="413"/>
      <c r="CA256" s="413"/>
      <c r="CB256" s="413"/>
      <c r="CC256" s="413"/>
      <c r="CD256" s="413"/>
      <c r="CE256" s="413"/>
      <c r="CF256" s="413"/>
      <c r="CG256" s="413"/>
      <c r="CH256" s="413"/>
      <c r="CI256" s="413"/>
      <c r="CJ256" s="413"/>
      <c r="CK256" s="413"/>
      <c r="CL256" s="413"/>
      <c r="CM256" s="413"/>
      <c r="CN256" s="413"/>
      <c r="CO256" s="413"/>
      <c r="CP256" s="413"/>
      <c r="CQ256" s="413"/>
      <c r="CR256" s="413"/>
      <c r="CS256" s="413"/>
      <c r="CT256" s="413"/>
      <c r="CU256" s="413"/>
      <c r="CV256" s="413"/>
      <c r="CW256" s="413"/>
      <c r="CX256" s="413"/>
      <c r="CY256" s="413"/>
      <c r="CZ256" s="413"/>
      <c r="DA256" s="413"/>
      <c r="DB256" s="413"/>
      <c r="DC256" s="413"/>
      <c r="DD256" s="413"/>
      <c r="DE256" s="413"/>
      <c r="DF256" s="413"/>
      <c r="DG256" s="413"/>
      <c r="DH256" s="413"/>
      <c r="DI256" s="413"/>
      <c r="DJ256" s="413"/>
      <c r="DK256" s="413"/>
    </row>
    <row r="257" spans="30:115" ht="14.25" customHeight="1">
      <c r="AD257" s="413"/>
      <c r="AE257" s="413"/>
      <c r="AF257" s="413"/>
      <c r="AG257" s="413"/>
      <c r="AH257" s="413"/>
      <c r="AI257" s="413"/>
      <c r="AJ257" s="413"/>
      <c r="AK257" s="413"/>
      <c r="AL257" s="413"/>
      <c r="AM257" s="413"/>
      <c r="AN257" s="413"/>
      <c r="AO257" s="413"/>
      <c r="AP257" s="413"/>
      <c r="AQ257" s="413"/>
      <c r="AR257" s="413"/>
      <c r="AS257" s="413"/>
      <c r="AT257" s="413"/>
      <c r="AU257" s="413"/>
      <c r="AV257" s="413"/>
      <c r="AW257" s="413"/>
      <c r="AX257" s="413"/>
      <c r="AY257" s="413"/>
      <c r="AZ257" s="413"/>
      <c r="BA257" s="413"/>
      <c r="BB257" s="413"/>
      <c r="BC257" s="413"/>
      <c r="BD257" s="413"/>
      <c r="BE257" s="413"/>
      <c r="BF257" s="413"/>
      <c r="BG257" s="413"/>
      <c r="BH257" s="413"/>
      <c r="BI257" s="413"/>
      <c r="BJ257" s="413"/>
      <c r="BK257" s="413"/>
      <c r="BL257" s="413"/>
      <c r="BM257" s="413"/>
      <c r="BN257" s="413"/>
      <c r="BO257" s="413"/>
      <c r="BP257" s="413"/>
      <c r="BQ257" s="413"/>
      <c r="BR257" s="414"/>
      <c r="BS257" s="413"/>
      <c r="BT257" s="413"/>
      <c r="BU257" s="413"/>
      <c r="BV257" s="413"/>
      <c r="BW257" s="413"/>
      <c r="BX257" s="413"/>
      <c r="BY257" s="413"/>
      <c r="BZ257" s="413"/>
      <c r="CA257" s="413"/>
      <c r="CB257" s="413"/>
      <c r="CC257" s="413"/>
      <c r="CD257" s="413"/>
      <c r="CE257" s="413"/>
      <c r="CF257" s="413"/>
      <c r="CG257" s="413"/>
      <c r="CH257" s="413"/>
      <c r="CI257" s="413"/>
      <c r="CJ257" s="413"/>
      <c r="CK257" s="413"/>
      <c r="CL257" s="413"/>
      <c r="CM257" s="413"/>
      <c r="CN257" s="413"/>
      <c r="CO257" s="413"/>
      <c r="CP257" s="413"/>
      <c r="CQ257" s="413"/>
      <c r="CR257" s="413"/>
      <c r="CS257" s="413"/>
      <c r="CT257" s="413"/>
      <c r="CU257" s="413"/>
      <c r="CV257" s="413"/>
      <c r="CW257" s="413"/>
      <c r="CX257" s="413"/>
      <c r="CY257" s="413"/>
      <c r="CZ257" s="413"/>
      <c r="DA257" s="413"/>
      <c r="DB257" s="413"/>
      <c r="DC257" s="413"/>
      <c r="DD257" s="413"/>
      <c r="DE257" s="413"/>
      <c r="DF257" s="413"/>
      <c r="DG257" s="413"/>
      <c r="DH257" s="413"/>
      <c r="DI257" s="413"/>
      <c r="DJ257" s="413"/>
      <c r="DK257" s="413"/>
    </row>
    <row r="258" spans="30:115" ht="14.25" customHeight="1">
      <c r="AD258" s="413"/>
      <c r="AE258" s="413"/>
      <c r="AF258" s="413"/>
      <c r="AG258" s="413"/>
      <c r="AH258" s="413"/>
      <c r="AI258" s="413"/>
      <c r="AJ258" s="413"/>
      <c r="AK258" s="413"/>
      <c r="AL258" s="413"/>
      <c r="AM258" s="413"/>
      <c r="AN258" s="413"/>
      <c r="AO258" s="413"/>
      <c r="AP258" s="413"/>
      <c r="AQ258" s="413"/>
      <c r="AR258" s="413"/>
      <c r="AS258" s="413"/>
      <c r="AT258" s="413"/>
      <c r="AU258" s="413"/>
      <c r="AV258" s="413"/>
      <c r="AW258" s="413"/>
      <c r="AX258" s="413"/>
      <c r="AY258" s="413"/>
      <c r="AZ258" s="413"/>
      <c r="BA258" s="413"/>
      <c r="BB258" s="413"/>
      <c r="BC258" s="413"/>
      <c r="BD258" s="413"/>
      <c r="BE258" s="413"/>
      <c r="BF258" s="413"/>
      <c r="BG258" s="413"/>
      <c r="BH258" s="413"/>
      <c r="BI258" s="413"/>
      <c r="BJ258" s="413"/>
      <c r="BK258" s="413"/>
      <c r="BL258" s="413"/>
      <c r="BM258" s="413"/>
      <c r="BN258" s="413"/>
      <c r="BO258" s="413"/>
      <c r="BP258" s="413"/>
      <c r="BQ258" s="413"/>
      <c r="BR258" s="414"/>
      <c r="BS258" s="413"/>
      <c r="BT258" s="413"/>
      <c r="BU258" s="413"/>
      <c r="BV258" s="413"/>
      <c r="BW258" s="413"/>
      <c r="BX258" s="413"/>
      <c r="BY258" s="413"/>
      <c r="BZ258" s="413"/>
      <c r="CA258" s="413"/>
      <c r="CB258" s="413"/>
      <c r="CC258" s="413"/>
      <c r="CD258" s="413"/>
      <c r="CE258" s="413"/>
      <c r="CF258" s="413"/>
      <c r="CG258" s="413"/>
      <c r="CH258" s="413"/>
      <c r="CI258" s="413"/>
      <c r="CJ258" s="413"/>
      <c r="CK258" s="413"/>
      <c r="CL258" s="413"/>
      <c r="CM258" s="413"/>
      <c r="CN258" s="413"/>
      <c r="CO258" s="413"/>
      <c r="CP258" s="413"/>
      <c r="CQ258" s="413"/>
      <c r="CR258" s="413"/>
      <c r="CS258" s="413"/>
      <c r="CT258" s="413"/>
      <c r="CU258" s="413"/>
      <c r="CV258" s="413"/>
      <c r="CW258" s="413"/>
      <c r="CX258" s="413"/>
      <c r="CY258" s="413"/>
      <c r="CZ258" s="413"/>
      <c r="DA258" s="413"/>
      <c r="DB258" s="413"/>
      <c r="DC258" s="413"/>
      <c r="DD258" s="413"/>
      <c r="DE258" s="413"/>
      <c r="DF258" s="413"/>
      <c r="DG258" s="413"/>
      <c r="DH258" s="413"/>
      <c r="DI258" s="413"/>
      <c r="DJ258" s="413"/>
      <c r="DK258" s="413"/>
    </row>
    <row r="259" spans="30:115" ht="14.25" customHeight="1">
      <c r="AD259" s="413"/>
      <c r="AE259" s="413"/>
      <c r="AF259" s="413"/>
      <c r="AG259" s="413"/>
      <c r="AH259" s="413"/>
      <c r="AI259" s="413"/>
      <c r="AJ259" s="413"/>
      <c r="AK259" s="413"/>
      <c r="AL259" s="413"/>
      <c r="AM259" s="413"/>
      <c r="AN259" s="413"/>
      <c r="AO259" s="413"/>
      <c r="AP259" s="413"/>
      <c r="AQ259" s="413"/>
      <c r="AR259" s="413"/>
      <c r="AS259" s="413"/>
      <c r="AT259" s="413"/>
      <c r="AU259" s="413"/>
      <c r="AV259" s="413"/>
      <c r="AW259" s="413"/>
      <c r="AX259" s="413"/>
      <c r="AY259" s="413"/>
      <c r="AZ259" s="413"/>
      <c r="BA259" s="413"/>
      <c r="BB259" s="413"/>
      <c r="BC259" s="413"/>
      <c r="BD259" s="415"/>
      <c r="BE259" s="415"/>
      <c r="BF259" s="415"/>
      <c r="BG259" s="415"/>
      <c r="BH259" s="415"/>
      <c r="BI259" s="415"/>
      <c r="BJ259" s="471"/>
      <c r="BK259" s="471"/>
      <c r="BL259" s="471"/>
      <c r="BM259" s="471"/>
      <c r="BN259" s="471"/>
      <c r="BO259" s="471"/>
      <c r="BP259" s="471"/>
      <c r="BQ259" s="471"/>
      <c r="BR259" s="471"/>
      <c r="BS259" s="415"/>
      <c r="BT259" s="415"/>
      <c r="BU259" s="415"/>
      <c r="BV259" s="413"/>
      <c r="BW259" s="413"/>
      <c r="BX259" s="413"/>
      <c r="BY259" s="413"/>
      <c r="BZ259" s="413"/>
      <c r="CA259" s="413"/>
      <c r="CB259" s="413"/>
      <c r="CC259" s="413"/>
      <c r="CD259" s="413"/>
      <c r="CE259" s="413"/>
      <c r="CF259" s="413"/>
      <c r="CG259" s="413"/>
      <c r="CH259" s="413"/>
      <c r="CI259" s="413"/>
      <c r="CJ259" s="413"/>
      <c r="CK259" s="413"/>
      <c r="CL259" s="413"/>
      <c r="CM259" s="413"/>
      <c r="CN259" s="413"/>
      <c r="CO259" s="413"/>
      <c r="CP259" s="413"/>
      <c r="CQ259" s="413"/>
      <c r="CR259" s="413"/>
      <c r="CS259" s="413"/>
      <c r="CT259" s="413"/>
      <c r="CU259" s="413"/>
      <c r="CV259" s="413"/>
      <c r="CW259" s="413"/>
      <c r="CX259" s="413"/>
      <c r="CY259" s="413"/>
      <c r="CZ259" s="413"/>
      <c r="DA259" s="413"/>
      <c r="DB259" s="413"/>
      <c r="DC259" s="413"/>
      <c r="DD259" s="413"/>
      <c r="DE259" s="413"/>
      <c r="DF259" s="413"/>
      <c r="DG259" s="413"/>
      <c r="DH259" s="413"/>
      <c r="DI259" s="413"/>
      <c r="DJ259" s="413"/>
      <c r="DK259" s="413"/>
    </row>
    <row r="260" spans="30:115" ht="14.25" customHeight="1">
      <c r="AD260" s="413"/>
      <c r="AE260" s="413"/>
      <c r="AF260" s="413"/>
      <c r="AG260" s="413"/>
      <c r="AH260" s="413"/>
      <c r="AI260" s="413"/>
      <c r="AJ260" s="413"/>
      <c r="AK260" s="413"/>
      <c r="AL260" s="413"/>
      <c r="AM260" s="413"/>
      <c r="AN260" s="413"/>
      <c r="AO260" s="413"/>
      <c r="AP260" s="413"/>
      <c r="AQ260" s="413"/>
      <c r="AR260" s="413"/>
      <c r="AS260" s="413"/>
      <c r="AT260" s="413"/>
      <c r="AU260" s="413"/>
      <c r="AV260" s="413"/>
      <c r="AW260" s="413"/>
      <c r="AX260" s="413"/>
      <c r="AY260" s="413"/>
      <c r="AZ260" s="413"/>
      <c r="BA260" s="413"/>
      <c r="BB260" s="413"/>
      <c r="BC260" s="413"/>
      <c r="BD260" s="415"/>
      <c r="BE260" s="415"/>
      <c r="BF260" s="415"/>
      <c r="BG260" s="415"/>
      <c r="BH260" s="415"/>
      <c r="BI260" s="415"/>
      <c r="BJ260" s="471"/>
      <c r="BK260" s="471"/>
      <c r="BL260" s="471"/>
      <c r="BM260" s="471"/>
      <c r="BN260" s="471"/>
      <c r="BO260" s="471"/>
      <c r="BP260" s="471"/>
      <c r="BQ260" s="471"/>
      <c r="BR260" s="471"/>
      <c r="BS260" s="415"/>
      <c r="BT260" s="415"/>
      <c r="BU260" s="415"/>
      <c r="BV260" s="413"/>
      <c r="BW260" s="413"/>
      <c r="BX260" s="413"/>
      <c r="BY260" s="413"/>
      <c r="BZ260" s="413"/>
      <c r="CA260" s="413"/>
      <c r="CB260" s="413"/>
      <c r="CC260" s="413"/>
      <c r="CD260" s="413"/>
      <c r="CE260" s="413"/>
      <c r="CF260" s="413"/>
      <c r="CG260" s="413"/>
      <c r="CH260" s="413"/>
      <c r="CI260" s="413"/>
      <c r="CJ260" s="413"/>
      <c r="CK260" s="413"/>
      <c r="CL260" s="413"/>
      <c r="CM260" s="413"/>
      <c r="CN260" s="413"/>
      <c r="CO260" s="413"/>
      <c r="CP260" s="413"/>
      <c r="CQ260" s="413"/>
      <c r="CR260" s="413"/>
      <c r="CS260" s="413"/>
      <c r="CT260" s="413"/>
      <c r="CU260" s="413"/>
      <c r="CV260" s="413"/>
      <c r="CW260" s="413"/>
      <c r="CX260" s="413"/>
      <c r="CY260" s="413"/>
      <c r="CZ260" s="413"/>
      <c r="DA260" s="413"/>
      <c r="DB260" s="413"/>
      <c r="DC260" s="413"/>
      <c r="DD260" s="413"/>
      <c r="DE260" s="413"/>
      <c r="DF260" s="413"/>
      <c r="DG260" s="413"/>
      <c r="DH260" s="413"/>
      <c r="DI260" s="413"/>
      <c r="DJ260" s="413"/>
      <c r="DK260" s="413"/>
    </row>
    <row r="261" spans="30:115" ht="14.25" customHeight="1">
      <c r="AD261" s="413"/>
      <c r="AE261" s="413"/>
      <c r="AF261" s="413"/>
      <c r="AG261" s="413"/>
      <c r="AH261" s="413"/>
      <c r="AI261" s="413"/>
      <c r="AJ261" s="413"/>
      <c r="AK261" s="413"/>
      <c r="AL261" s="413"/>
      <c r="AM261" s="413"/>
      <c r="AN261" s="413"/>
      <c r="AO261" s="413"/>
      <c r="AP261" s="413"/>
      <c r="AQ261" s="413"/>
      <c r="AR261" s="413"/>
      <c r="AS261" s="413"/>
      <c r="AT261" s="413"/>
      <c r="AU261" s="413"/>
      <c r="AV261" s="413"/>
      <c r="AW261" s="413"/>
      <c r="AX261" s="413"/>
      <c r="AY261" s="413"/>
      <c r="AZ261" s="413"/>
      <c r="BA261" s="413"/>
      <c r="BB261" s="413"/>
      <c r="BC261" s="413"/>
      <c r="BD261" s="415"/>
      <c r="BE261" s="415"/>
      <c r="BF261" s="415"/>
      <c r="BG261" s="415"/>
      <c r="BH261" s="415"/>
      <c r="BI261" s="415"/>
      <c r="BJ261" s="471"/>
      <c r="BK261" s="471"/>
      <c r="BL261" s="471"/>
      <c r="BM261" s="471"/>
      <c r="BN261" s="471"/>
      <c r="BO261" s="471"/>
      <c r="BP261" s="471"/>
      <c r="BQ261" s="471"/>
      <c r="BR261" s="471"/>
      <c r="BS261" s="415"/>
      <c r="BT261" s="415"/>
      <c r="BU261" s="415"/>
      <c r="BV261" s="413"/>
      <c r="BW261" s="413"/>
      <c r="BX261" s="413"/>
      <c r="BY261" s="413"/>
      <c r="BZ261" s="413"/>
      <c r="CA261" s="413"/>
      <c r="CB261" s="413"/>
      <c r="CC261" s="413"/>
      <c r="CD261" s="413"/>
      <c r="CE261" s="413"/>
      <c r="CF261" s="413"/>
      <c r="CG261" s="413"/>
      <c r="CH261" s="413"/>
      <c r="CI261" s="413"/>
      <c r="CJ261" s="413"/>
      <c r="CK261" s="413"/>
      <c r="CL261" s="413"/>
      <c r="CM261" s="413"/>
      <c r="CN261" s="413"/>
      <c r="CO261" s="413"/>
      <c r="CP261" s="413"/>
      <c r="CQ261" s="413"/>
      <c r="CR261" s="413"/>
      <c r="CS261" s="413"/>
      <c r="CT261" s="413"/>
      <c r="CU261" s="413"/>
      <c r="CV261" s="413"/>
      <c r="CW261" s="413"/>
      <c r="CX261" s="413"/>
      <c r="CY261" s="413"/>
      <c r="CZ261" s="413"/>
      <c r="DA261" s="413"/>
      <c r="DB261" s="413"/>
      <c r="DC261" s="413"/>
      <c r="DD261" s="413"/>
      <c r="DE261" s="413"/>
      <c r="DF261" s="413"/>
      <c r="DG261" s="413"/>
      <c r="DH261" s="413"/>
      <c r="DI261" s="413"/>
      <c r="DJ261" s="413"/>
      <c r="DK261" s="413"/>
    </row>
    <row r="262" spans="30:115" ht="14.25" customHeight="1">
      <c r="AD262" s="413"/>
      <c r="AE262" s="413"/>
      <c r="AF262" s="413"/>
      <c r="AG262" s="413"/>
      <c r="AH262" s="413"/>
      <c r="AI262" s="413"/>
      <c r="AJ262" s="413"/>
      <c r="AK262" s="413"/>
      <c r="AL262" s="413"/>
      <c r="AM262" s="413"/>
      <c r="AN262" s="413"/>
      <c r="AO262" s="413"/>
      <c r="AP262" s="413"/>
      <c r="AQ262" s="413"/>
      <c r="AR262" s="413"/>
      <c r="AS262" s="413"/>
      <c r="AT262" s="413"/>
      <c r="AU262" s="413"/>
      <c r="AV262" s="413"/>
      <c r="AW262" s="413"/>
      <c r="AX262" s="413"/>
      <c r="AY262" s="413"/>
      <c r="AZ262" s="413"/>
      <c r="BA262" s="413"/>
      <c r="BB262" s="413"/>
      <c r="BC262" s="413"/>
      <c r="BD262" s="415"/>
      <c r="BE262" s="415"/>
      <c r="BF262" s="415"/>
      <c r="BG262" s="415"/>
      <c r="BH262" s="415"/>
      <c r="BI262" s="415"/>
      <c r="BJ262" s="471"/>
      <c r="BK262" s="471"/>
      <c r="BL262" s="471"/>
      <c r="BM262" s="471"/>
      <c r="BN262" s="471"/>
      <c r="BO262" s="471"/>
      <c r="BP262" s="471"/>
      <c r="BQ262" s="471"/>
      <c r="BR262" s="471"/>
      <c r="BS262" s="415"/>
      <c r="BT262" s="415"/>
      <c r="BU262" s="415"/>
      <c r="BV262" s="413"/>
      <c r="BW262" s="413"/>
      <c r="BX262" s="413"/>
      <c r="BY262" s="413"/>
      <c r="BZ262" s="413"/>
      <c r="CA262" s="413"/>
      <c r="CB262" s="413"/>
      <c r="CC262" s="413"/>
      <c r="CD262" s="413"/>
      <c r="CE262" s="413"/>
      <c r="CF262" s="413"/>
      <c r="CG262" s="413"/>
      <c r="CH262" s="413"/>
      <c r="CI262" s="413"/>
      <c r="CJ262" s="413"/>
      <c r="CK262" s="413"/>
      <c r="CL262" s="413"/>
      <c r="CM262" s="413"/>
      <c r="CN262" s="413"/>
      <c r="CO262" s="413"/>
      <c r="CP262" s="413"/>
      <c r="CQ262" s="413"/>
      <c r="CR262" s="413"/>
      <c r="CS262" s="413"/>
      <c r="CT262" s="413"/>
      <c r="CU262" s="413"/>
      <c r="CV262" s="413"/>
      <c r="CW262" s="413"/>
      <c r="CX262" s="413"/>
      <c r="CY262" s="413"/>
      <c r="CZ262" s="413"/>
      <c r="DA262" s="413"/>
      <c r="DB262" s="413"/>
      <c r="DC262" s="413"/>
      <c r="DD262" s="413"/>
      <c r="DE262" s="413"/>
      <c r="DF262" s="413"/>
      <c r="DG262" s="413"/>
      <c r="DH262" s="413"/>
      <c r="DI262" s="413"/>
      <c r="DJ262" s="413"/>
      <c r="DK262" s="413"/>
    </row>
    <row r="263" spans="30:115" ht="14.25" customHeight="1">
      <c r="AD263" s="413"/>
      <c r="AE263" s="413"/>
      <c r="AF263" s="413"/>
      <c r="AG263" s="413"/>
      <c r="AH263" s="413"/>
      <c r="AI263" s="413"/>
      <c r="AJ263" s="413"/>
      <c r="AK263" s="413"/>
      <c r="AL263" s="413"/>
      <c r="AM263" s="413"/>
      <c r="AN263" s="413"/>
      <c r="AO263" s="413"/>
      <c r="AP263" s="413"/>
      <c r="AQ263" s="413"/>
      <c r="AR263" s="413"/>
      <c r="AS263" s="413"/>
      <c r="AT263" s="413"/>
      <c r="AU263" s="413"/>
      <c r="AV263" s="413"/>
      <c r="AW263" s="413"/>
      <c r="AX263" s="413"/>
      <c r="AY263" s="413"/>
      <c r="AZ263" s="413"/>
      <c r="BA263" s="413"/>
      <c r="BB263" s="413"/>
      <c r="BC263" s="413"/>
      <c r="BD263" s="415"/>
      <c r="BE263" s="415"/>
      <c r="BF263" s="415"/>
      <c r="BG263" s="415"/>
      <c r="BH263" s="415"/>
      <c r="BI263" s="415"/>
      <c r="BJ263" s="415"/>
      <c r="BK263" s="415"/>
      <c r="BL263" s="415"/>
      <c r="BM263" s="415"/>
      <c r="BN263" s="415"/>
      <c r="BO263" s="415"/>
      <c r="BP263" s="415"/>
      <c r="BQ263" s="415"/>
      <c r="BR263" s="472"/>
      <c r="BS263" s="415"/>
      <c r="BT263" s="415"/>
      <c r="BU263" s="415"/>
      <c r="BV263" s="413"/>
      <c r="BW263" s="413"/>
      <c r="BX263" s="413"/>
      <c r="BY263" s="413"/>
      <c r="BZ263" s="413"/>
      <c r="CA263" s="413"/>
      <c r="CB263" s="413"/>
      <c r="CC263" s="413"/>
      <c r="CD263" s="413"/>
      <c r="CE263" s="413"/>
      <c r="CF263" s="413"/>
      <c r="CG263" s="413"/>
      <c r="CH263" s="413"/>
      <c r="CI263" s="413"/>
      <c r="CJ263" s="413"/>
      <c r="CK263" s="413"/>
      <c r="CL263" s="413"/>
      <c r="CM263" s="413"/>
      <c r="CN263" s="413"/>
      <c r="CO263" s="413"/>
      <c r="CP263" s="413"/>
      <c r="CQ263" s="413"/>
      <c r="CR263" s="413"/>
      <c r="CS263" s="413"/>
      <c r="CT263" s="413"/>
      <c r="CU263" s="413"/>
      <c r="CV263" s="413"/>
      <c r="CW263" s="413"/>
      <c r="CX263" s="413"/>
      <c r="CY263" s="413"/>
      <c r="CZ263" s="413"/>
      <c r="DA263" s="413"/>
      <c r="DB263" s="413"/>
      <c r="DC263" s="413"/>
      <c r="DD263" s="413"/>
      <c r="DE263" s="413"/>
      <c r="DF263" s="413"/>
      <c r="DG263" s="413"/>
      <c r="DH263" s="413"/>
      <c r="DI263" s="413"/>
      <c r="DJ263" s="413"/>
      <c r="DK263" s="413"/>
    </row>
    <row r="264" spans="30:115" ht="14.25" customHeight="1">
      <c r="AD264" s="413"/>
      <c r="AE264" s="413"/>
      <c r="AF264" s="415"/>
      <c r="AG264" s="415"/>
      <c r="AH264" s="415"/>
      <c r="AI264" s="415"/>
      <c r="AJ264" s="415"/>
      <c r="AK264" s="415"/>
      <c r="AL264" s="415"/>
      <c r="AM264" s="415"/>
      <c r="AN264" s="415"/>
      <c r="AO264" s="415"/>
      <c r="AP264" s="415"/>
      <c r="AQ264" s="415"/>
      <c r="AR264" s="415"/>
      <c r="AS264" s="415"/>
      <c r="AT264" s="415"/>
      <c r="AU264" s="415"/>
      <c r="AV264" s="415"/>
      <c r="AW264" s="415"/>
      <c r="AX264" s="415"/>
      <c r="AY264" s="415"/>
      <c r="AZ264" s="415"/>
      <c r="BA264" s="415"/>
      <c r="BB264" s="415"/>
      <c r="BC264" s="415"/>
      <c r="BD264" s="415"/>
      <c r="BE264" s="415"/>
      <c r="BF264" s="415"/>
      <c r="BG264" s="415"/>
      <c r="BH264" s="415"/>
      <c r="BI264" s="415"/>
      <c r="BJ264" s="415"/>
      <c r="BK264" s="415"/>
      <c r="BL264" s="415"/>
      <c r="BM264" s="415"/>
      <c r="BN264" s="415"/>
      <c r="BO264" s="415"/>
      <c r="BP264" s="415"/>
      <c r="BQ264" s="415"/>
      <c r="BR264" s="472"/>
      <c r="BS264" s="415"/>
      <c r="BT264" s="415"/>
      <c r="BU264" s="415"/>
      <c r="BV264" s="413"/>
      <c r="BW264" s="413"/>
      <c r="BX264" s="413"/>
      <c r="BY264" s="413"/>
      <c r="BZ264" s="413"/>
      <c r="CA264" s="413"/>
      <c r="CB264" s="413"/>
      <c r="CC264" s="413"/>
      <c r="CD264" s="413"/>
      <c r="CE264" s="413"/>
      <c r="CF264" s="413"/>
      <c r="CG264" s="413"/>
      <c r="CH264" s="413"/>
      <c r="CI264" s="413"/>
      <c r="CJ264" s="413"/>
      <c r="CK264" s="413"/>
      <c r="CL264" s="413"/>
      <c r="CM264" s="413"/>
      <c r="CN264" s="413"/>
      <c r="CO264" s="413"/>
      <c r="CP264" s="413"/>
      <c r="CQ264" s="413"/>
      <c r="CR264" s="413"/>
      <c r="CS264" s="413"/>
      <c r="CT264" s="413"/>
      <c r="CU264" s="413"/>
      <c r="CV264" s="413"/>
      <c r="CW264" s="413"/>
      <c r="CX264" s="413"/>
      <c r="CY264" s="413"/>
      <c r="CZ264" s="413"/>
      <c r="DA264" s="413"/>
      <c r="DB264" s="413"/>
      <c r="DC264" s="413"/>
      <c r="DD264" s="413"/>
      <c r="DE264" s="413"/>
      <c r="DF264" s="413"/>
      <c r="DG264" s="413"/>
      <c r="DH264" s="413"/>
      <c r="DI264" s="413"/>
      <c r="DJ264" s="413"/>
      <c r="DK264" s="413"/>
    </row>
    <row r="265" spans="30:115" ht="14.25" customHeight="1">
      <c r="AD265" s="413"/>
      <c r="AE265" s="413"/>
      <c r="AF265" s="415"/>
      <c r="AG265" s="415"/>
      <c r="AH265" s="415"/>
      <c r="AI265" s="415"/>
      <c r="AJ265" s="415"/>
      <c r="AK265" s="415"/>
      <c r="AL265" s="415"/>
      <c r="AM265" s="415"/>
      <c r="AN265" s="415"/>
      <c r="AO265" s="415"/>
      <c r="AP265" s="415"/>
      <c r="AQ265" s="415"/>
      <c r="AR265" s="415"/>
      <c r="AS265" s="415"/>
      <c r="AT265" s="415"/>
      <c r="AU265" s="415"/>
      <c r="AV265" s="415"/>
      <c r="AW265" s="415"/>
      <c r="AX265" s="415"/>
      <c r="AY265" s="415"/>
      <c r="AZ265" s="415"/>
      <c r="BA265" s="415"/>
      <c r="BB265" s="415"/>
      <c r="BC265" s="415"/>
      <c r="BD265" s="415"/>
      <c r="BE265" s="415"/>
      <c r="BF265" s="415"/>
      <c r="BG265" s="415"/>
      <c r="BH265" s="415"/>
      <c r="BI265" s="415"/>
      <c r="BJ265" s="415"/>
      <c r="BK265" s="415"/>
      <c r="BL265" s="415"/>
      <c r="BM265" s="415"/>
      <c r="BN265" s="415"/>
      <c r="BO265" s="415"/>
      <c r="BP265" s="415"/>
      <c r="BQ265" s="415"/>
      <c r="BR265" s="472"/>
      <c r="BS265" s="415"/>
      <c r="BT265" s="415"/>
      <c r="BU265" s="415"/>
      <c r="BV265" s="413"/>
      <c r="BW265" s="413"/>
      <c r="BX265" s="413"/>
      <c r="BY265" s="413"/>
      <c r="BZ265" s="413"/>
      <c r="CA265" s="413"/>
      <c r="CB265" s="413"/>
      <c r="CC265" s="413"/>
      <c r="CD265" s="413"/>
      <c r="CE265" s="413"/>
      <c r="CF265" s="413"/>
      <c r="CG265" s="413"/>
      <c r="CH265" s="413"/>
      <c r="CI265" s="413"/>
      <c r="CJ265" s="413"/>
      <c r="CK265" s="413"/>
      <c r="CL265" s="413"/>
      <c r="CM265" s="413"/>
      <c r="CN265" s="413"/>
      <c r="CO265" s="413"/>
      <c r="CP265" s="413"/>
      <c r="CQ265" s="413"/>
      <c r="CR265" s="413"/>
      <c r="CS265" s="413"/>
      <c r="CT265" s="413"/>
      <c r="CU265" s="413"/>
      <c r="CV265" s="413"/>
      <c r="CW265" s="413"/>
      <c r="CX265" s="413"/>
      <c r="CY265" s="413"/>
      <c r="CZ265" s="413"/>
      <c r="DA265" s="413"/>
      <c r="DB265" s="413"/>
      <c r="DC265" s="413"/>
      <c r="DD265" s="413"/>
      <c r="DE265" s="413"/>
      <c r="DF265" s="413"/>
      <c r="DG265" s="413"/>
      <c r="DH265" s="413"/>
      <c r="DI265" s="413"/>
      <c r="DJ265" s="413"/>
      <c r="DK265" s="413"/>
    </row>
    <row r="266" spans="30:115" ht="14.25" customHeight="1">
      <c r="AD266" s="413"/>
      <c r="AE266" s="413"/>
      <c r="AF266" s="413"/>
      <c r="AG266" s="413"/>
      <c r="AH266" s="413"/>
      <c r="AI266" s="413"/>
      <c r="AJ266" s="415"/>
      <c r="AK266" s="415"/>
      <c r="AL266" s="415"/>
      <c r="AM266" s="415"/>
      <c r="AN266" s="415"/>
      <c r="AO266" s="415"/>
      <c r="AP266" s="415"/>
      <c r="AQ266" s="415"/>
      <c r="AR266" s="415"/>
      <c r="AS266" s="415"/>
      <c r="AT266" s="415"/>
      <c r="AU266" s="415"/>
      <c r="AV266" s="415"/>
      <c r="AW266" s="415"/>
      <c r="AX266" s="415"/>
      <c r="AY266" s="415"/>
      <c r="AZ266" s="415"/>
      <c r="BA266" s="415"/>
      <c r="BB266" s="415"/>
      <c r="BC266" s="415"/>
      <c r="BD266" s="415"/>
      <c r="BE266" s="415"/>
      <c r="BF266" s="415"/>
      <c r="BG266" s="415"/>
      <c r="BH266" s="415"/>
      <c r="BI266" s="415"/>
      <c r="BJ266" s="415"/>
      <c r="BK266" s="415"/>
      <c r="BL266" s="415"/>
      <c r="BM266" s="415"/>
      <c r="BN266" s="415"/>
      <c r="BO266" s="415"/>
      <c r="BP266" s="415"/>
      <c r="BQ266" s="415"/>
      <c r="BR266" s="472"/>
      <c r="BS266" s="415"/>
      <c r="BT266" s="415"/>
      <c r="BU266" s="415"/>
      <c r="BV266" s="413"/>
      <c r="BW266" s="413"/>
      <c r="BX266" s="413"/>
      <c r="BY266" s="413"/>
      <c r="BZ266" s="413"/>
      <c r="CA266" s="413"/>
      <c r="CB266" s="413"/>
      <c r="CC266" s="413"/>
      <c r="CD266" s="413"/>
      <c r="CE266" s="413"/>
      <c r="CF266" s="413"/>
      <c r="CG266" s="413"/>
      <c r="CH266" s="413"/>
      <c r="CI266" s="413"/>
      <c r="CJ266" s="413"/>
      <c r="CK266" s="413"/>
      <c r="CL266" s="413"/>
      <c r="CM266" s="413"/>
      <c r="CN266" s="413"/>
      <c r="CO266" s="413"/>
      <c r="CP266" s="413"/>
      <c r="CQ266" s="413"/>
      <c r="CR266" s="413"/>
      <c r="CS266" s="413"/>
      <c r="CT266" s="413"/>
      <c r="CU266" s="413"/>
      <c r="CV266" s="413"/>
      <c r="CW266" s="413"/>
      <c r="CX266" s="413"/>
      <c r="CY266" s="413"/>
      <c r="CZ266" s="413"/>
      <c r="DA266" s="413"/>
      <c r="DB266" s="413"/>
      <c r="DC266" s="413"/>
      <c r="DD266" s="413"/>
      <c r="DE266" s="413"/>
      <c r="DF266" s="413"/>
      <c r="DG266" s="413"/>
      <c r="DH266" s="413"/>
      <c r="DI266" s="413"/>
      <c r="DJ266" s="413"/>
      <c r="DK266" s="413"/>
    </row>
    <row r="267" spans="30:115" ht="14.25" customHeight="1">
      <c r="AJ267" s="182"/>
      <c r="AK267" s="182"/>
      <c r="AL267" s="182"/>
      <c r="AM267" s="182"/>
      <c r="AN267" s="182"/>
      <c r="AO267" s="182"/>
      <c r="AP267" s="182"/>
      <c r="AQ267" s="182"/>
      <c r="AR267" s="182"/>
      <c r="AS267" s="182"/>
      <c r="AT267" s="182"/>
      <c r="AU267" s="182"/>
      <c r="AV267" s="182"/>
      <c r="AW267" s="182"/>
      <c r="AX267" s="182"/>
      <c r="AY267" s="182"/>
      <c r="AZ267" s="182"/>
      <c r="BA267" s="182"/>
      <c r="BB267" s="182"/>
      <c r="BC267" s="182"/>
      <c r="BD267" s="182"/>
      <c r="BE267" s="182"/>
      <c r="BF267" s="182"/>
      <c r="BG267" s="182"/>
      <c r="BH267" s="182"/>
      <c r="BI267" s="182"/>
      <c r="BJ267" s="182"/>
      <c r="BK267" s="182"/>
      <c r="BL267" s="182"/>
      <c r="BM267" s="182"/>
      <c r="BN267" s="182"/>
      <c r="BO267" s="182"/>
      <c r="BP267" s="182"/>
      <c r="BQ267" s="182"/>
      <c r="BR267" s="183"/>
      <c r="BS267" s="182"/>
      <c r="BT267" s="182"/>
      <c r="BU267" s="182"/>
    </row>
    <row r="268" spans="30:115" ht="14.25" customHeight="1">
      <c r="BD268" s="182"/>
      <c r="BE268" s="182"/>
      <c r="BF268" s="182"/>
      <c r="BG268" s="182"/>
      <c r="BH268" s="182"/>
      <c r="BI268" s="182"/>
      <c r="BJ268" s="182"/>
      <c r="BK268" s="182"/>
      <c r="BL268" s="182"/>
      <c r="BM268" s="182"/>
      <c r="BN268" s="182"/>
      <c r="BO268" s="182"/>
      <c r="BP268" s="182"/>
      <c r="BQ268" s="182"/>
      <c r="BR268" s="183"/>
      <c r="BS268" s="182"/>
      <c r="BT268" s="182"/>
      <c r="BU268" s="182"/>
    </row>
  </sheetData>
  <mergeCells count="76">
    <mergeCell ref="L92:N92"/>
    <mergeCell ref="O92:Y92"/>
    <mergeCell ref="AE128:AE130"/>
    <mergeCell ref="AE105:AE106"/>
    <mergeCell ref="AE103:AE104"/>
    <mergeCell ref="AE111:AE112"/>
    <mergeCell ref="AD116:AD130"/>
    <mergeCell ref="AT152:AU152"/>
    <mergeCell ref="AD141:AF141"/>
    <mergeCell ref="AD142:AF142"/>
    <mergeCell ref="AD143:AF143"/>
    <mergeCell ref="AT145:AV145"/>
    <mergeCell ref="F92:G92"/>
    <mergeCell ref="A75:A79"/>
    <mergeCell ref="AE131:AE132"/>
    <mergeCell ref="F73:G73"/>
    <mergeCell ref="AD133:AD140"/>
    <mergeCell ref="AE118:AE119"/>
    <mergeCell ref="AE109:AE110"/>
    <mergeCell ref="AE107:AE108"/>
    <mergeCell ref="AE116:AE117"/>
    <mergeCell ref="AE120:AE125"/>
    <mergeCell ref="AD103:AD115"/>
    <mergeCell ref="AE113:AE115"/>
    <mergeCell ref="H92:J92"/>
    <mergeCell ref="AD131:AD132"/>
    <mergeCell ref="A99:B99"/>
    <mergeCell ref="A96:B96"/>
    <mergeCell ref="A80:A81"/>
    <mergeCell ref="W17:Y17"/>
    <mergeCell ref="A1:C1"/>
    <mergeCell ref="Q73:W73"/>
    <mergeCell ref="D3:E3"/>
    <mergeCell ref="D4:E4"/>
    <mergeCell ref="D5:E5"/>
    <mergeCell ref="D6:E6"/>
    <mergeCell ref="D7:E7"/>
    <mergeCell ref="D15:E15"/>
    <mergeCell ref="D8:E8"/>
    <mergeCell ref="F78:H78"/>
    <mergeCell ref="Q74:Q75"/>
    <mergeCell ref="L73:M73"/>
    <mergeCell ref="N73:O73"/>
    <mergeCell ref="N4:O10"/>
    <mergeCell ref="D9:E9"/>
    <mergeCell ref="A73:B73"/>
    <mergeCell ref="L12:Y12"/>
    <mergeCell ref="D10:E10"/>
    <mergeCell ref="D11:E11"/>
    <mergeCell ref="D13:E13"/>
    <mergeCell ref="D14:E14"/>
    <mergeCell ref="M17:T17"/>
    <mergeCell ref="D12:E12"/>
    <mergeCell ref="A17:G17"/>
    <mergeCell ref="I17:L17"/>
    <mergeCell ref="A18:C18"/>
    <mergeCell ref="D18:E18"/>
    <mergeCell ref="K18:L18"/>
    <mergeCell ref="A19:C19"/>
    <mergeCell ref="A20:C20"/>
    <mergeCell ref="F79:F80"/>
    <mergeCell ref="AP145:AP146"/>
    <mergeCell ref="B90:C90"/>
    <mergeCell ref="B84:C84"/>
    <mergeCell ref="B85:C85"/>
    <mergeCell ref="B86:C86"/>
    <mergeCell ref="B87:C87"/>
    <mergeCell ref="B88:C88"/>
    <mergeCell ref="B89:C89"/>
    <mergeCell ref="F81:F82"/>
    <mergeCell ref="AE126:AE127"/>
    <mergeCell ref="A92:B93"/>
    <mergeCell ref="A84:A85"/>
    <mergeCell ref="A97:B98"/>
    <mergeCell ref="A95:B95"/>
    <mergeCell ref="C92:D92"/>
  </mergeCells>
  <phoneticPr fontId="0" type="noConversion"/>
  <conditionalFormatting sqref="C82">
    <cfRule type="cellIs" dxfId="119" priority="175" stopIfTrue="1" operator="notBetween">
      <formula>0.49</formula>
      <formula>-0.49</formula>
    </cfRule>
  </conditionalFormatting>
  <conditionalFormatting sqref="G72 N21:S24 P25:S25 H21:H69 N26:S69 I41:I69 I35:I37 I21:I31 K21:L69">
    <cfRule type="cellIs" dxfId="118" priority="164" stopIfTrue="1" operator="equal">
      <formula>0</formula>
    </cfRule>
  </conditionalFormatting>
  <conditionalFormatting sqref="L33:L69">
    <cfRule type="cellIs" dxfId="117" priority="149" stopIfTrue="1" operator="greaterThan">
      <formula>#REF!</formula>
    </cfRule>
  </conditionalFormatting>
  <conditionalFormatting sqref="W21:Y69">
    <cfRule type="cellIs" dxfId="116" priority="99" stopIfTrue="1" operator="equal">
      <formula>0</formula>
    </cfRule>
  </conditionalFormatting>
  <conditionalFormatting sqref="AC21:AC69 AD21:AD34">
    <cfRule type="cellIs" dxfId="115" priority="71" stopIfTrue="1" operator="equal">
      <formula>0</formula>
    </cfRule>
  </conditionalFormatting>
  <conditionalFormatting sqref="M21:M24 M26:M69">
    <cfRule type="cellIs" dxfId="114" priority="69" stopIfTrue="1" operator="equal">
      <formula>0</formula>
    </cfRule>
  </conditionalFormatting>
  <conditionalFormatting sqref="Z21:Z69">
    <cfRule type="cellIs" dxfId="113" priority="67" stopIfTrue="1" operator="equal">
      <formula>0</formula>
    </cfRule>
  </conditionalFormatting>
  <conditionalFormatting sqref="N25:O25">
    <cfRule type="cellIs" dxfId="112" priority="63" stopIfTrue="1" operator="equal">
      <formula>0</formula>
    </cfRule>
  </conditionalFormatting>
  <conditionalFormatting sqref="M25">
    <cfRule type="cellIs" dxfId="111" priority="62" stopIfTrue="1" operator="equal">
      <formula>0</formula>
    </cfRule>
  </conditionalFormatting>
  <conditionalFormatting sqref="AA21:AB69">
    <cfRule type="cellIs" dxfId="110" priority="61" stopIfTrue="1" operator="equal">
      <formula>0</formula>
    </cfRule>
  </conditionalFormatting>
  <conditionalFormatting sqref="L12">
    <cfRule type="cellIs" dxfId="109" priority="60" stopIfTrue="1" operator="equal">
      <formula>"SO3 balance OK!"</formula>
    </cfRule>
  </conditionalFormatting>
  <conditionalFormatting sqref="T21:T69">
    <cfRule type="cellIs" dxfId="108" priority="58" stopIfTrue="1" operator="equal">
      <formula>0</formula>
    </cfRule>
  </conditionalFormatting>
  <conditionalFormatting sqref="U21:V69">
    <cfRule type="expression" dxfId="107" priority="607" stopIfTrue="1">
      <formula>$D$15&gt;0</formula>
    </cfRule>
  </conditionalFormatting>
  <conditionalFormatting sqref="H95">
    <cfRule type="colorScale" priority="614">
      <colorScale>
        <cfvo type="num" val="0"/>
        <cfvo type="formula" val="$H$97*$AR$149"/>
        <cfvo type="formula" val="$H$97"/>
        <color rgb="FF63BE7B"/>
        <color rgb="FFFFEB84"/>
        <color rgb="FFF8696B"/>
      </colorScale>
    </cfRule>
  </conditionalFormatting>
  <conditionalFormatting sqref="J95">
    <cfRule type="colorScale" priority="615">
      <colorScale>
        <cfvo type="num" val="0"/>
        <cfvo type="formula" val="$J$97*$AR$149"/>
        <cfvo type="formula" val="$J$97"/>
        <color rgb="FF63BE7B"/>
        <color rgb="FFFFEB84"/>
        <color rgb="FFF8696B"/>
      </colorScale>
    </cfRule>
  </conditionalFormatting>
  <conditionalFormatting sqref="K95">
    <cfRule type="colorScale" priority="616">
      <colorScale>
        <cfvo type="num" val="0"/>
        <cfvo type="formula" val="$K$97*$AR$149"/>
        <cfvo type="formula" val="$K$97"/>
        <color rgb="FF63BE7B"/>
        <color rgb="FFFFEB84"/>
        <color rgb="FFF8696B"/>
      </colorScale>
    </cfRule>
  </conditionalFormatting>
  <conditionalFormatting sqref="L95">
    <cfRule type="colorScale" priority="617">
      <colorScale>
        <cfvo type="num" val="0"/>
        <cfvo type="formula" val="$L$97*$AR$149"/>
        <cfvo type="formula" val="$L$97"/>
        <color rgb="FF63BE7B"/>
        <color rgb="FFFFEB84"/>
        <color rgb="FFF8696B"/>
      </colorScale>
    </cfRule>
  </conditionalFormatting>
  <conditionalFormatting sqref="M95">
    <cfRule type="colorScale" priority="618">
      <colorScale>
        <cfvo type="num" val="0"/>
        <cfvo type="formula" val="$M$97*$AR$149"/>
        <cfvo type="formula" val="$M$97"/>
        <color rgb="FF63BE7B"/>
        <color rgb="FFFFEB84"/>
        <color rgb="FFF8696B"/>
      </colorScale>
    </cfRule>
  </conditionalFormatting>
  <conditionalFormatting sqref="N95">
    <cfRule type="colorScale" priority="619">
      <colorScale>
        <cfvo type="num" val="0"/>
        <cfvo type="formula" val="$N$95*$AR$149"/>
        <cfvo type="formula" val="$N$97"/>
        <color rgb="FF63BE7B"/>
        <color rgb="FFFFEB84"/>
        <color rgb="FFF8696B"/>
      </colorScale>
    </cfRule>
  </conditionalFormatting>
  <conditionalFormatting sqref="I95">
    <cfRule type="colorScale" priority="620">
      <colorScale>
        <cfvo type="formula" val="$I$97"/>
        <cfvo type="formula" val="$I$97+$I$97*(1-$AR$149)"/>
        <cfvo type="num" val="1.2"/>
        <color rgb="FFF8696B"/>
        <color rgb="FFFFEB84"/>
        <color rgb="FF63BE7B"/>
      </colorScale>
    </cfRule>
  </conditionalFormatting>
  <conditionalFormatting sqref="I38">
    <cfRule type="cellIs" dxfId="106" priority="5" stopIfTrue="1" operator="equal">
      <formula>0</formula>
    </cfRule>
  </conditionalFormatting>
  <conditionalFormatting sqref="I39:I40">
    <cfRule type="cellIs" dxfId="105" priority="4" stopIfTrue="1" operator="equal">
      <formula>0</formula>
    </cfRule>
  </conditionalFormatting>
  <conditionalFormatting sqref="J21:J31">
    <cfRule type="cellIs" dxfId="104" priority="3" stopIfTrue="1" operator="equal">
      <formula>0</formula>
    </cfRule>
  </conditionalFormatting>
  <conditionalFormatting sqref="I32:I34">
    <cfRule type="cellIs" dxfId="103" priority="2" stopIfTrue="1" operator="equal">
      <formula>0</formula>
    </cfRule>
  </conditionalFormatting>
  <conditionalFormatting sqref="J32:J34">
    <cfRule type="cellIs" dxfId="102" priority="1" stopIfTrue="1" operator="equal">
      <formula>0</formula>
    </cfRule>
  </conditionalFormatting>
  <conditionalFormatting sqref="G5:K5">
    <cfRule type="expression" dxfId="101" priority="706" stopIfTrue="1">
      <formula>$AF$151&lt;&gt;1</formula>
    </cfRule>
  </conditionalFormatting>
  <conditionalFormatting sqref="C95">
    <cfRule type="colorScale" priority="708">
      <colorScale>
        <cfvo type="num" val="0"/>
        <cfvo type="formula" val="$C$97*$AR$149"/>
        <cfvo type="formula" val="$C$97"/>
        <color rgb="FF63BE7B"/>
        <color rgb="FFFFEB84"/>
        <color rgb="FFF8696B"/>
      </colorScale>
    </cfRule>
  </conditionalFormatting>
  <conditionalFormatting sqref="D95">
    <cfRule type="colorScale" priority="709">
      <colorScale>
        <cfvo type="num" val="0"/>
        <cfvo type="formula" val="$D$97*$AR$149"/>
        <cfvo type="formula" val="$D$97"/>
        <color rgb="FF63BE7B"/>
        <color rgb="FFFFEB84"/>
        <color rgb="FFF8696B"/>
      </colorScale>
    </cfRule>
  </conditionalFormatting>
  <conditionalFormatting sqref="E95">
    <cfRule type="colorScale" priority="710">
      <colorScale>
        <cfvo type="num" val="0"/>
        <cfvo type="formula" val="$E$97*$AR$149"/>
        <cfvo type="formula" val="$E$97"/>
        <color rgb="FF63BE7B"/>
        <color rgb="FFFFEB84"/>
        <color rgb="FFF8696B"/>
      </colorScale>
    </cfRule>
  </conditionalFormatting>
  <conditionalFormatting sqref="F95">
    <cfRule type="colorScale" priority="711">
      <colorScale>
        <cfvo type="num" val="0"/>
        <cfvo type="formula" val="$F$97*$AR$149"/>
        <cfvo type="formula" val="$F$97"/>
        <color rgb="FF63BE7B"/>
        <color rgb="FFFFEB84"/>
        <color rgb="FFF8696B"/>
      </colorScale>
    </cfRule>
  </conditionalFormatting>
  <conditionalFormatting sqref="G95">
    <cfRule type="colorScale" priority="712">
      <colorScale>
        <cfvo type="num" val="0"/>
        <cfvo type="formula" val="$G$97*$AR$149"/>
        <cfvo type="formula" val="$G$97"/>
        <color rgb="FF63BE7B"/>
        <color rgb="FFFFEB84"/>
        <color rgb="FFF8696B"/>
      </colorScale>
    </cfRule>
  </conditionalFormatting>
  <conditionalFormatting sqref="F21:F69">
    <cfRule type="expression" dxfId="100" priority="716" stopIfTrue="1">
      <formula>AND(OR($F21=$AG$146,$F21=$AG$148),OR($G21=$AD$154,$G21=$AD$155))</formula>
    </cfRule>
    <cfRule type="expression" dxfId="99" priority="717" stopIfTrue="1">
      <formula>AND(OR($F21=$AG$146,$F21=$AG$147,$F21=$AG$148,$F21=$AG$149),$G21=$AD$155)</formula>
    </cfRule>
    <cfRule type="expression" dxfId="98" priority="718" stopIfTrue="1">
      <formula>AND($AF$151=2,$F21=$AG$150,$G21=$AD$153)</formula>
    </cfRule>
  </conditionalFormatting>
  <dataValidations disablePrompts="1" xWindow="492" yWindow="373" count="9">
    <dataValidation type="list" allowBlank="1" showInputMessage="1" showErrorMessage="1" sqref="G21:G69">
      <formula1>$AD$146:$AD$157</formula1>
    </dataValidation>
    <dataValidation type="list" allowBlank="1" showInputMessage="1" showErrorMessage="1" sqref="K4">
      <formula1>$AF$146:$AF$150</formula1>
    </dataValidation>
    <dataValidation type="list" allowBlank="1" showInputMessage="1" showErrorMessage="1" sqref="F21:F69">
      <formula1>$AG$146:$AG$150</formula1>
    </dataValidation>
    <dataValidation type="list" allowBlank="1" showInputMessage="1" showErrorMessage="1" sqref="K5">
      <formula1>$AH$146:$AH$149</formula1>
    </dataValidation>
    <dataValidation type="list" allowBlank="1" showInputMessage="1" showErrorMessage="1" sqref="H74">
      <formula1>$AM$146:$AM$147</formula1>
    </dataValidation>
    <dataValidation type="list" allowBlank="1" showInputMessage="1" showErrorMessage="1" sqref="D13">
      <formula1>$AK$146:$AK$148</formula1>
    </dataValidation>
    <dataValidation type="decimal" operator="greaterThan" allowBlank="1" showInputMessage="1" showErrorMessage="1" errorTitle="Invalid NCV" error="For water-based fuels where NCV could be &lt;=0, please enter 0.001 to avoid division by 0. Based on the moisture content, FMO calculates and uses corrected NCV for water-based fuels." sqref="M21:M69">
      <formula1>0</formula1>
    </dataValidation>
    <dataValidation type="list" allowBlank="1" showInputMessage="1" showErrorMessage="1" sqref="B86:C90">
      <formula1>$AE$146:$AE$154</formula1>
    </dataValidation>
    <dataValidation type="list" allowBlank="1" showInputMessage="1" showErrorMessage="1" sqref="C98:Y98">
      <formula1>$AL$146:$AL$148</formula1>
    </dataValidation>
  </dataValidations>
  <hyperlinks>
    <hyperlink ref="M18" location="Guidelines!NCV" display="NCV"/>
    <hyperlink ref="G4" location="Help!KilnSystem" display="Kiln system"/>
    <hyperlink ref="B74" location="Guidelines!StandardFuel" display="std. fuel"/>
    <hyperlink ref="A97:B98" location="Guidelines!GuideValue_PQ" display="HTEC guide value"/>
    <hyperlink ref="Q77" location="Help!TEE" display="TEE, %"/>
    <hyperlink ref="Q78" location="Help!TSR" display="TSR, %"/>
    <hyperlink ref="Q81" location="Help!Operational_GAV" display="Help!Operational_GAV"/>
    <hyperlink ref="D73" location="Help!ReportedData" display="Reported"/>
    <hyperlink ref="I73" location="Help!ReportedData" display="Reported"/>
    <hyperlink ref="Y73" location="Help!ReportedData" display="Reported"/>
    <hyperlink ref="N73:O73" location="Help!ReportedData" display="Help!ReportedData"/>
    <hyperlink ref="A96:B96" location="Help!ReportedData" display="Help!ReportedData"/>
    <hyperlink ref="F75" location="HotMealExtraction" display="Hot meal extraction rate, %"/>
    <hyperlink ref="B77" location="ClRemoval" display="from BP+HME"/>
    <hyperlink ref="F76" location="KilnGasBypass" display="Kiln gas bypass, %"/>
    <hyperlink ref="A14:B14" location="CalenderDays" display="CalenderDays"/>
    <hyperlink ref="Q74" location="SACTE" display="SACTE"/>
    <hyperlink ref="Q76" location="Help!ACTE" display="ACTE"/>
    <hyperlink ref="G5" location="Help!CalcineType" display="Calciner type"/>
    <hyperlink ref="A92:B93" location="Help!ProcessQuality_Constraints" display="Process and quality constraints"/>
    <hyperlink ref="B78" location="Help!False_air_impact" display="false air"/>
    <hyperlink ref="A84:A85" location="Help!False_air_impact" display="Impact from false air"/>
    <hyperlink ref="F78:H78" location="Help!Oxygen_correction" display="Oxygen correction"/>
    <hyperlink ref="Q80" location="Help!SPC" display="support process costs"/>
    <hyperlink ref="Q83" location="Help!Operational_GAV" display="Help!Operational_GAV"/>
    <hyperlink ref="F18:F19" location="Help!D201" display="Firing"/>
    <hyperlink ref="G18" location="Help!FuelCategory" display="Category"/>
    <hyperlink ref="F18" location="Help!FiringLocation" display="Firing"/>
    <hyperlink ref="F19" location="Help!FiringLocation" display="location"/>
  </hyperlinks>
  <printOptions horizontalCentered="1" verticalCentered="1"/>
  <pageMargins left="0" right="0" top="0" bottom="0" header="0" footer="0"/>
  <pageSetup paperSize="9" scale="68" orientation="landscape"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outlinePr summaryBelow="0" summaryRight="0"/>
    <pageSetUpPr fitToPage="1"/>
  </sheetPr>
  <dimension ref="A1:BV277"/>
  <sheetViews>
    <sheetView showGridLines="0" zoomScale="80" zoomScaleNormal="80" zoomScaleSheetLayoutView="50" workbookViewId="0">
      <selection sqref="A1:C1"/>
    </sheetView>
  </sheetViews>
  <sheetFormatPr defaultColWidth="10.7109375" defaultRowHeight="14.25" customHeight="1" outlineLevelRow="1" outlineLevelCol="1"/>
  <cols>
    <col min="1" max="16" width="10.7109375" style="124" customWidth="1"/>
    <col min="17" max="17" width="10.7109375" style="124" customWidth="1" collapsed="1"/>
    <col min="18" max="22" width="10.7109375" style="124" hidden="1" customWidth="1" outlineLevel="1"/>
    <col min="23" max="25" width="10.7109375" style="124" customWidth="1"/>
    <col min="26" max="28" width="10.7109375" style="124" hidden="1" customWidth="1"/>
    <col min="29" max="29" width="10.7109375" style="124" customWidth="1"/>
    <col min="30" max="30" width="11.7109375" style="124" customWidth="1"/>
    <col min="31" max="70" width="10.7109375" style="124" customWidth="1"/>
    <col min="71" max="71" width="10.7109375" style="125" customWidth="1"/>
    <col min="72" max="16384" width="10.7109375" style="124"/>
  </cols>
  <sheetData>
    <row r="1" spans="1:54" ht="26.25">
      <c r="A1" s="806" t="s">
        <v>354</v>
      </c>
      <c r="B1" s="806"/>
      <c r="C1" s="806"/>
      <c r="D1" s="560"/>
      <c r="E1" s="560"/>
      <c r="G1" s="123"/>
      <c r="AS1" s="125"/>
      <c r="AT1" s="125"/>
      <c r="AU1" s="125"/>
    </row>
    <row r="2" spans="1:54" s="127" customFormat="1" ht="14.25" customHeight="1" outlineLevel="1">
      <c r="A2" s="23" t="str">
        <f ca="1">"File: "&amp;MID(CELL("filename"),SEARCH("[",CELL("filename"))+1, SEARCH("]",CELL("filename"))-SEARCH("[",CELL("filename"))-1)</f>
        <v>File: FMO Case Study Solution.xlsx</v>
      </c>
      <c r="D2" s="126"/>
      <c r="E2" s="126"/>
      <c r="F2" s="126"/>
      <c r="G2" s="128"/>
      <c r="O2" s="549"/>
      <c r="R2" s="129"/>
      <c r="S2" s="129"/>
      <c r="T2" s="129"/>
      <c r="U2" s="129"/>
      <c r="V2" s="129"/>
      <c r="W2" s="129"/>
      <c r="BA2" s="126"/>
    </row>
    <row r="3" spans="1:54" s="127" customFormat="1" ht="14.25" customHeight="1" outlineLevel="1">
      <c r="A3" s="264"/>
      <c r="B3" s="264"/>
      <c r="D3" s="247" t="s">
        <v>827</v>
      </c>
      <c r="E3" s="131" t="str">
        <f>Baseline!$D$3</f>
        <v>Baseline</v>
      </c>
      <c r="K3" s="247" t="str">
        <f>$D$3</f>
        <v>Simulation</v>
      </c>
      <c r="L3" s="131" t="str">
        <f>Baseline!$D$3</f>
        <v>Baseline</v>
      </c>
      <c r="Y3" s="328" t="str">
        <f>$D$3</f>
        <v>Simulation</v>
      </c>
      <c r="AC3" s="358"/>
      <c r="AD3" s="358"/>
      <c r="BA3" s="126"/>
    </row>
    <row r="4" spans="1:54" s="127" customFormat="1" ht="14.25" customHeight="1" outlineLevel="1">
      <c r="A4" s="314" t="s">
        <v>94</v>
      </c>
      <c r="B4" s="315"/>
      <c r="C4" s="315"/>
      <c r="D4" s="869" t="str">
        <f>Baseline!D4</f>
        <v>GEOCEM</v>
      </c>
      <c r="E4" s="870"/>
      <c r="G4" s="316" t="s">
        <v>10</v>
      </c>
      <c r="H4" s="315"/>
      <c r="I4" s="315"/>
      <c r="J4" s="363"/>
      <c r="K4" s="871" t="str">
        <f>Baseline!K4</f>
        <v>Calciner</v>
      </c>
      <c r="L4" s="872"/>
      <c r="N4" s="865" t="s">
        <v>671</v>
      </c>
      <c r="O4" s="866"/>
      <c r="P4" s="342" t="s">
        <v>670</v>
      </c>
      <c r="Q4" s="330"/>
      <c r="R4" s="330"/>
      <c r="S4" s="330"/>
      <c r="T4" s="330"/>
      <c r="U4" s="330"/>
      <c r="V4" s="330"/>
      <c r="W4" s="360"/>
      <c r="X4" s="336"/>
      <c r="Y4" s="332">
        <f>IF(K6=0,0,(Baseline!AR150/((K6*K7/100)-(AV128/D14/K9*100))-1)*100)</f>
        <v>9.5440144221689671</v>
      </c>
      <c r="AC4" s="358"/>
      <c r="AD4" s="358"/>
      <c r="BA4" s="126"/>
    </row>
    <row r="5" spans="1:54" s="127" customFormat="1" ht="14.25" customHeight="1" outlineLevel="1">
      <c r="A5" s="311" t="s">
        <v>675</v>
      </c>
      <c r="B5" s="312"/>
      <c r="C5" s="364"/>
      <c r="D5" s="869">
        <f>Baseline!D5</f>
        <v>1</v>
      </c>
      <c r="E5" s="870"/>
      <c r="G5" s="377" t="s">
        <v>720</v>
      </c>
      <c r="K5" s="871" t="str">
        <f>Baseline!K5</f>
        <v>ILC</v>
      </c>
      <c r="L5" s="872"/>
      <c r="N5" s="865"/>
      <c r="O5" s="866"/>
      <c r="P5" s="342" t="s">
        <v>672</v>
      </c>
      <c r="Q5" s="329"/>
      <c r="R5" s="329"/>
      <c r="S5" s="329"/>
      <c r="T5" s="329"/>
      <c r="U5" s="329"/>
      <c r="V5" s="329"/>
      <c r="W5" s="360"/>
      <c r="X5" s="336"/>
      <c r="Y5" s="332">
        <f>K7+Y4</f>
        <v>104.54401442216897</v>
      </c>
      <c r="AC5" s="358"/>
      <c r="AD5" s="358"/>
      <c r="BA5" s="126"/>
    </row>
    <row r="6" spans="1:54" s="127" customFormat="1" ht="14.25" customHeight="1" outlineLevel="1">
      <c r="A6" s="311" t="s">
        <v>95</v>
      </c>
      <c r="B6" s="312"/>
      <c r="C6" s="312"/>
      <c r="D6" s="869" t="str">
        <f>Baseline!D6</f>
        <v>PPE</v>
      </c>
      <c r="E6" s="870"/>
      <c r="G6" s="311" t="s">
        <v>97</v>
      </c>
      <c r="H6" s="312"/>
      <c r="I6" s="312"/>
      <c r="J6" s="364"/>
      <c r="K6" s="135">
        <v>4500</v>
      </c>
      <c r="L6" s="139">
        <f>Baseline!K6</f>
        <v>4500</v>
      </c>
      <c r="N6" s="865"/>
      <c r="O6" s="866"/>
      <c r="P6" s="342" t="str">
        <f>"Impact on clinker production from TF+AF, t/"&amp;D13</f>
        <v>Impact on clinker production from TF+AF, t/year</v>
      </c>
      <c r="Q6" s="330"/>
      <c r="R6" s="330"/>
      <c r="S6" s="330"/>
      <c r="T6" s="330"/>
      <c r="U6" s="330"/>
      <c r="V6" s="330"/>
      <c r="W6" s="360"/>
      <c r="X6" s="336"/>
      <c r="Y6" s="346">
        <f>IF(Y4/100*K9/100*D14*K6&gt;0,0,Y4/100*K9/100*D14*K6)</f>
        <v>0</v>
      </c>
      <c r="AC6" s="358"/>
      <c r="AD6" s="359"/>
      <c r="AZ6" s="126"/>
      <c r="BA6" s="126"/>
    </row>
    <row r="7" spans="1:54" s="127" customFormat="1" ht="14.25" customHeight="1" outlineLevel="1">
      <c r="A7" s="311" t="s">
        <v>96</v>
      </c>
      <c r="B7" s="312"/>
      <c r="C7" s="312"/>
      <c r="D7" s="869" t="str">
        <f>Baseline!D7</f>
        <v>Process Engineer</v>
      </c>
      <c r="E7" s="870"/>
      <c r="G7" s="311" t="s">
        <v>586</v>
      </c>
      <c r="H7" s="312"/>
      <c r="I7" s="312"/>
      <c r="J7" s="364"/>
      <c r="K7" s="136">
        <v>95</v>
      </c>
      <c r="L7" s="248">
        <f>Baseline!K7</f>
        <v>95</v>
      </c>
      <c r="N7" s="333" t="s">
        <v>673</v>
      </c>
      <c r="O7" s="362"/>
      <c r="P7" s="342"/>
      <c r="Q7" s="330"/>
      <c r="R7" s="330"/>
      <c r="S7" s="330"/>
      <c r="T7" s="330"/>
      <c r="U7" s="330"/>
      <c r="V7" s="330"/>
      <c r="W7" s="360"/>
      <c r="X7" s="336"/>
      <c r="Y7" s="331">
        <f>K9</f>
        <v>89.5</v>
      </c>
      <c r="AC7" s="358"/>
      <c r="AD7" s="359"/>
      <c r="AZ7" s="126"/>
      <c r="BA7" s="126"/>
    </row>
    <row r="8" spans="1:54" s="127" customFormat="1" ht="14.25" customHeight="1" outlineLevel="1">
      <c r="A8" s="311" t="s">
        <v>69</v>
      </c>
      <c r="B8" s="312"/>
      <c r="C8" s="312"/>
      <c r="D8" s="867">
        <f>IF(OR(Baseline!D8="",0),"",Baseline!D8)</f>
        <v>42332</v>
      </c>
      <c r="E8" s="868"/>
      <c r="G8" s="311" t="s">
        <v>98</v>
      </c>
      <c r="H8" s="312"/>
      <c r="I8" s="312"/>
      <c r="J8" s="364"/>
      <c r="K8" s="137">
        <f>K6*K7%</f>
        <v>4275</v>
      </c>
      <c r="L8" s="139">
        <f>L6*L7%</f>
        <v>4275</v>
      </c>
      <c r="N8" s="865" t="s">
        <v>674</v>
      </c>
      <c r="O8" s="866"/>
      <c r="P8" s="342" t="str">
        <f>"Net impact on clinker production from TF+AF, t/"&amp;D13</f>
        <v>Net impact on clinker production from TF+AF, t/year</v>
      </c>
      <c r="Q8" s="330"/>
      <c r="R8" s="330"/>
      <c r="S8" s="330"/>
      <c r="T8" s="330"/>
      <c r="U8" s="330"/>
      <c r="V8" s="330"/>
      <c r="W8" s="360"/>
      <c r="X8" s="336"/>
      <c r="Y8" s="346">
        <f>IF(Y6+(Y7-K9)/100*Y5/100*D14*K6&gt;0,0,Y6+(Y7-K9)/100*Y5/100*D14*K6)</f>
        <v>0</v>
      </c>
      <c r="AC8" s="358"/>
      <c r="AD8" s="359"/>
      <c r="AZ8" s="126"/>
      <c r="BA8" s="126"/>
    </row>
    <row r="9" spans="1:54" s="127" customFormat="1" ht="14.25" customHeight="1" outlineLevel="1">
      <c r="A9" s="311" t="s">
        <v>70</v>
      </c>
      <c r="B9" s="312"/>
      <c r="C9" s="312"/>
      <c r="D9" s="869">
        <f>Baseline!D9</f>
        <v>0</v>
      </c>
      <c r="E9" s="870"/>
      <c r="G9" s="311" t="s">
        <v>587</v>
      </c>
      <c r="H9" s="312"/>
      <c r="I9" s="312"/>
      <c r="J9" s="364"/>
      <c r="K9" s="136">
        <v>89.5</v>
      </c>
      <c r="L9" s="248">
        <f>Baseline!K9</f>
        <v>89.5</v>
      </c>
      <c r="N9" s="819" t="s">
        <v>655</v>
      </c>
      <c r="O9" s="820"/>
      <c r="P9" s="335" t="s">
        <v>613</v>
      </c>
      <c r="Q9" s="335"/>
      <c r="R9" s="335"/>
      <c r="S9" s="335"/>
      <c r="T9" s="335"/>
      <c r="U9" s="335"/>
      <c r="V9" s="335"/>
      <c r="W9" s="361"/>
      <c r="X9" s="337"/>
      <c r="Y9" s="331"/>
      <c r="AC9" s="358"/>
      <c r="AD9" s="358"/>
      <c r="BA9" s="126"/>
      <c r="BB9" s="126"/>
    </row>
    <row r="10" spans="1:54" s="127" customFormat="1" ht="14.25" customHeight="1" outlineLevel="1">
      <c r="A10" s="311" t="str">
        <f>D3&amp;" reference"</f>
        <v>Simulation reference</v>
      </c>
      <c r="B10" s="312"/>
      <c r="C10" s="312"/>
      <c r="D10" s="777" t="s">
        <v>865</v>
      </c>
      <c r="E10" s="778"/>
      <c r="G10" s="311" t="s">
        <v>100</v>
      </c>
      <c r="H10" s="312"/>
      <c r="I10" s="312"/>
      <c r="J10" s="364"/>
      <c r="K10" s="249">
        <f>STEC</f>
        <v>3339.6041194580607</v>
      </c>
      <c r="L10" s="249">
        <f>Baseline!K10</f>
        <v>3300</v>
      </c>
      <c r="N10" s="821"/>
      <c r="O10" s="822"/>
      <c r="P10" s="335" t="s">
        <v>546</v>
      </c>
      <c r="Q10" s="294"/>
      <c r="R10" s="294"/>
      <c r="S10" s="294"/>
      <c r="T10" s="294"/>
      <c r="U10" s="294"/>
      <c r="V10" s="294"/>
      <c r="W10" s="361"/>
      <c r="X10" s="337"/>
      <c r="Y10" s="331"/>
      <c r="AC10" s="358"/>
      <c r="AD10" s="358"/>
    </row>
    <row r="11" spans="1:54" s="127" customFormat="1" ht="14.25" customHeight="1" outlineLevel="1">
      <c r="A11" s="311" t="str">
        <f>Baseline!A11</f>
        <v>Local currency (e.g. INR)</v>
      </c>
      <c r="B11" s="312"/>
      <c r="C11" s="312"/>
      <c r="D11" s="871" t="str">
        <f>Baseline!LocCur</f>
        <v>USD</v>
      </c>
      <c r="E11" s="872"/>
      <c r="G11" s="311" t="str">
        <f>"Clinker production volume, t/"&amp;$D$13</f>
        <v>Clinker production volume, t/year</v>
      </c>
      <c r="H11" s="312"/>
      <c r="I11" s="312"/>
      <c r="J11" s="364"/>
      <c r="K11" s="139">
        <f>K6*K7%*D14*K9%</f>
        <v>1396535.625</v>
      </c>
      <c r="L11" s="139">
        <f>L6*L7%*E14*L9%</f>
        <v>1396535.625</v>
      </c>
      <c r="N11" s="821"/>
      <c r="O11" s="822"/>
      <c r="P11" s="335" t="s">
        <v>546</v>
      </c>
      <c r="Q11" s="294"/>
      <c r="R11" s="294"/>
      <c r="S11" s="294"/>
      <c r="T11" s="294"/>
      <c r="U11" s="294"/>
      <c r="V11" s="294"/>
      <c r="W11" s="361"/>
      <c r="X11" s="337"/>
      <c r="Y11" s="331"/>
      <c r="AC11" s="358"/>
      <c r="AD11" s="358"/>
    </row>
    <row r="12" spans="1:54" s="127" customFormat="1" ht="14.25" customHeight="1" outlineLevel="1">
      <c r="A12" s="311" t="str">
        <f>Baseline!A12</f>
        <v>International currency (e.g. USD)</v>
      </c>
      <c r="B12" s="312"/>
      <c r="C12" s="312"/>
      <c r="D12" s="871" t="str">
        <f>Baseline!IntCur</f>
        <v>CHF</v>
      </c>
      <c r="E12" s="872"/>
      <c r="G12" s="140" t="s">
        <v>102</v>
      </c>
      <c r="H12" s="123"/>
      <c r="I12" s="123"/>
      <c r="J12" s="364"/>
      <c r="K12" s="250">
        <f>IF(CLI=0,0,Baseline!K12-2.5*SUMPRODUCT(Baseline!$E$21:$E$69,Baseline!$Q$21:$Q$69)/Baseline!CLI+2.5*SUMPRODUCT($E$21:$E$69,$Q$21:$Q$69)/Liquids!CLI)</f>
        <v>0.79553476969040315</v>
      </c>
      <c r="L12" s="250">
        <f>Baseline!K12</f>
        <v>0.81</v>
      </c>
      <c r="N12" s="821"/>
      <c r="O12" s="822"/>
      <c r="P12" s="335" t="s">
        <v>546</v>
      </c>
      <c r="Q12" s="294"/>
      <c r="R12" s="294"/>
      <c r="S12" s="294"/>
      <c r="T12" s="294"/>
      <c r="U12" s="294"/>
      <c r="V12" s="294"/>
      <c r="W12" s="361"/>
      <c r="X12" s="337"/>
      <c r="Y12" s="331"/>
      <c r="AD12" s="358"/>
    </row>
    <row r="13" spans="1:54" s="127" customFormat="1" ht="14.25" customHeight="1" outlineLevel="1">
      <c r="A13" s="311" t="s">
        <v>321</v>
      </c>
      <c r="B13" s="312"/>
      <c r="C13" s="312"/>
      <c r="D13" s="871" t="str">
        <f>Baseline!D13</f>
        <v>year</v>
      </c>
      <c r="E13" s="872"/>
      <c r="G13" s="140" t="s">
        <v>103</v>
      </c>
      <c r="H13" s="123"/>
      <c r="I13" s="123"/>
      <c r="J13" s="364"/>
      <c r="K13" s="250">
        <f>IF(CLI=0,0,Baseline!K13-SUMPRODUCT(Baseline!$E$21:$E$69,Baseline!$R$21:$R$69)/Baseline!CLI+SUMPRODUCT($E$21:$E$69,$R$21:$R$69)/Liquids!CLI)</f>
        <v>0.6677309712032754</v>
      </c>
      <c r="L13" s="250">
        <f>Baseline!K13</f>
        <v>0.67</v>
      </c>
      <c r="N13" s="823"/>
      <c r="O13" s="824"/>
      <c r="P13" s="335" t="s">
        <v>546</v>
      </c>
      <c r="Q13" s="294"/>
      <c r="R13" s="294"/>
      <c r="S13" s="294"/>
      <c r="T13" s="294"/>
      <c r="U13" s="294"/>
      <c r="V13" s="294"/>
      <c r="W13" s="361"/>
      <c r="X13" s="337"/>
      <c r="Y13" s="331"/>
      <c r="AC13" s="358"/>
      <c r="AD13" s="358"/>
    </row>
    <row r="14" spans="1:54" s="127" customFormat="1" ht="14.25" customHeight="1" outlineLevel="1">
      <c r="A14" s="377" t="str">
        <f>IF(D13=AK148,"Calender days in an ","Calender days in a ")&amp;D13</f>
        <v>Calender days in an year</v>
      </c>
      <c r="B14" s="312"/>
      <c r="C14" s="312"/>
      <c r="D14" s="281">
        <v>365</v>
      </c>
      <c r="E14" s="249">
        <f>Baseline!D14</f>
        <v>365</v>
      </c>
      <c r="G14" s="140" t="s">
        <v>104</v>
      </c>
      <c r="H14" s="123"/>
      <c r="I14" s="123"/>
      <c r="J14" s="364"/>
      <c r="K14" s="250">
        <f>IF(CLI=0,0,Baseline!K14-SUMPRODUCT(Baseline!$E$21:$E$69,Baseline!$S$21:$S$69)/Baseline!CLI+SUMPRODUCT($E$21:$E$69,$S$21:$S$69)/Liquids!CLI)</f>
        <v>0.23870341211615728</v>
      </c>
      <c r="L14" s="250">
        <f>Baseline!K14</f>
        <v>0.24</v>
      </c>
      <c r="N14" s="333" t="str">
        <f>"Net impact on clinker production from TF+AF with additional measures, t/"&amp;D13</f>
        <v>Net impact on clinker production from TF+AF with additional measures, t/year</v>
      </c>
      <c r="O14" s="334"/>
      <c r="P14" s="215"/>
      <c r="Q14" s="215"/>
      <c r="R14" s="215"/>
      <c r="S14" s="215"/>
      <c r="T14" s="215"/>
      <c r="U14" s="215"/>
      <c r="V14" s="215"/>
      <c r="W14" s="360"/>
      <c r="X14" s="336"/>
      <c r="Y14" s="346">
        <f>IF(Y8+SUM(Y9:Y13)/100*Y7/100*D14*K6&gt;=0,0,Y8+SUM(Y9:Y13)/100*Y7/100*D14*K6)</f>
        <v>0</v>
      </c>
      <c r="AC14" s="358"/>
      <c r="AD14" s="358"/>
    </row>
    <row r="15" spans="1:54" s="127" customFormat="1" ht="14.25" customHeight="1" outlineLevel="1">
      <c r="A15" s="310" t="str">
        <f>"Price of CO2 emission rights, "&amp;LocCur&amp;"/t CO2"</f>
        <v>Price of CO2 emission rights, USD/t CO2</v>
      </c>
      <c r="B15" s="313"/>
      <c r="C15" s="313"/>
      <c r="D15" s="282">
        <v>0</v>
      </c>
      <c r="E15" s="251">
        <f>Baseline!D15</f>
        <v>0</v>
      </c>
      <c r="G15" s="142" t="s">
        <v>99</v>
      </c>
      <c r="H15" s="143"/>
      <c r="I15" s="143"/>
      <c r="J15" s="357"/>
      <c r="K15" s="871">
        <f>Baseline!K15</f>
        <v>50</v>
      </c>
      <c r="L15" s="872"/>
      <c r="AC15" s="358"/>
      <c r="AD15" s="358"/>
    </row>
    <row r="16" spans="1:54" s="127" customFormat="1" ht="14.25" customHeight="1" outlineLevel="1">
      <c r="AC16" s="358"/>
      <c r="AD16" s="358"/>
    </row>
    <row r="17" spans="1:65" s="127" customFormat="1" ht="14.25" customHeight="1">
      <c r="A17" s="790" t="s">
        <v>129</v>
      </c>
      <c r="B17" s="791"/>
      <c r="C17" s="791"/>
      <c r="D17" s="791"/>
      <c r="E17" s="791"/>
      <c r="F17" s="791"/>
      <c r="G17" s="792"/>
      <c r="H17" s="269" t="s">
        <v>486</v>
      </c>
      <c r="I17" s="793" t="s">
        <v>854</v>
      </c>
      <c r="J17" s="794"/>
      <c r="K17" s="794"/>
      <c r="L17" s="795"/>
      <c r="M17" s="787" t="s">
        <v>476</v>
      </c>
      <c r="N17" s="788"/>
      <c r="O17" s="788"/>
      <c r="P17" s="788"/>
      <c r="Q17" s="788"/>
      <c r="R17" s="788"/>
      <c r="S17" s="788"/>
      <c r="T17" s="789"/>
      <c r="U17" s="269" t="s">
        <v>315</v>
      </c>
      <c r="V17" s="269" t="s">
        <v>317</v>
      </c>
      <c r="W17" s="805" t="s">
        <v>489</v>
      </c>
      <c r="X17" s="805"/>
      <c r="Y17" s="805"/>
      <c r="Z17" s="290" t="s">
        <v>322</v>
      </c>
      <c r="AA17" s="356" t="s">
        <v>668</v>
      </c>
      <c r="AB17" s="356" t="s">
        <v>669</v>
      </c>
      <c r="AC17" s="358"/>
      <c r="AD17" s="358"/>
      <c r="AE17" s="147"/>
      <c r="AF17" s="147"/>
      <c r="AG17" s="147"/>
      <c r="AH17" s="148"/>
      <c r="AI17" s="149"/>
      <c r="AJ17" s="149"/>
      <c r="AK17" s="149"/>
      <c r="AL17" s="149"/>
      <c r="AM17" s="149"/>
      <c r="AN17" s="149"/>
      <c r="AO17" s="149"/>
      <c r="AP17" s="149"/>
      <c r="AS17" s="149"/>
      <c r="AT17" s="149"/>
      <c r="AU17" s="149"/>
      <c r="AV17" s="149"/>
      <c r="BE17" s="148"/>
      <c r="BF17" s="148"/>
      <c r="BG17" s="148"/>
      <c r="BH17" s="148"/>
      <c r="BI17" s="149"/>
      <c r="BJ17" s="149"/>
      <c r="BK17" s="149"/>
      <c r="BL17" s="149"/>
      <c r="BM17" s="149"/>
    </row>
    <row r="18" spans="1:65" s="127" customFormat="1" ht="14.25" customHeight="1">
      <c r="A18" s="796" t="s">
        <v>5</v>
      </c>
      <c r="B18" s="797"/>
      <c r="C18" s="798"/>
      <c r="D18" s="790" t="s">
        <v>304</v>
      </c>
      <c r="E18" s="792"/>
      <c r="F18" s="296" t="s">
        <v>300</v>
      </c>
      <c r="G18" s="297" t="s">
        <v>502</v>
      </c>
      <c r="H18" s="274" t="s">
        <v>487</v>
      </c>
      <c r="I18" s="587" t="s">
        <v>852</v>
      </c>
      <c r="J18" s="274" t="s">
        <v>488</v>
      </c>
      <c r="K18" s="799" t="s">
        <v>60</v>
      </c>
      <c r="L18" s="799"/>
      <c r="M18" s="291" t="s">
        <v>12</v>
      </c>
      <c r="N18" s="274" t="s">
        <v>6</v>
      </c>
      <c r="O18" s="274" t="s">
        <v>8</v>
      </c>
      <c r="P18" s="274" t="s">
        <v>7</v>
      </c>
      <c r="Q18" s="274" t="s">
        <v>1</v>
      </c>
      <c r="R18" s="274" t="s">
        <v>20</v>
      </c>
      <c r="S18" s="274" t="s">
        <v>21</v>
      </c>
      <c r="T18" s="387" t="str">
        <f>Baseline!T18</f>
        <v>user defined</v>
      </c>
      <c r="U18" s="274" t="s">
        <v>313</v>
      </c>
      <c r="V18" s="274" t="s">
        <v>316</v>
      </c>
      <c r="W18" s="274"/>
      <c r="X18" s="274"/>
      <c r="Y18" s="274"/>
      <c r="Z18" s="289" t="s">
        <v>426</v>
      </c>
      <c r="AA18" s="355" t="s">
        <v>114</v>
      </c>
      <c r="AB18" s="355" t="s">
        <v>114</v>
      </c>
      <c r="AC18" s="358"/>
      <c r="AD18" s="358"/>
      <c r="AE18" s="147"/>
      <c r="AF18" s="147"/>
      <c r="AG18" s="147"/>
      <c r="AH18" s="148"/>
      <c r="AI18" s="148"/>
      <c r="AJ18" s="148"/>
      <c r="AK18" s="149"/>
      <c r="AL18" s="149"/>
      <c r="AM18" s="149"/>
      <c r="AN18" s="149"/>
      <c r="AO18" s="149"/>
      <c r="AP18" s="149"/>
      <c r="AS18" s="148"/>
      <c r="AT18" s="148"/>
      <c r="AU18" s="148"/>
      <c r="AV18" s="148"/>
      <c r="BE18" s="148"/>
      <c r="BF18" s="148"/>
      <c r="BG18" s="148"/>
      <c r="BH18" s="148"/>
      <c r="BI18" s="148"/>
      <c r="BJ18" s="148"/>
      <c r="BK18" s="148"/>
      <c r="BL18" s="148"/>
      <c r="BM18" s="148"/>
    </row>
    <row r="19" spans="1:65" s="127" customFormat="1" ht="14.25" customHeight="1">
      <c r="A19" s="800"/>
      <c r="B19" s="801"/>
      <c r="C19" s="802"/>
      <c r="D19" s="345" t="s">
        <v>302</v>
      </c>
      <c r="E19" s="345" t="s">
        <v>294</v>
      </c>
      <c r="F19" s="296" t="s">
        <v>301</v>
      </c>
      <c r="G19" s="151" t="s">
        <v>114</v>
      </c>
      <c r="H19" s="274" t="s">
        <v>303</v>
      </c>
      <c r="I19" s="274" t="s">
        <v>305</v>
      </c>
      <c r="J19" s="274" t="s">
        <v>853</v>
      </c>
      <c r="K19" s="274" t="s">
        <v>114</v>
      </c>
      <c r="L19" s="274"/>
      <c r="M19" s="286"/>
      <c r="N19" s="274"/>
      <c r="O19" s="274"/>
      <c r="P19" s="274"/>
      <c r="Q19" s="274"/>
      <c r="R19" s="274"/>
      <c r="S19" s="274"/>
      <c r="T19" s="387"/>
      <c r="U19" s="274" t="s">
        <v>314</v>
      </c>
      <c r="V19" s="274"/>
      <c r="W19" s="274"/>
      <c r="X19" s="274"/>
      <c r="Y19" s="274"/>
      <c r="Z19" s="289" t="s">
        <v>548</v>
      </c>
      <c r="AA19" s="355" t="s">
        <v>114</v>
      </c>
      <c r="AB19" s="355" t="s">
        <v>114</v>
      </c>
      <c r="AE19" s="147"/>
      <c r="AF19" s="147"/>
      <c r="AG19" s="147"/>
      <c r="AH19" s="148"/>
      <c r="AI19" s="148"/>
      <c r="AJ19" s="148"/>
      <c r="AK19" s="149"/>
      <c r="AL19" s="149"/>
      <c r="AM19" s="149"/>
      <c r="AN19" s="149"/>
      <c r="AO19" s="149"/>
      <c r="AP19" s="149"/>
      <c r="AS19" s="148"/>
      <c r="AT19" s="148"/>
      <c r="AU19" s="148"/>
      <c r="AV19" s="148"/>
      <c r="BE19" s="148"/>
      <c r="BF19" s="148"/>
      <c r="BG19" s="148"/>
      <c r="BH19" s="148"/>
      <c r="BI19" s="148"/>
      <c r="BJ19" s="148"/>
      <c r="BK19" s="148"/>
      <c r="BL19" s="148"/>
      <c r="BM19" s="148"/>
    </row>
    <row r="20" spans="1:65" s="127" customFormat="1" ht="14.25" customHeight="1">
      <c r="A20" s="800"/>
      <c r="B20" s="801"/>
      <c r="C20" s="802"/>
      <c r="D20" s="152" t="str">
        <f>"t AF/"&amp;$D$13</f>
        <v>t AF/year</v>
      </c>
      <c r="E20" s="152" t="str">
        <f>"t AF/"&amp;$D$13</f>
        <v>t AF/year</v>
      </c>
      <c r="F20" s="153" t="s">
        <v>51</v>
      </c>
      <c r="G20" s="271" t="s">
        <v>51</v>
      </c>
      <c r="H20" s="152" t="s">
        <v>3</v>
      </c>
      <c r="I20" s="155" t="str">
        <f t="shared" ref="I20:K20" si="0" xml:space="preserve"> LocCur &amp; "/t AF"</f>
        <v>USD/t AF</v>
      </c>
      <c r="J20" s="155" t="str">
        <f t="shared" si="0"/>
        <v>USD/t AF</v>
      </c>
      <c r="K20" s="155" t="str">
        <f t="shared" si="0"/>
        <v>USD/t AF</v>
      </c>
      <c r="L20" s="155" t="str">
        <f xml:space="preserve"> LocCur &amp; "/GJ"</f>
        <v>USD/GJ</v>
      </c>
      <c r="M20" s="155" t="s">
        <v>820</v>
      </c>
      <c r="N20" s="155" t="s">
        <v>3</v>
      </c>
      <c r="O20" s="155" t="s">
        <v>3</v>
      </c>
      <c r="P20" s="155" t="s">
        <v>3</v>
      </c>
      <c r="Q20" s="155" t="s">
        <v>3</v>
      </c>
      <c r="R20" s="155" t="s">
        <v>3</v>
      </c>
      <c r="S20" s="155" t="s">
        <v>3</v>
      </c>
      <c r="T20" s="155" t="s">
        <v>3</v>
      </c>
      <c r="U20" s="155" t="s">
        <v>485</v>
      </c>
      <c r="V20" s="155" t="s">
        <v>64</v>
      </c>
      <c r="W20" s="155" t="str">
        <f xml:space="preserve"> LocCur &amp; "/" &amp; $D$13</f>
        <v>USD/year</v>
      </c>
      <c r="X20" s="155" t="str">
        <f xml:space="preserve"> LocCur &amp; "/GJ"</f>
        <v>USD/GJ</v>
      </c>
      <c r="Y20" s="155" t="str">
        <f xml:space="preserve"> LocCur &amp; "/t AF"</f>
        <v>USD/t AF</v>
      </c>
      <c r="Z20" s="152" t="s">
        <v>312</v>
      </c>
      <c r="AA20" s="152" t="str">
        <f xml:space="preserve"> LocCur &amp; "/t AF"</f>
        <v>USD/t AF</v>
      </c>
      <c r="AB20" s="152" t="str">
        <f xml:space="preserve"> LocCur &amp; "/t AF"</f>
        <v>USD/t AF</v>
      </c>
      <c r="AE20" s="147"/>
      <c r="AF20" s="147"/>
      <c r="AG20" s="147"/>
      <c r="AH20" s="148"/>
      <c r="AI20" s="156"/>
      <c r="AJ20" s="156"/>
      <c r="AK20" s="156"/>
      <c r="AL20" s="156"/>
      <c r="AM20" s="156"/>
      <c r="AN20" s="156"/>
      <c r="AO20" s="156"/>
      <c r="AP20" s="156"/>
      <c r="AS20" s="156"/>
      <c r="AT20" s="156"/>
      <c r="AU20" s="156"/>
      <c r="AV20" s="156"/>
      <c r="BE20" s="148"/>
      <c r="BF20" s="148"/>
      <c r="BG20" s="148"/>
      <c r="BH20" s="148"/>
      <c r="BI20" s="156"/>
      <c r="BJ20" s="156"/>
      <c r="BK20" s="156"/>
      <c r="BL20" s="156"/>
      <c r="BM20" s="156"/>
    </row>
    <row r="21" spans="1:65" s="127" customFormat="1" ht="14.25" customHeight="1">
      <c r="A21" s="157" t="s">
        <v>863</v>
      </c>
      <c r="B21" s="596"/>
      <c r="C21" s="158"/>
      <c r="D21" s="159">
        <v>1500</v>
      </c>
      <c r="E21" s="160">
        <v>1500</v>
      </c>
      <c r="F21" s="161" t="s">
        <v>105</v>
      </c>
      <c r="G21" s="161" t="s">
        <v>509</v>
      </c>
      <c r="H21" s="162">
        <f t="shared" ref="H21:H52" si="1">IF($AV$114=0,0,E21*M21/$AV$114*100)</f>
        <v>1.292915985932779</v>
      </c>
      <c r="I21" s="163">
        <v>510</v>
      </c>
      <c r="J21" s="164">
        <v>20</v>
      </c>
      <c r="K21" s="165">
        <f>I21+J21</f>
        <v>530</v>
      </c>
      <c r="L21" s="165">
        <f t="shared" ref="L21:L69" si="2">IF(M21=0,0,K21/M21)</f>
        <v>13.184079601990049</v>
      </c>
      <c r="M21" s="278">
        <v>40.200000000000003</v>
      </c>
      <c r="N21" s="136"/>
      <c r="O21" s="136"/>
      <c r="P21" s="166"/>
      <c r="Q21" s="141">
        <v>1.4</v>
      </c>
      <c r="R21" s="141"/>
      <c r="S21" s="141"/>
      <c r="T21" s="141"/>
      <c r="U21" s="167"/>
      <c r="V21" s="167"/>
      <c r="W21" s="168">
        <f>IF(LEFT(G21,2)=$AN$147,IF(L21=0,0,($L$70-L21)*M21*E21+$D$15*($AV$146+$AV$147)/$AV$114*(E21*M21*V21/100)),0)</f>
        <v>0</v>
      </c>
      <c r="X21" s="169">
        <f t="shared" ref="X21:X52" si="3">IF(W21=0,0,W21/(M21*E21))</f>
        <v>0</v>
      </c>
      <c r="Y21" s="169">
        <f t="shared" ref="Y21:Y52" si="4">IF(W21=0,0,W21/E21)</f>
        <v>0</v>
      </c>
      <c r="Z21" s="227">
        <f t="shared" ref="Z21:Z69" si="5">IF(M21&lt;=0.1,-2.45*N21%,0)</f>
        <v>0</v>
      </c>
      <c r="AA21" s="227">
        <f t="shared" ref="AA21:AA52" si="6">IF(LEFT(G21,2)=$AN$147,-K21,0)</f>
        <v>0</v>
      </c>
      <c r="AB21" s="227">
        <f t="shared" ref="AB21:AB52" si="7">IF(LEFT(G21,2)=$AN$147,$L$70*M21,0)</f>
        <v>0</v>
      </c>
      <c r="AD21" s="182"/>
      <c r="AE21" s="147"/>
      <c r="AF21" s="149"/>
      <c r="AG21" s="570"/>
      <c r="AH21" s="156"/>
      <c r="AI21" s="156"/>
      <c r="AJ21" s="156"/>
      <c r="AK21" s="156"/>
      <c r="AL21" s="156"/>
      <c r="AM21" s="156"/>
      <c r="AN21" s="156"/>
      <c r="AO21" s="156"/>
      <c r="AP21" s="156"/>
      <c r="AS21" s="170"/>
      <c r="AT21" s="170"/>
      <c r="AU21" s="170"/>
      <c r="AV21" s="156"/>
      <c r="BE21" s="156"/>
      <c r="BF21" s="156"/>
      <c r="BG21" s="156"/>
      <c r="BH21" s="156"/>
      <c r="BI21" s="156"/>
      <c r="BJ21" s="156"/>
      <c r="BK21" s="156"/>
      <c r="BL21" s="156"/>
      <c r="BM21" s="156"/>
    </row>
    <row r="22" spans="1:65" s="127" customFormat="1" ht="14.25" customHeight="1">
      <c r="A22" s="157" t="s">
        <v>864</v>
      </c>
      <c r="B22" s="596"/>
      <c r="C22" s="158"/>
      <c r="D22" s="159">
        <v>200000</v>
      </c>
      <c r="E22" s="160">
        <v>53539.233352756448</v>
      </c>
      <c r="F22" s="161" t="s">
        <v>105</v>
      </c>
      <c r="G22" s="161" t="s">
        <v>507</v>
      </c>
      <c r="H22" s="162">
        <f t="shared" si="1"/>
        <v>29.272871181547057</v>
      </c>
      <c r="I22" s="163">
        <v>125</v>
      </c>
      <c r="J22" s="163">
        <v>13</v>
      </c>
      <c r="K22" s="165">
        <f t="shared" ref="K22:K69" si="8">I22+J22</f>
        <v>138</v>
      </c>
      <c r="L22" s="165">
        <f t="shared" si="2"/>
        <v>5.4117647058823533</v>
      </c>
      <c r="M22" s="278">
        <v>25.5</v>
      </c>
      <c r="N22" s="136">
        <v>1.2</v>
      </c>
      <c r="O22" s="136">
        <v>16</v>
      </c>
      <c r="P22" s="166">
        <v>0.02</v>
      </c>
      <c r="Q22" s="141">
        <v>0.9</v>
      </c>
      <c r="R22" s="141">
        <v>0.21</v>
      </c>
      <c r="S22" s="141">
        <v>0.12</v>
      </c>
      <c r="T22" s="141"/>
      <c r="U22" s="167"/>
      <c r="V22" s="167"/>
      <c r="W22" s="168">
        <f t="shared" ref="W22:W69" si="9">IF(LEFT(G22,2)=$AN$147,IF(L22=0,0,($L$70-L22)*M22*E22+$D$15*($AV$146+$AV$147)/$AV$114*(E22*M22*V22/100)),0)</f>
        <v>0</v>
      </c>
      <c r="X22" s="169">
        <f t="shared" si="3"/>
        <v>0</v>
      </c>
      <c r="Y22" s="169">
        <f t="shared" si="4"/>
        <v>0</v>
      </c>
      <c r="Z22" s="227">
        <f t="shared" si="5"/>
        <v>0</v>
      </c>
      <c r="AA22" s="227">
        <f t="shared" si="6"/>
        <v>0</v>
      </c>
      <c r="AB22" s="227">
        <f t="shared" si="7"/>
        <v>0</v>
      </c>
      <c r="AD22" s="182"/>
      <c r="AE22" s="147"/>
      <c r="AF22" s="149"/>
      <c r="AG22" s="570"/>
      <c r="AH22" s="156"/>
      <c r="AI22" s="156"/>
      <c r="AJ22" s="156"/>
      <c r="AK22" s="156"/>
      <c r="AL22" s="156"/>
      <c r="AM22" s="156"/>
      <c r="AN22" s="156"/>
      <c r="AO22" s="156"/>
      <c r="AP22" s="156"/>
      <c r="AS22" s="170"/>
      <c r="AT22" s="170"/>
      <c r="AU22" s="170"/>
      <c r="AV22" s="156"/>
      <c r="BE22" s="156"/>
      <c r="BF22" s="156"/>
      <c r="BG22" s="156"/>
      <c r="BH22" s="156"/>
      <c r="BI22" s="156"/>
      <c r="BJ22" s="156"/>
      <c r="BK22" s="156"/>
      <c r="BL22" s="156"/>
      <c r="BM22" s="156"/>
    </row>
    <row r="23" spans="1:65" s="127" customFormat="1" ht="14.25" customHeight="1">
      <c r="A23" s="157" t="s">
        <v>864</v>
      </c>
      <c r="B23" s="596"/>
      <c r="C23" s="158"/>
      <c r="D23" s="159">
        <v>200000</v>
      </c>
      <c r="E23" s="160">
        <v>109734.34022449602</v>
      </c>
      <c r="F23" s="161" t="s">
        <v>308</v>
      </c>
      <c r="G23" s="161" t="s">
        <v>507</v>
      </c>
      <c r="H23" s="162">
        <f t="shared" si="1"/>
        <v>59.997855860563021</v>
      </c>
      <c r="I23" s="163">
        <v>125</v>
      </c>
      <c r="J23" s="163">
        <v>13</v>
      </c>
      <c r="K23" s="165">
        <f t="shared" si="8"/>
        <v>138</v>
      </c>
      <c r="L23" s="165">
        <f t="shared" si="2"/>
        <v>5.4117647058823533</v>
      </c>
      <c r="M23" s="278">
        <v>25.5</v>
      </c>
      <c r="N23" s="136">
        <v>1.2</v>
      </c>
      <c r="O23" s="136">
        <v>16</v>
      </c>
      <c r="P23" s="166">
        <v>0.02</v>
      </c>
      <c r="Q23" s="141">
        <v>0.9</v>
      </c>
      <c r="R23" s="141">
        <v>0.21</v>
      </c>
      <c r="S23" s="141">
        <v>0.12</v>
      </c>
      <c r="T23" s="141"/>
      <c r="U23" s="167"/>
      <c r="V23" s="167"/>
      <c r="W23" s="168">
        <f t="shared" si="9"/>
        <v>0</v>
      </c>
      <c r="X23" s="169">
        <f t="shared" si="3"/>
        <v>0</v>
      </c>
      <c r="Y23" s="169">
        <f t="shared" si="4"/>
        <v>0</v>
      </c>
      <c r="Z23" s="227">
        <f t="shared" si="5"/>
        <v>0</v>
      </c>
      <c r="AA23" s="227">
        <f t="shared" si="6"/>
        <v>0</v>
      </c>
      <c r="AB23" s="227">
        <f t="shared" si="7"/>
        <v>0</v>
      </c>
      <c r="AD23" s="595"/>
      <c r="AE23" s="147"/>
      <c r="AF23" s="149"/>
      <c r="AG23" s="570"/>
      <c r="AH23" s="156"/>
      <c r="AI23" s="156"/>
      <c r="AJ23" s="156"/>
      <c r="AK23" s="156"/>
      <c r="AL23" s="156"/>
      <c r="AM23" s="156"/>
      <c r="AN23" s="156"/>
      <c r="AO23" s="156"/>
      <c r="AP23" s="156"/>
      <c r="AS23" s="170"/>
      <c r="AT23" s="170"/>
      <c r="AU23" s="170"/>
      <c r="AV23" s="156"/>
      <c r="BE23" s="156"/>
      <c r="BF23" s="156"/>
      <c r="BG23" s="156"/>
      <c r="BH23" s="156"/>
      <c r="BI23" s="156"/>
      <c r="BJ23" s="156"/>
      <c r="BK23" s="156"/>
      <c r="BL23" s="156"/>
      <c r="BM23" s="156"/>
    </row>
    <row r="24" spans="1:65" s="127" customFormat="1" ht="14.25" customHeight="1">
      <c r="A24" s="157" t="s">
        <v>867</v>
      </c>
      <c r="B24" s="596"/>
      <c r="C24" s="158"/>
      <c r="D24" s="159">
        <v>10000</v>
      </c>
      <c r="E24" s="160">
        <v>10000</v>
      </c>
      <c r="F24" s="161" t="s">
        <v>308</v>
      </c>
      <c r="G24" s="161" t="s">
        <v>494</v>
      </c>
      <c r="H24" s="162">
        <f t="shared" si="1"/>
        <v>2.1441392801538621E-3</v>
      </c>
      <c r="I24" s="163">
        <v>-70</v>
      </c>
      <c r="J24" s="164">
        <v>3</v>
      </c>
      <c r="K24" s="165">
        <f t="shared" si="8"/>
        <v>-67</v>
      </c>
      <c r="L24" s="165">
        <f t="shared" si="2"/>
        <v>-6700</v>
      </c>
      <c r="M24" s="278">
        <v>0.01</v>
      </c>
      <c r="N24" s="136">
        <v>97</v>
      </c>
      <c r="O24" s="136">
        <v>1.5</v>
      </c>
      <c r="P24" s="166">
        <v>0.1</v>
      </c>
      <c r="Q24" s="141">
        <v>0.05</v>
      </c>
      <c r="R24" s="141"/>
      <c r="S24" s="141"/>
      <c r="T24" s="141"/>
      <c r="U24" s="167"/>
      <c r="V24" s="167"/>
      <c r="W24" s="168">
        <f t="shared" si="9"/>
        <v>670552.27247980435</v>
      </c>
      <c r="X24" s="169">
        <f t="shared" si="3"/>
        <v>6705.5227247980438</v>
      </c>
      <c r="Y24" s="169">
        <f t="shared" si="4"/>
        <v>67.05522724798044</v>
      </c>
      <c r="Z24" s="227">
        <f t="shared" si="5"/>
        <v>-2.3765000000000001</v>
      </c>
      <c r="AA24" s="227">
        <f t="shared" si="6"/>
        <v>67</v>
      </c>
      <c r="AB24" s="227">
        <f t="shared" si="7"/>
        <v>5.5227247980439452E-2</v>
      </c>
      <c r="AD24" s="183"/>
      <c r="AE24" s="147"/>
      <c r="AF24" s="149"/>
      <c r="AG24" s="570"/>
      <c r="AH24" s="156"/>
      <c r="AI24" s="156"/>
      <c r="AJ24" s="156"/>
      <c r="AK24" s="156"/>
      <c r="AL24" s="156"/>
      <c r="AM24" s="156"/>
      <c r="AN24" s="156"/>
      <c r="AO24" s="156"/>
      <c r="AP24" s="156"/>
      <c r="AS24" s="170"/>
      <c r="AT24" s="170"/>
      <c r="AU24" s="170"/>
      <c r="AV24" s="156"/>
      <c r="BE24" s="156"/>
      <c r="BF24" s="156"/>
      <c r="BG24" s="156"/>
      <c r="BH24" s="156"/>
      <c r="BI24" s="156"/>
      <c r="BJ24" s="156"/>
      <c r="BK24" s="156"/>
      <c r="BL24" s="156"/>
      <c r="BM24" s="156"/>
    </row>
    <row r="25" spans="1:65" s="127" customFormat="1" ht="14.25" customHeight="1">
      <c r="A25" s="157" t="s">
        <v>868</v>
      </c>
      <c r="B25" s="596"/>
      <c r="C25" s="158"/>
      <c r="D25" s="159">
        <v>10000</v>
      </c>
      <c r="E25" s="160">
        <v>10000</v>
      </c>
      <c r="F25" s="161" t="s">
        <v>105</v>
      </c>
      <c r="G25" s="161" t="s">
        <v>494</v>
      </c>
      <c r="H25" s="162">
        <f t="shared" si="1"/>
        <v>4.5026924883231105</v>
      </c>
      <c r="I25" s="163">
        <v>60</v>
      </c>
      <c r="J25" s="163">
        <v>5</v>
      </c>
      <c r="K25" s="165">
        <f t="shared" si="8"/>
        <v>65</v>
      </c>
      <c r="L25" s="165">
        <f t="shared" si="2"/>
        <v>3.0952380952380953</v>
      </c>
      <c r="M25" s="278">
        <v>21</v>
      </c>
      <c r="N25" s="136">
        <v>35</v>
      </c>
      <c r="O25" s="136">
        <v>2</v>
      </c>
      <c r="P25" s="166">
        <v>0.3</v>
      </c>
      <c r="Q25" s="141">
        <v>0.2</v>
      </c>
      <c r="R25" s="141"/>
      <c r="S25" s="141"/>
      <c r="T25" s="141"/>
      <c r="U25" s="167"/>
      <c r="V25" s="167"/>
      <c r="W25" s="168">
        <f t="shared" si="9"/>
        <v>509772.2075892284</v>
      </c>
      <c r="X25" s="169">
        <f t="shared" si="3"/>
        <v>2.4274867028058495</v>
      </c>
      <c r="Y25" s="169">
        <f t="shared" si="4"/>
        <v>50.97722075892284</v>
      </c>
      <c r="Z25" s="227">
        <f t="shared" si="5"/>
        <v>0</v>
      </c>
      <c r="AA25" s="227">
        <f t="shared" si="6"/>
        <v>-65</v>
      </c>
      <c r="AB25" s="227">
        <f t="shared" si="7"/>
        <v>115.97722075892284</v>
      </c>
      <c r="AC25" s="170"/>
      <c r="AD25" s="183"/>
      <c r="AE25" s="147"/>
      <c r="AF25" s="149"/>
      <c r="AG25" s="570"/>
      <c r="AH25" s="156"/>
      <c r="AI25" s="156"/>
      <c r="AJ25" s="156"/>
      <c r="AK25" s="156"/>
      <c r="AL25" s="156"/>
      <c r="AM25" s="156"/>
      <c r="AN25" s="156"/>
      <c r="AO25" s="156"/>
      <c r="AP25" s="156"/>
      <c r="AS25" s="170"/>
      <c r="AT25" s="170"/>
      <c r="AU25" s="170"/>
      <c r="AV25" s="156"/>
      <c r="BE25" s="156"/>
      <c r="BF25" s="156"/>
      <c r="BG25" s="156"/>
      <c r="BH25" s="156"/>
      <c r="BI25" s="156"/>
      <c r="BJ25" s="156"/>
      <c r="BK25" s="156"/>
      <c r="BL25" s="156"/>
      <c r="BM25" s="156"/>
    </row>
    <row r="26" spans="1:65" s="127" customFormat="1" ht="14.25" customHeight="1">
      <c r="A26" s="157" t="s">
        <v>869</v>
      </c>
      <c r="B26" s="596"/>
      <c r="C26" s="158"/>
      <c r="D26" s="159">
        <v>10000</v>
      </c>
      <c r="E26" s="160">
        <v>10000</v>
      </c>
      <c r="F26" s="161" t="s">
        <v>105</v>
      </c>
      <c r="G26" s="161" t="s">
        <v>494</v>
      </c>
      <c r="H26" s="162">
        <f t="shared" si="1"/>
        <v>4.9315203443538822</v>
      </c>
      <c r="I26" s="163">
        <v>40</v>
      </c>
      <c r="J26" s="163">
        <v>5</v>
      </c>
      <c r="K26" s="165">
        <f t="shared" si="8"/>
        <v>45</v>
      </c>
      <c r="L26" s="165">
        <f t="shared" si="2"/>
        <v>1.9565217391304348</v>
      </c>
      <c r="M26" s="278">
        <v>23</v>
      </c>
      <c r="N26" s="136">
        <v>25</v>
      </c>
      <c r="O26" s="136">
        <v>4</v>
      </c>
      <c r="P26" s="166">
        <v>1.2</v>
      </c>
      <c r="Q26" s="141">
        <v>0.3</v>
      </c>
      <c r="R26" s="141"/>
      <c r="S26" s="141"/>
      <c r="T26" s="141"/>
      <c r="U26" s="167"/>
      <c r="V26" s="167"/>
      <c r="W26" s="168">
        <f t="shared" si="9"/>
        <v>820226.70355010731</v>
      </c>
      <c r="X26" s="169">
        <f t="shared" si="3"/>
        <v>3.5662030589135099</v>
      </c>
      <c r="Y26" s="169">
        <f t="shared" si="4"/>
        <v>82.022670355010732</v>
      </c>
      <c r="Z26" s="227">
        <f t="shared" si="5"/>
        <v>0</v>
      </c>
      <c r="AA26" s="227">
        <f t="shared" si="6"/>
        <v>-45</v>
      </c>
      <c r="AB26" s="227">
        <f t="shared" si="7"/>
        <v>127.02267035501073</v>
      </c>
      <c r="AC26" s="170"/>
      <c r="AD26" s="183"/>
      <c r="AE26" s="147"/>
      <c r="AF26" s="149"/>
      <c r="AG26" s="570"/>
      <c r="AH26" s="156"/>
      <c r="AI26" s="156"/>
      <c r="AJ26" s="156"/>
      <c r="AK26" s="156"/>
      <c r="AL26" s="156"/>
      <c r="AM26" s="156"/>
      <c r="AN26" s="156"/>
      <c r="AO26" s="156"/>
      <c r="AP26" s="156"/>
      <c r="AS26" s="170"/>
      <c r="AT26" s="170"/>
      <c r="AU26" s="170"/>
      <c r="AV26" s="156"/>
      <c r="BE26" s="156"/>
      <c r="BF26" s="156"/>
      <c r="BG26" s="156"/>
      <c r="BH26" s="156"/>
      <c r="BI26" s="156"/>
      <c r="BJ26" s="156"/>
      <c r="BK26" s="156"/>
      <c r="BL26" s="156"/>
      <c r="BM26" s="156"/>
    </row>
    <row r="27" spans="1:65" s="127" customFormat="1" ht="14.25" customHeight="1">
      <c r="A27" s="157"/>
      <c r="B27" s="596"/>
      <c r="C27" s="158"/>
      <c r="D27" s="159"/>
      <c r="E27" s="160"/>
      <c r="F27" s="161"/>
      <c r="G27" s="161"/>
      <c r="H27" s="162">
        <f t="shared" si="1"/>
        <v>0</v>
      </c>
      <c r="I27" s="163"/>
      <c r="J27" s="164"/>
      <c r="K27" s="165">
        <f t="shared" si="8"/>
        <v>0</v>
      </c>
      <c r="L27" s="165">
        <f t="shared" si="2"/>
        <v>0</v>
      </c>
      <c r="M27" s="278"/>
      <c r="N27" s="136"/>
      <c r="O27" s="136"/>
      <c r="P27" s="166"/>
      <c r="Q27" s="141"/>
      <c r="R27" s="141"/>
      <c r="S27" s="141"/>
      <c r="T27" s="141"/>
      <c r="U27" s="167"/>
      <c r="V27" s="167"/>
      <c r="W27" s="168">
        <f t="shared" si="9"/>
        <v>0</v>
      </c>
      <c r="X27" s="169">
        <f t="shared" si="3"/>
        <v>0</v>
      </c>
      <c r="Y27" s="169">
        <f t="shared" si="4"/>
        <v>0</v>
      </c>
      <c r="Z27" s="227">
        <f t="shared" si="5"/>
        <v>0</v>
      </c>
      <c r="AA27" s="227">
        <f t="shared" si="6"/>
        <v>0</v>
      </c>
      <c r="AB27" s="227">
        <f t="shared" si="7"/>
        <v>0</v>
      </c>
      <c r="AC27" s="170"/>
      <c r="AD27" s="564"/>
      <c r="AE27" s="564"/>
      <c r="AF27" s="149"/>
      <c r="AG27" s="570"/>
      <c r="AH27" s="156"/>
      <c r="AI27" s="156"/>
      <c r="AJ27" s="156"/>
      <c r="AK27" s="156"/>
      <c r="AL27" s="156"/>
      <c r="AM27" s="156"/>
      <c r="AN27" s="156"/>
      <c r="AO27" s="156"/>
      <c r="AP27" s="156"/>
      <c r="AS27" s="170"/>
      <c r="AT27" s="170"/>
      <c r="AU27" s="170"/>
      <c r="AV27" s="156"/>
      <c r="BE27" s="156"/>
      <c r="BF27" s="156"/>
      <c r="BG27" s="156"/>
      <c r="BH27" s="156"/>
      <c r="BI27" s="156"/>
      <c r="BJ27" s="156"/>
      <c r="BK27" s="156"/>
      <c r="BL27" s="156"/>
      <c r="BM27" s="156"/>
    </row>
    <row r="28" spans="1:65" s="127" customFormat="1" ht="14.25" customHeight="1">
      <c r="A28" s="157"/>
      <c r="B28" s="596"/>
      <c r="C28" s="158"/>
      <c r="D28" s="159"/>
      <c r="E28" s="160"/>
      <c r="F28" s="161"/>
      <c r="G28" s="161"/>
      <c r="H28" s="162">
        <f t="shared" si="1"/>
        <v>0</v>
      </c>
      <c r="I28" s="163"/>
      <c r="J28" s="163"/>
      <c r="K28" s="165">
        <f t="shared" si="8"/>
        <v>0</v>
      </c>
      <c r="L28" s="165">
        <f t="shared" si="2"/>
        <v>0</v>
      </c>
      <c r="M28" s="278"/>
      <c r="N28" s="136"/>
      <c r="O28" s="136"/>
      <c r="P28" s="166"/>
      <c r="Q28" s="141"/>
      <c r="R28" s="141"/>
      <c r="S28" s="141"/>
      <c r="T28" s="141"/>
      <c r="U28" s="167"/>
      <c r="V28" s="167"/>
      <c r="W28" s="168">
        <f t="shared" si="9"/>
        <v>0</v>
      </c>
      <c r="X28" s="169">
        <f t="shared" si="3"/>
        <v>0</v>
      </c>
      <c r="Y28" s="169">
        <f t="shared" si="4"/>
        <v>0</v>
      </c>
      <c r="Z28" s="227">
        <f t="shared" si="5"/>
        <v>0</v>
      </c>
      <c r="AA28" s="227">
        <f t="shared" si="6"/>
        <v>0</v>
      </c>
      <c r="AB28" s="227">
        <f t="shared" si="7"/>
        <v>0</v>
      </c>
      <c r="AC28" s="170"/>
      <c r="AD28" s="183"/>
      <c r="AE28" s="147"/>
      <c r="AF28" s="149"/>
      <c r="AG28" s="570"/>
      <c r="AH28" s="156"/>
      <c r="AI28" s="156"/>
      <c r="AJ28" s="156"/>
      <c r="AK28" s="156"/>
      <c r="AL28" s="156"/>
      <c r="AM28" s="156"/>
      <c r="AN28" s="156"/>
      <c r="AO28" s="156"/>
      <c r="AP28" s="156"/>
      <c r="AS28" s="170"/>
      <c r="AT28" s="170"/>
      <c r="AU28" s="170"/>
      <c r="AV28" s="156"/>
      <c r="BE28" s="156"/>
      <c r="BF28" s="156"/>
      <c r="BG28" s="156"/>
      <c r="BH28" s="156"/>
      <c r="BI28" s="156"/>
      <c r="BJ28" s="156"/>
      <c r="BK28" s="156"/>
      <c r="BL28" s="156"/>
      <c r="BM28" s="156"/>
    </row>
    <row r="29" spans="1:65" s="127" customFormat="1" ht="14.25" customHeight="1">
      <c r="A29" s="157"/>
      <c r="B29" s="596"/>
      <c r="C29" s="158"/>
      <c r="D29" s="159"/>
      <c r="E29" s="160"/>
      <c r="F29" s="161"/>
      <c r="G29" s="161"/>
      <c r="H29" s="162">
        <f t="shared" si="1"/>
        <v>0</v>
      </c>
      <c r="I29" s="163"/>
      <c r="J29" s="163"/>
      <c r="K29" s="165">
        <f t="shared" si="8"/>
        <v>0</v>
      </c>
      <c r="L29" s="165">
        <f t="shared" si="2"/>
        <v>0</v>
      </c>
      <c r="M29" s="278"/>
      <c r="N29" s="136"/>
      <c r="O29" s="136"/>
      <c r="P29" s="166"/>
      <c r="Q29" s="141"/>
      <c r="R29" s="141"/>
      <c r="S29" s="141"/>
      <c r="T29" s="141"/>
      <c r="U29" s="167"/>
      <c r="V29" s="167"/>
      <c r="W29" s="168">
        <f t="shared" si="9"/>
        <v>0</v>
      </c>
      <c r="X29" s="169">
        <f t="shared" si="3"/>
        <v>0</v>
      </c>
      <c r="Y29" s="169">
        <f t="shared" si="4"/>
        <v>0</v>
      </c>
      <c r="Z29" s="227">
        <f t="shared" si="5"/>
        <v>0</v>
      </c>
      <c r="AA29" s="227">
        <f t="shared" si="6"/>
        <v>0</v>
      </c>
      <c r="AB29" s="227">
        <f t="shared" si="7"/>
        <v>0</v>
      </c>
      <c r="AC29" s="170"/>
      <c r="AD29" s="183"/>
      <c r="AE29" s="147"/>
      <c r="AF29" s="149"/>
      <c r="AG29" s="570"/>
      <c r="AH29" s="156"/>
      <c r="AI29" s="156"/>
      <c r="AJ29" s="156"/>
      <c r="AK29" s="156"/>
      <c r="AL29" s="156"/>
      <c r="AM29" s="156"/>
      <c r="AN29" s="156"/>
      <c r="AO29" s="156"/>
      <c r="AP29" s="156"/>
      <c r="AS29" s="170"/>
      <c r="AT29" s="170"/>
      <c r="AU29" s="170"/>
      <c r="AV29" s="156"/>
      <c r="BE29" s="156"/>
      <c r="BF29" s="156"/>
      <c r="BG29" s="156"/>
      <c r="BH29" s="156"/>
      <c r="BI29" s="156"/>
      <c r="BJ29" s="156"/>
      <c r="BK29" s="156"/>
      <c r="BL29" s="156"/>
      <c r="BM29" s="156"/>
    </row>
    <row r="30" spans="1:65" s="127" customFormat="1" ht="14.25" customHeight="1">
      <c r="A30" s="157"/>
      <c r="B30" s="596"/>
      <c r="C30" s="158"/>
      <c r="D30" s="159"/>
      <c r="E30" s="160"/>
      <c r="F30" s="161"/>
      <c r="G30" s="161"/>
      <c r="H30" s="162">
        <f t="shared" si="1"/>
        <v>0</v>
      </c>
      <c r="I30" s="163"/>
      <c r="J30" s="164"/>
      <c r="K30" s="165">
        <f t="shared" si="8"/>
        <v>0</v>
      </c>
      <c r="L30" s="165">
        <f t="shared" si="2"/>
        <v>0</v>
      </c>
      <c r="M30" s="278"/>
      <c r="N30" s="136"/>
      <c r="O30" s="136"/>
      <c r="P30" s="166"/>
      <c r="Q30" s="141"/>
      <c r="R30" s="141"/>
      <c r="S30" s="141"/>
      <c r="T30" s="141"/>
      <c r="U30" s="167"/>
      <c r="V30" s="167"/>
      <c r="W30" s="168">
        <f t="shared" si="9"/>
        <v>0</v>
      </c>
      <c r="X30" s="169">
        <f t="shared" si="3"/>
        <v>0</v>
      </c>
      <c r="Y30" s="169">
        <f t="shared" si="4"/>
        <v>0</v>
      </c>
      <c r="Z30" s="227">
        <f t="shared" si="5"/>
        <v>0</v>
      </c>
      <c r="AA30" s="227">
        <f t="shared" si="6"/>
        <v>0</v>
      </c>
      <c r="AB30" s="227">
        <f t="shared" si="7"/>
        <v>0</v>
      </c>
      <c r="AC30" s="170"/>
      <c r="AD30" s="564"/>
      <c r="AE30" s="564"/>
      <c r="AF30" s="149"/>
      <c r="AG30" s="570"/>
      <c r="AH30" s="156"/>
      <c r="AI30" s="156"/>
      <c r="AJ30" s="156"/>
      <c r="AK30" s="156"/>
      <c r="AL30" s="156"/>
      <c r="AM30" s="156"/>
      <c r="AN30" s="156"/>
      <c r="AO30" s="156"/>
      <c r="AP30" s="156"/>
      <c r="AS30" s="170"/>
      <c r="AT30" s="170"/>
      <c r="AU30" s="170"/>
      <c r="AV30" s="156"/>
      <c r="BE30" s="156"/>
      <c r="BF30" s="156"/>
      <c r="BG30" s="156"/>
      <c r="BH30" s="156"/>
      <c r="BI30" s="156"/>
      <c r="BJ30" s="156"/>
      <c r="BK30" s="156"/>
      <c r="BL30" s="156"/>
      <c r="BM30" s="156"/>
    </row>
    <row r="31" spans="1:65" s="127" customFormat="1" ht="14.25" customHeight="1">
      <c r="A31" s="157"/>
      <c r="B31" s="596"/>
      <c r="C31" s="158"/>
      <c r="D31" s="159"/>
      <c r="E31" s="160"/>
      <c r="F31" s="161"/>
      <c r="G31" s="161"/>
      <c r="H31" s="162">
        <f t="shared" si="1"/>
        <v>0</v>
      </c>
      <c r="I31" s="163"/>
      <c r="J31" s="163"/>
      <c r="K31" s="165">
        <f t="shared" si="8"/>
        <v>0</v>
      </c>
      <c r="L31" s="165">
        <f t="shared" si="2"/>
        <v>0</v>
      </c>
      <c r="M31" s="278"/>
      <c r="N31" s="136"/>
      <c r="O31" s="136"/>
      <c r="P31" s="166"/>
      <c r="Q31" s="141"/>
      <c r="R31" s="141"/>
      <c r="S31" s="141"/>
      <c r="T31" s="141"/>
      <c r="U31" s="167"/>
      <c r="V31" s="167"/>
      <c r="W31" s="168">
        <f t="shared" si="9"/>
        <v>0</v>
      </c>
      <c r="X31" s="169">
        <f t="shared" si="3"/>
        <v>0</v>
      </c>
      <c r="Y31" s="169">
        <f t="shared" si="4"/>
        <v>0</v>
      </c>
      <c r="Z31" s="227">
        <f t="shared" si="5"/>
        <v>0</v>
      </c>
      <c r="AA31" s="227">
        <f t="shared" si="6"/>
        <v>0</v>
      </c>
      <c r="AB31" s="227">
        <f t="shared" si="7"/>
        <v>0</v>
      </c>
      <c r="AC31" s="170"/>
      <c r="AD31" s="183"/>
      <c r="AE31" s="147"/>
      <c r="AF31" s="149"/>
      <c r="AG31" s="570"/>
      <c r="AH31" s="156"/>
      <c r="AI31" s="156"/>
      <c r="AJ31" s="156"/>
      <c r="AK31" s="156"/>
      <c r="AL31" s="156"/>
      <c r="AM31" s="156"/>
      <c r="AN31" s="156"/>
      <c r="AO31" s="156"/>
      <c r="AP31" s="156"/>
      <c r="AS31" s="170"/>
      <c r="AT31" s="170"/>
      <c r="AU31" s="170"/>
      <c r="AV31" s="156"/>
      <c r="BE31" s="156"/>
      <c r="BF31" s="156"/>
      <c r="BG31" s="156"/>
      <c r="BH31" s="156"/>
      <c r="BI31" s="156"/>
      <c r="BJ31" s="156"/>
      <c r="BK31" s="156"/>
      <c r="BL31" s="156"/>
      <c r="BM31" s="156"/>
    </row>
    <row r="32" spans="1:65" s="127" customFormat="1" ht="14.25" customHeight="1">
      <c r="A32" s="157"/>
      <c r="B32" s="596"/>
      <c r="C32" s="158"/>
      <c r="D32" s="159"/>
      <c r="E32" s="160"/>
      <c r="F32" s="161"/>
      <c r="G32" s="161"/>
      <c r="H32" s="162">
        <f t="shared" si="1"/>
        <v>0</v>
      </c>
      <c r="I32" s="163"/>
      <c r="J32" s="163"/>
      <c r="K32" s="165">
        <f t="shared" si="8"/>
        <v>0</v>
      </c>
      <c r="L32" s="165">
        <f t="shared" si="2"/>
        <v>0</v>
      </c>
      <c r="M32" s="278"/>
      <c r="N32" s="136"/>
      <c r="O32" s="136"/>
      <c r="P32" s="166"/>
      <c r="Q32" s="141"/>
      <c r="R32" s="141"/>
      <c r="S32" s="141"/>
      <c r="T32" s="141"/>
      <c r="U32" s="167"/>
      <c r="V32" s="167"/>
      <c r="W32" s="168">
        <f t="shared" si="9"/>
        <v>0</v>
      </c>
      <c r="X32" s="169">
        <f t="shared" si="3"/>
        <v>0</v>
      </c>
      <c r="Y32" s="169">
        <f t="shared" si="4"/>
        <v>0</v>
      </c>
      <c r="Z32" s="227">
        <f t="shared" si="5"/>
        <v>0</v>
      </c>
      <c r="AA32" s="227">
        <f t="shared" si="6"/>
        <v>0</v>
      </c>
      <c r="AB32" s="227">
        <f t="shared" si="7"/>
        <v>0</v>
      </c>
      <c r="AC32" s="170"/>
      <c r="AD32" s="183"/>
      <c r="AE32" s="147"/>
      <c r="AF32" s="149"/>
      <c r="AG32" s="570"/>
      <c r="AH32" s="156"/>
      <c r="AI32" s="156"/>
      <c r="AJ32" s="156"/>
      <c r="AK32" s="156"/>
      <c r="AL32" s="156"/>
      <c r="AM32" s="156"/>
      <c r="AN32" s="156"/>
      <c r="AO32" s="156"/>
      <c r="AP32" s="156"/>
      <c r="AS32" s="170"/>
      <c r="AT32" s="170"/>
      <c r="AU32" s="170"/>
      <c r="AV32" s="156"/>
      <c r="BE32" s="156"/>
      <c r="BF32" s="156"/>
      <c r="BG32" s="156"/>
      <c r="BH32" s="156"/>
      <c r="BI32" s="156"/>
      <c r="BJ32" s="156"/>
      <c r="BK32" s="156"/>
      <c r="BL32" s="156"/>
      <c r="BM32" s="156"/>
    </row>
    <row r="33" spans="1:65" s="127" customFormat="1" ht="14.25" customHeight="1">
      <c r="A33" s="157"/>
      <c r="B33" s="596"/>
      <c r="C33" s="158"/>
      <c r="D33" s="159"/>
      <c r="E33" s="160"/>
      <c r="F33" s="161"/>
      <c r="G33" s="161"/>
      <c r="H33" s="162">
        <f t="shared" si="1"/>
        <v>0</v>
      </c>
      <c r="I33" s="163"/>
      <c r="J33" s="164"/>
      <c r="K33" s="165">
        <f t="shared" si="8"/>
        <v>0</v>
      </c>
      <c r="L33" s="165">
        <f t="shared" si="2"/>
        <v>0</v>
      </c>
      <c r="M33" s="278"/>
      <c r="N33" s="136"/>
      <c r="O33" s="136"/>
      <c r="P33" s="166"/>
      <c r="Q33" s="141"/>
      <c r="R33" s="141"/>
      <c r="S33" s="141"/>
      <c r="T33" s="141"/>
      <c r="U33" s="167"/>
      <c r="V33" s="167"/>
      <c r="W33" s="168">
        <f t="shared" si="9"/>
        <v>0</v>
      </c>
      <c r="X33" s="169">
        <f t="shared" si="3"/>
        <v>0</v>
      </c>
      <c r="Y33" s="169">
        <f t="shared" si="4"/>
        <v>0</v>
      </c>
      <c r="Z33" s="227">
        <f t="shared" si="5"/>
        <v>0</v>
      </c>
      <c r="AA33" s="227">
        <f t="shared" si="6"/>
        <v>0</v>
      </c>
      <c r="AB33" s="227">
        <f t="shared" si="7"/>
        <v>0</v>
      </c>
      <c r="AC33" s="170"/>
      <c r="AD33" s="564"/>
      <c r="AE33" s="564"/>
      <c r="AF33" s="149"/>
      <c r="AG33" s="570"/>
      <c r="AH33" s="156"/>
      <c r="AI33" s="156"/>
      <c r="AJ33" s="156"/>
      <c r="AK33" s="156"/>
      <c r="AL33" s="156"/>
      <c r="AM33" s="156"/>
      <c r="AN33" s="156"/>
      <c r="AO33" s="156"/>
      <c r="AP33" s="156"/>
      <c r="AS33" s="170"/>
      <c r="AT33" s="170"/>
      <c r="AU33" s="170"/>
      <c r="AV33" s="156"/>
      <c r="BE33" s="156"/>
      <c r="BF33" s="156"/>
      <c r="BG33" s="156"/>
      <c r="BH33" s="156"/>
      <c r="BI33" s="156"/>
      <c r="BJ33" s="156"/>
      <c r="BK33" s="156"/>
      <c r="BL33" s="156"/>
      <c r="BM33" s="156"/>
    </row>
    <row r="34" spans="1:65" s="127" customFormat="1" ht="14.25" customHeight="1">
      <c r="A34" s="157"/>
      <c r="B34" s="596"/>
      <c r="C34" s="158"/>
      <c r="D34" s="159"/>
      <c r="E34" s="160"/>
      <c r="F34" s="161"/>
      <c r="G34" s="161"/>
      <c r="H34" s="162">
        <f t="shared" si="1"/>
        <v>0</v>
      </c>
      <c r="I34" s="163"/>
      <c r="J34" s="163"/>
      <c r="K34" s="165">
        <f t="shared" si="8"/>
        <v>0</v>
      </c>
      <c r="L34" s="165">
        <f t="shared" si="2"/>
        <v>0</v>
      </c>
      <c r="M34" s="278"/>
      <c r="N34" s="136"/>
      <c r="O34" s="136"/>
      <c r="P34" s="166"/>
      <c r="Q34" s="141"/>
      <c r="R34" s="141"/>
      <c r="S34" s="141"/>
      <c r="T34" s="141"/>
      <c r="U34" s="167"/>
      <c r="V34" s="167"/>
      <c r="W34" s="168">
        <f t="shared" si="9"/>
        <v>0</v>
      </c>
      <c r="X34" s="169">
        <f t="shared" si="3"/>
        <v>0</v>
      </c>
      <c r="Y34" s="169">
        <f t="shared" si="4"/>
        <v>0</v>
      </c>
      <c r="Z34" s="227">
        <f t="shared" si="5"/>
        <v>0</v>
      </c>
      <c r="AA34" s="227">
        <f t="shared" si="6"/>
        <v>0</v>
      </c>
      <c r="AB34" s="227">
        <f t="shared" si="7"/>
        <v>0</v>
      </c>
      <c r="AC34" s="170"/>
      <c r="AD34" s="183"/>
      <c r="AE34" s="147"/>
      <c r="AF34" s="149"/>
      <c r="AG34" s="570"/>
      <c r="AH34" s="156"/>
      <c r="AI34" s="156"/>
      <c r="AJ34" s="156"/>
      <c r="AK34" s="156"/>
      <c r="AL34" s="156"/>
      <c r="AM34" s="156"/>
      <c r="AN34" s="156"/>
      <c r="AO34" s="156"/>
      <c r="AP34" s="156"/>
      <c r="AS34" s="170"/>
      <c r="AT34" s="170"/>
      <c r="AU34" s="170"/>
      <c r="AV34" s="156"/>
      <c r="BE34" s="156"/>
      <c r="BF34" s="156"/>
      <c r="BG34" s="156"/>
      <c r="BH34" s="156"/>
      <c r="BI34" s="156"/>
      <c r="BJ34" s="156"/>
      <c r="BK34" s="156"/>
      <c r="BL34" s="156"/>
      <c r="BM34" s="156"/>
    </row>
    <row r="35" spans="1:65" s="127" customFormat="1" ht="14.25" hidden="1" customHeight="1">
      <c r="A35" s="157"/>
      <c r="B35" s="596"/>
      <c r="C35" s="158"/>
      <c r="D35" s="159"/>
      <c r="E35" s="160"/>
      <c r="F35" s="161"/>
      <c r="G35" s="161"/>
      <c r="H35" s="162">
        <f t="shared" si="1"/>
        <v>0</v>
      </c>
      <c r="I35" s="163"/>
      <c r="J35" s="163"/>
      <c r="K35" s="165">
        <f t="shared" si="8"/>
        <v>0</v>
      </c>
      <c r="L35" s="165">
        <f t="shared" si="2"/>
        <v>0</v>
      </c>
      <c r="M35" s="278"/>
      <c r="N35" s="136"/>
      <c r="O35" s="136"/>
      <c r="P35" s="166"/>
      <c r="Q35" s="141"/>
      <c r="R35" s="141"/>
      <c r="S35" s="141"/>
      <c r="T35" s="141"/>
      <c r="U35" s="167"/>
      <c r="V35" s="167"/>
      <c r="W35" s="168">
        <f t="shared" si="9"/>
        <v>0</v>
      </c>
      <c r="X35" s="169">
        <f t="shared" si="3"/>
        <v>0</v>
      </c>
      <c r="Y35" s="169">
        <f t="shared" si="4"/>
        <v>0</v>
      </c>
      <c r="Z35" s="227">
        <f t="shared" si="5"/>
        <v>0</v>
      </c>
      <c r="AA35" s="227">
        <f t="shared" si="6"/>
        <v>0</v>
      </c>
      <c r="AB35" s="227">
        <f t="shared" si="7"/>
        <v>0</v>
      </c>
      <c r="AC35" s="170"/>
      <c r="AD35" s="183"/>
      <c r="AE35" s="147"/>
      <c r="AF35" s="149"/>
      <c r="AG35" s="570"/>
      <c r="AH35" s="156"/>
      <c r="AI35" s="156"/>
      <c r="AJ35" s="156"/>
      <c r="AK35" s="156"/>
      <c r="AL35" s="156"/>
      <c r="AM35" s="156"/>
      <c r="AN35" s="156"/>
      <c r="AO35" s="156"/>
      <c r="AP35" s="156"/>
      <c r="AS35" s="170"/>
      <c r="AT35" s="170"/>
      <c r="AU35" s="170"/>
      <c r="AV35" s="156"/>
      <c r="BE35" s="156"/>
      <c r="BF35" s="156"/>
      <c r="BG35" s="156"/>
      <c r="BH35" s="156"/>
      <c r="BI35" s="156"/>
      <c r="BJ35" s="156"/>
      <c r="BK35" s="156"/>
      <c r="BL35" s="156"/>
      <c r="BM35" s="156"/>
    </row>
    <row r="36" spans="1:65" s="127" customFormat="1" ht="14.25" hidden="1" customHeight="1">
      <c r="A36" s="157"/>
      <c r="B36" s="596"/>
      <c r="C36" s="158"/>
      <c r="D36" s="159"/>
      <c r="E36" s="160"/>
      <c r="F36" s="161"/>
      <c r="G36" s="161"/>
      <c r="H36" s="162">
        <f t="shared" si="1"/>
        <v>0</v>
      </c>
      <c r="I36" s="163"/>
      <c r="J36" s="164"/>
      <c r="K36" s="165">
        <f t="shared" si="8"/>
        <v>0</v>
      </c>
      <c r="L36" s="165">
        <f t="shared" si="2"/>
        <v>0</v>
      </c>
      <c r="M36" s="278"/>
      <c r="N36" s="136"/>
      <c r="O36" s="136"/>
      <c r="P36" s="166"/>
      <c r="Q36" s="141"/>
      <c r="R36" s="141"/>
      <c r="S36" s="141"/>
      <c r="T36" s="141"/>
      <c r="U36" s="167"/>
      <c r="V36" s="167"/>
      <c r="W36" s="168">
        <f t="shared" si="9"/>
        <v>0</v>
      </c>
      <c r="X36" s="169">
        <f t="shared" si="3"/>
        <v>0</v>
      </c>
      <c r="Y36" s="169">
        <f t="shared" si="4"/>
        <v>0</v>
      </c>
      <c r="Z36" s="227">
        <f t="shared" si="5"/>
        <v>0</v>
      </c>
      <c r="AA36" s="227">
        <f t="shared" si="6"/>
        <v>0</v>
      </c>
      <c r="AB36" s="227">
        <f t="shared" si="7"/>
        <v>0</v>
      </c>
      <c r="AC36" s="170"/>
      <c r="AD36" s="564"/>
      <c r="AE36" s="564"/>
      <c r="AF36" s="149"/>
      <c r="AG36" s="149"/>
      <c r="AH36" s="170"/>
      <c r="AI36" s="156"/>
      <c r="AJ36" s="156"/>
      <c r="AK36" s="156"/>
      <c r="AL36" s="156"/>
      <c r="AM36" s="156"/>
      <c r="AN36" s="156"/>
      <c r="AO36" s="156"/>
      <c r="AP36" s="156"/>
      <c r="AS36" s="170"/>
      <c r="AT36" s="170"/>
      <c r="AU36" s="170"/>
      <c r="AV36" s="156"/>
      <c r="BE36" s="156"/>
      <c r="BF36" s="156"/>
      <c r="BG36" s="156"/>
      <c r="BH36" s="156"/>
      <c r="BI36" s="156"/>
      <c r="BJ36" s="156"/>
      <c r="BK36" s="156"/>
      <c r="BL36" s="156"/>
      <c r="BM36" s="156"/>
    </row>
    <row r="37" spans="1:65" s="127" customFormat="1" ht="14.25" hidden="1" customHeight="1">
      <c r="A37" s="157"/>
      <c r="B37" s="596"/>
      <c r="C37" s="158"/>
      <c r="D37" s="159"/>
      <c r="E37" s="160"/>
      <c r="F37" s="161"/>
      <c r="G37" s="161"/>
      <c r="H37" s="162">
        <f t="shared" si="1"/>
        <v>0</v>
      </c>
      <c r="I37" s="163"/>
      <c r="J37" s="164"/>
      <c r="K37" s="165">
        <f t="shared" si="8"/>
        <v>0</v>
      </c>
      <c r="L37" s="165">
        <f t="shared" si="2"/>
        <v>0</v>
      </c>
      <c r="M37" s="278"/>
      <c r="N37" s="136"/>
      <c r="O37" s="136"/>
      <c r="P37" s="166"/>
      <c r="Q37" s="141"/>
      <c r="R37" s="141"/>
      <c r="S37" s="141"/>
      <c r="T37" s="141"/>
      <c r="U37" s="167"/>
      <c r="V37" s="167"/>
      <c r="W37" s="168">
        <f t="shared" si="9"/>
        <v>0</v>
      </c>
      <c r="X37" s="169">
        <f t="shared" si="3"/>
        <v>0</v>
      </c>
      <c r="Y37" s="169">
        <f t="shared" si="4"/>
        <v>0</v>
      </c>
      <c r="Z37" s="227">
        <f t="shared" si="5"/>
        <v>0</v>
      </c>
      <c r="AA37" s="227">
        <f t="shared" si="6"/>
        <v>0</v>
      </c>
      <c r="AB37" s="227">
        <f t="shared" si="7"/>
        <v>0</v>
      </c>
      <c r="AC37" s="170"/>
      <c r="AD37" s="183"/>
      <c r="AE37" s="147"/>
      <c r="AF37" s="149"/>
      <c r="AG37" s="149"/>
      <c r="AH37" s="156"/>
      <c r="AI37" s="156"/>
      <c r="AJ37" s="156"/>
      <c r="AK37" s="156"/>
      <c r="AL37" s="156"/>
      <c r="AM37" s="156"/>
      <c r="AN37" s="156"/>
      <c r="AO37" s="156"/>
      <c r="AP37" s="156"/>
      <c r="AS37" s="170"/>
      <c r="AT37" s="170"/>
      <c r="AU37" s="170"/>
      <c r="AV37" s="156"/>
      <c r="BE37" s="156"/>
      <c r="BF37" s="156"/>
      <c r="BG37" s="156"/>
      <c r="BH37" s="156"/>
      <c r="BI37" s="156"/>
      <c r="BJ37" s="156"/>
      <c r="BK37" s="156"/>
      <c r="BL37" s="156"/>
      <c r="BM37" s="156"/>
    </row>
    <row r="38" spans="1:65" s="127" customFormat="1" ht="14.25" hidden="1" customHeight="1">
      <c r="A38" s="157"/>
      <c r="B38" s="596"/>
      <c r="C38" s="158"/>
      <c r="D38" s="159"/>
      <c r="E38" s="160"/>
      <c r="F38" s="161"/>
      <c r="G38" s="161"/>
      <c r="H38" s="162">
        <f t="shared" si="1"/>
        <v>0</v>
      </c>
      <c r="I38" s="163"/>
      <c r="J38" s="164"/>
      <c r="K38" s="165">
        <f t="shared" si="8"/>
        <v>0</v>
      </c>
      <c r="L38" s="165">
        <f t="shared" si="2"/>
        <v>0</v>
      </c>
      <c r="M38" s="278"/>
      <c r="N38" s="136"/>
      <c r="O38" s="136"/>
      <c r="P38" s="166"/>
      <c r="Q38" s="141"/>
      <c r="R38" s="141"/>
      <c r="S38" s="141"/>
      <c r="T38" s="141"/>
      <c r="U38" s="167"/>
      <c r="V38" s="167"/>
      <c r="W38" s="168">
        <f t="shared" si="9"/>
        <v>0</v>
      </c>
      <c r="X38" s="169">
        <f t="shared" si="3"/>
        <v>0</v>
      </c>
      <c r="Y38" s="169">
        <f t="shared" si="4"/>
        <v>0</v>
      </c>
      <c r="Z38" s="227">
        <f t="shared" si="5"/>
        <v>0</v>
      </c>
      <c r="AA38" s="227">
        <f t="shared" si="6"/>
        <v>0</v>
      </c>
      <c r="AB38" s="227">
        <f t="shared" si="7"/>
        <v>0</v>
      </c>
      <c r="AC38" s="170"/>
      <c r="AD38" s="182"/>
      <c r="AE38" s="147"/>
      <c r="AF38" s="149"/>
      <c r="AG38" s="149"/>
      <c r="AH38" s="156"/>
      <c r="AI38" s="156"/>
      <c r="AJ38" s="156"/>
      <c r="AK38" s="156"/>
      <c r="AL38" s="156"/>
      <c r="AM38" s="156"/>
      <c r="AN38" s="156"/>
      <c r="AO38" s="156"/>
      <c r="AP38" s="156"/>
      <c r="AS38" s="170"/>
      <c r="AT38" s="170"/>
      <c r="AU38" s="170"/>
      <c r="AV38" s="156"/>
      <c r="BE38" s="156"/>
      <c r="BF38" s="156"/>
      <c r="BG38" s="156"/>
      <c r="BH38" s="156"/>
      <c r="BI38" s="156"/>
      <c r="BJ38" s="156"/>
      <c r="BK38" s="156"/>
      <c r="BL38" s="156"/>
      <c r="BM38" s="156"/>
    </row>
    <row r="39" spans="1:65" s="127" customFormat="1" ht="14.25" hidden="1" customHeight="1">
      <c r="A39" s="157"/>
      <c r="B39" s="596"/>
      <c r="C39" s="158"/>
      <c r="D39" s="159"/>
      <c r="E39" s="160"/>
      <c r="F39" s="161"/>
      <c r="G39" s="161"/>
      <c r="H39" s="162">
        <f t="shared" si="1"/>
        <v>0</v>
      </c>
      <c r="I39" s="163"/>
      <c r="J39" s="164"/>
      <c r="K39" s="165">
        <f t="shared" si="8"/>
        <v>0</v>
      </c>
      <c r="L39" s="165">
        <f t="shared" si="2"/>
        <v>0</v>
      </c>
      <c r="M39" s="278"/>
      <c r="N39" s="136"/>
      <c r="O39" s="136"/>
      <c r="P39" s="166"/>
      <c r="Q39" s="141"/>
      <c r="R39" s="141"/>
      <c r="S39" s="141"/>
      <c r="T39" s="141"/>
      <c r="U39" s="167"/>
      <c r="V39" s="167"/>
      <c r="W39" s="168">
        <f t="shared" si="9"/>
        <v>0</v>
      </c>
      <c r="X39" s="169">
        <f t="shared" si="3"/>
        <v>0</v>
      </c>
      <c r="Y39" s="169">
        <f t="shared" si="4"/>
        <v>0</v>
      </c>
      <c r="Z39" s="227">
        <f t="shared" si="5"/>
        <v>0</v>
      </c>
      <c r="AA39" s="227">
        <f t="shared" si="6"/>
        <v>0</v>
      </c>
      <c r="AB39" s="227">
        <f t="shared" si="7"/>
        <v>0</v>
      </c>
      <c r="AC39" s="170"/>
      <c r="AD39" s="182"/>
      <c r="AE39" s="147"/>
      <c r="AF39" s="149"/>
      <c r="AG39" s="149"/>
      <c r="AH39" s="156"/>
      <c r="AI39" s="156"/>
      <c r="AJ39" s="156"/>
      <c r="AK39" s="156"/>
      <c r="AL39" s="156"/>
      <c r="AM39" s="156"/>
      <c r="AN39" s="156"/>
      <c r="AO39" s="156"/>
      <c r="AP39" s="156"/>
      <c r="AS39" s="170"/>
      <c r="AT39" s="170"/>
      <c r="AU39" s="170"/>
      <c r="AV39" s="156"/>
      <c r="BE39" s="156"/>
      <c r="BF39" s="156"/>
      <c r="BG39" s="156"/>
      <c r="BH39" s="156"/>
      <c r="BI39" s="156"/>
      <c r="BJ39" s="156"/>
      <c r="BK39" s="156"/>
      <c r="BL39" s="156"/>
      <c r="BM39" s="156"/>
    </row>
    <row r="40" spans="1:65" s="127" customFormat="1" ht="14.25" hidden="1" customHeight="1">
      <c r="A40" s="157"/>
      <c r="B40" s="596"/>
      <c r="C40" s="158"/>
      <c r="D40" s="159"/>
      <c r="E40" s="160"/>
      <c r="F40" s="161"/>
      <c r="G40" s="161"/>
      <c r="H40" s="162">
        <f t="shared" si="1"/>
        <v>0</v>
      </c>
      <c r="I40" s="163"/>
      <c r="J40" s="164"/>
      <c r="K40" s="165">
        <f t="shared" si="8"/>
        <v>0</v>
      </c>
      <c r="L40" s="165">
        <f t="shared" si="2"/>
        <v>0</v>
      </c>
      <c r="M40" s="278"/>
      <c r="N40" s="136"/>
      <c r="O40" s="136"/>
      <c r="P40" s="166"/>
      <c r="Q40" s="141"/>
      <c r="R40" s="141"/>
      <c r="S40" s="141"/>
      <c r="T40" s="141"/>
      <c r="U40" s="167"/>
      <c r="V40" s="167"/>
      <c r="W40" s="168">
        <f t="shared" si="9"/>
        <v>0</v>
      </c>
      <c r="X40" s="169">
        <f t="shared" si="3"/>
        <v>0</v>
      </c>
      <c r="Y40" s="169">
        <f t="shared" si="4"/>
        <v>0</v>
      </c>
      <c r="Z40" s="227">
        <f t="shared" si="5"/>
        <v>0</v>
      </c>
      <c r="AA40" s="227">
        <f t="shared" si="6"/>
        <v>0</v>
      </c>
      <c r="AB40" s="227">
        <f t="shared" si="7"/>
        <v>0</v>
      </c>
      <c r="AC40" s="170"/>
      <c r="AD40" s="182"/>
      <c r="AE40" s="147"/>
      <c r="AF40" s="149"/>
      <c r="AG40" s="149"/>
      <c r="AH40" s="193"/>
      <c r="AI40" s="156"/>
      <c r="AJ40" s="156"/>
      <c r="AK40" s="156"/>
      <c r="AL40" s="156"/>
      <c r="AM40" s="156"/>
      <c r="AN40" s="156"/>
      <c r="AO40" s="156"/>
      <c r="AP40" s="156"/>
      <c r="AS40" s="170"/>
      <c r="AT40" s="170"/>
      <c r="AU40" s="170"/>
      <c r="AV40" s="156"/>
      <c r="BE40" s="156"/>
      <c r="BF40" s="156"/>
      <c r="BG40" s="156"/>
      <c r="BH40" s="156"/>
      <c r="BI40" s="156"/>
      <c r="BJ40" s="156"/>
      <c r="BK40" s="156"/>
      <c r="BL40" s="156"/>
      <c r="BM40" s="156"/>
    </row>
    <row r="41" spans="1:65" s="127" customFormat="1" ht="14.25" hidden="1" customHeight="1">
      <c r="A41" s="157"/>
      <c r="B41" s="596"/>
      <c r="C41" s="158"/>
      <c r="D41" s="159"/>
      <c r="E41" s="160"/>
      <c r="F41" s="161"/>
      <c r="G41" s="161"/>
      <c r="H41" s="162">
        <f t="shared" si="1"/>
        <v>0</v>
      </c>
      <c r="I41" s="163"/>
      <c r="J41" s="164"/>
      <c r="K41" s="165">
        <f t="shared" si="8"/>
        <v>0</v>
      </c>
      <c r="L41" s="165">
        <f t="shared" si="2"/>
        <v>0</v>
      </c>
      <c r="M41" s="278"/>
      <c r="N41" s="136"/>
      <c r="O41" s="136"/>
      <c r="P41" s="166"/>
      <c r="Q41" s="141"/>
      <c r="R41" s="141"/>
      <c r="S41" s="141"/>
      <c r="T41" s="141"/>
      <c r="U41" s="167"/>
      <c r="V41" s="167"/>
      <c r="W41" s="168">
        <f t="shared" si="9"/>
        <v>0</v>
      </c>
      <c r="X41" s="169">
        <f t="shared" si="3"/>
        <v>0</v>
      </c>
      <c r="Y41" s="169">
        <f t="shared" si="4"/>
        <v>0</v>
      </c>
      <c r="Z41" s="227">
        <f t="shared" si="5"/>
        <v>0</v>
      </c>
      <c r="AA41" s="227">
        <f t="shared" si="6"/>
        <v>0</v>
      </c>
      <c r="AB41" s="227">
        <f t="shared" si="7"/>
        <v>0</v>
      </c>
      <c r="AC41" s="170"/>
      <c r="AD41" s="182"/>
      <c r="AE41" s="147"/>
      <c r="AF41" s="149"/>
      <c r="AG41" s="149"/>
      <c r="AH41" s="156"/>
      <c r="AI41" s="156"/>
      <c r="AJ41" s="156"/>
      <c r="AK41" s="156"/>
      <c r="AL41" s="156"/>
      <c r="AM41" s="156"/>
      <c r="AN41" s="156"/>
      <c r="AO41" s="156"/>
      <c r="AP41" s="156"/>
      <c r="AS41" s="170"/>
      <c r="AT41" s="170"/>
      <c r="AU41" s="170"/>
      <c r="AV41" s="156"/>
      <c r="BE41" s="156"/>
      <c r="BF41" s="156"/>
      <c r="BG41" s="156"/>
      <c r="BH41" s="156"/>
      <c r="BI41" s="156"/>
      <c r="BJ41" s="156"/>
      <c r="BK41" s="156"/>
      <c r="BL41" s="156"/>
      <c r="BM41" s="156"/>
    </row>
    <row r="42" spans="1:65" s="127" customFormat="1" ht="14.25" hidden="1" customHeight="1">
      <c r="A42" s="157"/>
      <c r="B42" s="596"/>
      <c r="C42" s="158"/>
      <c r="D42" s="571"/>
      <c r="E42" s="160"/>
      <c r="F42" s="161"/>
      <c r="G42" s="161"/>
      <c r="H42" s="162">
        <f t="shared" si="1"/>
        <v>0</v>
      </c>
      <c r="I42" s="163"/>
      <c r="J42" s="164"/>
      <c r="K42" s="165">
        <f t="shared" si="8"/>
        <v>0</v>
      </c>
      <c r="L42" s="165">
        <f t="shared" si="2"/>
        <v>0</v>
      </c>
      <c r="M42" s="278"/>
      <c r="N42" s="136"/>
      <c r="O42" s="136"/>
      <c r="P42" s="166"/>
      <c r="Q42" s="141"/>
      <c r="R42" s="141"/>
      <c r="S42" s="141"/>
      <c r="T42" s="141"/>
      <c r="U42" s="167"/>
      <c r="V42" s="167"/>
      <c r="W42" s="168">
        <f t="shared" si="9"/>
        <v>0</v>
      </c>
      <c r="X42" s="169">
        <f t="shared" si="3"/>
        <v>0</v>
      </c>
      <c r="Y42" s="169">
        <f t="shared" si="4"/>
        <v>0</v>
      </c>
      <c r="Z42" s="227">
        <f t="shared" si="5"/>
        <v>0</v>
      </c>
      <c r="AA42" s="227">
        <f t="shared" si="6"/>
        <v>0</v>
      </c>
      <c r="AB42" s="227">
        <f t="shared" si="7"/>
        <v>0</v>
      </c>
      <c r="AC42" s="170"/>
      <c r="AD42" s="182"/>
      <c r="AE42" s="147"/>
      <c r="AF42" s="149"/>
      <c r="AG42" s="149"/>
      <c r="AH42" s="156"/>
      <c r="AI42" s="156"/>
      <c r="AJ42" s="156"/>
      <c r="AK42" s="156"/>
      <c r="AL42" s="156"/>
      <c r="AM42" s="156"/>
      <c r="AN42" s="156"/>
      <c r="AO42" s="156"/>
      <c r="AP42" s="156"/>
      <c r="AS42" s="170"/>
      <c r="AT42" s="170"/>
      <c r="AU42" s="170"/>
      <c r="AV42" s="156"/>
      <c r="BE42" s="156"/>
      <c r="BF42" s="156"/>
      <c r="BG42" s="156"/>
      <c r="BH42" s="156"/>
      <c r="BI42" s="156"/>
      <c r="BJ42" s="156"/>
      <c r="BK42" s="156"/>
      <c r="BL42" s="156"/>
      <c r="BM42" s="156"/>
    </row>
    <row r="43" spans="1:65" s="127" customFormat="1" ht="14.25" hidden="1" customHeight="1">
      <c r="A43" s="157"/>
      <c r="B43" s="596"/>
      <c r="C43" s="158"/>
      <c r="D43" s="159"/>
      <c r="E43" s="160"/>
      <c r="F43" s="161"/>
      <c r="G43" s="161"/>
      <c r="H43" s="162">
        <f t="shared" si="1"/>
        <v>0</v>
      </c>
      <c r="I43" s="163"/>
      <c r="J43" s="164"/>
      <c r="K43" s="165">
        <f t="shared" si="8"/>
        <v>0</v>
      </c>
      <c r="L43" s="165">
        <f t="shared" si="2"/>
        <v>0</v>
      </c>
      <c r="M43" s="278"/>
      <c r="N43" s="136"/>
      <c r="O43" s="136"/>
      <c r="P43" s="166"/>
      <c r="Q43" s="141"/>
      <c r="R43" s="141"/>
      <c r="S43" s="141"/>
      <c r="T43" s="141"/>
      <c r="U43" s="167"/>
      <c r="V43" s="167"/>
      <c r="W43" s="168">
        <f t="shared" si="9"/>
        <v>0</v>
      </c>
      <c r="X43" s="169">
        <f t="shared" si="3"/>
        <v>0</v>
      </c>
      <c r="Y43" s="169">
        <f t="shared" si="4"/>
        <v>0</v>
      </c>
      <c r="Z43" s="227">
        <f t="shared" si="5"/>
        <v>0</v>
      </c>
      <c r="AA43" s="227">
        <f t="shared" si="6"/>
        <v>0</v>
      </c>
      <c r="AB43" s="227">
        <f t="shared" si="7"/>
        <v>0</v>
      </c>
      <c r="AC43" s="170"/>
      <c r="AD43" s="182"/>
      <c r="AE43" s="147"/>
      <c r="AF43" s="149"/>
      <c r="AG43" s="149"/>
      <c r="AH43" s="156"/>
      <c r="AI43" s="156"/>
      <c r="AJ43" s="156"/>
      <c r="AK43" s="156"/>
      <c r="AL43" s="156"/>
      <c r="AM43" s="156"/>
      <c r="AN43" s="156"/>
      <c r="AO43" s="156"/>
      <c r="AP43" s="156"/>
      <c r="AS43" s="170"/>
      <c r="AT43" s="170"/>
      <c r="AU43" s="170"/>
      <c r="AV43" s="156"/>
      <c r="BE43" s="156"/>
      <c r="BF43" s="156"/>
      <c r="BG43" s="156"/>
      <c r="BH43" s="156"/>
      <c r="BI43" s="156"/>
      <c r="BJ43" s="156"/>
      <c r="BK43" s="156"/>
      <c r="BL43" s="156"/>
      <c r="BM43" s="156"/>
    </row>
    <row r="44" spans="1:65" s="127" customFormat="1" ht="14.25" hidden="1" customHeight="1">
      <c r="A44" s="157"/>
      <c r="B44" s="596"/>
      <c r="C44" s="158"/>
      <c r="D44" s="159"/>
      <c r="E44" s="160"/>
      <c r="F44" s="161"/>
      <c r="G44" s="161"/>
      <c r="H44" s="162">
        <f t="shared" si="1"/>
        <v>0</v>
      </c>
      <c r="I44" s="163"/>
      <c r="J44" s="164"/>
      <c r="K44" s="165">
        <f t="shared" si="8"/>
        <v>0</v>
      </c>
      <c r="L44" s="165">
        <f t="shared" si="2"/>
        <v>0</v>
      </c>
      <c r="M44" s="278"/>
      <c r="N44" s="136"/>
      <c r="O44" s="136"/>
      <c r="P44" s="166"/>
      <c r="Q44" s="141"/>
      <c r="R44" s="141"/>
      <c r="S44" s="141"/>
      <c r="T44" s="141"/>
      <c r="U44" s="167"/>
      <c r="V44" s="167"/>
      <c r="W44" s="168">
        <f t="shared" si="9"/>
        <v>0</v>
      </c>
      <c r="X44" s="169">
        <f t="shared" si="3"/>
        <v>0</v>
      </c>
      <c r="Y44" s="169">
        <f t="shared" si="4"/>
        <v>0</v>
      </c>
      <c r="Z44" s="227">
        <f t="shared" si="5"/>
        <v>0</v>
      </c>
      <c r="AA44" s="227">
        <f t="shared" si="6"/>
        <v>0</v>
      </c>
      <c r="AB44" s="227">
        <f t="shared" si="7"/>
        <v>0</v>
      </c>
      <c r="AC44" s="170"/>
      <c r="AD44" s="182"/>
      <c r="AE44" s="147"/>
      <c r="AF44" s="149"/>
      <c r="AG44" s="149"/>
      <c r="AH44" s="156"/>
      <c r="AI44" s="156"/>
      <c r="AJ44" s="156"/>
      <c r="AK44" s="156"/>
      <c r="AL44" s="156"/>
      <c r="AM44" s="156"/>
      <c r="AN44" s="156"/>
      <c r="AO44" s="156"/>
      <c r="AP44" s="156"/>
      <c r="AS44" s="170"/>
      <c r="AT44" s="170"/>
      <c r="AU44" s="170"/>
      <c r="AV44" s="156"/>
      <c r="BE44" s="156"/>
      <c r="BF44" s="156"/>
      <c r="BG44" s="156"/>
      <c r="BH44" s="156"/>
      <c r="BI44" s="156"/>
      <c r="BJ44" s="156"/>
      <c r="BK44" s="156"/>
      <c r="BL44" s="156"/>
      <c r="BM44" s="156"/>
    </row>
    <row r="45" spans="1:65" s="127" customFormat="1" ht="14.25" hidden="1" customHeight="1">
      <c r="A45" s="157"/>
      <c r="B45" s="596"/>
      <c r="C45" s="158"/>
      <c r="D45" s="159"/>
      <c r="E45" s="160"/>
      <c r="F45" s="161"/>
      <c r="G45" s="161"/>
      <c r="H45" s="162">
        <f t="shared" si="1"/>
        <v>0</v>
      </c>
      <c r="I45" s="163"/>
      <c r="J45" s="164"/>
      <c r="K45" s="165">
        <f t="shared" si="8"/>
        <v>0</v>
      </c>
      <c r="L45" s="165">
        <f t="shared" si="2"/>
        <v>0</v>
      </c>
      <c r="M45" s="278"/>
      <c r="N45" s="136"/>
      <c r="O45" s="136"/>
      <c r="P45" s="166"/>
      <c r="Q45" s="141"/>
      <c r="R45" s="141"/>
      <c r="S45" s="141"/>
      <c r="T45" s="141"/>
      <c r="U45" s="167"/>
      <c r="V45" s="167"/>
      <c r="W45" s="168">
        <f t="shared" si="9"/>
        <v>0</v>
      </c>
      <c r="X45" s="169">
        <f t="shared" si="3"/>
        <v>0</v>
      </c>
      <c r="Y45" s="169">
        <f t="shared" si="4"/>
        <v>0</v>
      </c>
      <c r="Z45" s="227">
        <f t="shared" si="5"/>
        <v>0</v>
      </c>
      <c r="AA45" s="227">
        <f t="shared" si="6"/>
        <v>0</v>
      </c>
      <c r="AB45" s="227">
        <f t="shared" si="7"/>
        <v>0</v>
      </c>
      <c r="AC45" s="170"/>
      <c r="AD45" s="182"/>
      <c r="AE45" s="147"/>
      <c r="AF45" s="149"/>
      <c r="AG45" s="149"/>
      <c r="AH45" s="156"/>
      <c r="AI45" s="156"/>
      <c r="AJ45" s="156"/>
      <c r="AK45" s="156"/>
      <c r="AL45" s="156"/>
      <c r="AM45" s="156"/>
      <c r="AN45" s="156"/>
      <c r="AO45" s="156"/>
      <c r="AP45" s="156"/>
      <c r="AS45" s="170"/>
      <c r="AT45" s="170"/>
      <c r="AU45" s="170"/>
      <c r="AV45" s="156"/>
      <c r="BE45" s="156"/>
      <c r="BF45" s="156"/>
      <c r="BG45" s="156"/>
      <c r="BH45" s="156"/>
      <c r="BI45" s="156"/>
      <c r="BJ45" s="156"/>
      <c r="BK45" s="156"/>
      <c r="BL45" s="156"/>
      <c r="BM45" s="156"/>
    </row>
    <row r="46" spans="1:65" s="127" customFormat="1" ht="14.25" hidden="1" customHeight="1">
      <c r="A46" s="157"/>
      <c r="B46" s="596"/>
      <c r="C46" s="158"/>
      <c r="D46" s="159"/>
      <c r="E46" s="160"/>
      <c r="F46" s="161"/>
      <c r="G46" s="161"/>
      <c r="H46" s="162">
        <f t="shared" si="1"/>
        <v>0</v>
      </c>
      <c r="I46" s="163"/>
      <c r="J46" s="164"/>
      <c r="K46" s="165">
        <f t="shared" si="8"/>
        <v>0</v>
      </c>
      <c r="L46" s="165">
        <f t="shared" si="2"/>
        <v>0</v>
      </c>
      <c r="M46" s="278"/>
      <c r="N46" s="136"/>
      <c r="O46" s="136"/>
      <c r="P46" s="166"/>
      <c r="Q46" s="141"/>
      <c r="R46" s="141"/>
      <c r="S46" s="141"/>
      <c r="T46" s="141"/>
      <c r="U46" s="167"/>
      <c r="V46" s="167"/>
      <c r="W46" s="168">
        <f t="shared" si="9"/>
        <v>0</v>
      </c>
      <c r="X46" s="169">
        <f t="shared" si="3"/>
        <v>0</v>
      </c>
      <c r="Y46" s="169">
        <f t="shared" si="4"/>
        <v>0</v>
      </c>
      <c r="Z46" s="227">
        <f t="shared" si="5"/>
        <v>0</v>
      </c>
      <c r="AA46" s="227">
        <f t="shared" si="6"/>
        <v>0</v>
      </c>
      <c r="AB46" s="227">
        <f t="shared" si="7"/>
        <v>0</v>
      </c>
      <c r="AC46" s="170"/>
      <c r="AD46" s="182"/>
      <c r="AE46" s="147"/>
      <c r="AF46" s="149"/>
      <c r="AG46" s="149"/>
      <c r="AH46" s="156"/>
      <c r="AI46" s="156"/>
      <c r="AJ46" s="156"/>
      <c r="AK46" s="156"/>
      <c r="AL46" s="156"/>
      <c r="AM46" s="156"/>
      <c r="AN46" s="156"/>
      <c r="AO46" s="156"/>
      <c r="AP46" s="156"/>
      <c r="AS46" s="170"/>
      <c r="AT46" s="170"/>
      <c r="AU46" s="170"/>
      <c r="AV46" s="156"/>
      <c r="BE46" s="156"/>
      <c r="BF46" s="156"/>
      <c r="BG46" s="156"/>
      <c r="BH46" s="156"/>
      <c r="BI46" s="156"/>
      <c r="BJ46" s="156"/>
      <c r="BK46" s="156"/>
      <c r="BL46" s="156"/>
      <c r="BM46" s="156"/>
    </row>
    <row r="47" spans="1:65" s="127" customFormat="1" ht="14.25" hidden="1" customHeight="1">
      <c r="A47" s="157"/>
      <c r="B47" s="596"/>
      <c r="C47" s="158"/>
      <c r="D47" s="159"/>
      <c r="E47" s="160"/>
      <c r="F47" s="161"/>
      <c r="G47" s="161"/>
      <c r="H47" s="162">
        <f t="shared" si="1"/>
        <v>0</v>
      </c>
      <c r="I47" s="163"/>
      <c r="J47" s="164"/>
      <c r="K47" s="165">
        <f t="shared" si="8"/>
        <v>0</v>
      </c>
      <c r="L47" s="165">
        <f t="shared" si="2"/>
        <v>0</v>
      </c>
      <c r="M47" s="278"/>
      <c r="N47" s="136"/>
      <c r="O47" s="136"/>
      <c r="P47" s="166"/>
      <c r="Q47" s="141"/>
      <c r="R47" s="141"/>
      <c r="S47" s="141"/>
      <c r="T47" s="141"/>
      <c r="U47" s="167"/>
      <c r="V47" s="167"/>
      <c r="W47" s="168">
        <f t="shared" si="9"/>
        <v>0</v>
      </c>
      <c r="X47" s="169">
        <f t="shared" si="3"/>
        <v>0</v>
      </c>
      <c r="Y47" s="169">
        <f t="shared" si="4"/>
        <v>0</v>
      </c>
      <c r="Z47" s="227">
        <f t="shared" si="5"/>
        <v>0</v>
      </c>
      <c r="AA47" s="227">
        <f t="shared" si="6"/>
        <v>0</v>
      </c>
      <c r="AB47" s="227">
        <f t="shared" si="7"/>
        <v>0</v>
      </c>
      <c r="AC47" s="170"/>
      <c r="AD47" s="182"/>
      <c r="AE47" s="147"/>
      <c r="AF47" s="149"/>
      <c r="AG47" s="149"/>
      <c r="AH47" s="156"/>
      <c r="AI47" s="156"/>
      <c r="AJ47" s="156"/>
      <c r="AK47" s="156"/>
      <c r="AL47" s="156"/>
      <c r="AM47" s="156"/>
      <c r="AN47" s="156"/>
      <c r="AO47" s="156"/>
      <c r="AP47" s="156"/>
      <c r="AS47" s="170"/>
      <c r="AT47" s="170"/>
      <c r="AU47" s="170"/>
      <c r="AV47" s="156"/>
      <c r="BE47" s="156"/>
      <c r="BF47" s="156"/>
      <c r="BG47" s="156"/>
      <c r="BH47" s="156"/>
      <c r="BI47" s="156"/>
      <c r="BJ47" s="156"/>
      <c r="BK47" s="156"/>
      <c r="BL47" s="156"/>
      <c r="BM47" s="156"/>
    </row>
    <row r="48" spans="1:65" s="127" customFormat="1" ht="14.25" hidden="1" customHeight="1">
      <c r="A48" s="157"/>
      <c r="B48" s="596"/>
      <c r="C48" s="158"/>
      <c r="D48" s="159"/>
      <c r="E48" s="160"/>
      <c r="F48" s="161"/>
      <c r="G48" s="161"/>
      <c r="H48" s="162">
        <f t="shared" si="1"/>
        <v>0</v>
      </c>
      <c r="I48" s="163"/>
      <c r="J48" s="164"/>
      <c r="K48" s="165">
        <f t="shared" si="8"/>
        <v>0</v>
      </c>
      <c r="L48" s="165">
        <f t="shared" si="2"/>
        <v>0</v>
      </c>
      <c r="M48" s="278"/>
      <c r="N48" s="136"/>
      <c r="O48" s="136"/>
      <c r="P48" s="166"/>
      <c r="Q48" s="141"/>
      <c r="R48" s="141"/>
      <c r="S48" s="141"/>
      <c r="T48" s="141"/>
      <c r="U48" s="167"/>
      <c r="V48" s="167"/>
      <c r="W48" s="168">
        <f t="shared" si="9"/>
        <v>0</v>
      </c>
      <c r="X48" s="169">
        <f t="shared" si="3"/>
        <v>0</v>
      </c>
      <c r="Y48" s="169">
        <f t="shared" si="4"/>
        <v>0</v>
      </c>
      <c r="Z48" s="227">
        <f t="shared" si="5"/>
        <v>0</v>
      </c>
      <c r="AA48" s="227">
        <f t="shared" si="6"/>
        <v>0</v>
      </c>
      <c r="AB48" s="227">
        <f t="shared" si="7"/>
        <v>0</v>
      </c>
      <c r="AC48" s="170"/>
      <c r="AD48" s="182"/>
      <c r="AE48" s="147"/>
      <c r="AF48" s="149"/>
      <c r="AG48" s="149"/>
      <c r="AH48" s="156"/>
      <c r="AI48" s="156"/>
      <c r="AJ48" s="156"/>
      <c r="AK48" s="156"/>
      <c r="AL48" s="156"/>
      <c r="AM48" s="156"/>
      <c r="AN48" s="156"/>
      <c r="AO48" s="156"/>
      <c r="AP48" s="156"/>
      <c r="AS48" s="170"/>
      <c r="AT48" s="170"/>
      <c r="AU48" s="170"/>
      <c r="AV48" s="156"/>
      <c r="BE48" s="156"/>
      <c r="BF48" s="156"/>
      <c r="BG48" s="156"/>
      <c r="BH48" s="156"/>
      <c r="BI48" s="156"/>
      <c r="BJ48" s="156"/>
      <c r="BK48" s="156"/>
      <c r="BL48" s="156"/>
      <c r="BM48" s="156"/>
    </row>
    <row r="49" spans="1:65" s="127" customFormat="1" ht="14.25" hidden="1" customHeight="1">
      <c r="A49" s="157"/>
      <c r="B49" s="596"/>
      <c r="C49" s="158"/>
      <c r="D49" s="159"/>
      <c r="E49" s="160"/>
      <c r="F49" s="161"/>
      <c r="G49" s="161"/>
      <c r="H49" s="162">
        <f t="shared" si="1"/>
        <v>0</v>
      </c>
      <c r="I49" s="163"/>
      <c r="J49" s="164"/>
      <c r="K49" s="165">
        <f t="shared" si="8"/>
        <v>0</v>
      </c>
      <c r="L49" s="165">
        <f t="shared" si="2"/>
        <v>0</v>
      </c>
      <c r="M49" s="278"/>
      <c r="N49" s="136"/>
      <c r="O49" s="136"/>
      <c r="P49" s="166"/>
      <c r="Q49" s="141"/>
      <c r="R49" s="141"/>
      <c r="S49" s="141"/>
      <c r="T49" s="141"/>
      <c r="U49" s="167"/>
      <c r="V49" s="167"/>
      <c r="W49" s="168">
        <f t="shared" si="9"/>
        <v>0</v>
      </c>
      <c r="X49" s="169">
        <f t="shared" si="3"/>
        <v>0</v>
      </c>
      <c r="Y49" s="169">
        <f t="shared" si="4"/>
        <v>0</v>
      </c>
      <c r="Z49" s="227">
        <f t="shared" si="5"/>
        <v>0</v>
      </c>
      <c r="AA49" s="227">
        <f t="shared" si="6"/>
        <v>0</v>
      </c>
      <c r="AB49" s="227">
        <f t="shared" si="7"/>
        <v>0</v>
      </c>
      <c r="AC49" s="170"/>
      <c r="AD49" s="182"/>
      <c r="AE49" s="147"/>
      <c r="AF49" s="149"/>
      <c r="AG49" s="149"/>
      <c r="AH49" s="156"/>
      <c r="AI49" s="156"/>
      <c r="AJ49" s="156"/>
      <c r="AK49" s="156"/>
      <c r="AL49" s="156"/>
      <c r="AM49" s="156"/>
      <c r="AN49" s="156"/>
      <c r="AO49" s="156"/>
      <c r="AP49" s="156"/>
      <c r="AS49" s="170"/>
      <c r="AT49" s="170"/>
      <c r="AU49" s="170"/>
      <c r="AV49" s="156"/>
      <c r="BE49" s="156"/>
      <c r="BF49" s="156"/>
      <c r="BG49" s="156"/>
      <c r="BH49" s="156"/>
      <c r="BI49" s="156"/>
      <c r="BJ49" s="156"/>
      <c r="BK49" s="156"/>
      <c r="BL49" s="156"/>
      <c r="BM49" s="156"/>
    </row>
    <row r="50" spans="1:65" s="127" customFormat="1" ht="14.25" hidden="1" customHeight="1">
      <c r="A50" s="157"/>
      <c r="B50" s="596"/>
      <c r="C50" s="158"/>
      <c r="D50" s="159"/>
      <c r="E50" s="160"/>
      <c r="F50" s="161"/>
      <c r="G50" s="161"/>
      <c r="H50" s="162">
        <f t="shared" si="1"/>
        <v>0</v>
      </c>
      <c r="I50" s="163"/>
      <c r="J50" s="164"/>
      <c r="K50" s="165">
        <f t="shared" si="8"/>
        <v>0</v>
      </c>
      <c r="L50" s="165">
        <f t="shared" ref="L50:L68" si="10">IF(M50=0,0,K50/M50)</f>
        <v>0</v>
      </c>
      <c r="M50" s="278"/>
      <c r="N50" s="136"/>
      <c r="O50" s="136"/>
      <c r="P50" s="166"/>
      <c r="Q50" s="141"/>
      <c r="R50" s="141"/>
      <c r="S50" s="141"/>
      <c r="T50" s="141"/>
      <c r="U50" s="167"/>
      <c r="V50" s="167"/>
      <c r="W50" s="168">
        <f t="shared" si="9"/>
        <v>0</v>
      </c>
      <c r="X50" s="169">
        <f t="shared" si="3"/>
        <v>0</v>
      </c>
      <c r="Y50" s="169">
        <f t="shared" si="4"/>
        <v>0</v>
      </c>
      <c r="Z50" s="227">
        <f t="shared" ref="Z50:Z68" si="11">IF(M50&lt;=0.1,-2.45*N50%,0)</f>
        <v>0</v>
      </c>
      <c r="AA50" s="227">
        <f t="shared" si="6"/>
        <v>0</v>
      </c>
      <c r="AB50" s="227">
        <f t="shared" si="7"/>
        <v>0</v>
      </c>
      <c r="AC50" s="170"/>
      <c r="AD50" s="182"/>
      <c r="AE50" s="147"/>
      <c r="AF50" s="149"/>
      <c r="AG50" s="149"/>
      <c r="AH50" s="156"/>
      <c r="AI50" s="156"/>
      <c r="AJ50" s="156"/>
      <c r="AK50" s="156"/>
      <c r="AL50" s="156"/>
      <c r="AM50" s="156"/>
      <c r="AN50" s="156"/>
      <c r="AO50" s="156"/>
      <c r="AP50" s="156"/>
      <c r="AS50" s="170"/>
      <c r="AT50" s="170"/>
      <c r="AU50" s="170"/>
      <c r="AV50" s="156"/>
      <c r="BE50" s="156"/>
      <c r="BF50" s="156"/>
      <c r="BG50" s="156"/>
      <c r="BH50" s="156"/>
      <c r="BI50" s="156"/>
      <c r="BJ50" s="156"/>
      <c r="BK50" s="156"/>
      <c r="BL50" s="156"/>
      <c r="BM50" s="156"/>
    </row>
    <row r="51" spans="1:65" s="127" customFormat="1" ht="14.25" hidden="1" customHeight="1">
      <c r="A51" s="157"/>
      <c r="B51" s="596"/>
      <c r="C51" s="158"/>
      <c r="D51" s="159"/>
      <c r="E51" s="160"/>
      <c r="F51" s="161"/>
      <c r="G51" s="161"/>
      <c r="H51" s="162">
        <f t="shared" si="1"/>
        <v>0</v>
      </c>
      <c r="I51" s="163"/>
      <c r="J51" s="164"/>
      <c r="K51" s="165">
        <f t="shared" si="8"/>
        <v>0</v>
      </c>
      <c r="L51" s="165">
        <f t="shared" si="10"/>
        <v>0</v>
      </c>
      <c r="M51" s="278"/>
      <c r="N51" s="136"/>
      <c r="O51" s="136"/>
      <c r="P51" s="166"/>
      <c r="Q51" s="141"/>
      <c r="R51" s="141"/>
      <c r="S51" s="141"/>
      <c r="T51" s="141"/>
      <c r="U51" s="167"/>
      <c r="V51" s="167"/>
      <c r="W51" s="168">
        <f t="shared" si="9"/>
        <v>0</v>
      </c>
      <c r="X51" s="169">
        <f t="shared" si="3"/>
        <v>0</v>
      </c>
      <c r="Y51" s="169">
        <f t="shared" si="4"/>
        <v>0</v>
      </c>
      <c r="Z51" s="227">
        <f t="shared" si="11"/>
        <v>0</v>
      </c>
      <c r="AA51" s="227">
        <f t="shared" si="6"/>
        <v>0</v>
      </c>
      <c r="AB51" s="227">
        <f t="shared" si="7"/>
        <v>0</v>
      </c>
      <c r="AC51" s="170"/>
      <c r="AD51" s="182"/>
      <c r="AE51" s="147"/>
      <c r="AF51" s="149"/>
      <c r="AG51" s="149"/>
      <c r="AH51" s="156"/>
      <c r="AI51" s="156"/>
      <c r="AJ51" s="156"/>
      <c r="AK51" s="156"/>
      <c r="AL51" s="156"/>
      <c r="AM51" s="156"/>
      <c r="AN51" s="156"/>
      <c r="AO51" s="156"/>
      <c r="AP51" s="156"/>
      <c r="AS51" s="170"/>
      <c r="AT51" s="170"/>
      <c r="AU51" s="170"/>
      <c r="AV51" s="156"/>
      <c r="BE51" s="156"/>
      <c r="BF51" s="156"/>
      <c r="BG51" s="156"/>
      <c r="BH51" s="156"/>
      <c r="BI51" s="156"/>
      <c r="BJ51" s="156"/>
      <c r="BK51" s="156"/>
      <c r="BL51" s="156"/>
      <c r="BM51" s="156"/>
    </row>
    <row r="52" spans="1:65" s="127" customFormat="1" ht="14.25" hidden="1" customHeight="1">
      <c r="A52" s="157"/>
      <c r="B52" s="596"/>
      <c r="C52" s="158"/>
      <c r="D52" s="159"/>
      <c r="E52" s="160"/>
      <c r="F52" s="161"/>
      <c r="G52" s="161"/>
      <c r="H52" s="162">
        <f t="shared" si="1"/>
        <v>0</v>
      </c>
      <c r="I52" s="163"/>
      <c r="J52" s="164"/>
      <c r="K52" s="165">
        <f t="shared" si="8"/>
        <v>0</v>
      </c>
      <c r="L52" s="165">
        <f t="shared" si="10"/>
        <v>0</v>
      </c>
      <c r="M52" s="278"/>
      <c r="N52" s="136"/>
      <c r="O52" s="136"/>
      <c r="P52" s="166"/>
      <c r="Q52" s="141"/>
      <c r="R52" s="141"/>
      <c r="S52" s="141"/>
      <c r="T52" s="141"/>
      <c r="U52" s="167"/>
      <c r="V52" s="167"/>
      <c r="W52" s="168">
        <f t="shared" si="9"/>
        <v>0</v>
      </c>
      <c r="X52" s="169">
        <f t="shared" si="3"/>
        <v>0</v>
      </c>
      <c r="Y52" s="169">
        <f t="shared" si="4"/>
        <v>0</v>
      </c>
      <c r="Z52" s="227">
        <f t="shared" si="11"/>
        <v>0</v>
      </c>
      <c r="AA52" s="227">
        <f t="shared" si="6"/>
        <v>0</v>
      </c>
      <c r="AB52" s="227">
        <f t="shared" si="7"/>
        <v>0</v>
      </c>
      <c r="AC52" s="170"/>
      <c r="AD52" s="182"/>
      <c r="AE52" s="147"/>
      <c r="AF52" s="149"/>
      <c r="AG52" s="149"/>
      <c r="AH52" s="156"/>
      <c r="AI52" s="156"/>
      <c r="AJ52" s="156"/>
      <c r="AK52" s="156"/>
      <c r="AL52" s="156"/>
      <c r="AM52" s="156"/>
      <c r="AN52" s="156"/>
      <c r="AO52" s="156"/>
      <c r="AP52" s="156"/>
      <c r="AS52" s="170"/>
      <c r="AT52" s="170"/>
      <c r="AU52" s="170"/>
      <c r="AV52" s="156"/>
      <c r="BE52" s="156"/>
      <c r="BF52" s="156"/>
      <c r="BG52" s="156"/>
      <c r="BH52" s="156"/>
      <c r="BI52" s="156"/>
      <c r="BJ52" s="156"/>
      <c r="BK52" s="156"/>
      <c r="BL52" s="156"/>
      <c r="BM52" s="156"/>
    </row>
    <row r="53" spans="1:65" s="127" customFormat="1" ht="14.25" hidden="1" customHeight="1">
      <c r="A53" s="157"/>
      <c r="B53" s="596"/>
      <c r="C53" s="158"/>
      <c r="D53" s="159"/>
      <c r="E53" s="160"/>
      <c r="F53" s="565"/>
      <c r="G53" s="161"/>
      <c r="H53" s="162">
        <f t="shared" ref="H53:H69" si="12">IF($AV$114=0,0,E53*M53/$AV$114*100)</f>
        <v>0</v>
      </c>
      <c r="I53" s="163"/>
      <c r="J53" s="164"/>
      <c r="K53" s="165">
        <f t="shared" si="8"/>
        <v>0</v>
      </c>
      <c r="L53" s="165">
        <f t="shared" si="10"/>
        <v>0</v>
      </c>
      <c r="M53" s="278"/>
      <c r="N53" s="136"/>
      <c r="O53" s="136"/>
      <c r="P53" s="166"/>
      <c r="Q53" s="141"/>
      <c r="R53" s="141"/>
      <c r="S53" s="141"/>
      <c r="T53" s="141"/>
      <c r="U53" s="167"/>
      <c r="V53" s="167"/>
      <c r="W53" s="168">
        <f t="shared" si="9"/>
        <v>0</v>
      </c>
      <c r="X53" s="169">
        <f t="shared" ref="X53:X69" si="13">IF(W53=0,0,W53/(M53*E53))</f>
        <v>0</v>
      </c>
      <c r="Y53" s="169">
        <f t="shared" ref="Y53:Y69" si="14">IF(W53=0,0,W53/E53)</f>
        <v>0</v>
      </c>
      <c r="Z53" s="227">
        <f t="shared" si="11"/>
        <v>0</v>
      </c>
      <c r="AA53" s="227">
        <f t="shared" ref="AA53:AA69" si="15">IF(LEFT(G53,2)=$AN$147,-K53,0)</f>
        <v>0</v>
      </c>
      <c r="AB53" s="227">
        <f t="shared" ref="AB53:AB69" si="16">IF(LEFT(G53,2)=$AN$147,$L$70*M53,0)</f>
        <v>0</v>
      </c>
      <c r="AC53" s="170"/>
      <c r="AD53" s="182"/>
      <c r="AE53" s="147"/>
      <c r="AF53" s="149"/>
      <c r="AG53" s="149"/>
      <c r="AH53" s="156"/>
      <c r="AI53" s="156"/>
      <c r="AJ53" s="156"/>
      <c r="AK53" s="156"/>
      <c r="AL53" s="156"/>
      <c r="AM53" s="156"/>
      <c r="AN53" s="156"/>
      <c r="AO53" s="156"/>
      <c r="AP53" s="156"/>
      <c r="AS53" s="170"/>
      <c r="AT53" s="170"/>
      <c r="AU53" s="170"/>
      <c r="AV53" s="156"/>
      <c r="BE53" s="156"/>
      <c r="BF53" s="156"/>
      <c r="BG53" s="156"/>
      <c r="BH53" s="156"/>
      <c r="BI53" s="156"/>
      <c r="BJ53" s="156"/>
      <c r="BK53" s="156"/>
      <c r="BL53" s="156"/>
      <c r="BM53" s="156"/>
    </row>
    <row r="54" spans="1:65" s="127" customFormat="1" ht="14.25" hidden="1" customHeight="1">
      <c r="A54" s="157"/>
      <c r="B54" s="596"/>
      <c r="C54" s="158"/>
      <c r="D54" s="159"/>
      <c r="E54" s="160"/>
      <c r="F54" s="565"/>
      <c r="G54" s="161"/>
      <c r="H54" s="162">
        <f t="shared" si="12"/>
        <v>0</v>
      </c>
      <c r="I54" s="163"/>
      <c r="J54" s="164"/>
      <c r="K54" s="165">
        <f t="shared" si="8"/>
        <v>0</v>
      </c>
      <c r="L54" s="165">
        <f t="shared" si="10"/>
        <v>0</v>
      </c>
      <c r="M54" s="278"/>
      <c r="N54" s="136"/>
      <c r="O54" s="136"/>
      <c r="P54" s="166"/>
      <c r="Q54" s="141"/>
      <c r="R54" s="141"/>
      <c r="S54" s="141"/>
      <c r="T54" s="141"/>
      <c r="U54" s="167"/>
      <c r="V54" s="167"/>
      <c r="W54" s="168">
        <f t="shared" si="9"/>
        <v>0</v>
      </c>
      <c r="X54" s="169">
        <f t="shared" si="13"/>
        <v>0</v>
      </c>
      <c r="Y54" s="169">
        <f t="shared" si="14"/>
        <v>0</v>
      </c>
      <c r="Z54" s="227">
        <f t="shared" si="11"/>
        <v>0</v>
      </c>
      <c r="AA54" s="227">
        <f t="shared" si="15"/>
        <v>0</v>
      </c>
      <c r="AB54" s="227">
        <f t="shared" si="16"/>
        <v>0</v>
      </c>
      <c r="AC54" s="170"/>
      <c r="AD54" s="182"/>
      <c r="AE54" s="147"/>
      <c r="AF54" s="149"/>
      <c r="AG54" s="149"/>
      <c r="AH54" s="156"/>
      <c r="AI54" s="156"/>
      <c r="AJ54" s="156"/>
      <c r="AK54" s="156"/>
      <c r="AL54" s="156"/>
      <c r="AM54" s="156"/>
      <c r="AN54" s="156"/>
      <c r="AO54" s="156"/>
      <c r="AP54" s="156"/>
      <c r="AS54" s="170"/>
      <c r="AT54" s="170"/>
      <c r="AU54" s="170"/>
      <c r="AV54" s="156"/>
      <c r="BE54" s="156"/>
      <c r="BF54" s="156"/>
      <c r="BG54" s="156"/>
      <c r="BH54" s="156"/>
      <c r="BI54" s="156"/>
      <c r="BJ54" s="156"/>
      <c r="BK54" s="156"/>
      <c r="BL54" s="156"/>
      <c r="BM54" s="156"/>
    </row>
    <row r="55" spans="1:65" s="127" customFormat="1" ht="14.25" hidden="1" customHeight="1">
      <c r="A55" s="157"/>
      <c r="B55" s="596"/>
      <c r="C55" s="158"/>
      <c r="D55" s="159"/>
      <c r="E55" s="160"/>
      <c r="F55" s="565"/>
      <c r="G55" s="161"/>
      <c r="H55" s="162">
        <f t="shared" si="12"/>
        <v>0</v>
      </c>
      <c r="I55" s="163"/>
      <c r="J55" s="164"/>
      <c r="K55" s="165">
        <f t="shared" si="8"/>
        <v>0</v>
      </c>
      <c r="L55" s="165">
        <f t="shared" si="10"/>
        <v>0</v>
      </c>
      <c r="M55" s="278"/>
      <c r="N55" s="136"/>
      <c r="O55" s="136"/>
      <c r="P55" s="166"/>
      <c r="Q55" s="141"/>
      <c r="R55" s="141"/>
      <c r="S55" s="141"/>
      <c r="T55" s="141"/>
      <c r="U55" s="167"/>
      <c r="V55" s="167"/>
      <c r="W55" s="168">
        <f t="shared" si="9"/>
        <v>0</v>
      </c>
      <c r="X55" s="169">
        <f t="shared" si="13"/>
        <v>0</v>
      </c>
      <c r="Y55" s="169">
        <f t="shared" si="14"/>
        <v>0</v>
      </c>
      <c r="Z55" s="227">
        <f t="shared" si="11"/>
        <v>0</v>
      </c>
      <c r="AA55" s="227">
        <f t="shared" si="15"/>
        <v>0</v>
      </c>
      <c r="AB55" s="227">
        <f t="shared" si="16"/>
        <v>0</v>
      </c>
      <c r="AC55" s="170"/>
      <c r="AD55" s="182"/>
      <c r="AE55" s="147"/>
      <c r="AF55" s="149"/>
      <c r="AG55" s="149"/>
      <c r="AH55" s="156"/>
      <c r="AI55" s="156"/>
      <c r="AJ55" s="156"/>
      <c r="AK55" s="156"/>
      <c r="AL55" s="156"/>
      <c r="AM55" s="156"/>
      <c r="AN55" s="156"/>
      <c r="AO55" s="156"/>
      <c r="AP55" s="156"/>
      <c r="AS55" s="170"/>
      <c r="AT55" s="170"/>
      <c r="AU55" s="170"/>
      <c r="AV55" s="156"/>
      <c r="BE55" s="156"/>
      <c r="BF55" s="156"/>
      <c r="BG55" s="156"/>
      <c r="BH55" s="156"/>
      <c r="BI55" s="156"/>
      <c r="BJ55" s="156"/>
      <c r="BK55" s="156"/>
      <c r="BL55" s="156"/>
      <c r="BM55" s="156"/>
    </row>
    <row r="56" spans="1:65" s="127" customFormat="1" ht="14.25" hidden="1" customHeight="1">
      <c r="A56" s="157"/>
      <c r="B56" s="596"/>
      <c r="C56" s="158"/>
      <c r="D56" s="159"/>
      <c r="E56" s="160"/>
      <c r="F56" s="565"/>
      <c r="G56" s="161"/>
      <c r="H56" s="162">
        <f t="shared" si="12"/>
        <v>0</v>
      </c>
      <c r="I56" s="163"/>
      <c r="J56" s="164"/>
      <c r="K56" s="165">
        <f t="shared" si="8"/>
        <v>0</v>
      </c>
      <c r="L56" s="165">
        <f t="shared" si="10"/>
        <v>0</v>
      </c>
      <c r="M56" s="278"/>
      <c r="N56" s="136"/>
      <c r="O56" s="136"/>
      <c r="P56" s="166"/>
      <c r="Q56" s="141"/>
      <c r="R56" s="141"/>
      <c r="S56" s="141"/>
      <c r="T56" s="141"/>
      <c r="U56" s="167"/>
      <c r="V56" s="167"/>
      <c r="W56" s="168">
        <f t="shared" si="9"/>
        <v>0</v>
      </c>
      <c r="X56" s="169">
        <f t="shared" si="13"/>
        <v>0</v>
      </c>
      <c r="Y56" s="169">
        <f t="shared" si="14"/>
        <v>0</v>
      </c>
      <c r="Z56" s="227">
        <f t="shared" si="11"/>
        <v>0</v>
      </c>
      <c r="AA56" s="227">
        <f t="shared" si="15"/>
        <v>0</v>
      </c>
      <c r="AB56" s="227">
        <f t="shared" si="16"/>
        <v>0</v>
      </c>
      <c r="AC56" s="170"/>
      <c r="AD56" s="182"/>
      <c r="AE56" s="147"/>
      <c r="AF56" s="149"/>
      <c r="AG56" s="149"/>
      <c r="AH56" s="156"/>
      <c r="AI56" s="156"/>
      <c r="AJ56" s="156"/>
      <c r="AK56" s="156"/>
      <c r="AL56" s="156"/>
      <c r="AM56" s="156"/>
      <c r="AN56" s="156"/>
      <c r="AO56" s="156"/>
      <c r="AP56" s="156"/>
      <c r="AS56" s="170"/>
      <c r="AT56" s="170"/>
      <c r="AU56" s="170"/>
      <c r="AV56" s="156"/>
      <c r="BE56" s="156"/>
      <c r="BF56" s="156"/>
      <c r="BG56" s="156"/>
      <c r="BH56" s="156"/>
      <c r="BI56" s="156"/>
      <c r="BJ56" s="156"/>
      <c r="BK56" s="156"/>
      <c r="BL56" s="156"/>
      <c r="BM56" s="156"/>
    </row>
    <row r="57" spans="1:65" s="127" customFormat="1" ht="14.25" hidden="1" customHeight="1">
      <c r="A57" s="157"/>
      <c r="B57" s="596"/>
      <c r="C57" s="158"/>
      <c r="D57" s="159"/>
      <c r="E57" s="160"/>
      <c r="F57" s="565"/>
      <c r="G57" s="161"/>
      <c r="H57" s="162">
        <f t="shared" si="12"/>
        <v>0</v>
      </c>
      <c r="I57" s="163"/>
      <c r="J57" s="164"/>
      <c r="K57" s="165">
        <f t="shared" si="8"/>
        <v>0</v>
      </c>
      <c r="L57" s="165">
        <f t="shared" si="10"/>
        <v>0</v>
      </c>
      <c r="M57" s="278"/>
      <c r="N57" s="136"/>
      <c r="O57" s="136"/>
      <c r="P57" s="166"/>
      <c r="Q57" s="141"/>
      <c r="R57" s="141"/>
      <c r="S57" s="141"/>
      <c r="T57" s="141"/>
      <c r="U57" s="167"/>
      <c r="V57" s="167"/>
      <c r="W57" s="168">
        <f t="shared" si="9"/>
        <v>0</v>
      </c>
      <c r="X57" s="169">
        <f t="shared" si="13"/>
        <v>0</v>
      </c>
      <c r="Y57" s="169">
        <f t="shared" si="14"/>
        <v>0</v>
      </c>
      <c r="Z57" s="227">
        <f t="shared" si="11"/>
        <v>0</v>
      </c>
      <c r="AA57" s="227">
        <f t="shared" si="15"/>
        <v>0</v>
      </c>
      <c r="AB57" s="227">
        <f t="shared" si="16"/>
        <v>0</v>
      </c>
      <c r="AC57" s="170"/>
      <c r="AD57" s="182"/>
      <c r="AE57" s="147"/>
      <c r="AF57" s="149"/>
      <c r="AG57" s="149"/>
      <c r="AH57" s="156"/>
      <c r="AI57" s="156"/>
      <c r="AJ57" s="156"/>
      <c r="AK57" s="156"/>
      <c r="AL57" s="156"/>
      <c r="AM57" s="156"/>
      <c r="AN57" s="156"/>
      <c r="AO57" s="156"/>
      <c r="AP57" s="156"/>
      <c r="AS57" s="170"/>
      <c r="AT57" s="170"/>
      <c r="AU57" s="170"/>
      <c r="AV57" s="156"/>
      <c r="BE57" s="156"/>
      <c r="BF57" s="156"/>
      <c r="BG57" s="156"/>
      <c r="BH57" s="156"/>
      <c r="BI57" s="156"/>
      <c r="BJ57" s="156"/>
      <c r="BK57" s="156"/>
      <c r="BL57" s="156"/>
      <c r="BM57" s="156"/>
    </row>
    <row r="58" spans="1:65" s="127" customFormat="1" ht="14.25" hidden="1" customHeight="1">
      <c r="A58" s="157"/>
      <c r="B58" s="596"/>
      <c r="C58" s="158"/>
      <c r="D58" s="159"/>
      <c r="E58" s="160"/>
      <c r="F58" s="565"/>
      <c r="G58" s="161"/>
      <c r="H58" s="162">
        <f t="shared" si="12"/>
        <v>0</v>
      </c>
      <c r="I58" s="163"/>
      <c r="J58" s="164"/>
      <c r="K58" s="165">
        <f t="shared" si="8"/>
        <v>0</v>
      </c>
      <c r="L58" s="165">
        <f t="shared" si="10"/>
        <v>0</v>
      </c>
      <c r="M58" s="278"/>
      <c r="N58" s="136"/>
      <c r="O58" s="136"/>
      <c r="P58" s="166"/>
      <c r="Q58" s="141"/>
      <c r="R58" s="141"/>
      <c r="S58" s="141"/>
      <c r="T58" s="141"/>
      <c r="U58" s="167"/>
      <c r="V58" s="167"/>
      <c r="W58" s="168">
        <f t="shared" si="9"/>
        <v>0</v>
      </c>
      <c r="X58" s="169">
        <f t="shared" si="13"/>
        <v>0</v>
      </c>
      <c r="Y58" s="169">
        <f t="shared" si="14"/>
        <v>0</v>
      </c>
      <c r="Z58" s="227">
        <f t="shared" si="11"/>
        <v>0</v>
      </c>
      <c r="AA58" s="227">
        <f t="shared" si="15"/>
        <v>0</v>
      </c>
      <c r="AB58" s="227">
        <f t="shared" si="16"/>
        <v>0</v>
      </c>
      <c r="AC58" s="170"/>
      <c r="AD58" s="182"/>
      <c r="AE58" s="147"/>
      <c r="AF58" s="149"/>
      <c r="AG58" s="149"/>
      <c r="AH58" s="156"/>
      <c r="AI58" s="156"/>
      <c r="AJ58" s="156"/>
      <c r="AK58" s="156"/>
      <c r="AL58" s="156"/>
      <c r="AM58" s="156"/>
      <c r="AN58" s="156"/>
      <c r="AO58" s="156"/>
      <c r="AP58" s="156"/>
      <c r="AS58" s="170"/>
      <c r="AT58" s="170"/>
      <c r="AU58" s="170"/>
      <c r="AV58" s="156"/>
      <c r="BE58" s="156"/>
      <c r="BF58" s="156"/>
      <c r="BG58" s="156"/>
      <c r="BH58" s="156"/>
      <c r="BI58" s="156"/>
      <c r="BJ58" s="156"/>
      <c r="BK58" s="156"/>
      <c r="BL58" s="156"/>
      <c r="BM58" s="156"/>
    </row>
    <row r="59" spans="1:65" s="127" customFormat="1" ht="14.25" hidden="1" customHeight="1">
      <c r="A59" s="157"/>
      <c r="B59" s="596"/>
      <c r="C59" s="158"/>
      <c r="D59" s="159"/>
      <c r="E59" s="160"/>
      <c r="F59" s="565"/>
      <c r="G59" s="161"/>
      <c r="H59" s="162">
        <f t="shared" si="12"/>
        <v>0</v>
      </c>
      <c r="I59" s="163"/>
      <c r="J59" s="164"/>
      <c r="K59" s="165">
        <f t="shared" si="8"/>
        <v>0</v>
      </c>
      <c r="L59" s="165">
        <f t="shared" si="10"/>
        <v>0</v>
      </c>
      <c r="M59" s="278"/>
      <c r="N59" s="136"/>
      <c r="O59" s="136"/>
      <c r="P59" s="166"/>
      <c r="Q59" s="141"/>
      <c r="R59" s="141"/>
      <c r="S59" s="141"/>
      <c r="T59" s="141"/>
      <c r="U59" s="167"/>
      <c r="V59" s="167"/>
      <c r="W59" s="168">
        <f t="shared" si="9"/>
        <v>0</v>
      </c>
      <c r="X59" s="169">
        <f t="shared" si="13"/>
        <v>0</v>
      </c>
      <c r="Y59" s="169">
        <f t="shared" si="14"/>
        <v>0</v>
      </c>
      <c r="Z59" s="227">
        <f t="shared" si="11"/>
        <v>0</v>
      </c>
      <c r="AA59" s="227">
        <f t="shared" si="15"/>
        <v>0</v>
      </c>
      <c r="AB59" s="227">
        <f t="shared" si="16"/>
        <v>0</v>
      </c>
      <c r="AC59" s="170"/>
      <c r="AD59" s="182"/>
      <c r="AE59" s="147"/>
      <c r="AF59" s="149"/>
      <c r="AG59" s="149"/>
      <c r="AH59" s="156"/>
      <c r="AI59" s="156"/>
      <c r="AJ59" s="156"/>
      <c r="AK59" s="156"/>
      <c r="AL59" s="156"/>
      <c r="AM59" s="156"/>
      <c r="AN59" s="156"/>
      <c r="AO59" s="156"/>
      <c r="AP59" s="156"/>
      <c r="AS59" s="170"/>
      <c r="AT59" s="170"/>
      <c r="AU59" s="170"/>
      <c r="AV59" s="156"/>
      <c r="BE59" s="156"/>
      <c r="BF59" s="156"/>
      <c r="BG59" s="156"/>
      <c r="BH59" s="156"/>
      <c r="BI59" s="156"/>
      <c r="BJ59" s="156"/>
      <c r="BK59" s="156"/>
      <c r="BL59" s="156"/>
      <c r="BM59" s="156"/>
    </row>
    <row r="60" spans="1:65" s="127" customFormat="1" ht="14.25" hidden="1" customHeight="1">
      <c r="A60" s="157"/>
      <c r="B60" s="596"/>
      <c r="C60" s="158"/>
      <c r="D60" s="159"/>
      <c r="E60" s="160"/>
      <c r="F60" s="161"/>
      <c r="G60" s="161"/>
      <c r="H60" s="162">
        <f t="shared" si="12"/>
        <v>0</v>
      </c>
      <c r="I60" s="163"/>
      <c r="J60" s="164"/>
      <c r="K60" s="165">
        <f t="shared" si="8"/>
        <v>0</v>
      </c>
      <c r="L60" s="165">
        <f t="shared" si="10"/>
        <v>0</v>
      </c>
      <c r="M60" s="278"/>
      <c r="N60" s="136"/>
      <c r="O60" s="136"/>
      <c r="P60" s="166"/>
      <c r="Q60" s="141"/>
      <c r="R60" s="141"/>
      <c r="S60" s="141"/>
      <c r="T60" s="141"/>
      <c r="U60" s="167"/>
      <c r="V60" s="167"/>
      <c r="W60" s="168">
        <f t="shared" si="9"/>
        <v>0</v>
      </c>
      <c r="X60" s="169">
        <f t="shared" si="13"/>
        <v>0</v>
      </c>
      <c r="Y60" s="169">
        <f t="shared" si="14"/>
        <v>0</v>
      </c>
      <c r="Z60" s="227">
        <f t="shared" si="11"/>
        <v>0</v>
      </c>
      <c r="AA60" s="227">
        <f t="shared" si="15"/>
        <v>0</v>
      </c>
      <c r="AB60" s="227">
        <f t="shared" si="16"/>
        <v>0</v>
      </c>
      <c r="AC60" s="170"/>
      <c r="AD60" s="182"/>
      <c r="AE60" s="147"/>
      <c r="AF60" s="149"/>
      <c r="AG60" s="149"/>
      <c r="AH60" s="156"/>
      <c r="AI60" s="156"/>
      <c r="AJ60" s="156"/>
      <c r="AK60" s="156"/>
      <c r="AL60" s="156"/>
      <c r="AM60" s="156"/>
      <c r="AN60" s="156"/>
      <c r="AO60" s="156"/>
      <c r="AP60" s="156"/>
      <c r="AS60" s="170"/>
      <c r="AT60" s="170"/>
      <c r="AU60" s="170"/>
      <c r="AV60" s="156"/>
      <c r="BE60" s="156"/>
      <c r="BF60" s="156"/>
      <c r="BG60" s="156"/>
      <c r="BH60" s="156"/>
      <c r="BI60" s="156"/>
      <c r="BJ60" s="156"/>
      <c r="BK60" s="156"/>
      <c r="BL60" s="156"/>
      <c r="BM60" s="156"/>
    </row>
    <row r="61" spans="1:65" s="127" customFormat="1" ht="14.25" hidden="1" customHeight="1">
      <c r="A61" s="157"/>
      <c r="B61" s="596"/>
      <c r="C61" s="158"/>
      <c r="D61" s="159"/>
      <c r="E61" s="160"/>
      <c r="F61" s="161"/>
      <c r="G61" s="161"/>
      <c r="H61" s="162">
        <f t="shared" si="12"/>
        <v>0</v>
      </c>
      <c r="I61" s="163"/>
      <c r="J61" s="164"/>
      <c r="K61" s="165">
        <f t="shared" si="8"/>
        <v>0</v>
      </c>
      <c r="L61" s="165">
        <f t="shared" si="10"/>
        <v>0</v>
      </c>
      <c r="M61" s="278"/>
      <c r="N61" s="136"/>
      <c r="O61" s="136"/>
      <c r="P61" s="166"/>
      <c r="Q61" s="141"/>
      <c r="R61" s="141"/>
      <c r="S61" s="141"/>
      <c r="T61" s="141"/>
      <c r="U61" s="167"/>
      <c r="V61" s="167"/>
      <c r="W61" s="168">
        <f t="shared" si="9"/>
        <v>0</v>
      </c>
      <c r="X61" s="169">
        <f t="shared" si="13"/>
        <v>0</v>
      </c>
      <c r="Y61" s="169">
        <f t="shared" si="14"/>
        <v>0</v>
      </c>
      <c r="Z61" s="227">
        <f t="shared" si="11"/>
        <v>0</v>
      </c>
      <c r="AA61" s="227">
        <f t="shared" si="15"/>
        <v>0</v>
      </c>
      <c r="AB61" s="227">
        <f t="shared" si="16"/>
        <v>0</v>
      </c>
      <c r="AC61" s="170"/>
      <c r="AD61" s="182"/>
      <c r="AE61" s="147"/>
      <c r="AF61" s="149"/>
      <c r="AG61" s="149"/>
      <c r="AH61" s="156"/>
      <c r="AI61" s="156"/>
      <c r="AJ61" s="156"/>
      <c r="AK61" s="156"/>
      <c r="AL61" s="156"/>
      <c r="AM61" s="156"/>
      <c r="AN61" s="156"/>
      <c r="AO61" s="156"/>
      <c r="AP61" s="156"/>
      <c r="AS61" s="170"/>
      <c r="AT61" s="170"/>
      <c r="AU61" s="170"/>
      <c r="AV61" s="156"/>
      <c r="BE61" s="156"/>
      <c r="BF61" s="156"/>
      <c r="BG61" s="156"/>
      <c r="BH61" s="156"/>
      <c r="BI61" s="156"/>
      <c r="BJ61" s="156"/>
      <c r="BK61" s="156"/>
      <c r="BL61" s="156"/>
      <c r="BM61" s="156"/>
    </row>
    <row r="62" spans="1:65" s="127" customFormat="1" ht="14.25" hidden="1" customHeight="1">
      <c r="A62" s="157"/>
      <c r="B62" s="596"/>
      <c r="C62" s="158"/>
      <c r="D62" s="571"/>
      <c r="E62" s="160"/>
      <c r="F62" s="161"/>
      <c r="G62" s="161"/>
      <c r="H62" s="162">
        <f t="shared" si="12"/>
        <v>0</v>
      </c>
      <c r="I62" s="163"/>
      <c r="J62" s="164"/>
      <c r="K62" s="165">
        <f t="shared" si="8"/>
        <v>0</v>
      </c>
      <c r="L62" s="165">
        <f t="shared" si="10"/>
        <v>0</v>
      </c>
      <c r="M62" s="278"/>
      <c r="N62" s="136"/>
      <c r="O62" s="136"/>
      <c r="P62" s="166"/>
      <c r="Q62" s="141"/>
      <c r="R62" s="141"/>
      <c r="S62" s="141"/>
      <c r="T62" s="141"/>
      <c r="U62" s="167"/>
      <c r="V62" s="167"/>
      <c r="W62" s="168">
        <f t="shared" si="9"/>
        <v>0</v>
      </c>
      <c r="X62" s="169">
        <f t="shared" si="13"/>
        <v>0</v>
      </c>
      <c r="Y62" s="169">
        <f t="shared" si="14"/>
        <v>0</v>
      </c>
      <c r="Z62" s="227">
        <f t="shared" si="11"/>
        <v>0</v>
      </c>
      <c r="AA62" s="227">
        <f t="shared" si="15"/>
        <v>0</v>
      </c>
      <c r="AB62" s="227">
        <f t="shared" si="16"/>
        <v>0</v>
      </c>
      <c r="AC62" s="170"/>
      <c r="AD62" s="182"/>
      <c r="AE62" s="147"/>
      <c r="AF62" s="149"/>
      <c r="AG62" s="149"/>
      <c r="AH62" s="156"/>
      <c r="AI62" s="156"/>
      <c r="AJ62" s="156"/>
      <c r="AK62" s="156"/>
      <c r="AL62" s="156"/>
      <c r="AM62" s="156"/>
      <c r="AN62" s="156"/>
      <c r="AO62" s="156"/>
      <c r="AP62" s="156"/>
      <c r="AS62" s="170"/>
      <c r="AT62" s="170"/>
      <c r="AU62" s="170"/>
      <c r="AV62" s="156"/>
      <c r="BE62" s="156"/>
      <c r="BF62" s="156"/>
      <c r="BG62" s="156"/>
      <c r="BH62" s="156"/>
      <c r="BI62" s="156"/>
      <c r="BJ62" s="156"/>
      <c r="BK62" s="156"/>
      <c r="BL62" s="156"/>
      <c r="BM62" s="156"/>
    </row>
    <row r="63" spans="1:65" s="127" customFormat="1" ht="14.25" hidden="1" customHeight="1">
      <c r="A63" s="157"/>
      <c r="B63" s="596"/>
      <c r="C63" s="158"/>
      <c r="D63" s="159"/>
      <c r="E63" s="160"/>
      <c r="F63" s="161"/>
      <c r="G63" s="161"/>
      <c r="H63" s="162">
        <f t="shared" si="12"/>
        <v>0</v>
      </c>
      <c r="I63" s="163"/>
      <c r="J63" s="164"/>
      <c r="K63" s="165">
        <f t="shared" si="8"/>
        <v>0</v>
      </c>
      <c r="L63" s="165">
        <f t="shared" si="10"/>
        <v>0</v>
      </c>
      <c r="M63" s="278"/>
      <c r="N63" s="136"/>
      <c r="O63" s="136"/>
      <c r="P63" s="166"/>
      <c r="Q63" s="141"/>
      <c r="R63" s="141"/>
      <c r="S63" s="141"/>
      <c r="T63" s="141"/>
      <c r="U63" s="167"/>
      <c r="V63" s="167"/>
      <c r="W63" s="168">
        <f t="shared" si="9"/>
        <v>0</v>
      </c>
      <c r="X63" s="169">
        <f t="shared" si="13"/>
        <v>0</v>
      </c>
      <c r="Y63" s="169">
        <f t="shared" si="14"/>
        <v>0</v>
      </c>
      <c r="Z63" s="227">
        <f t="shared" si="11"/>
        <v>0</v>
      </c>
      <c r="AA63" s="227">
        <f t="shared" si="15"/>
        <v>0</v>
      </c>
      <c r="AB63" s="227">
        <f t="shared" si="16"/>
        <v>0</v>
      </c>
      <c r="AC63" s="170"/>
      <c r="AD63" s="182"/>
      <c r="AE63" s="147"/>
      <c r="AF63" s="149"/>
      <c r="AG63" s="149"/>
      <c r="AH63" s="156"/>
      <c r="AI63" s="156"/>
      <c r="AJ63" s="156"/>
      <c r="AK63" s="156"/>
      <c r="AL63" s="156"/>
      <c r="AM63" s="156"/>
      <c r="AN63" s="156"/>
      <c r="AO63" s="156"/>
      <c r="AP63" s="156"/>
      <c r="AS63" s="170"/>
      <c r="AT63" s="170"/>
      <c r="AU63" s="170"/>
      <c r="AV63" s="156"/>
      <c r="BE63" s="156"/>
      <c r="BF63" s="156"/>
      <c r="BG63" s="156"/>
      <c r="BH63" s="156"/>
      <c r="BI63" s="156"/>
      <c r="BJ63" s="156"/>
      <c r="BK63" s="156"/>
      <c r="BL63" s="156"/>
      <c r="BM63" s="156"/>
    </row>
    <row r="64" spans="1:65" s="127" customFormat="1" ht="14.25" hidden="1" customHeight="1">
      <c r="A64" s="157"/>
      <c r="B64" s="596"/>
      <c r="C64" s="158"/>
      <c r="D64" s="159"/>
      <c r="E64" s="160"/>
      <c r="F64" s="161"/>
      <c r="G64" s="161"/>
      <c r="H64" s="162">
        <f t="shared" si="12"/>
        <v>0</v>
      </c>
      <c r="I64" s="163"/>
      <c r="J64" s="164"/>
      <c r="K64" s="165">
        <f t="shared" si="8"/>
        <v>0</v>
      </c>
      <c r="L64" s="165">
        <f t="shared" si="10"/>
        <v>0</v>
      </c>
      <c r="M64" s="278"/>
      <c r="N64" s="136"/>
      <c r="O64" s="136"/>
      <c r="P64" s="166"/>
      <c r="Q64" s="141"/>
      <c r="R64" s="141"/>
      <c r="S64" s="141"/>
      <c r="T64" s="141"/>
      <c r="U64" s="167"/>
      <c r="V64" s="167"/>
      <c r="W64" s="168">
        <f t="shared" si="9"/>
        <v>0</v>
      </c>
      <c r="X64" s="169">
        <f t="shared" si="13"/>
        <v>0</v>
      </c>
      <c r="Y64" s="169">
        <f t="shared" si="14"/>
        <v>0</v>
      </c>
      <c r="Z64" s="227">
        <f t="shared" si="11"/>
        <v>0</v>
      </c>
      <c r="AA64" s="227">
        <f t="shared" si="15"/>
        <v>0</v>
      </c>
      <c r="AB64" s="227">
        <f t="shared" si="16"/>
        <v>0</v>
      </c>
      <c r="AC64" s="170"/>
      <c r="AD64" s="182"/>
      <c r="AE64" s="147"/>
      <c r="AF64" s="149"/>
      <c r="AG64" s="149"/>
      <c r="AH64" s="156"/>
      <c r="AI64" s="156"/>
      <c r="AJ64" s="156"/>
      <c r="AK64" s="156"/>
      <c r="AL64" s="156"/>
      <c r="AM64" s="156"/>
      <c r="AN64" s="156"/>
      <c r="AO64" s="156"/>
      <c r="AP64" s="156"/>
      <c r="AS64" s="170"/>
      <c r="AT64" s="170"/>
      <c r="AU64" s="170"/>
      <c r="AV64" s="156"/>
      <c r="BE64" s="156"/>
      <c r="BF64" s="156"/>
      <c r="BG64" s="156"/>
      <c r="BH64" s="156"/>
      <c r="BI64" s="156"/>
      <c r="BJ64" s="156"/>
      <c r="BK64" s="156"/>
      <c r="BL64" s="156"/>
      <c r="BM64" s="156"/>
    </row>
    <row r="65" spans="1:73" s="127" customFormat="1" ht="14.25" hidden="1" customHeight="1">
      <c r="A65" s="157"/>
      <c r="B65" s="596"/>
      <c r="C65" s="158"/>
      <c r="D65" s="159"/>
      <c r="E65" s="160"/>
      <c r="F65" s="161"/>
      <c r="G65" s="161"/>
      <c r="H65" s="162">
        <f t="shared" si="12"/>
        <v>0</v>
      </c>
      <c r="I65" s="163"/>
      <c r="J65" s="164"/>
      <c r="K65" s="165">
        <f t="shared" si="8"/>
        <v>0</v>
      </c>
      <c r="L65" s="165">
        <f t="shared" si="10"/>
        <v>0</v>
      </c>
      <c r="M65" s="278"/>
      <c r="N65" s="136"/>
      <c r="O65" s="136"/>
      <c r="P65" s="166"/>
      <c r="Q65" s="141"/>
      <c r="R65" s="141"/>
      <c r="S65" s="141"/>
      <c r="T65" s="141"/>
      <c r="U65" s="167"/>
      <c r="V65" s="167"/>
      <c r="W65" s="168">
        <f t="shared" si="9"/>
        <v>0</v>
      </c>
      <c r="X65" s="169">
        <f t="shared" si="13"/>
        <v>0</v>
      </c>
      <c r="Y65" s="169">
        <f t="shared" si="14"/>
        <v>0</v>
      </c>
      <c r="Z65" s="227">
        <f t="shared" si="11"/>
        <v>0</v>
      </c>
      <c r="AA65" s="227">
        <f t="shared" si="15"/>
        <v>0</v>
      </c>
      <c r="AB65" s="227">
        <f t="shared" si="16"/>
        <v>0</v>
      </c>
      <c r="AC65" s="170"/>
      <c r="AD65" s="182"/>
      <c r="AE65" s="147"/>
      <c r="AF65" s="149"/>
      <c r="AG65" s="149"/>
      <c r="AH65" s="156"/>
      <c r="AI65" s="156"/>
      <c r="AJ65" s="156"/>
      <c r="AK65" s="156"/>
      <c r="AL65" s="156"/>
      <c r="AM65" s="156"/>
      <c r="AN65" s="156"/>
      <c r="AO65" s="156"/>
      <c r="AP65" s="156"/>
      <c r="AS65" s="170"/>
      <c r="AT65" s="170"/>
      <c r="AU65" s="170"/>
      <c r="AV65" s="156"/>
      <c r="BE65" s="156"/>
      <c r="BF65" s="156"/>
      <c r="BG65" s="156"/>
      <c r="BH65" s="156"/>
      <c r="BI65" s="156"/>
      <c r="BJ65" s="156"/>
      <c r="BK65" s="156"/>
      <c r="BL65" s="156"/>
      <c r="BM65" s="156"/>
    </row>
    <row r="66" spans="1:73" s="127" customFormat="1" ht="14.25" hidden="1" customHeight="1">
      <c r="A66" s="157"/>
      <c r="B66" s="596"/>
      <c r="C66" s="158"/>
      <c r="D66" s="159"/>
      <c r="E66" s="160"/>
      <c r="F66" s="161"/>
      <c r="G66" s="161"/>
      <c r="H66" s="162">
        <f t="shared" si="12"/>
        <v>0</v>
      </c>
      <c r="I66" s="163"/>
      <c r="J66" s="164"/>
      <c r="K66" s="165">
        <f t="shared" si="8"/>
        <v>0</v>
      </c>
      <c r="L66" s="165">
        <f t="shared" si="10"/>
        <v>0</v>
      </c>
      <c r="M66" s="278"/>
      <c r="N66" s="136"/>
      <c r="O66" s="136"/>
      <c r="P66" s="166"/>
      <c r="Q66" s="141"/>
      <c r="R66" s="141"/>
      <c r="S66" s="141"/>
      <c r="T66" s="141"/>
      <c r="U66" s="167"/>
      <c r="V66" s="167"/>
      <c r="W66" s="168">
        <f t="shared" si="9"/>
        <v>0</v>
      </c>
      <c r="X66" s="169">
        <f t="shared" si="13"/>
        <v>0</v>
      </c>
      <c r="Y66" s="169">
        <f t="shared" si="14"/>
        <v>0</v>
      </c>
      <c r="Z66" s="227">
        <f t="shared" si="11"/>
        <v>0</v>
      </c>
      <c r="AA66" s="227">
        <f t="shared" si="15"/>
        <v>0</v>
      </c>
      <c r="AB66" s="227">
        <f t="shared" si="16"/>
        <v>0</v>
      </c>
      <c r="AC66" s="170"/>
      <c r="AD66" s="182"/>
      <c r="AE66" s="147"/>
      <c r="AF66" s="149"/>
      <c r="AG66" s="149"/>
      <c r="AH66" s="156"/>
      <c r="AI66" s="156"/>
      <c r="AJ66" s="156"/>
      <c r="AK66" s="156"/>
      <c r="AL66" s="156"/>
      <c r="AM66" s="156"/>
      <c r="AN66" s="156"/>
      <c r="AO66" s="156"/>
      <c r="AP66" s="156"/>
      <c r="AS66" s="170"/>
      <c r="AT66" s="170"/>
      <c r="AU66" s="170"/>
      <c r="AV66" s="156"/>
      <c r="BE66" s="156"/>
      <c r="BF66" s="156"/>
      <c r="BG66" s="156"/>
      <c r="BH66" s="156"/>
      <c r="BI66" s="156"/>
      <c r="BJ66" s="156"/>
      <c r="BK66" s="156"/>
      <c r="BL66" s="156"/>
      <c r="BM66" s="156"/>
    </row>
    <row r="67" spans="1:73" s="127" customFormat="1" ht="14.25" hidden="1" customHeight="1">
      <c r="A67" s="157"/>
      <c r="B67" s="596"/>
      <c r="C67" s="158"/>
      <c r="D67" s="159"/>
      <c r="E67" s="160"/>
      <c r="F67" s="161"/>
      <c r="G67" s="161"/>
      <c r="H67" s="162">
        <f t="shared" si="12"/>
        <v>0</v>
      </c>
      <c r="I67" s="163"/>
      <c r="J67" s="164"/>
      <c r="K67" s="165">
        <f t="shared" si="8"/>
        <v>0</v>
      </c>
      <c r="L67" s="165">
        <f t="shared" si="10"/>
        <v>0</v>
      </c>
      <c r="M67" s="278"/>
      <c r="N67" s="136"/>
      <c r="O67" s="136"/>
      <c r="P67" s="166"/>
      <c r="Q67" s="141"/>
      <c r="R67" s="141"/>
      <c r="S67" s="141"/>
      <c r="T67" s="141"/>
      <c r="U67" s="167"/>
      <c r="V67" s="167"/>
      <c r="W67" s="168">
        <f t="shared" si="9"/>
        <v>0</v>
      </c>
      <c r="X67" s="169">
        <f t="shared" si="13"/>
        <v>0</v>
      </c>
      <c r="Y67" s="169">
        <f t="shared" si="14"/>
        <v>0</v>
      </c>
      <c r="Z67" s="227">
        <f t="shared" si="11"/>
        <v>0</v>
      </c>
      <c r="AA67" s="227">
        <f t="shared" si="15"/>
        <v>0</v>
      </c>
      <c r="AB67" s="227">
        <f t="shared" si="16"/>
        <v>0</v>
      </c>
      <c r="AC67" s="170"/>
      <c r="AD67" s="182"/>
      <c r="AE67" s="147"/>
      <c r="AF67" s="149"/>
      <c r="AG67" s="149"/>
      <c r="AH67" s="156"/>
      <c r="AI67" s="156"/>
      <c r="AJ67" s="156"/>
      <c r="AK67" s="156"/>
      <c r="AL67" s="156"/>
      <c r="AM67" s="156"/>
      <c r="AN67" s="156"/>
      <c r="AO67" s="156"/>
      <c r="AP67" s="156"/>
      <c r="AS67" s="170"/>
      <c r="AT67" s="170"/>
      <c r="AU67" s="170"/>
      <c r="AV67" s="156"/>
      <c r="BE67" s="156"/>
      <c r="BF67" s="156"/>
      <c r="BG67" s="156"/>
      <c r="BH67" s="156"/>
      <c r="BI67" s="156"/>
      <c r="BJ67" s="156"/>
      <c r="BK67" s="156"/>
      <c r="BL67" s="156"/>
      <c r="BM67" s="156"/>
    </row>
    <row r="68" spans="1:73" s="127" customFormat="1" ht="14.25" hidden="1" customHeight="1">
      <c r="A68" s="157"/>
      <c r="B68" s="596"/>
      <c r="C68" s="158"/>
      <c r="D68" s="159"/>
      <c r="E68" s="160"/>
      <c r="F68" s="161"/>
      <c r="G68" s="161"/>
      <c r="H68" s="162">
        <f t="shared" si="12"/>
        <v>0</v>
      </c>
      <c r="I68" s="163"/>
      <c r="J68" s="164"/>
      <c r="K68" s="165">
        <f t="shared" si="8"/>
        <v>0</v>
      </c>
      <c r="L68" s="165">
        <f t="shared" si="10"/>
        <v>0</v>
      </c>
      <c r="M68" s="278"/>
      <c r="N68" s="136"/>
      <c r="O68" s="136"/>
      <c r="P68" s="166"/>
      <c r="Q68" s="141"/>
      <c r="R68" s="141"/>
      <c r="S68" s="141"/>
      <c r="T68" s="141"/>
      <c r="U68" s="167"/>
      <c r="V68" s="167"/>
      <c r="W68" s="168">
        <f t="shared" si="9"/>
        <v>0</v>
      </c>
      <c r="X68" s="169">
        <f t="shared" si="13"/>
        <v>0</v>
      </c>
      <c r="Y68" s="169">
        <f t="shared" si="14"/>
        <v>0</v>
      </c>
      <c r="Z68" s="227">
        <f t="shared" si="11"/>
        <v>0</v>
      </c>
      <c r="AA68" s="227">
        <f t="shared" si="15"/>
        <v>0</v>
      </c>
      <c r="AB68" s="227">
        <f t="shared" si="16"/>
        <v>0</v>
      </c>
      <c r="AC68" s="170"/>
      <c r="AD68" s="182"/>
      <c r="AE68" s="147"/>
      <c r="AF68" s="149"/>
      <c r="AG68" s="149"/>
      <c r="AH68" s="156"/>
      <c r="AI68" s="156"/>
      <c r="AJ68" s="156"/>
      <c r="AK68" s="156"/>
      <c r="AL68" s="156"/>
      <c r="AM68" s="156"/>
      <c r="AN68" s="156"/>
      <c r="AO68" s="156"/>
      <c r="AP68" s="156"/>
      <c r="AS68" s="170"/>
      <c r="AT68" s="170"/>
      <c r="AU68" s="170"/>
      <c r="AV68" s="156"/>
      <c r="BE68" s="156"/>
      <c r="BF68" s="156"/>
      <c r="BG68" s="156"/>
      <c r="BH68" s="156"/>
      <c r="BI68" s="156"/>
      <c r="BJ68" s="156"/>
      <c r="BK68" s="156"/>
      <c r="BL68" s="156"/>
      <c r="BM68" s="156"/>
    </row>
    <row r="69" spans="1:73" s="127" customFormat="1" ht="14.25" customHeight="1">
      <c r="A69" s="157"/>
      <c r="B69" s="596"/>
      <c r="C69" s="158"/>
      <c r="D69" s="159"/>
      <c r="E69" s="160"/>
      <c r="F69" s="161"/>
      <c r="G69" s="161"/>
      <c r="H69" s="162">
        <f t="shared" si="12"/>
        <v>0</v>
      </c>
      <c r="I69" s="163"/>
      <c r="J69" s="164"/>
      <c r="K69" s="165">
        <f t="shared" si="8"/>
        <v>0</v>
      </c>
      <c r="L69" s="165">
        <f t="shared" si="2"/>
        <v>0</v>
      </c>
      <c r="M69" s="278"/>
      <c r="N69" s="136"/>
      <c r="O69" s="136"/>
      <c r="P69" s="166"/>
      <c r="Q69" s="141"/>
      <c r="R69" s="141"/>
      <c r="S69" s="141"/>
      <c r="T69" s="141"/>
      <c r="U69" s="167"/>
      <c r="V69" s="167"/>
      <c r="W69" s="168">
        <f t="shared" si="9"/>
        <v>0</v>
      </c>
      <c r="X69" s="169">
        <f t="shared" si="13"/>
        <v>0</v>
      </c>
      <c r="Y69" s="169">
        <f t="shared" si="14"/>
        <v>0</v>
      </c>
      <c r="Z69" s="227">
        <f t="shared" si="5"/>
        <v>0</v>
      </c>
      <c r="AA69" s="227">
        <f t="shared" si="15"/>
        <v>0</v>
      </c>
      <c r="AB69" s="227">
        <f t="shared" si="16"/>
        <v>0</v>
      </c>
      <c r="AC69" s="170"/>
      <c r="AD69" s="182"/>
      <c r="AE69" s="147"/>
      <c r="AF69" s="149"/>
      <c r="AG69" s="149"/>
      <c r="AH69" s="156"/>
      <c r="AI69" s="156"/>
      <c r="AJ69" s="156"/>
      <c r="AK69" s="156"/>
      <c r="AL69" s="156"/>
      <c r="AM69" s="156"/>
      <c r="AN69" s="156"/>
      <c r="AO69" s="156"/>
      <c r="AP69" s="156"/>
      <c r="AS69" s="170"/>
      <c r="AT69" s="170"/>
      <c r="AU69" s="170"/>
      <c r="AV69" s="156"/>
      <c r="BE69" s="156"/>
      <c r="BF69" s="156"/>
      <c r="BG69" s="156"/>
      <c r="BH69" s="156"/>
      <c r="BI69" s="156"/>
      <c r="BJ69" s="156"/>
      <c r="BK69" s="156"/>
      <c r="BL69" s="156"/>
      <c r="BM69" s="156"/>
    </row>
    <row r="70" spans="1:73" s="127" customFormat="1" ht="14.25" customHeight="1">
      <c r="A70" s="171" t="s">
        <v>337</v>
      </c>
      <c r="B70" s="597"/>
      <c r="C70" s="172"/>
      <c r="D70" s="173"/>
      <c r="E70" s="174">
        <f>AT113</f>
        <v>164773.57357725245</v>
      </c>
      <c r="F70" s="175"/>
      <c r="G70" s="176"/>
      <c r="H70" s="178">
        <f>IF(AV114=0,0,AT114/AV114*100)</f>
        <v>90.563643028042847</v>
      </c>
      <c r="I70" s="568"/>
      <c r="J70" s="177"/>
      <c r="K70" s="178">
        <f>AT131</f>
        <v>141.56853339546177</v>
      </c>
      <c r="L70" s="178">
        <f>AT132</f>
        <v>5.5227247980439449</v>
      </c>
      <c r="M70" s="181">
        <f>AT133</f>
        <v>25.633820002329816</v>
      </c>
      <c r="N70" s="178">
        <f>AT134</f>
        <v>1.189075918177158</v>
      </c>
      <c r="O70" s="178">
        <f>AT135</f>
        <v>15.854345575695438</v>
      </c>
      <c r="P70" s="180">
        <f>AT136</f>
        <v>1.9817931969619298E-2</v>
      </c>
      <c r="Q70" s="181">
        <f>AT137</f>
        <v>0.90455170075951774</v>
      </c>
      <c r="R70" s="181">
        <f>AT138</f>
        <v>0.20808828568100265</v>
      </c>
      <c r="S70" s="181">
        <f>AT139</f>
        <v>0.11890759181771578</v>
      </c>
      <c r="T70" s="181">
        <f>AT140</f>
        <v>0</v>
      </c>
      <c r="U70" s="179"/>
      <c r="V70" s="177"/>
      <c r="W70" s="174" t="s">
        <v>51</v>
      </c>
      <c r="X70" s="174" t="s">
        <v>51</v>
      </c>
      <c r="Y70" s="174" t="s">
        <v>51</v>
      </c>
      <c r="AC70" s="147"/>
      <c r="AE70" s="147"/>
      <c r="AF70" s="147"/>
      <c r="AG70" s="147"/>
      <c r="AH70" s="156"/>
      <c r="AI70" s="156"/>
      <c r="AJ70" s="156"/>
      <c r="AK70" s="156"/>
      <c r="AL70" s="156"/>
      <c r="AM70" s="156"/>
      <c r="AN70" s="156"/>
      <c r="AO70" s="156"/>
      <c r="AP70" s="156"/>
      <c r="AQ70" s="182"/>
      <c r="AR70" s="182"/>
      <c r="AS70" s="183"/>
      <c r="AT70" s="183"/>
      <c r="AU70" s="183"/>
      <c r="AV70" s="147"/>
      <c r="BE70" s="156"/>
      <c r="BF70" s="156"/>
      <c r="BG70" s="156"/>
      <c r="BH70" s="156"/>
      <c r="BI70" s="156"/>
      <c r="BJ70" s="156"/>
      <c r="BK70" s="156"/>
      <c r="BL70" s="156"/>
      <c r="BM70" s="156"/>
    </row>
    <row r="71" spans="1:73" s="127" customFormat="1" ht="14.25" customHeight="1">
      <c r="A71" s="171" t="s">
        <v>338</v>
      </c>
      <c r="B71" s="597"/>
      <c r="C71" s="172"/>
      <c r="D71" s="184"/>
      <c r="E71" s="174">
        <f>AU113</f>
        <v>30000</v>
      </c>
      <c r="F71" s="185"/>
      <c r="G71" s="147"/>
      <c r="H71" s="178">
        <f>IF(AV114=0,0,AU114/AV114*100)</f>
        <v>9.4363569719571458</v>
      </c>
      <c r="I71" s="566"/>
      <c r="J71" s="186"/>
      <c r="K71" s="178">
        <f>AU131</f>
        <v>14.333333333333334</v>
      </c>
      <c r="L71" s="178">
        <f>AU132</f>
        <v>0.97705067030220405</v>
      </c>
      <c r="M71" s="181">
        <f>AU133</f>
        <v>14.67</v>
      </c>
      <c r="N71" s="178">
        <f>AU134</f>
        <v>52.333333333333336</v>
      </c>
      <c r="O71" s="178">
        <f>AU135</f>
        <v>2.5</v>
      </c>
      <c r="P71" s="180">
        <f>AU136</f>
        <v>0.53333333333333333</v>
      </c>
      <c r="Q71" s="181">
        <f>AU137</f>
        <v>0.18333333333333332</v>
      </c>
      <c r="R71" s="181">
        <f>AU138</f>
        <v>0</v>
      </c>
      <c r="S71" s="181">
        <f>AU139</f>
        <v>0</v>
      </c>
      <c r="T71" s="181">
        <f>AU140</f>
        <v>0</v>
      </c>
      <c r="U71" s="187"/>
      <c r="V71" s="186"/>
      <c r="W71" s="174">
        <f>SUM(W21:W69)</f>
        <v>2000551.1836191402</v>
      </c>
      <c r="X71" s="178">
        <f>IF(AU114=0,0,W71/AU114)</f>
        <v>4.5456741277417407</v>
      </c>
      <c r="Y71" s="178">
        <f>IF(E71=0,0,W71/E71)</f>
        <v>66.685039453971342</v>
      </c>
      <c r="Z71" s="188"/>
      <c r="AC71" s="147"/>
      <c r="AD71" s="147"/>
      <c r="AE71" s="147"/>
      <c r="AF71" s="147"/>
      <c r="AG71" s="147"/>
      <c r="AH71" s="156"/>
      <c r="AI71" s="156"/>
      <c r="AJ71" s="156"/>
      <c r="AK71" s="156"/>
      <c r="AL71" s="156"/>
      <c r="AM71" s="156"/>
      <c r="AN71" s="156"/>
      <c r="AO71" s="156"/>
      <c r="AP71" s="156"/>
      <c r="AQ71" s="182"/>
      <c r="AR71" s="182"/>
      <c r="AS71" s="183"/>
      <c r="AT71" s="183"/>
      <c r="AU71" s="183"/>
      <c r="AV71" s="147"/>
      <c r="BE71" s="156"/>
      <c r="BF71" s="156"/>
      <c r="BG71" s="156"/>
      <c r="BH71" s="156"/>
      <c r="BI71" s="156"/>
      <c r="BJ71" s="156"/>
      <c r="BK71" s="156"/>
      <c r="BL71" s="156"/>
      <c r="BM71" s="156"/>
    </row>
    <row r="72" spans="1:73" s="127" customFormat="1" ht="14.25" customHeight="1">
      <c r="D72" s="267"/>
      <c r="E72" s="264"/>
      <c r="G72" s="189"/>
      <c r="W72" s="190"/>
      <c r="X72" s="191"/>
      <c r="AC72" s="147"/>
      <c r="AD72" s="147"/>
      <c r="AE72" s="147"/>
      <c r="AF72" s="147"/>
      <c r="AG72" s="147"/>
      <c r="AH72" s="156"/>
      <c r="AI72" s="156"/>
      <c r="AJ72" s="156"/>
      <c r="AK72" s="156"/>
      <c r="AL72" s="156"/>
      <c r="AM72" s="156"/>
      <c r="AN72" s="156"/>
      <c r="AO72" s="156"/>
      <c r="AP72" s="156"/>
      <c r="AQ72" s="182"/>
      <c r="AR72" s="182"/>
      <c r="AS72" s="183"/>
      <c r="AT72" s="183"/>
      <c r="AU72" s="183"/>
      <c r="AV72" s="147"/>
      <c r="BE72" s="156"/>
      <c r="BF72" s="156"/>
      <c r="BG72" s="156"/>
      <c r="BH72" s="156"/>
      <c r="BI72" s="156"/>
      <c r="BJ72" s="156"/>
      <c r="BK72" s="156"/>
      <c r="BL72" s="156"/>
      <c r="BM72" s="156"/>
    </row>
    <row r="73" spans="1:73" s="127" customFormat="1" ht="14.25" customHeight="1">
      <c r="A73" s="779" t="s">
        <v>804</v>
      </c>
      <c r="B73" s="830"/>
      <c r="C73" s="247" t="str">
        <f>$D$3</f>
        <v>Simulation</v>
      </c>
      <c r="D73" s="131" t="str">
        <f>Baseline!$D$3</f>
        <v>Baseline</v>
      </c>
      <c r="E73" s="263"/>
      <c r="F73" s="779" t="s">
        <v>678</v>
      </c>
      <c r="G73" s="830"/>
      <c r="H73" s="247" t="str">
        <f>$D$3</f>
        <v>Simulation</v>
      </c>
      <c r="I73" s="131" t="str">
        <f>Baseline!$D$3</f>
        <v>Baseline</v>
      </c>
      <c r="K73" s="270" t="s">
        <v>332</v>
      </c>
      <c r="L73" s="863" t="str">
        <f>D3</f>
        <v>Simulation</v>
      </c>
      <c r="M73" s="864"/>
      <c r="N73" s="873" t="str">
        <f>Baseline!$D$3</f>
        <v>Baseline</v>
      </c>
      <c r="O73" s="810"/>
      <c r="Q73" s="860" t="s">
        <v>547</v>
      </c>
      <c r="R73" s="861"/>
      <c r="S73" s="861"/>
      <c r="T73" s="861"/>
      <c r="U73" s="861"/>
      <c r="V73" s="861"/>
      <c r="W73" s="862"/>
      <c r="X73" s="247" t="str">
        <f>$D$3</f>
        <v>Simulation</v>
      </c>
      <c r="Y73" s="131" t="str">
        <f>Baseline!$D$3</f>
        <v>Baseline</v>
      </c>
      <c r="AC73" s="147"/>
      <c r="AD73" s="147"/>
      <c r="AE73" s="147"/>
      <c r="AF73" s="147"/>
      <c r="AG73" s="147"/>
      <c r="AH73" s="156"/>
      <c r="AI73" s="193"/>
      <c r="AJ73" s="170"/>
      <c r="AK73" s="170"/>
      <c r="AL73" s="170"/>
      <c r="AM73" s="170"/>
      <c r="AN73" s="170"/>
      <c r="AO73" s="170"/>
      <c r="AP73" s="193"/>
      <c r="AQ73" s="145"/>
      <c r="AR73" s="145"/>
      <c r="AS73" s="183"/>
      <c r="AT73" s="183"/>
      <c r="AU73" s="183"/>
      <c r="AV73" s="147"/>
      <c r="BE73" s="156"/>
      <c r="BF73" s="156"/>
      <c r="BG73" s="156"/>
      <c r="BH73" s="156"/>
      <c r="BI73" s="194"/>
      <c r="BJ73" s="156"/>
      <c r="BK73" s="194"/>
      <c r="BL73" s="195"/>
      <c r="BM73" s="156"/>
    </row>
    <row r="74" spans="1:73" s="127" customFormat="1" ht="14.25" customHeight="1">
      <c r="A74" s="541" t="s">
        <v>801</v>
      </c>
      <c r="B74" s="521" t="s">
        <v>550</v>
      </c>
      <c r="C74" s="197">
        <f>C80-SUM(C75:C79)</f>
        <v>3296.3211127374148</v>
      </c>
      <c r="D74" s="198">
        <f>Baseline!STECsf</f>
        <v>3296.3211127374148</v>
      </c>
      <c r="F74" s="199" t="s">
        <v>336</v>
      </c>
      <c r="G74" s="196"/>
      <c r="H74" s="160" t="s">
        <v>290</v>
      </c>
      <c r="I74" s="198" t="str">
        <f>Baseline!H74</f>
        <v>No</v>
      </c>
      <c r="K74" s="271"/>
      <c r="L74" s="200" t="s">
        <v>110</v>
      </c>
      <c r="M74" s="200" t="s">
        <v>333</v>
      </c>
      <c r="N74" s="271" t="s">
        <v>110</v>
      </c>
      <c r="O74" s="271" t="s">
        <v>333</v>
      </c>
      <c r="Q74" s="769" t="s">
        <v>689</v>
      </c>
      <c r="R74" s="293"/>
      <c r="S74" s="293"/>
      <c r="T74" s="293"/>
      <c r="U74" s="293"/>
      <c r="V74" s="293"/>
      <c r="W74" s="268" t="str">
        <f>LocCur&amp;"/t cli"</f>
        <v>USD/t cli</v>
      </c>
      <c r="X74" s="201">
        <f>IF(K11=0,0,SUMPRODUCT(K21:K69,E21:E69)/K11)</f>
        <v>17.011204532401987</v>
      </c>
      <c r="Y74" s="165">
        <f>Baseline!TECpT</f>
        <v>18.194375814795272</v>
      </c>
      <c r="AD74" s="358"/>
      <c r="AJ74" s="156"/>
      <c r="AK74" s="156"/>
      <c r="AL74" s="156"/>
      <c r="AM74" s="156"/>
      <c r="AN74" s="156"/>
      <c r="AO74" s="156"/>
      <c r="AP74" s="156"/>
      <c r="AQ74" s="182" t="s">
        <v>114</v>
      </c>
      <c r="AR74" s="182"/>
      <c r="AS74" s="183"/>
      <c r="AT74" s="183"/>
      <c r="AU74" s="183"/>
      <c r="AV74" s="149"/>
      <c r="BE74" s="156"/>
      <c r="BF74" s="156"/>
      <c r="BG74" s="156"/>
      <c r="BH74" s="156"/>
      <c r="BI74" s="147"/>
      <c r="BJ74" s="156"/>
      <c r="BK74" s="203"/>
      <c r="BL74" s="147"/>
      <c r="BM74" s="156"/>
    </row>
    <row r="75" spans="1:73" s="127" customFormat="1" ht="14.25" customHeight="1">
      <c r="A75" s="827" t="s">
        <v>802</v>
      </c>
      <c r="B75" s="288" t="s">
        <v>754</v>
      </c>
      <c r="C75" s="197">
        <f>AT130-AG130</f>
        <v>1.5046238741883826</v>
      </c>
      <c r="D75" s="198">
        <f>Baseline!C75</f>
        <v>3.678887262585409</v>
      </c>
      <c r="F75" s="372" t="s">
        <v>692</v>
      </c>
      <c r="G75" s="288"/>
      <c r="H75" s="374">
        <v>0</v>
      </c>
      <c r="I75" s="375">
        <f>Baseline!H75</f>
        <v>0</v>
      </c>
      <c r="K75" s="205" t="str">
        <f>AG146</f>
        <v>BZ</v>
      </c>
      <c r="L75" s="206">
        <f>IF($AV$114=0,0,AU104/$AV$114*100)</f>
        <v>9.4342128326769927</v>
      </c>
      <c r="M75" s="206">
        <f>SUMIFS($H$21:$H$69,$F$21:$F$69,"="&amp;K75)</f>
        <v>40.000000000156831</v>
      </c>
      <c r="N75" s="248">
        <f>Baseline!L75</f>
        <v>0</v>
      </c>
      <c r="O75" s="248">
        <f>Baseline!M75</f>
        <v>39.999791691823681</v>
      </c>
      <c r="Q75" s="771"/>
      <c r="R75" s="389"/>
      <c r="S75" s="389"/>
      <c r="T75" s="389"/>
      <c r="U75" s="389"/>
      <c r="V75" s="389"/>
      <c r="W75" s="196" t="str">
        <f>LocCur&amp;"/GJ"</f>
        <v>USD/GJ</v>
      </c>
      <c r="X75" s="207">
        <f>IF(SUMPRODUCT(E21:E69,M21:M69)=0,0,SUMPRODUCT(E21:E69,K21:K69)/SUMPRODUCT(E21:E69,M21:M69))</f>
        <v>5.0937787605683349</v>
      </c>
      <c r="Y75" s="207">
        <f>Baseline!TECpG</f>
        <v>5.5134604512280578</v>
      </c>
      <c r="AD75" s="358"/>
      <c r="AJ75" s="124"/>
      <c r="AK75" s="124"/>
      <c r="AL75" s="124"/>
      <c r="AM75" s="124"/>
      <c r="AN75" s="124"/>
      <c r="AO75" s="124"/>
      <c r="AP75" s="124"/>
      <c r="AQ75" s="182"/>
      <c r="AR75" s="182"/>
      <c r="AS75" s="183"/>
      <c r="AT75" s="183"/>
      <c r="AU75" s="183"/>
      <c r="AV75" s="149"/>
      <c r="BE75" s="156"/>
      <c r="BF75" s="156"/>
      <c r="BG75" s="156"/>
      <c r="BH75" s="156"/>
      <c r="BI75" s="124"/>
      <c r="BJ75" s="124"/>
      <c r="BK75" s="124"/>
      <c r="BL75" s="124"/>
      <c r="BM75" s="124"/>
    </row>
    <row r="76" spans="1:73" s="127" customFormat="1" ht="14.25" customHeight="1">
      <c r="A76" s="803"/>
      <c r="B76" s="288" t="s">
        <v>755</v>
      </c>
      <c r="C76" s="197">
        <f>AU130</f>
        <v>41.778382846481271</v>
      </c>
      <c r="D76" s="198">
        <f>Baseline!C76</f>
        <v>0</v>
      </c>
      <c r="F76" s="372" t="s">
        <v>693</v>
      </c>
      <c r="G76" s="196"/>
      <c r="H76" s="374">
        <v>0</v>
      </c>
      <c r="I76" s="375">
        <f>Baseline!H76</f>
        <v>0</v>
      </c>
      <c r="K76" s="205" t="str">
        <f>AG147</f>
        <v>ILC</v>
      </c>
      <c r="L76" s="206">
        <f>IF($AV$114=0,0,AU106/$AV$114*100)</f>
        <v>2.1441392801538621E-3</v>
      </c>
      <c r="M76" s="206">
        <f>SUMIFS($H$21:$H$69,$F$21:$F$69,"="&amp;K76)</f>
        <v>59.999999999843176</v>
      </c>
      <c r="N76" s="248">
        <f>Baseline!L76</f>
        <v>0</v>
      </c>
      <c r="O76" s="248">
        <f>Baseline!M76</f>
        <v>60.000208308176326</v>
      </c>
      <c r="Q76" s="370" t="s">
        <v>722</v>
      </c>
      <c r="W76" s="288" t="str">
        <f>LocCur&amp;"/"&amp;D13</f>
        <v>USD/year</v>
      </c>
      <c r="X76" s="242">
        <f>CLI*TECpT</f>
        <v>23756753.153660841</v>
      </c>
      <c r="Y76" s="242">
        <f>Baseline!X76</f>
        <v>25409094</v>
      </c>
      <c r="AJ76" s="182"/>
      <c r="AK76" s="124"/>
      <c r="AL76" s="124"/>
      <c r="AM76" s="124"/>
      <c r="AN76" s="124"/>
      <c r="AO76" s="124"/>
      <c r="AP76" s="124"/>
      <c r="AQ76" s="183"/>
      <c r="AR76" s="183"/>
      <c r="AS76" s="183"/>
      <c r="AT76" s="183"/>
      <c r="AU76" s="183"/>
      <c r="AV76" s="147"/>
      <c r="BE76" s="147"/>
      <c r="BF76" s="147"/>
      <c r="BG76" s="147"/>
      <c r="BH76" s="147"/>
      <c r="BI76" s="182"/>
      <c r="BJ76" s="182"/>
      <c r="BK76" s="147"/>
      <c r="BL76" s="147"/>
      <c r="BM76" s="147"/>
    </row>
    <row r="77" spans="1:73" s="127" customFormat="1" ht="14.25" customHeight="1">
      <c r="A77" s="803"/>
      <c r="B77" s="521" t="s">
        <v>756</v>
      </c>
      <c r="C77" s="197">
        <f>H75*Guidelines!$M$233+H76*Guidelines!$M$234</f>
        <v>0</v>
      </c>
      <c r="D77" s="198">
        <f>Baseline!C77</f>
        <v>0</v>
      </c>
      <c r="K77" s="205" t="str">
        <f>AG148</f>
        <v>SLC/OLC/MFC</v>
      </c>
      <c r="L77" s="206">
        <f>IF($AV$114=0,0,AU108/$AV$114*100)</f>
        <v>0</v>
      </c>
      <c r="M77" s="206">
        <f>SUMIFS($H$21:$H$69,$F$21:$F$69,"="&amp;K77)</f>
        <v>0</v>
      </c>
      <c r="N77" s="248">
        <f>Baseline!L77</f>
        <v>0</v>
      </c>
      <c r="O77" s="248">
        <f>Baseline!M77</f>
        <v>0</v>
      </c>
      <c r="Q77" s="318" t="s">
        <v>111</v>
      </c>
      <c r="R77" s="211"/>
      <c r="S77" s="211"/>
      <c r="T77" s="211"/>
      <c r="U77" s="211"/>
      <c r="V77" s="211"/>
      <c r="W77" s="196"/>
      <c r="X77" s="201">
        <f>IF(SUMPRODUCT(AH113:AM113,AH131:AM131)=0,0,(1-(SUMPRODUCT(K21:K69,E21:E69)*(1-X78/100)/SUMPRODUCT(AH113:AM113,AH131:AM131)))*100)</f>
        <v>7.7669276156497098</v>
      </c>
      <c r="Y77" s="165">
        <f>Baseline!TEE</f>
        <v>0</v>
      </c>
      <c r="AJ77" s="182"/>
      <c r="AK77" s="124"/>
      <c r="AL77" s="124"/>
      <c r="AM77" s="124"/>
      <c r="AN77" s="124"/>
      <c r="AO77" s="124"/>
      <c r="AP77" s="124"/>
      <c r="AQ77" s="124"/>
      <c r="AR77" s="124"/>
      <c r="AS77" s="183"/>
      <c r="AT77" s="183"/>
      <c r="AU77" s="183"/>
      <c r="AV77" s="124"/>
      <c r="BE77" s="147"/>
      <c r="BF77" s="147"/>
      <c r="BG77" s="147"/>
      <c r="BH77" s="147"/>
      <c r="BI77" s="182"/>
      <c r="BJ77" s="182"/>
      <c r="BK77" s="124"/>
      <c r="BL77" s="124"/>
      <c r="BM77" s="147"/>
    </row>
    <row r="78" spans="1:73" s="127" customFormat="1" ht="14.25" customHeight="1">
      <c r="A78" s="803"/>
      <c r="B78" s="521" t="s">
        <v>753</v>
      </c>
      <c r="C78" s="197">
        <f>SUM(E86:E90)</f>
        <v>0</v>
      </c>
      <c r="D78" s="198">
        <f>Baseline!C78</f>
        <v>0</v>
      </c>
      <c r="F78" s="815" t="s">
        <v>679</v>
      </c>
      <c r="G78" s="817"/>
      <c r="H78" s="247" t="str">
        <f>$D$3</f>
        <v>Simulation</v>
      </c>
      <c r="I78" s="131" t="str">
        <f>Baseline!$D$3</f>
        <v>Baseline</v>
      </c>
      <c r="K78" s="205" t="str">
        <f>AG149</f>
        <v>PCC</v>
      </c>
      <c r="L78" s="206">
        <f>IF($AV$114=0,0,AU110/$AV$114*100)</f>
        <v>0</v>
      </c>
      <c r="M78" s="206">
        <f>SUMIFS($H$21:$H$69,$F$21:$F$69,"="&amp;K78)</f>
        <v>0</v>
      </c>
      <c r="N78" s="248">
        <f>Baseline!L78</f>
        <v>0</v>
      </c>
      <c r="O78" s="248">
        <f>Baseline!M78</f>
        <v>0</v>
      </c>
      <c r="Q78" s="318" t="s">
        <v>110</v>
      </c>
      <c r="R78" s="211"/>
      <c r="S78" s="211"/>
      <c r="T78" s="211"/>
      <c r="U78" s="211"/>
      <c r="V78" s="211"/>
      <c r="W78" s="196"/>
      <c r="X78" s="201">
        <f>H71</f>
        <v>9.4363569719571458</v>
      </c>
      <c r="Y78" s="165">
        <f>Baseline!TSR</f>
        <v>0</v>
      </c>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47"/>
      <c r="BI78" s="182"/>
      <c r="BJ78" s="182"/>
      <c r="BK78" s="145"/>
      <c r="BL78" s="182"/>
      <c r="BM78" s="182"/>
      <c r="BN78" s="182"/>
      <c r="BO78" s="182"/>
      <c r="BP78" s="182"/>
      <c r="BQ78" s="182"/>
      <c r="BR78" s="182"/>
      <c r="BS78" s="183"/>
      <c r="BT78" s="124"/>
      <c r="BU78" s="124"/>
    </row>
    <row r="79" spans="1:73" s="127" customFormat="1" ht="14.25" customHeight="1">
      <c r="A79" s="804"/>
      <c r="B79" s="288" t="s">
        <v>677</v>
      </c>
      <c r="C79" s="369">
        <v>0</v>
      </c>
      <c r="D79" s="198">
        <f>Baseline!C79</f>
        <v>0</v>
      </c>
      <c r="F79" s="751" t="s">
        <v>754</v>
      </c>
      <c r="G79" s="288" t="s">
        <v>306</v>
      </c>
      <c r="H79" s="210">
        <f>AT123</f>
        <v>0</v>
      </c>
      <c r="I79" s="252">
        <f>Baseline!H79</f>
        <v>0</v>
      </c>
      <c r="K79" s="205" t="str">
        <f>AG150</f>
        <v>SF</v>
      </c>
      <c r="L79" s="206">
        <f>IF($AV$114=0,0,AU112/$AV$114*100)</f>
        <v>0</v>
      </c>
      <c r="M79" s="206">
        <f>SUMIFS($H$21:$H$69,$F$21:$F$69,"="&amp;K79)</f>
        <v>0</v>
      </c>
      <c r="N79" s="248">
        <f>Baseline!L79</f>
        <v>0</v>
      </c>
      <c r="O79" s="248">
        <f>Baseline!M79</f>
        <v>0</v>
      </c>
      <c r="Q79" s="287" t="s">
        <v>259</v>
      </c>
      <c r="R79" s="211"/>
      <c r="S79" s="211"/>
      <c r="T79" s="211"/>
      <c r="U79" s="211"/>
      <c r="V79" s="211"/>
      <c r="W79" s="196"/>
      <c r="X79" s="213">
        <f>IF(X78=0,0,X77/X78)</f>
        <v>0.82308539606241826</v>
      </c>
      <c r="Y79" s="214" t="str">
        <f>IF(Y78=0,"-",Y77/Y78)</f>
        <v>-</v>
      </c>
      <c r="Z79" s="218"/>
      <c r="BF79" s="124"/>
      <c r="BG79" s="182"/>
      <c r="BH79" s="182"/>
      <c r="BI79" s="182"/>
      <c r="BJ79" s="182"/>
      <c r="BK79" s="145"/>
      <c r="BL79" s="182"/>
      <c r="BM79" s="182"/>
      <c r="BN79" s="182"/>
      <c r="BO79" s="182"/>
      <c r="BP79" s="182"/>
      <c r="BQ79" s="182"/>
      <c r="BR79" s="182"/>
      <c r="BS79" s="183"/>
      <c r="BT79" s="124"/>
      <c r="BU79" s="124"/>
    </row>
    <row r="80" spans="1:73" s="127" customFormat="1" ht="14.25" customHeight="1">
      <c r="A80" s="803" t="s">
        <v>803</v>
      </c>
      <c r="B80" s="288" t="s">
        <v>490</v>
      </c>
      <c r="C80" s="197">
        <f>Baseline!C80-SUM(Baseline!C75:C79)+SUM(Liquids!C75:C79)</f>
        <v>3339.6041194580844</v>
      </c>
      <c r="D80" s="198">
        <f>Baseline!C80</f>
        <v>3300</v>
      </c>
      <c r="F80" s="752"/>
      <c r="G80" s="288" t="s">
        <v>310</v>
      </c>
      <c r="H80" s="212"/>
      <c r="I80" s="252">
        <f>Baseline!H80</f>
        <v>0</v>
      </c>
      <c r="K80" s="205" t="s">
        <v>60</v>
      </c>
      <c r="L80" s="206">
        <f>SUM(L75:L79)</f>
        <v>9.4363569719571458</v>
      </c>
      <c r="M80" s="206">
        <f>SUM(M75:M79)</f>
        <v>100</v>
      </c>
      <c r="N80" s="206">
        <f>SUM(N75:N79)</f>
        <v>0</v>
      </c>
      <c r="O80" s="206">
        <f>SUM(O75:O79)</f>
        <v>100</v>
      </c>
      <c r="Q80" s="593" t="str">
        <f>"SPCs, "&amp;LocCur&amp;"/a"</f>
        <v>SPCs, USD/a</v>
      </c>
      <c r="R80" s="211"/>
      <c r="S80" s="211"/>
      <c r="T80" s="211"/>
      <c r="U80" s="211"/>
      <c r="V80" s="211"/>
      <c r="W80" s="288"/>
      <c r="X80" s="594">
        <v>-500000</v>
      </c>
      <c r="Y80" s="284">
        <f>Baseline!X80</f>
        <v>0</v>
      </c>
      <c r="Z80" s="218"/>
      <c r="BF80" s="124"/>
      <c r="BG80" s="182"/>
      <c r="BH80" s="182"/>
      <c r="BI80" s="182"/>
      <c r="BJ80" s="182"/>
      <c r="BK80" s="145"/>
      <c r="BL80" s="182"/>
      <c r="BM80" s="182"/>
      <c r="BN80" s="182"/>
      <c r="BO80" s="182"/>
      <c r="BP80" s="182"/>
      <c r="BQ80" s="182"/>
      <c r="BR80" s="182"/>
      <c r="BS80" s="183"/>
      <c r="BT80" s="124"/>
      <c r="BU80" s="124"/>
    </row>
    <row r="81" spans="1:73" s="127" customFormat="1" ht="14.25" customHeight="1">
      <c r="A81" s="804"/>
      <c r="B81" s="288" t="s">
        <v>549</v>
      </c>
      <c r="C81" s="198">
        <f>IF(K11=0,,(SUMPRODUCT(M21:M69,E21:E69))*1000/K11)</f>
        <v>3339.6041194580607</v>
      </c>
      <c r="D81" s="198">
        <f>Baseline!C81</f>
        <v>3299.9920786123876</v>
      </c>
      <c r="E81" s="219"/>
      <c r="F81" s="751" t="s">
        <v>755</v>
      </c>
      <c r="G81" s="288" t="s">
        <v>306</v>
      </c>
      <c r="H81" s="210">
        <f>AU123</f>
        <v>0</v>
      </c>
      <c r="I81" s="252">
        <f>Baseline!H81</f>
        <v>0</v>
      </c>
      <c r="Q81" s="522" t="str">
        <f>IF(SPC=0,"Op. GAV AF, ","GAV AF, ")&amp;LocCur&amp;"/a"</f>
        <v>GAV AF, USD/a</v>
      </c>
      <c r="R81" s="211"/>
      <c r="S81" s="211"/>
      <c r="T81" s="211"/>
      <c r="U81" s="211"/>
      <c r="V81" s="211"/>
      <c r="W81" s="196"/>
      <c r="X81" s="198">
        <f>IF(AV114=0,0,SUMPRODUCT(AH113:AM113,AH131:AM131)/(1-X78/100)-SUMPRODUCT(AH113:AM113,AH131:AM131)-SUMPRODUCT(AN113:AS113,AN131:AS131)+$D$15*(AV146+AV147)/AV114*AV150)+X80</f>
        <v>1500551.1836191416</v>
      </c>
      <c r="Y81" s="284">
        <f>Baseline!X81</f>
        <v>0</v>
      </c>
      <c r="AD81" s="544"/>
      <c r="AF81" s="124"/>
      <c r="AG81" s="124"/>
      <c r="AH81" s="182"/>
      <c r="AI81" s="182"/>
      <c r="BF81" s="124"/>
      <c r="BG81" s="182"/>
      <c r="BH81" s="182"/>
      <c r="BI81" s="182"/>
      <c r="BJ81" s="182"/>
      <c r="BK81" s="182"/>
      <c r="BL81" s="182"/>
      <c r="BM81" s="182"/>
      <c r="BN81" s="182"/>
      <c r="BO81" s="182"/>
      <c r="BP81" s="182"/>
      <c r="BQ81" s="182"/>
      <c r="BR81" s="182"/>
      <c r="BS81" s="183"/>
      <c r="BT81" s="124"/>
      <c r="BU81" s="124"/>
    </row>
    <row r="82" spans="1:73" s="127" customFormat="1" ht="14.25" customHeight="1">
      <c r="A82" s="209" t="s">
        <v>335</v>
      </c>
      <c r="B82" s="215"/>
      <c r="C82" s="197">
        <f>C81-C80</f>
        <v>-2.3646862246096134E-11</v>
      </c>
      <c r="D82" s="198">
        <f>Baseline!C82</f>
        <v>-7.9213876124413218E-3</v>
      </c>
      <c r="E82" s="219"/>
      <c r="F82" s="752"/>
      <c r="G82" s="288" t="s">
        <v>310</v>
      </c>
      <c r="H82" s="212"/>
      <c r="I82" s="252">
        <f>Baseline!H82</f>
        <v>0</v>
      </c>
      <c r="L82" s="569"/>
      <c r="Q82" s="287" t="str">
        <f>LocCur&amp;":"&amp;IntCur&amp;" exchange rate"</f>
        <v>USD:CHF exchange rate</v>
      </c>
      <c r="R82" s="551"/>
      <c r="S82" s="551"/>
      <c r="T82" s="551"/>
      <c r="U82" s="551"/>
      <c r="V82" s="551"/>
      <c r="W82" s="288"/>
      <c r="X82" s="552">
        <v>1.05</v>
      </c>
      <c r="Y82" s="554">
        <f>Baseline!X82</f>
        <v>1.05</v>
      </c>
      <c r="AD82" s="544"/>
      <c r="AF82" s="124"/>
      <c r="AG82" s="124"/>
      <c r="AH82" s="182"/>
      <c r="AI82" s="182"/>
      <c r="BF82" s="124"/>
      <c r="BG82" s="182"/>
      <c r="BH82" s="182"/>
      <c r="BI82" s="182"/>
      <c r="BJ82" s="182"/>
      <c r="BK82" s="182"/>
      <c r="BL82" s="182"/>
      <c r="BM82" s="182"/>
      <c r="BN82" s="182"/>
      <c r="BO82" s="182"/>
      <c r="BP82" s="182"/>
      <c r="BQ82" s="182"/>
      <c r="BR82" s="182"/>
      <c r="BS82" s="183"/>
      <c r="BT82" s="124"/>
      <c r="BU82" s="124"/>
    </row>
    <row r="83" spans="1:73" s="127" customFormat="1" ht="14.25" customHeight="1" collapsed="1">
      <c r="E83" s="219"/>
      <c r="Q83" s="522" t="str">
        <f>IF(SPC=0,"Op. GAV AF, ","GAV AF, ")&amp;IntCur&amp;"/a"</f>
        <v>GAV AF, CHF/a</v>
      </c>
      <c r="R83" s="551"/>
      <c r="S83" s="551"/>
      <c r="T83" s="551"/>
      <c r="U83" s="551"/>
      <c r="V83" s="551"/>
      <c r="W83" s="288"/>
      <c r="X83" s="198">
        <f>IF(X82=0,0,X81/X82)</f>
        <v>1429096.3653515633</v>
      </c>
      <c r="Y83" s="198">
        <f>IF(Y82=0,0,Y81/Y82)</f>
        <v>0</v>
      </c>
      <c r="AF83" s="124"/>
      <c r="AG83" s="124"/>
      <c r="AH83" s="182"/>
      <c r="AI83" s="182"/>
      <c r="BF83" s="124"/>
      <c r="BG83" s="182"/>
      <c r="BH83" s="182"/>
      <c r="BI83" s="182"/>
      <c r="BJ83" s="182"/>
      <c r="BK83" s="182"/>
      <c r="BL83" s="182"/>
      <c r="BM83" s="182"/>
      <c r="BN83" s="182"/>
      <c r="BO83" s="182"/>
      <c r="BP83" s="182"/>
      <c r="BQ83" s="182"/>
      <c r="BR83" s="182"/>
      <c r="BS83" s="183"/>
      <c r="BT83" s="124"/>
      <c r="BU83" s="124"/>
    </row>
    <row r="84" spans="1:73" s="127" customFormat="1" ht="14.25" hidden="1" customHeight="1" outlineLevel="1">
      <c r="A84" s="767" t="s">
        <v>759</v>
      </c>
      <c r="B84" s="757" t="s">
        <v>815</v>
      </c>
      <c r="C84" s="758"/>
      <c r="D84" s="270" t="s">
        <v>735</v>
      </c>
      <c r="E84" s="270" t="s">
        <v>736</v>
      </c>
      <c r="AF84" s="124"/>
      <c r="AG84" s="124"/>
      <c r="AH84" s="182"/>
      <c r="AI84" s="182"/>
      <c r="BF84" s="124"/>
      <c r="BG84" s="182"/>
      <c r="BH84" s="182"/>
      <c r="BI84" s="182"/>
      <c r="BJ84" s="182"/>
      <c r="BK84" s="182"/>
      <c r="BL84" s="182"/>
      <c r="BM84" s="182"/>
      <c r="BN84" s="182"/>
      <c r="BO84" s="182"/>
      <c r="BP84" s="182"/>
      <c r="BQ84" s="182"/>
      <c r="BR84" s="182"/>
      <c r="BS84" s="183"/>
      <c r="BT84" s="124"/>
      <c r="BU84" s="124"/>
    </row>
    <row r="85" spans="1:73" s="127" customFormat="1" ht="14.25" hidden="1" customHeight="1" outlineLevel="1">
      <c r="A85" s="768"/>
      <c r="B85" s="759" t="s">
        <v>747</v>
      </c>
      <c r="C85" s="760"/>
      <c r="D85" s="271" t="s">
        <v>734</v>
      </c>
      <c r="E85" s="271" t="s">
        <v>358</v>
      </c>
      <c r="AF85" s="124"/>
      <c r="AG85" s="124"/>
      <c r="AH85" s="182"/>
      <c r="AI85" s="182"/>
      <c r="BF85" s="124"/>
      <c r="BG85" s="182"/>
      <c r="BH85" s="182"/>
      <c r="BI85" s="182"/>
      <c r="BJ85" s="182"/>
      <c r="BK85" s="182"/>
      <c r="BL85" s="182"/>
      <c r="BM85" s="182"/>
      <c r="BN85" s="182"/>
      <c r="BO85" s="182"/>
      <c r="BP85" s="182"/>
      <c r="BQ85" s="182"/>
      <c r="BR85" s="182"/>
      <c r="BS85" s="183"/>
      <c r="BT85" s="124"/>
      <c r="BU85" s="124"/>
    </row>
    <row r="86" spans="1:73" s="127" customFormat="1" ht="14.25" hidden="1" customHeight="1" outlineLevel="1">
      <c r="A86" s="205" t="s">
        <v>737</v>
      </c>
      <c r="B86" s="755"/>
      <c r="C86" s="756"/>
      <c r="D86" s="397"/>
      <c r="E86" s="398">
        <f>IF(OR(B86=$AE$154,B86=0),0,VLOOKUP(B86,Guidelines!$A$253:$H$260,6,FALSE)*D86*$K$9*$D$14*24*Guidelines!$M$232/CLI/100)</f>
        <v>0</v>
      </c>
      <c r="AF86" s="124"/>
      <c r="AG86" s="124"/>
      <c r="AH86" s="182"/>
      <c r="AI86" s="182"/>
      <c r="BF86" s="124"/>
      <c r="BG86" s="182"/>
      <c r="BH86" s="182"/>
      <c r="BI86" s="182"/>
      <c r="BJ86" s="182"/>
      <c r="BK86" s="182"/>
      <c r="BL86" s="182"/>
      <c r="BM86" s="182"/>
      <c r="BN86" s="182"/>
      <c r="BO86" s="182"/>
      <c r="BP86" s="182"/>
      <c r="BQ86" s="182"/>
      <c r="BR86" s="182"/>
      <c r="BS86" s="183"/>
      <c r="BT86" s="124"/>
      <c r="BU86" s="124"/>
    </row>
    <row r="87" spans="1:73" s="127" customFormat="1" ht="14.25" hidden="1" customHeight="1" outlineLevel="1">
      <c r="A87" s="205" t="s">
        <v>738</v>
      </c>
      <c r="B87" s="755"/>
      <c r="C87" s="756"/>
      <c r="D87" s="397"/>
      <c r="E87" s="398">
        <f>IF(OR(B87=$AE$154,B87=0),0,VLOOKUP(B87,Guidelines!$A$253:$H$260,6,FALSE)*D87*$K$9*$D$14*24*Guidelines!$M$232/CLI/100)</f>
        <v>0</v>
      </c>
      <c r="AF87" s="124"/>
      <c r="AG87" s="124"/>
      <c r="AH87" s="182"/>
      <c r="AI87" s="182"/>
      <c r="BF87" s="124"/>
      <c r="BG87" s="182"/>
      <c r="BH87" s="182"/>
      <c r="BI87" s="182"/>
      <c r="BJ87" s="182"/>
      <c r="BK87" s="182"/>
      <c r="BL87" s="182"/>
      <c r="BM87" s="182"/>
      <c r="BN87" s="182"/>
      <c r="BO87" s="182"/>
      <c r="BP87" s="182"/>
      <c r="BQ87" s="182"/>
      <c r="BR87" s="182"/>
      <c r="BS87" s="183"/>
      <c r="BT87" s="124"/>
      <c r="BU87" s="124"/>
    </row>
    <row r="88" spans="1:73" s="127" customFormat="1" ht="14.25" hidden="1" customHeight="1" outlineLevel="1">
      <c r="A88" s="205" t="s">
        <v>739</v>
      </c>
      <c r="B88" s="755"/>
      <c r="C88" s="756"/>
      <c r="D88" s="397"/>
      <c r="E88" s="398">
        <f>IF(OR(B88=$AE$154,B88=0),0,VLOOKUP(B88,Guidelines!$A$253:$H$260,6,FALSE)*D88*$K$9*$D$14*24*Guidelines!$M$232/CLI/100)</f>
        <v>0</v>
      </c>
      <c r="AF88" s="124"/>
      <c r="AG88" s="124"/>
      <c r="AH88" s="182"/>
      <c r="AI88" s="182"/>
      <c r="BF88" s="124"/>
      <c r="BG88" s="182"/>
      <c r="BH88" s="182"/>
      <c r="BI88" s="182"/>
      <c r="BJ88" s="182"/>
      <c r="BK88" s="182"/>
      <c r="BL88" s="182"/>
      <c r="BM88" s="182"/>
      <c r="BN88" s="182"/>
      <c r="BO88" s="182"/>
      <c r="BP88" s="182"/>
      <c r="BQ88" s="182"/>
      <c r="BR88" s="182"/>
      <c r="BS88" s="183"/>
      <c r="BT88" s="124"/>
      <c r="BU88" s="124"/>
    </row>
    <row r="89" spans="1:73" s="127" customFormat="1" ht="14.25" hidden="1" customHeight="1" outlineLevel="1">
      <c r="A89" s="205" t="s">
        <v>745</v>
      </c>
      <c r="B89" s="755"/>
      <c r="C89" s="756"/>
      <c r="D89" s="397"/>
      <c r="E89" s="398">
        <f>IF(OR(B89=$AE$154,B89=0),0,VLOOKUP(B89,Guidelines!$A$253:$H$260,6,FALSE)*D89*$K$9*$D$14*24*Guidelines!$M$232/CLI/100)</f>
        <v>0</v>
      </c>
      <c r="AF89" s="124"/>
      <c r="AG89" s="124"/>
      <c r="AH89" s="182"/>
      <c r="AI89" s="182"/>
      <c r="BF89" s="124"/>
      <c r="BG89" s="182"/>
      <c r="BH89" s="182"/>
      <c r="BI89" s="182"/>
      <c r="BJ89" s="182"/>
      <c r="BK89" s="182"/>
      <c r="BL89" s="182"/>
      <c r="BM89" s="182"/>
      <c r="BN89" s="182"/>
      <c r="BO89" s="182"/>
      <c r="BP89" s="182"/>
      <c r="BQ89" s="182"/>
      <c r="BR89" s="182"/>
      <c r="BS89" s="183"/>
      <c r="BT89" s="124"/>
      <c r="BU89" s="124"/>
    </row>
    <row r="90" spans="1:73" s="127" customFormat="1" ht="14.25" hidden="1" customHeight="1" outlineLevel="1">
      <c r="A90" s="205" t="s">
        <v>746</v>
      </c>
      <c r="B90" s="755"/>
      <c r="C90" s="756"/>
      <c r="D90" s="397"/>
      <c r="E90" s="398">
        <f>IF(OR(B90=$AE$154,B90=0),0,VLOOKUP(B90,Guidelines!$A$253:$H$260,6,FALSE)*D90*$K$9*$D$14*24*Guidelines!$M$232/CLI/100)</f>
        <v>0</v>
      </c>
      <c r="AF90" s="124"/>
      <c r="AG90" s="124"/>
      <c r="AH90" s="182"/>
      <c r="AI90" s="182"/>
      <c r="BF90" s="124"/>
      <c r="BG90" s="182"/>
      <c r="BH90" s="182"/>
      <c r="BI90" s="182"/>
      <c r="BJ90" s="182"/>
      <c r="BK90" s="182"/>
      <c r="BL90" s="182"/>
      <c r="BM90" s="182"/>
      <c r="BN90" s="182"/>
      <c r="BO90" s="182"/>
      <c r="BP90" s="182"/>
      <c r="BQ90" s="182"/>
      <c r="BR90" s="182"/>
      <c r="BS90" s="183"/>
      <c r="BT90" s="124"/>
      <c r="BU90" s="124"/>
    </row>
    <row r="91" spans="1:73" s="127" customFormat="1" ht="14.25" customHeight="1">
      <c r="E91" s="219"/>
      <c r="AF91" s="124"/>
      <c r="AG91" s="124"/>
      <c r="AH91" s="182"/>
      <c r="AI91" s="182"/>
      <c r="BF91" s="124"/>
      <c r="BG91" s="182"/>
      <c r="BH91" s="182"/>
      <c r="BI91" s="182"/>
      <c r="BJ91" s="182"/>
      <c r="BK91" s="182"/>
      <c r="BL91" s="182"/>
      <c r="BM91" s="182"/>
      <c r="BN91" s="182"/>
      <c r="BO91" s="182"/>
      <c r="BP91" s="182"/>
      <c r="BQ91" s="182"/>
      <c r="BR91" s="182"/>
      <c r="BS91" s="183"/>
      <c r="BT91" s="124"/>
      <c r="BU91" s="124"/>
    </row>
    <row r="92" spans="1:73" s="127" customFormat="1" ht="14.25" customHeight="1">
      <c r="A92" s="763" t="s">
        <v>581</v>
      </c>
      <c r="B92" s="764"/>
      <c r="C92" s="775" t="s">
        <v>491</v>
      </c>
      <c r="D92" s="776"/>
      <c r="E92" s="265" t="s">
        <v>541</v>
      </c>
      <c r="F92" s="825" t="s">
        <v>261</v>
      </c>
      <c r="G92" s="826"/>
      <c r="H92" s="825" t="s">
        <v>101</v>
      </c>
      <c r="I92" s="842"/>
      <c r="J92" s="826"/>
      <c r="K92" s="220" t="s">
        <v>60</v>
      </c>
      <c r="L92" s="825" t="s">
        <v>109</v>
      </c>
      <c r="M92" s="842"/>
      <c r="N92" s="826"/>
      <c r="O92" s="825" t="s">
        <v>544</v>
      </c>
      <c r="P92" s="842"/>
      <c r="Q92" s="842"/>
      <c r="R92" s="842"/>
      <c r="S92" s="842"/>
      <c r="T92" s="842"/>
      <c r="U92" s="842"/>
      <c r="V92" s="842"/>
      <c r="W92" s="842"/>
      <c r="X92" s="842"/>
      <c r="Y92" s="826"/>
      <c r="BN92" s="182"/>
      <c r="BO92" s="182"/>
      <c r="BP92" s="182"/>
      <c r="BQ92" s="182"/>
      <c r="BR92" s="182"/>
      <c r="BS92" s="183"/>
      <c r="BT92" s="124"/>
      <c r="BU92" s="124"/>
    </row>
    <row r="93" spans="1:73" s="127" customFormat="1" ht="14.25" customHeight="1">
      <c r="A93" s="765"/>
      <c r="B93" s="766"/>
      <c r="C93" s="222" t="s">
        <v>771</v>
      </c>
      <c r="D93" s="222" t="s">
        <v>772</v>
      </c>
      <c r="E93" s="222" t="s">
        <v>114</v>
      </c>
      <c r="F93" s="222" t="s">
        <v>262</v>
      </c>
      <c r="G93" s="222" t="s">
        <v>60</v>
      </c>
      <c r="H93" s="222" t="s">
        <v>23</v>
      </c>
      <c r="I93" s="222" t="s">
        <v>340</v>
      </c>
      <c r="J93" s="222" t="s">
        <v>330</v>
      </c>
      <c r="K93" s="222" t="s">
        <v>260</v>
      </c>
      <c r="L93" s="222" t="s">
        <v>6</v>
      </c>
      <c r="M93" s="222" t="s">
        <v>8</v>
      </c>
      <c r="N93" s="283" t="s">
        <v>12</v>
      </c>
      <c r="O93" s="266"/>
      <c r="P93" s="266"/>
      <c r="Q93" s="266"/>
      <c r="R93" s="266"/>
      <c r="S93" s="266"/>
      <c r="T93" s="283"/>
      <c r="U93" s="266"/>
      <c r="V93" s="266"/>
      <c r="W93" s="266"/>
      <c r="X93" s="266"/>
      <c r="Y93" s="266"/>
      <c r="BN93" s="182"/>
      <c r="BO93" s="182"/>
      <c r="BP93" s="182"/>
      <c r="BQ93" s="182"/>
      <c r="BR93" s="182"/>
      <c r="BS93" s="183"/>
      <c r="BT93" s="182"/>
      <c r="BU93" s="182"/>
    </row>
    <row r="94" spans="1:73" s="127" customFormat="1" ht="14.25" customHeight="1">
      <c r="A94" s="272"/>
      <c r="B94" s="273"/>
      <c r="C94" s="266" t="s">
        <v>22</v>
      </c>
      <c r="D94" s="266" t="s">
        <v>22</v>
      </c>
      <c r="E94" s="266" t="s">
        <v>22</v>
      </c>
      <c r="F94" s="283" t="s">
        <v>26</v>
      </c>
      <c r="G94" s="283" t="s">
        <v>26</v>
      </c>
      <c r="H94" s="283" t="s">
        <v>3</v>
      </c>
      <c r="I94" s="283" t="s">
        <v>51</v>
      </c>
      <c r="J94" s="283" t="s">
        <v>3</v>
      </c>
      <c r="K94" s="283" t="s">
        <v>4</v>
      </c>
      <c r="L94" s="283" t="s">
        <v>3</v>
      </c>
      <c r="M94" s="283" t="s">
        <v>26</v>
      </c>
      <c r="N94" s="283" t="s">
        <v>312</v>
      </c>
      <c r="O94" s="266"/>
      <c r="P94" s="266"/>
      <c r="Q94" s="266"/>
      <c r="R94" s="266"/>
      <c r="S94" s="266"/>
      <c r="T94" s="283"/>
      <c r="U94" s="266"/>
      <c r="V94" s="266"/>
      <c r="W94" s="266"/>
      <c r="X94" s="266"/>
      <c r="Y94" s="266"/>
      <c r="BO94" s="182"/>
      <c r="BP94" s="182"/>
      <c r="BQ94" s="182"/>
      <c r="BR94" s="182"/>
      <c r="BS94" s="183"/>
      <c r="BT94" s="182"/>
      <c r="BU94" s="182"/>
    </row>
    <row r="95" spans="1:73" s="127" customFormat="1" ht="14.25" customHeight="1">
      <c r="A95" s="858" t="str">
        <f>$D$3</f>
        <v>Simulation</v>
      </c>
      <c r="B95" s="859"/>
      <c r="C95" s="226">
        <f>IF(AV114=0,0,AO104/AV114*100)</f>
        <v>0</v>
      </c>
      <c r="D95" s="226">
        <f>IF(AV114=0,0,(AO114+AP114-AO104-AP104)/AV114*100)</f>
        <v>0</v>
      </c>
      <c r="E95" s="226">
        <f>IF(AV114=0,0,AQ112/AV114*100)</f>
        <v>0</v>
      </c>
      <c r="F95" s="226">
        <f>IF(K11=0,0,SUMPRODUCT(($E$21:$E$69*$O$21:$O$69)*(G21:G69=AD155))/$K$11)</f>
        <v>0</v>
      </c>
      <c r="G95" s="226">
        <f>IF(K11=0,0,SUMPRODUCT($E$21:$E$69*$O$21:$O$69)/$K$11)</f>
        <v>1.9243169519832615</v>
      </c>
      <c r="H95" s="227">
        <f>IF(K12=0,,K12)</f>
        <v>0.79553476969040315</v>
      </c>
      <c r="I95" s="227">
        <f>IF(K12=0,0,(K13/94+K14/62)/(K12/80))</f>
        <v>1.1015056962140788</v>
      </c>
      <c r="J95" s="227">
        <f>K14+0.658*K13</f>
        <v>0.67807039116791257</v>
      </c>
      <c r="K95" s="139">
        <f>IF(K11=0,0,(SUMPRODUCT(P21:P69,E21:E69))*10000/K11+$K$15)</f>
        <v>187.9518798279496</v>
      </c>
      <c r="L95" s="226">
        <f>IF(K11=0,0,SUMPRODUCT(($E$21:$E$69*$N$21:$N$69)*($F$21:$F$69=$AG$146))/$K$11)</f>
        <v>0.47563919468456645</v>
      </c>
      <c r="M95" s="226">
        <f>IF(K11=0,0,SUMPRODUCT(($E$21:$E$69*$O$21:$O$69)*($F$21:$F$69=$AG$146))/$K$11)</f>
        <v>0.65635828920877204</v>
      </c>
      <c r="N95" s="227">
        <f>IF(SUMIF(F21:F69,AG146,E21:E69)=0,0,SUMPRODUCT((E21:E69*M21:M69)*(F21:F69=AG146))/SUMIF(F21:F69,AG146,E21:E69))</f>
        <v>24.861000934343387</v>
      </c>
      <c r="O95" s="226"/>
      <c r="P95" s="226"/>
      <c r="Q95" s="226"/>
      <c r="R95" s="226"/>
      <c r="S95" s="226"/>
      <c r="T95" s="226"/>
      <c r="U95" s="226"/>
      <c r="V95" s="226"/>
      <c r="W95" s="226"/>
      <c r="X95" s="226"/>
      <c r="Y95" s="226"/>
      <c r="BO95" s="182"/>
      <c r="BP95" s="182"/>
      <c r="BQ95" s="182"/>
      <c r="BR95" s="182"/>
      <c r="BS95" s="183"/>
      <c r="BT95" s="182"/>
      <c r="BU95" s="182"/>
    </row>
    <row r="96" spans="1:73" s="127" customFormat="1" ht="14.25" customHeight="1">
      <c r="A96" s="856" t="str">
        <f>Baseline!$D$3</f>
        <v>Baseline</v>
      </c>
      <c r="B96" s="857"/>
      <c r="C96" s="226">
        <f>Baseline!C95</f>
        <v>0</v>
      </c>
      <c r="D96" s="226">
        <f>Baseline!D95</f>
        <v>0</v>
      </c>
      <c r="E96" s="226">
        <f>Baseline!E95</f>
        <v>0</v>
      </c>
      <c r="F96" s="226">
        <f>Baseline!ASHc</f>
        <v>0</v>
      </c>
      <c r="G96" s="226">
        <f>Baseline!G95</f>
        <v>2.0434910137004203</v>
      </c>
      <c r="H96" s="227">
        <f>Baseline!H95</f>
        <v>0.81</v>
      </c>
      <c r="I96" s="227">
        <f>Baseline!I95</f>
        <v>1.0862841793978835</v>
      </c>
      <c r="J96" s="227">
        <f>Baseline!J95</f>
        <v>0.68086000000000002</v>
      </c>
      <c r="K96" s="139">
        <f>Baseline!Cl</f>
        <v>75.543637671255254</v>
      </c>
      <c r="L96" s="226">
        <f>Baseline!L95</f>
        <v>6.0085255612437383E-2</v>
      </c>
      <c r="M96" s="226">
        <f>Baseline!M95</f>
        <v>0.80113674149916514</v>
      </c>
      <c r="N96" s="250">
        <f>Baseline!N95</f>
        <v>25.80871111360009</v>
      </c>
      <c r="O96" s="226">
        <f>Baseline!O95</f>
        <v>0</v>
      </c>
      <c r="P96" s="226">
        <f>Baseline!P95</f>
        <v>0</v>
      </c>
      <c r="Q96" s="226">
        <f>Baseline!Q95</f>
        <v>0</v>
      </c>
      <c r="R96" s="226"/>
      <c r="S96" s="226"/>
      <c r="T96" s="226"/>
      <c r="U96" s="226"/>
      <c r="V96" s="226"/>
      <c r="W96" s="226">
        <f>Baseline!W95</f>
        <v>0</v>
      </c>
      <c r="X96" s="226">
        <f>Baseline!X95</f>
        <v>0</v>
      </c>
      <c r="Y96" s="226">
        <f>Baseline!Y95</f>
        <v>0</v>
      </c>
      <c r="BO96" s="182"/>
      <c r="BP96" s="182"/>
      <c r="BQ96" s="182"/>
      <c r="BR96" s="182"/>
      <c r="BS96" s="183"/>
      <c r="BT96" s="182"/>
      <c r="BU96" s="182"/>
    </row>
    <row r="97" spans="1:74" s="127" customFormat="1" ht="14.25" customHeight="1">
      <c r="A97" s="769" t="s">
        <v>292</v>
      </c>
      <c r="B97" s="770"/>
      <c r="C97" s="226">
        <f>IF(ISBLANK(C99),Guidelines!$M$242,C99)</f>
        <v>12</v>
      </c>
      <c r="D97" s="226">
        <f>IF(ISBLANK(D99),Guidelines!$M$243,D99)</f>
        <v>30</v>
      </c>
      <c r="E97" s="226">
        <f>IF(ISBLANK(E99),Guidelines!$M$244,E99)</f>
        <v>5</v>
      </c>
      <c r="F97" s="226" t="str">
        <f>IF(ISBLANK(F99),"-",F99)</f>
        <v>-</v>
      </c>
      <c r="G97" s="226" t="str">
        <f>IF(ISBLANK(G99),"-",G99)</f>
        <v>-</v>
      </c>
      <c r="H97" s="227">
        <f>IF(ISBLANK(H99),Guidelines!$M$247,H99)</f>
        <v>2</v>
      </c>
      <c r="I97" s="227">
        <f>IF(ISBLANK(I99),Guidelines!$M$246,I99)</f>
        <v>0.4</v>
      </c>
      <c r="J97" s="227">
        <f>IF(ISBLANK(J99),Guidelines!$M$248,J99)</f>
        <v>1.2</v>
      </c>
      <c r="K97" s="139">
        <f>IF(ISBLANK(K99),IF(H74=AM146,Guidelines!$M$245+100+(H75*150)+(H76*100),Guidelines!$M$245+(H75*150)+(H76*100)),K99)</f>
        <v>300</v>
      </c>
      <c r="L97" s="226">
        <f>IF(ISBLANK(L99),Guidelines!$M$235,L99)</f>
        <v>2</v>
      </c>
      <c r="M97" s="226">
        <f>IF(ISBLANK(M99),Guidelines!$M$236,M99)</f>
        <v>3</v>
      </c>
      <c r="N97" s="250" t="s">
        <v>51</v>
      </c>
      <c r="O97" s="226" t="s">
        <v>51</v>
      </c>
      <c r="P97" s="226" t="s">
        <v>51</v>
      </c>
      <c r="Q97" s="226" t="s">
        <v>51</v>
      </c>
      <c r="R97" s="226" t="s">
        <v>51</v>
      </c>
      <c r="S97" s="226" t="s">
        <v>51</v>
      </c>
      <c r="T97" s="226"/>
      <c r="U97" s="226" t="s">
        <v>51</v>
      </c>
      <c r="V97" s="226" t="s">
        <v>51</v>
      </c>
      <c r="W97" s="226" t="s">
        <v>51</v>
      </c>
      <c r="X97" s="226" t="s">
        <v>51</v>
      </c>
      <c r="Y97" s="226" t="s">
        <v>51</v>
      </c>
      <c r="BO97" s="182"/>
      <c r="BP97" s="182"/>
      <c r="BQ97" s="182"/>
      <c r="BR97" s="182"/>
      <c r="BS97" s="183"/>
      <c r="BT97" s="182"/>
      <c r="BU97" s="182"/>
    </row>
    <row r="98" spans="1:74" s="127" customFormat="1" ht="14.25" customHeight="1">
      <c r="A98" s="771"/>
      <c r="B98" s="772"/>
      <c r="C98" s="231" t="s">
        <v>265</v>
      </c>
      <c r="D98" s="231" t="s">
        <v>265</v>
      </c>
      <c r="E98" s="231" t="s">
        <v>265</v>
      </c>
      <c r="F98" s="231" t="s">
        <v>265</v>
      </c>
      <c r="G98" s="231" t="s">
        <v>265</v>
      </c>
      <c r="H98" s="231" t="s">
        <v>265</v>
      </c>
      <c r="I98" s="231" t="s">
        <v>264</v>
      </c>
      <c r="J98" s="231" t="s">
        <v>265</v>
      </c>
      <c r="K98" s="231" t="s">
        <v>265</v>
      </c>
      <c r="L98" s="231" t="s">
        <v>265</v>
      </c>
      <c r="M98" s="231" t="s">
        <v>265</v>
      </c>
      <c r="N98" s="402" t="s">
        <v>51</v>
      </c>
      <c r="O98" s="231" t="s">
        <v>51</v>
      </c>
      <c r="P98" s="231" t="s">
        <v>51</v>
      </c>
      <c r="Q98" s="231" t="s">
        <v>51</v>
      </c>
      <c r="R98" s="231" t="s">
        <v>51</v>
      </c>
      <c r="S98" s="231" t="s">
        <v>51</v>
      </c>
      <c r="T98" s="231"/>
      <c r="U98" s="231" t="s">
        <v>51</v>
      </c>
      <c r="V98" s="231" t="s">
        <v>51</v>
      </c>
      <c r="W98" s="231" t="s">
        <v>51</v>
      </c>
      <c r="X98" s="231" t="s">
        <v>51</v>
      </c>
      <c r="Y98" s="231" t="s">
        <v>51</v>
      </c>
      <c r="BO98" s="182"/>
      <c r="BP98" s="182"/>
      <c r="BQ98" s="182"/>
      <c r="BR98" s="182"/>
      <c r="BS98" s="183"/>
      <c r="BT98" s="182"/>
      <c r="BU98" s="182"/>
    </row>
    <row r="99" spans="1:74" s="127" customFormat="1" ht="14.25" customHeight="1">
      <c r="A99" s="843" t="s">
        <v>293</v>
      </c>
      <c r="B99" s="844"/>
      <c r="C99" s="232"/>
      <c r="D99" s="232"/>
      <c r="E99" s="232"/>
      <c r="F99" s="232"/>
      <c r="G99" s="232"/>
      <c r="H99" s="233"/>
      <c r="I99" s="233"/>
      <c r="J99" s="233"/>
      <c r="K99" s="234"/>
      <c r="L99" s="232"/>
      <c r="M99" s="232"/>
      <c r="N99" s="403"/>
      <c r="O99" s="232"/>
      <c r="P99" s="232"/>
      <c r="Q99" s="235"/>
      <c r="R99" s="235"/>
      <c r="S99" s="235"/>
      <c r="T99" s="235"/>
      <c r="U99" s="235"/>
      <c r="V99" s="235"/>
      <c r="W99" s="232"/>
      <c r="X99" s="232"/>
      <c r="Y99" s="232"/>
    </row>
    <row r="100" spans="1:74" s="127" customFormat="1" ht="14.25" customHeight="1">
      <c r="A100" s="236"/>
      <c r="B100" s="236"/>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BI100" s="124"/>
      <c r="BJ100" s="124"/>
      <c r="BK100" s="124"/>
      <c r="BL100" s="124"/>
      <c r="BM100" s="124"/>
      <c r="BN100" s="124"/>
      <c r="BO100" s="124"/>
      <c r="BP100" s="124"/>
      <c r="BQ100" s="124"/>
      <c r="BR100" s="124"/>
      <c r="BS100" s="125"/>
      <c r="BT100" s="124"/>
      <c r="BU100" s="124"/>
    </row>
    <row r="101" spans="1:74" ht="14.25" customHeight="1">
      <c r="B101" s="238"/>
      <c r="C101" s="520"/>
      <c r="D101" s="519"/>
      <c r="E101" s="519"/>
      <c r="F101" s="519"/>
      <c r="G101" s="519"/>
      <c r="H101" s="519"/>
      <c r="I101" s="519"/>
      <c r="J101" s="519"/>
      <c r="K101" s="519"/>
      <c r="L101" s="519"/>
      <c r="M101" s="519"/>
      <c r="N101" s="519"/>
      <c r="BS101" s="124"/>
      <c r="BV101" s="182"/>
    </row>
    <row r="102" spans="1:74" ht="14.25" customHeight="1">
      <c r="AD102" s="413"/>
      <c r="AE102" s="413"/>
      <c r="AF102" s="412"/>
      <c r="AG102" s="416" t="s">
        <v>359</v>
      </c>
      <c r="AH102" s="416" t="str">
        <f>AD146</f>
        <v>TF (coal)</v>
      </c>
      <c r="AI102" s="416" t="str">
        <f>AD147</f>
        <v>TF (lignite)</v>
      </c>
      <c r="AJ102" s="416" t="str">
        <f>AD148</f>
        <v>TF (petcoke)</v>
      </c>
      <c r="AK102" s="416" t="str">
        <f>AD149</f>
        <v>TF (liquid)</v>
      </c>
      <c r="AL102" s="416" t="str">
        <f>AD150</f>
        <v>TF (gas)</v>
      </c>
      <c r="AM102" s="416" t="str">
        <f>AD151</f>
        <v>TF (other)</v>
      </c>
      <c r="AN102" s="416" t="str">
        <f>AD152</f>
        <v>AF (v.fine)</v>
      </c>
      <c r="AO102" s="416" t="str">
        <f>AD153</f>
        <v>AF (fine)</v>
      </c>
      <c r="AP102" s="416" t="str">
        <f>AD154</f>
        <v>AF (coarse)</v>
      </c>
      <c r="AQ102" s="416" t="str">
        <f>AD155</f>
        <v>AF (lumps)</v>
      </c>
      <c r="AR102" s="416" t="str">
        <f>AD156</f>
        <v>AF (liquid)</v>
      </c>
      <c r="AS102" s="416" t="str">
        <f>AD157</f>
        <v>AF (gas)</v>
      </c>
      <c r="AT102" s="417" t="s">
        <v>536</v>
      </c>
      <c r="AU102" s="417" t="s">
        <v>537</v>
      </c>
      <c r="AV102" s="416" t="s">
        <v>538</v>
      </c>
    </row>
    <row r="103" spans="1:74" ht="14.25" customHeight="1">
      <c r="G103" s="539"/>
      <c r="AD103" s="838" t="str">
        <f>"Inputs"&amp;CHAR(10)&amp;"Volume (t/"&amp;D13&amp;"), Heat (GJ/"&amp;D13&amp;")"</f>
        <v>Inputs
Volume (t/year), Heat (GJ/year)</v>
      </c>
      <c r="AE103" s="835" t="str">
        <f>$AG$146</f>
        <v>BZ</v>
      </c>
      <c r="AF103" s="418" t="s">
        <v>325</v>
      </c>
      <c r="AG103" s="427" t="s">
        <v>51</v>
      </c>
      <c r="AH103" s="419">
        <f t="shared" ref="AH103:AS103" si="17">SUMIFS($E$21:$E$69,$F$21:$F$69,"="&amp;$AE103,$G$21:$G$69,"="&amp;AH$102)</f>
        <v>53539.233352756448</v>
      </c>
      <c r="AI103" s="419">
        <f t="shared" si="17"/>
        <v>0</v>
      </c>
      <c r="AJ103" s="419">
        <f t="shared" si="17"/>
        <v>0</v>
      </c>
      <c r="AK103" s="419">
        <f t="shared" si="17"/>
        <v>1500</v>
      </c>
      <c r="AL103" s="419">
        <f t="shared" si="17"/>
        <v>0</v>
      </c>
      <c r="AM103" s="419">
        <f t="shared" si="17"/>
        <v>0</v>
      </c>
      <c r="AN103" s="419">
        <f t="shared" si="17"/>
        <v>0</v>
      </c>
      <c r="AO103" s="419">
        <f t="shared" si="17"/>
        <v>0</v>
      </c>
      <c r="AP103" s="419">
        <f t="shared" si="17"/>
        <v>0</v>
      </c>
      <c r="AQ103" s="419">
        <f t="shared" si="17"/>
        <v>0</v>
      </c>
      <c r="AR103" s="419">
        <f t="shared" si="17"/>
        <v>20000</v>
      </c>
      <c r="AS103" s="419">
        <f t="shared" si="17"/>
        <v>0</v>
      </c>
      <c r="AT103" s="420">
        <f>SUM(AH103:AM103)</f>
        <v>55039.233352756448</v>
      </c>
      <c r="AU103" s="420">
        <f>SUM(AN103:AS103)</f>
        <v>20000</v>
      </c>
      <c r="AV103" s="419">
        <f>AT103+AU103</f>
        <v>75039.233352756448</v>
      </c>
    </row>
    <row r="104" spans="1:74" ht="14.25" customHeight="1">
      <c r="AD104" s="839"/>
      <c r="AE104" s="835"/>
      <c r="AF104" s="418" t="s">
        <v>326</v>
      </c>
      <c r="AG104" s="427" t="s">
        <v>51</v>
      </c>
      <c r="AH104" s="419">
        <f t="shared" ref="AH104:AS104" si="18">SUMPRODUCT(($E$21:$E$69*$M$21:$M$69)*($F$21:$F$69=$AE103)*($G$21:$G$69=AH$102))</f>
        <v>1365250.4504952894</v>
      </c>
      <c r="AI104" s="419">
        <f t="shared" si="18"/>
        <v>0</v>
      </c>
      <c r="AJ104" s="419">
        <f t="shared" si="18"/>
        <v>0</v>
      </c>
      <c r="AK104" s="419">
        <f t="shared" si="18"/>
        <v>60300.000000000007</v>
      </c>
      <c r="AL104" s="419">
        <f t="shared" si="18"/>
        <v>0</v>
      </c>
      <c r="AM104" s="419">
        <f t="shared" si="18"/>
        <v>0</v>
      </c>
      <c r="AN104" s="419">
        <f t="shared" si="18"/>
        <v>0</v>
      </c>
      <c r="AO104" s="419">
        <f t="shared" si="18"/>
        <v>0</v>
      </c>
      <c r="AP104" s="419">
        <f t="shared" si="18"/>
        <v>0</v>
      </c>
      <c r="AQ104" s="419">
        <f t="shared" si="18"/>
        <v>0</v>
      </c>
      <c r="AR104" s="419">
        <f t="shared" si="18"/>
        <v>440000</v>
      </c>
      <c r="AS104" s="419">
        <f t="shared" si="18"/>
        <v>0</v>
      </c>
      <c r="AT104" s="420">
        <f>SUM(AH104:AM104)</f>
        <v>1425550.4504952894</v>
      </c>
      <c r="AU104" s="420">
        <f>SUM(AN104:AS104)</f>
        <v>440000</v>
      </c>
      <c r="AV104" s="419">
        <f>AT104+AU104</f>
        <v>1865550.4504952894</v>
      </c>
    </row>
    <row r="105" spans="1:74" ht="14.25" customHeight="1">
      <c r="AD105" s="839"/>
      <c r="AE105" s="835" t="str">
        <f>$AG$147</f>
        <v>ILC</v>
      </c>
      <c r="AF105" s="418" t="s">
        <v>325</v>
      </c>
      <c r="AG105" s="427" t="s">
        <v>51</v>
      </c>
      <c r="AH105" s="419">
        <f t="shared" ref="AH105:AS105" si="19">SUMIFS($E$21:$E$69,$F$21:$F$69,"="&amp;$AE105,$G$21:$G$69,"="&amp;AH$102)</f>
        <v>109734.34022449602</v>
      </c>
      <c r="AI105" s="419">
        <f t="shared" si="19"/>
        <v>0</v>
      </c>
      <c r="AJ105" s="419">
        <f t="shared" si="19"/>
        <v>0</v>
      </c>
      <c r="AK105" s="419">
        <f t="shared" si="19"/>
        <v>0</v>
      </c>
      <c r="AL105" s="419">
        <f t="shared" si="19"/>
        <v>0</v>
      </c>
      <c r="AM105" s="419">
        <f t="shared" si="19"/>
        <v>0</v>
      </c>
      <c r="AN105" s="419">
        <f t="shared" si="19"/>
        <v>0</v>
      </c>
      <c r="AO105" s="419">
        <f t="shared" si="19"/>
        <v>0</v>
      </c>
      <c r="AP105" s="419">
        <f t="shared" si="19"/>
        <v>0</v>
      </c>
      <c r="AQ105" s="419">
        <f t="shared" si="19"/>
        <v>0</v>
      </c>
      <c r="AR105" s="419">
        <f t="shared" si="19"/>
        <v>10000</v>
      </c>
      <c r="AS105" s="419">
        <f t="shared" si="19"/>
        <v>0</v>
      </c>
      <c r="AT105" s="420">
        <f t="shared" ref="AT105:AT114" si="20">SUM(AH105:AM105)</f>
        <v>109734.34022449602</v>
      </c>
      <c r="AU105" s="420">
        <f t="shared" ref="AU105:AU114" si="21">SUM(AN105:AS105)</f>
        <v>10000</v>
      </c>
      <c r="AV105" s="419">
        <f t="shared" ref="AV105:AV114" si="22">AT105+AU105</f>
        <v>119734.34022449602</v>
      </c>
    </row>
    <row r="106" spans="1:74" ht="14.25" customHeight="1">
      <c r="AD106" s="839"/>
      <c r="AE106" s="835"/>
      <c r="AF106" s="418" t="s">
        <v>326</v>
      </c>
      <c r="AG106" s="427" t="s">
        <v>51</v>
      </c>
      <c r="AH106" s="419">
        <f t="shared" ref="AH106:AS106" si="23">SUMPRODUCT(($E$21:$E$69*$M$21:$M$69)*($F$21:$F$69=$AE105)*($G$21:$G$69=AH$102))</f>
        <v>2798225.6757246484</v>
      </c>
      <c r="AI106" s="419">
        <f t="shared" si="23"/>
        <v>0</v>
      </c>
      <c r="AJ106" s="419">
        <f t="shared" si="23"/>
        <v>0</v>
      </c>
      <c r="AK106" s="419">
        <f t="shared" si="23"/>
        <v>0</v>
      </c>
      <c r="AL106" s="419">
        <f t="shared" si="23"/>
        <v>0</v>
      </c>
      <c r="AM106" s="419">
        <f t="shared" si="23"/>
        <v>0</v>
      </c>
      <c r="AN106" s="419">
        <f t="shared" si="23"/>
        <v>0</v>
      </c>
      <c r="AO106" s="419">
        <f t="shared" si="23"/>
        <v>0</v>
      </c>
      <c r="AP106" s="419">
        <f t="shared" si="23"/>
        <v>0</v>
      </c>
      <c r="AQ106" s="419">
        <f t="shared" si="23"/>
        <v>0</v>
      </c>
      <c r="AR106" s="419">
        <f t="shared" si="23"/>
        <v>100</v>
      </c>
      <c r="AS106" s="419">
        <f t="shared" si="23"/>
        <v>0</v>
      </c>
      <c r="AT106" s="420">
        <f t="shared" si="20"/>
        <v>2798225.6757246484</v>
      </c>
      <c r="AU106" s="420">
        <f t="shared" si="21"/>
        <v>100</v>
      </c>
      <c r="AV106" s="419">
        <f t="shared" si="22"/>
        <v>2798325.6757246484</v>
      </c>
    </row>
    <row r="107" spans="1:74" ht="14.25" customHeight="1">
      <c r="AD107" s="839"/>
      <c r="AE107" s="836" t="str">
        <f>$AG$148</f>
        <v>SLC/OLC/MFC</v>
      </c>
      <c r="AF107" s="418" t="s">
        <v>325</v>
      </c>
      <c r="AG107" s="427" t="s">
        <v>51</v>
      </c>
      <c r="AH107" s="419">
        <f t="shared" ref="AH107:AS107" si="24">SUMIFS($E$21:$E$69,$F$21:$F$69,"="&amp;$AE107,$G$21:$G$69,"="&amp;AH$102)</f>
        <v>0</v>
      </c>
      <c r="AI107" s="419">
        <f t="shared" si="24"/>
        <v>0</v>
      </c>
      <c r="AJ107" s="419">
        <f t="shared" si="24"/>
        <v>0</v>
      </c>
      <c r="AK107" s="419">
        <f t="shared" si="24"/>
        <v>0</v>
      </c>
      <c r="AL107" s="419">
        <f t="shared" si="24"/>
        <v>0</v>
      </c>
      <c r="AM107" s="419">
        <f t="shared" si="24"/>
        <v>0</v>
      </c>
      <c r="AN107" s="419">
        <f t="shared" si="24"/>
        <v>0</v>
      </c>
      <c r="AO107" s="419">
        <f t="shared" si="24"/>
        <v>0</v>
      </c>
      <c r="AP107" s="419">
        <f t="shared" si="24"/>
        <v>0</v>
      </c>
      <c r="AQ107" s="419">
        <f t="shared" si="24"/>
        <v>0</v>
      </c>
      <c r="AR107" s="419">
        <f t="shared" si="24"/>
        <v>0</v>
      </c>
      <c r="AS107" s="419">
        <f t="shared" si="24"/>
        <v>0</v>
      </c>
      <c r="AT107" s="420">
        <f t="shared" si="20"/>
        <v>0</v>
      </c>
      <c r="AU107" s="420">
        <f t="shared" si="21"/>
        <v>0</v>
      </c>
      <c r="AV107" s="419">
        <f t="shared" si="22"/>
        <v>0</v>
      </c>
    </row>
    <row r="108" spans="1:74" ht="14.25" customHeight="1">
      <c r="AD108" s="839"/>
      <c r="AE108" s="837"/>
      <c r="AF108" s="418" t="s">
        <v>326</v>
      </c>
      <c r="AG108" s="427" t="s">
        <v>51</v>
      </c>
      <c r="AH108" s="419">
        <f t="shared" ref="AH108:AS108" si="25">SUMPRODUCT(($E$21:$E$69*$M$21:$M$69)*($F$21:$F$69=$AE107)*($G$21:$G$69=AH$102))</f>
        <v>0</v>
      </c>
      <c r="AI108" s="419">
        <f t="shared" si="25"/>
        <v>0</v>
      </c>
      <c r="AJ108" s="419">
        <f t="shared" si="25"/>
        <v>0</v>
      </c>
      <c r="AK108" s="419">
        <f t="shared" si="25"/>
        <v>0</v>
      </c>
      <c r="AL108" s="419">
        <f t="shared" si="25"/>
        <v>0</v>
      </c>
      <c r="AM108" s="419">
        <f t="shared" si="25"/>
        <v>0</v>
      </c>
      <c r="AN108" s="419">
        <f t="shared" si="25"/>
        <v>0</v>
      </c>
      <c r="AO108" s="419">
        <f t="shared" si="25"/>
        <v>0</v>
      </c>
      <c r="AP108" s="419">
        <f t="shared" si="25"/>
        <v>0</v>
      </c>
      <c r="AQ108" s="419">
        <f t="shared" si="25"/>
        <v>0</v>
      </c>
      <c r="AR108" s="419">
        <f t="shared" si="25"/>
        <v>0</v>
      </c>
      <c r="AS108" s="419">
        <f t="shared" si="25"/>
        <v>0</v>
      </c>
      <c r="AT108" s="420">
        <f t="shared" si="20"/>
        <v>0</v>
      </c>
      <c r="AU108" s="420">
        <f t="shared" si="21"/>
        <v>0</v>
      </c>
      <c r="AV108" s="419">
        <f t="shared" si="22"/>
        <v>0</v>
      </c>
    </row>
    <row r="109" spans="1:74" ht="14.25" customHeight="1">
      <c r="AD109" s="839"/>
      <c r="AE109" s="835" t="str">
        <f>$AG$149</f>
        <v>PCC</v>
      </c>
      <c r="AF109" s="418" t="s">
        <v>325</v>
      </c>
      <c r="AG109" s="427" t="s">
        <v>51</v>
      </c>
      <c r="AH109" s="419">
        <f t="shared" ref="AH109:AS109" si="26">SUMIFS($E$21:$E$69,$F$21:$F$69,"="&amp;$AE109,$G$21:$G$69,"="&amp;AH$102)</f>
        <v>0</v>
      </c>
      <c r="AI109" s="419">
        <f t="shared" si="26"/>
        <v>0</v>
      </c>
      <c r="AJ109" s="419">
        <f t="shared" si="26"/>
        <v>0</v>
      </c>
      <c r="AK109" s="419">
        <f t="shared" si="26"/>
        <v>0</v>
      </c>
      <c r="AL109" s="419">
        <f t="shared" si="26"/>
        <v>0</v>
      </c>
      <c r="AM109" s="419">
        <f t="shared" si="26"/>
        <v>0</v>
      </c>
      <c r="AN109" s="419">
        <f t="shared" si="26"/>
        <v>0</v>
      </c>
      <c r="AO109" s="419">
        <f t="shared" si="26"/>
        <v>0</v>
      </c>
      <c r="AP109" s="419">
        <f t="shared" si="26"/>
        <v>0</v>
      </c>
      <c r="AQ109" s="419">
        <f t="shared" si="26"/>
        <v>0</v>
      </c>
      <c r="AR109" s="419">
        <f t="shared" si="26"/>
        <v>0</v>
      </c>
      <c r="AS109" s="419">
        <f t="shared" si="26"/>
        <v>0</v>
      </c>
      <c r="AT109" s="420">
        <f t="shared" si="20"/>
        <v>0</v>
      </c>
      <c r="AU109" s="420">
        <f t="shared" si="21"/>
        <v>0</v>
      </c>
      <c r="AV109" s="419">
        <f t="shared" si="22"/>
        <v>0</v>
      </c>
      <c r="BE109" s="241"/>
      <c r="BF109" s="241"/>
      <c r="BG109" s="125"/>
      <c r="BH109" s="125"/>
      <c r="BI109" s="125"/>
      <c r="BJ109" s="125"/>
      <c r="BK109" s="125"/>
      <c r="BL109" s="125"/>
      <c r="BM109" s="125"/>
    </row>
    <row r="110" spans="1:74" ht="14.25" customHeight="1">
      <c r="AD110" s="839"/>
      <c r="AE110" s="835"/>
      <c r="AF110" s="418" t="s">
        <v>326</v>
      </c>
      <c r="AG110" s="427" t="s">
        <v>51</v>
      </c>
      <c r="AH110" s="419">
        <f t="shared" ref="AH110:AS110" si="27">SUMPRODUCT(($E$21:$E$69*$M$21:$M$69)*($F$21:$F$69=$AE109)*($G$21:$G$69=AH$102))</f>
        <v>0</v>
      </c>
      <c r="AI110" s="419">
        <f t="shared" si="27"/>
        <v>0</v>
      </c>
      <c r="AJ110" s="419">
        <f t="shared" si="27"/>
        <v>0</v>
      </c>
      <c r="AK110" s="419">
        <f t="shared" si="27"/>
        <v>0</v>
      </c>
      <c r="AL110" s="419">
        <f t="shared" si="27"/>
        <v>0</v>
      </c>
      <c r="AM110" s="419">
        <f t="shared" si="27"/>
        <v>0</v>
      </c>
      <c r="AN110" s="419">
        <f t="shared" si="27"/>
        <v>0</v>
      </c>
      <c r="AO110" s="419">
        <f t="shared" si="27"/>
        <v>0</v>
      </c>
      <c r="AP110" s="419">
        <f t="shared" si="27"/>
        <v>0</v>
      </c>
      <c r="AQ110" s="419">
        <f t="shared" si="27"/>
        <v>0</v>
      </c>
      <c r="AR110" s="419">
        <f t="shared" si="27"/>
        <v>0</v>
      </c>
      <c r="AS110" s="419">
        <f t="shared" si="27"/>
        <v>0</v>
      </c>
      <c r="AT110" s="420">
        <f t="shared" si="20"/>
        <v>0</v>
      </c>
      <c r="AU110" s="420">
        <f t="shared" si="21"/>
        <v>0</v>
      </c>
      <c r="AV110" s="419">
        <f t="shared" si="22"/>
        <v>0</v>
      </c>
      <c r="BE110" s="241"/>
      <c r="BF110" s="241"/>
      <c r="BG110" s="125"/>
      <c r="BH110" s="125"/>
      <c r="BI110" s="125"/>
      <c r="BJ110" s="125"/>
      <c r="BK110" s="125"/>
      <c r="BL110" s="125"/>
      <c r="BM110" s="125"/>
    </row>
    <row r="111" spans="1:74" ht="14.25" customHeight="1">
      <c r="AD111" s="839"/>
      <c r="AE111" s="835" t="str">
        <f>$AG$150</f>
        <v>SF</v>
      </c>
      <c r="AF111" s="418" t="s">
        <v>325</v>
      </c>
      <c r="AG111" s="427" t="s">
        <v>51</v>
      </c>
      <c r="AH111" s="419">
        <f t="shared" ref="AH111:AS111" si="28">SUMIFS($E$21:$E$69,$F$21:$F$69,"="&amp;$AE111,$G$21:$G$69,"="&amp;AH$102)</f>
        <v>0</v>
      </c>
      <c r="AI111" s="419">
        <f t="shared" si="28"/>
        <v>0</v>
      </c>
      <c r="AJ111" s="419">
        <f t="shared" si="28"/>
        <v>0</v>
      </c>
      <c r="AK111" s="419">
        <f t="shared" si="28"/>
        <v>0</v>
      </c>
      <c r="AL111" s="419">
        <f t="shared" si="28"/>
        <v>0</v>
      </c>
      <c r="AM111" s="419">
        <f t="shared" si="28"/>
        <v>0</v>
      </c>
      <c r="AN111" s="419">
        <f t="shared" si="28"/>
        <v>0</v>
      </c>
      <c r="AO111" s="419">
        <f t="shared" si="28"/>
        <v>0</v>
      </c>
      <c r="AP111" s="419">
        <f t="shared" si="28"/>
        <v>0</v>
      </c>
      <c r="AQ111" s="419">
        <f t="shared" si="28"/>
        <v>0</v>
      </c>
      <c r="AR111" s="419">
        <f t="shared" si="28"/>
        <v>0</v>
      </c>
      <c r="AS111" s="419">
        <f t="shared" si="28"/>
        <v>0</v>
      </c>
      <c r="AT111" s="420">
        <f t="shared" si="20"/>
        <v>0</v>
      </c>
      <c r="AU111" s="420">
        <f t="shared" si="21"/>
        <v>0</v>
      </c>
      <c r="AV111" s="419">
        <f t="shared" si="22"/>
        <v>0</v>
      </c>
      <c r="BE111" s="241"/>
      <c r="BF111" s="241"/>
      <c r="BG111" s="125"/>
      <c r="BH111" s="125"/>
      <c r="BI111" s="125"/>
      <c r="BJ111" s="125"/>
      <c r="BK111" s="125"/>
      <c r="BL111" s="125"/>
      <c r="BM111" s="125"/>
    </row>
    <row r="112" spans="1:74" ht="14.25" customHeight="1">
      <c r="AD112" s="839"/>
      <c r="AE112" s="835"/>
      <c r="AF112" s="418" t="s">
        <v>326</v>
      </c>
      <c r="AG112" s="427" t="s">
        <v>51</v>
      </c>
      <c r="AH112" s="419">
        <f t="shared" ref="AH112:AS112" si="29">SUMPRODUCT(($E$21:$E$69*$M$21:$M$69)*($F$21:$F$69=$AE111)*($G$21:$G$69=AH$102))</f>
        <v>0</v>
      </c>
      <c r="AI112" s="419">
        <f t="shared" si="29"/>
        <v>0</v>
      </c>
      <c r="AJ112" s="419">
        <f t="shared" si="29"/>
        <v>0</v>
      </c>
      <c r="AK112" s="419">
        <f t="shared" si="29"/>
        <v>0</v>
      </c>
      <c r="AL112" s="419">
        <f t="shared" si="29"/>
        <v>0</v>
      </c>
      <c r="AM112" s="419">
        <f t="shared" si="29"/>
        <v>0</v>
      </c>
      <c r="AN112" s="419">
        <f t="shared" si="29"/>
        <v>0</v>
      </c>
      <c r="AO112" s="419">
        <f t="shared" si="29"/>
        <v>0</v>
      </c>
      <c r="AP112" s="419">
        <f t="shared" si="29"/>
        <v>0</v>
      </c>
      <c r="AQ112" s="419">
        <f t="shared" si="29"/>
        <v>0</v>
      </c>
      <c r="AR112" s="419">
        <f t="shared" si="29"/>
        <v>0</v>
      </c>
      <c r="AS112" s="419">
        <f t="shared" si="29"/>
        <v>0</v>
      </c>
      <c r="AT112" s="420">
        <f t="shared" si="20"/>
        <v>0</v>
      </c>
      <c r="AU112" s="420">
        <f t="shared" si="21"/>
        <v>0</v>
      </c>
      <c r="AV112" s="419">
        <f t="shared" si="22"/>
        <v>0</v>
      </c>
      <c r="BE112" s="241"/>
      <c r="BF112" s="241"/>
      <c r="BG112" s="125"/>
      <c r="BH112" s="125"/>
      <c r="BI112" s="125"/>
      <c r="BJ112" s="125"/>
      <c r="BK112" s="125"/>
      <c r="BL112" s="125"/>
      <c r="BM112" s="125"/>
    </row>
    <row r="113" spans="30:74" ht="14.25" customHeight="1">
      <c r="AD113" s="839"/>
      <c r="AE113" s="836" t="s">
        <v>60</v>
      </c>
      <c r="AF113" s="418" t="s">
        <v>325</v>
      </c>
      <c r="AG113" s="427">
        <f>AG114/Guidelines!D119</f>
        <v>169327.78641522111</v>
      </c>
      <c r="AH113" s="419">
        <f>AH103+AH105+AH107+AH109+AH111</f>
        <v>163273.57357725245</v>
      </c>
      <c r="AI113" s="419">
        <f t="shared" ref="AI113:AS114" si="30">AI103+AI105+AI107+AI109+AI111</f>
        <v>0</v>
      </c>
      <c r="AJ113" s="419">
        <f t="shared" si="30"/>
        <v>0</v>
      </c>
      <c r="AK113" s="419">
        <f t="shared" si="30"/>
        <v>1500</v>
      </c>
      <c r="AL113" s="419">
        <f t="shared" si="30"/>
        <v>0</v>
      </c>
      <c r="AM113" s="419">
        <f t="shared" si="30"/>
        <v>0</v>
      </c>
      <c r="AN113" s="419">
        <f t="shared" si="30"/>
        <v>0</v>
      </c>
      <c r="AO113" s="419">
        <f t="shared" si="30"/>
        <v>0</v>
      </c>
      <c r="AP113" s="419">
        <f t="shared" si="30"/>
        <v>0</v>
      </c>
      <c r="AQ113" s="419">
        <f t="shared" si="30"/>
        <v>0</v>
      </c>
      <c r="AR113" s="419">
        <f t="shared" si="30"/>
        <v>30000</v>
      </c>
      <c r="AS113" s="419">
        <f t="shared" si="30"/>
        <v>0</v>
      </c>
      <c r="AT113" s="420">
        <f t="shared" si="20"/>
        <v>164773.57357725245</v>
      </c>
      <c r="AU113" s="420">
        <f t="shared" si="21"/>
        <v>30000</v>
      </c>
      <c r="AV113" s="419">
        <f t="shared" si="22"/>
        <v>194773.57357725245</v>
      </c>
      <c r="BG113" s="182"/>
      <c r="BH113" s="244"/>
    </row>
    <row r="114" spans="30:74" ht="14.25" customHeight="1">
      <c r="AD114" s="839"/>
      <c r="AE114" s="841"/>
      <c r="AF114" s="418" t="s">
        <v>326</v>
      </c>
      <c r="AG114" s="427">
        <f>AV114-AV129</f>
        <v>4571850.2332109697</v>
      </c>
      <c r="AH114" s="419">
        <f>AH104+AH106+AH108+AH110+AH112</f>
        <v>4163476.1262199376</v>
      </c>
      <c r="AI114" s="419">
        <f t="shared" si="30"/>
        <v>0</v>
      </c>
      <c r="AJ114" s="419">
        <f t="shared" si="30"/>
        <v>0</v>
      </c>
      <c r="AK114" s="419">
        <f t="shared" si="30"/>
        <v>60300.000000000007</v>
      </c>
      <c r="AL114" s="419">
        <f t="shared" si="30"/>
        <v>0</v>
      </c>
      <c r="AM114" s="419">
        <f t="shared" si="30"/>
        <v>0</v>
      </c>
      <c r="AN114" s="419">
        <f t="shared" si="30"/>
        <v>0</v>
      </c>
      <c r="AO114" s="419">
        <f t="shared" si="30"/>
        <v>0</v>
      </c>
      <c r="AP114" s="419">
        <f t="shared" si="30"/>
        <v>0</v>
      </c>
      <c r="AQ114" s="419">
        <f t="shared" si="30"/>
        <v>0</v>
      </c>
      <c r="AR114" s="419">
        <f t="shared" si="30"/>
        <v>440100</v>
      </c>
      <c r="AS114" s="419">
        <f t="shared" si="30"/>
        <v>0</v>
      </c>
      <c r="AT114" s="420">
        <f t="shared" si="20"/>
        <v>4223776.1262199376</v>
      </c>
      <c r="AU114" s="420">
        <f t="shared" si="21"/>
        <v>440100</v>
      </c>
      <c r="AV114" s="419">
        <f t="shared" si="22"/>
        <v>4663876.1262199376</v>
      </c>
      <c r="BG114" s="182"/>
      <c r="BH114" s="244"/>
    </row>
    <row r="115" spans="30:74" ht="14.25" customHeight="1">
      <c r="AD115" s="840"/>
      <c r="AE115" s="837"/>
      <c r="AF115" s="418" t="s">
        <v>764</v>
      </c>
      <c r="AG115" s="427">
        <f t="shared" ref="AG115:AV115" si="31">IF(CLI=0,0,AG114*1000/CLI)</f>
        <v>3273.7082759424557</v>
      </c>
      <c r="AH115" s="427">
        <f t="shared" si="31"/>
        <v>2981.2888777684693</v>
      </c>
      <c r="AI115" s="427">
        <f t="shared" si="31"/>
        <v>0</v>
      </c>
      <c r="AJ115" s="427">
        <f t="shared" si="31"/>
        <v>0</v>
      </c>
      <c r="AK115" s="427">
        <f t="shared" si="31"/>
        <v>43.17827552734289</v>
      </c>
      <c r="AL115" s="427">
        <f t="shared" si="31"/>
        <v>0</v>
      </c>
      <c r="AM115" s="427">
        <f t="shared" si="31"/>
        <v>0</v>
      </c>
      <c r="AN115" s="427">
        <f t="shared" si="31"/>
        <v>0</v>
      </c>
      <c r="AO115" s="427">
        <f t="shared" si="31"/>
        <v>0</v>
      </c>
      <c r="AP115" s="427">
        <f t="shared" si="31"/>
        <v>0</v>
      </c>
      <c r="AQ115" s="427">
        <f t="shared" si="31"/>
        <v>0</v>
      </c>
      <c r="AR115" s="427">
        <f t="shared" si="31"/>
        <v>315.13696616224883</v>
      </c>
      <c r="AS115" s="427">
        <f t="shared" si="31"/>
        <v>0</v>
      </c>
      <c r="AT115" s="427">
        <f t="shared" si="31"/>
        <v>3024.4671532958123</v>
      </c>
      <c r="AU115" s="427">
        <f t="shared" si="31"/>
        <v>315.13696616224883</v>
      </c>
      <c r="AV115" s="427">
        <f t="shared" si="31"/>
        <v>3339.6041194580607</v>
      </c>
      <c r="BG115" s="182"/>
      <c r="BH115" s="244"/>
    </row>
    <row r="116" spans="30:74" ht="14.25" customHeight="1">
      <c r="AD116" s="831" t="str">
        <f>"Impacts"&amp;CHAR(10)&amp;"Production (t/"&amp;D13&amp;"), Heat (GJ/"&amp;D13&amp;")"</f>
        <v>Impacts
Production (t/year), Heat (GJ/year)</v>
      </c>
      <c r="AE116" s="834" t="s">
        <v>6</v>
      </c>
      <c r="AF116" s="423" t="s">
        <v>539</v>
      </c>
      <c r="AG116" s="427">
        <f>-(AG113*Guidelines!F119/100)*Guidelines!M225</f>
        <v>-3352.6901710213779</v>
      </c>
      <c r="AH116" s="424">
        <f>-SUMPRODUCT(($E$21:$E$69*$N$21:$N$69)*Guidelines!$M$225/100*($G$21:$G$69=AH$102))</f>
        <v>-3879.380108195518</v>
      </c>
      <c r="AI116" s="424">
        <f>-SUMPRODUCT(($E$21:$E$69*$N$21:$N$69)*Guidelines!$M$225/100*($G$21:$G$69=AI$102))</f>
        <v>0</v>
      </c>
      <c r="AJ116" s="424">
        <f>-SUMPRODUCT(($E$21:$E$69*$N$21:$N$69)*Guidelines!$M$225/100*($G$21:$G$69=AJ$102))</f>
        <v>0</v>
      </c>
      <c r="AK116" s="424">
        <f>-SUMPRODUCT(($E$21:$E$69*$N$21:$N$69)*Guidelines!$M$225/100*($G$21:$G$69=AK$102))</f>
        <v>0</v>
      </c>
      <c r="AL116" s="424">
        <f>-SUMPRODUCT(($E$21:$E$69*$N$21:$N$69)*Guidelines!$M$225/100*($G$21:$G$69=AL$102))</f>
        <v>0</v>
      </c>
      <c r="AM116" s="424">
        <f>-SUMPRODUCT(($E$21:$E$69*$N$21:$N$69)*Guidelines!$M$225/100*($G$21:$G$69=AM$102))</f>
        <v>0</v>
      </c>
      <c r="AN116" s="424">
        <f>-SUMPRODUCT(($E$21:$E$69*$N$21:$N$69)*Guidelines!$M$225/100*($G$21:$G$69=AN$102))</f>
        <v>0</v>
      </c>
      <c r="AO116" s="424">
        <f>-SUMPRODUCT(($E$21:$E$69*$N$21:$N$69)*Guidelines!$M$225/100*($G$21:$G$69=AO$102))</f>
        <v>0</v>
      </c>
      <c r="AP116" s="424">
        <f>-SUMPRODUCT(($E$21:$E$69*$N$21:$N$69)*Guidelines!$M$225/100*($G$21:$G$69=AP$102))</f>
        <v>0</v>
      </c>
      <c r="AQ116" s="424">
        <f>-SUMPRODUCT(($E$21:$E$69*$N$21:$N$69)*Guidelines!$M$225/100*($G$21:$G$69=AQ$102))</f>
        <v>0</v>
      </c>
      <c r="AR116" s="424">
        <f>-SUMPRODUCT(($E$21:$E$69*$N$21:$N$69)*Guidelines!$M$225/100*($G$21:$G$69=AR$102))</f>
        <v>-31086</v>
      </c>
      <c r="AS116" s="424">
        <f>-SUMPRODUCT(($E$21:$E$69*$N$21:$N$69)*Guidelines!$M$225/100*($G$21:$G$69=AS$102))</f>
        <v>0</v>
      </c>
      <c r="AT116" s="420">
        <f>SUM(AH116:AM116)</f>
        <v>-3879.380108195518</v>
      </c>
      <c r="AU116" s="420">
        <f>SUM(AN116:AS116)</f>
        <v>-31086</v>
      </c>
      <c r="AV116" s="419">
        <f>AT116+AU116</f>
        <v>-34965.380108195517</v>
      </c>
      <c r="BE116" s="182"/>
      <c r="BF116" s="182"/>
      <c r="BG116" s="182"/>
      <c r="BH116" s="182"/>
    </row>
    <row r="117" spans="30:74" ht="14.25" customHeight="1">
      <c r="AD117" s="832"/>
      <c r="AE117" s="834"/>
      <c r="AF117" s="423" t="s">
        <v>326</v>
      </c>
      <c r="AG117" s="427">
        <f>(AG113*Guidelines!F119/100)*Guidelines!M228</f>
        <v>3640.547407927254</v>
      </c>
      <c r="AH117" s="424">
        <f>SUMPRODUCT(($E$21:$E$69*$N$21:$N$69)*Guidelines!$M$228/100*($G$21:$G$69=AH$102))-SUMPRODUCT(($E$21:$E$69*$Z$21:$Z$69)*($G$21:$G$69=AH$102))</f>
        <v>4212.4581982931131</v>
      </c>
      <c r="AI117" s="424">
        <f>SUMPRODUCT(($E$21:$E$69*$N$21:$N$69)*Guidelines!$M$228/100*($G$21:$G$69=AI$102))-SUMPRODUCT(($E$21:$E$69*$Z$21:$Z$69)*($G$21:$G$69=AI$102))</f>
        <v>0</v>
      </c>
      <c r="AJ117" s="424">
        <f>SUMPRODUCT(($E$21:$E$69*$N$21:$N$69)*Guidelines!$M$228/100*($G$21:$G$69=AJ$102))-SUMPRODUCT(($E$21:$E$69*$Z$21:$Z$69)*($G$21:$G$69=AJ$102))</f>
        <v>0</v>
      </c>
      <c r="AK117" s="424">
        <f>SUMPRODUCT(($E$21:$E$69*$N$21:$N$69)*Guidelines!$M$228/100*($G$21:$G$69=AK$102))-SUMPRODUCT(($E$21:$E$69*$Z$21:$Z$69)*($G$21:$G$69=AK$102))</f>
        <v>0</v>
      </c>
      <c r="AL117" s="424">
        <f>SUMPRODUCT(($E$21:$E$69*$N$21:$N$69)*Guidelines!$M$228/100*($G$21:$G$69=AL$102))-SUMPRODUCT(($E$21:$E$69*$Z$21:$Z$69)*($G$21:$G$69=AL$102))</f>
        <v>0</v>
      </c>
      <c r="AM117" s="424">
        <f>SUMPRODUCT(($E$21:$E$69*$N$21:$N$69)*Guidelines!$M$228/100*($G$21:$G$69=AM$102))-SUMPRODUCT(($E$21:$E$69*$Z$21:$Z$69)*($G$21:$G$69=AM$102))</f>
        <v>0</v>
      </c>
      <c r="AN117" s="424">
        <f>SUMPRODUCT(($E$21:$E$69*$N$21:$N$69)*Guidelines!$M$228/100*($G$21:$G$69=AN$102))-SUMPRODUCT(($E$21:$E$69*$Z$21:$Z$69)*($G$21:$G$69=AN$102))</f>
        <v>0</v>
      </c>
      <c r="AO117" s="424">
        <f>SUMPRODUCT(($E$21:$E$69*$N$21:$N$69)*Guidelines!$M$228/100*($G$21:$G$69=AO$102))-SUMPRODUCT(($E$21:$E$69*$Z$21:$Z$69)*($G$21:$G$69=AO$102))</f>
        <v>0</v>
      </c>
      <c r="AP117" s="424">
        <f>SUMPRODUCT(($E$21:$E$69*$N$21:$N$69)*Guidelines!$M$228/100*($G$21:$G$69=AP$102))-SUMPRODUCT(($E$21:$E$69*$Z$21:$Z$69)*($G$21:$G$69=AP$102))</f>
        <v>0</v>
      </c>
      <c r="AQ117" s="424">
        <f>SUMPRODUCT(($E$21:$E$69*$N$21:$N$69)*Guidelines!$M$228/100*($G$21:$G$69=AQ$102))-SUMPRODUCT(($E$21:$E$69*$Z$21:$Z$69)*($G$21:$G$69=AQ$102))</f>
        <v>0</v>
      </c>
      <c r="AR117" s="424">
        <f>SUMPRODUCT(($E$21:$E$69*$N$21:$N$69)*Guidelines!$M$228/100*($G$21:$G$69=AR$102))-SUMPRODUCT(($E$21:$E$69*$Z$21:$Z$69)*($G$21:$G$69=AR$102))</f>
        <v>57520</v>
      </c>
      <c r="AS117" s="424">
        <f>SUMPRODUCT(($E$21:$E$69*$N$21:$N$69)*Guidelines!$M$228/100*($G$21:$G$69=AS$102))-SUMPRODUCT(($E$21:$E$69*$Z$21:$Z$69)*($G$21:$G$69=AS$102))</f>
        <v>0</v>
      </c>
      <c r="AT117" s="420">
        <f t="shared" ref="AT117:AT127" si="32">SUM(AH117:AM117)</f>
        <v>4212.4581982931131</v>
      </c>
      <c r="AU117" s="420">
        <f t="shared" ref="AU117:AU127" si="33">SUM(AN117:AS117)</f>
        <v>57520</v>
      </c>
      <c r="AV117" s="419">
        <f t="shared" ref="AV117:AV129" si="34">AT117+AU117</f>
        <v>61732.458198293112</v>
      </c>
      <c r="BE117" s="182"/>
      <c r="BF117" s="182"/>
      <c r="BG117" s="182"/>
      <c r="BH117" s="182"/>
    </row>
    <row r="118" spans="30:74" ht="14.25" customHeight="1">
      <c r="AD118" s="832"/>
      <c r="AE118" s="834" t="s">
        <v>8</v>
      </c>
      <c r="AF118" s="423" t="s">
        <v>539</v>
      </c>
      <c r="AG118" s="427">
        <f>-(AG113*Guidelines!H119/100)*Guidelines!M226</f>
        <v>-6603.783670193623</v>
      </c>
      <c r="AH118" s="424">
        <f>-SUMPRODUCT(($E$21:$E$69*$O$21:$O$69)*Guidelines!$M$226/100*($G$21:$G$69=AH$102))</f>
        <v>-6792.1806608137031</v>
      </c>
      <c r="AI118" s="424">
        <f>-SUMPRODUCT(($E$21:$E$69*$O$21:$O$69)*Guidelines!$M$226/100*($G$21:$G$69=AI$102))</f>
        <v>0</v>
      </c>
      <c r="AJ118" s="424">
        <f>-SUMPRODUCT(($E$21:$E$69*$O$21:$O$69)*Guidelines!$M$226/100*($G$21:$G$69=AJ$102))</f>
        <v>0</v>
      </c>
      <c r="AK118" s="424">
        <f>-SUMPRODUCT(($E$21:$E$69*$O$21:$O$69)*Guidelines!$M$226/100*($G$21:$G$69=AK$102))</f>
        <v>0</v>
      </c>
      <c r="AL118" s="424">
        <f>-SUMPRODUCT(($E$21:$E$69*$O$21:$O$69)*Guidelines!$M$226/100*($G$21:$G$69=AL$102))</f>
        <v>0</v>
      </c>
      <c r="AM118" s="424">
        <f>-SUMPRODUCT(($E$21:$E$69*$O$21:$O$69)*Guidelines!$M$226/100*($G$21:$G$69=AM$102))</f>
        <v>0</v>
      </c>
      <c r="AN118" s="424">
        <f>-SUMPRODUCT(($E$21:$E$69*$O$21:$O$69)*Guidelines!$M$226/100*($G$21:$G$69=AN$102))</f>
        <v>0</v>
      </c>
      <c r="AO118" s="424">
        <f>-SUMPRODUCT(($E$21:$E$69*$O$21:$O$69)*Guidelines!$M$226/100*($G$21:$G$69=AO$102))</f>
        <v>0</v>
      </c>
      <c r="AP118" s="424">
        <f>-SUMPRODUCT(($E$21:$E$69*$O$21:$O$69)*Guidelines!$M$226/100*($G$21:$G$69=AP$102))</f>
        <v>0</v>
      </c>
      <c r="AQ118" s="424">
        <f>-SUMPRODUCT(($E$21:$E$69*$O$21:$O$69)*Guidelines!$M$226/100*($G$21:$G$69=AQ$102))</f>
        <v>0</v>
      </c>
      <c r="AR118" s="424">
        <f>-SUMPRODUCT(($E$21:$E$69*$O$21:$O$69)*Guidelines!$M$226/100*($G$21:$G$69=AR$102))</f>
        <v>-195</v>
      </c>
      <c r="AS118" s="424">
        <f>-SUMPRODUCT(($E$21:$E$69*$O$21:$O$69)*Guidelines!$M$226/100*($G$21:$G$69=AS$102))</f>
        <v>0</v>
      </c>
      <c r="AT118" s="420">
        <f t="shared" si="32"/>
        <v>-6792.1806608137031</v>
      </c>
      <c r="AU118" s="420">
        <f t="shared" si="33"/>
        <v>-195</v>
      </c>
      <c r="AV118" s="419">
        <f t="shared" si="34"/>
        <v>-6987.1806608137031</v>
      </c>
      <c r="BS118" s="124"/>
      <c r="BV118" s="245"/>
    </row>
    <row r="119" spans="30:74" ht="14.25" customHeight="1">
      <c r="AD119" s="832"/>
      <c r="AE119" s="834"/>
      <c r="AF119" s="423" t="s">
        <v>326</v>
      </c>
      <c r="AG119" s="427">
        <f>(AG113*Guidelines!H119/100)*Guidelines!M229</f>
        <v>27939.084758511483</v>
      </c>
      <c r="AH119" s="424">
        <f>SUMPRODUCT(($E$21:$E$69*$O$21:$O$69)*Guidelines!$M$229/100*($G$21:$G$69=AH$102))</f>
        <v>28736.148949596434</v>
      </c>
      <c r="AI119" s="424">
        <f>SUMPRODUCT(($E$21:$E$69*$O$21:$O$69)*Guidelines!$M$229/100*($G$21:$G$69=AI$102))</f>
        <v>0</v>
      </c>
      <c r="AJ119" s="424">
        <f>SUMPRODUCT(($E$21:$E$69*$O$21:$O$69)*Guidelines!$M$229/100*($G$21:$G$69=AJ$102))</f>
        <v>0</v>
      </c>
      <c r="AK119" s="424">
        <f>SUMPRODUCT(($E$21:$E$69*$O$21:$O$69)*Guidelines!$M$229/100*($G$21:$G$69=AK$102))</f>
        <v>0</v>
      </c>
      <c r="AL119" s="424">
        <f>SUMPRODUCT(($E$21:$E$69*$O$21:$O$69)*Guidelines!$M$229/100*($G$21:$G$69=AL$102))</f>
        <v>0</v>
      </c>
      <c r="AM119" s="424">
        <f>SUMPRODUCT(($E$21:$E$69*$O$21:$O$69)*Guidelines!$M$229/100*($G$21:$G$69=AM$102))</f>
        <v>0</v>
      </c>
      <c r="AN119" s="424">
        <f>SUMPRODUCT(($E$21:$E$69*$O$21:$O$69)*Guidelines!$M$229/100*($G$21:$G$69=AN$102))</f>
        <v>0</v>
      </c>
      <c r="AO119" s="424">
        <f>SUMPRODUCT(($E$21:$E$69*$O$21:$O$69)*Guidelines!$M$229/100*($G$21:$G$69=AO$102))</f>
        <v>0</v>
      </c>
      <c r="AP119" s="424">
        <f>SUMPRODUCT(($E$21:$E$69*$O$21:$O$69)*Guidelines!$M$229/100*($G$21:$G$69=AP$102))</f>
        <v>0</v>
      </c>
      <c r="AQ119" s="424">
        <f>SUMPRODUCT(($E$21:$E$69*$O$21:$O$69)*Guidelines!$M$229/100*($G$21:$G$69=AQ$102))</f>
        <v>0</v>
      </c>
      <c r="AR119" s="424">
        <f>SUMPRODUCT(($E$21:$E$69*$O$21:$O$69)*Guidelines!$M$229/100*($G$21:$G$69=AR$102))</f>
        <v>825</v>
      </c>
      <c r="AS119" s="424">
        <f>SUMPRODUCT(($E$21:$E$69*$O$21:$O$69)*Guidelines!$M$229/100*($G$21:$G$69=AS$102))</f>
        <v>0</v>
      </c>
      <c r="AT119" s="420">
        <f t="shared" si="32"/>
        <v>28736.148949596434</v>
      </c>
      <c r="AU119" s="420">
        <f t="shared" si="33"/>
        <v>825</v>
      </c>
      <c r="AV119" s="419">
        <f t="shared" si="34"/>
        <v>29561.148949596434</v>
      </c>
      <c r="BS119" s="124"/>
      <c r="BV119" s="245"/>
    </row>
    <row r="120" spans="30:74" ht="14.25" customHeight="1">
      <c r="AD120" s="832"/>
      <c r="AE120" s="834" t="s">
        <v>66</v>
      </c>
      <c r="AF120" s="423" t="s">
        <v>539</v>
      </c>
      <c r="AG120" s="484">
        <v>0</v>
      </c>
      <c r="AH120" s="424">
        <f>-Guidelines!$M$227/100*CLI*AH124</f>
        <v>0</v>
      </c>
      <c r="AI120" s="424">
        <f>-Guidelines!$M$227/100*CLI*AI124</f>
        <v>0</v>
      </c>
      <c r="AJ120" s="424">
        <f>-Guidelines!$M$227/100*CLI*AJ124</f>
        <v>0</v>
      </c>
      <c r="AK120" s="424">
        <f>-Guidelines!$M$227/100*CLI*AK124</f>
        <v>0</v>
      </c>
      <c r="AL120" s="424">
        <f>-Guidelines!$M$227/100*CLI*AL124</f>
        <v>0</v>
      </c>
      <c r="AM120" s="424">
        <f>-Guidelines!$M$227/100*CLI*AM124</f>
        <v>0</v>
      </c>
      <c r="AN120" s="424">
        <f>-Guidelines!$M$227/100*CLI*AN124</f>
        <v>0</v>
      </c>
      <c r="AO120" s="424">
        <f>-Guidelines!$M$227/100*CLI*AO124</f>
        <v>0</v>
      </c>
      <c r="AP120" s="424">
        <f>-Guidelines!$M$227/100*CLI*AP124</f>
        <v>0</v>
      </c>
      <c r="AQ120" s="424">
        <f>-Guidelines!$M$227/100*CLI*AQ124</f>
        <v>0</v>
      </c>
      <c r="AR120" s="424">
        <f>-Guidelines!$M$227/100*CLI*AR124</f>
        <v>0</v>
      </c>
      <c r="AS120" s="424">
        <f>-Guidelines!$M$227/100*CLI*AS124</f>
        <v>0</v>
      </c>
      <c r="AT120" s="426">
        <f t="shared" si="32"/>
        <v>0</v>
      </c>
      <c r="AU120" s="426">
        <f t="shared" si="33"/>
        <v>0</v>
      </c>
      <c r="AV120" s="427">
        <f t="shared" si="34"/>
        <v>0</v>
      </c>
      <c r="BS120" s="124"/>
      <c r="BV120" s="245"/>
    </row>
    <row r="121" spans="30:74" ht="14.25" customHeight="1">
      <c r="AD121" s="832"/>
      <c r="AE121" s="834"/>
      <c r="AF121" s="423" t="s">
        <v>763</v>
      </c>
      <c r="AG121" s="485">
        <v>0</v>
      </c>
      <c r="AH121" s="428">
        <f t="shared" ref="AH121:AS121" si="35">SUMIFS($H$21:$H$69,$G$21:$G$69,"="&amp;AH102)</f>
        <v>89.270727042110082</v>
      </c>
      <c r="AI121" s="428">
        <f t="shared" si="35"/>
        <v>0</v>
      </c>
      <c r="AJ121" s="428">
        <f t="shared" si="35"/>
        <v>0</v>
      </c>
      <c r="AK121" s="428">
        <f t="shared" si="35"/>
        <v>1.292915985932779</v>
      </c>
      <c r="AL121" s="428">
        <f t="shared" si="35"/>
        <v>0</v>
      </c>
      <c r="AM121" s="428">
        <f t="shared" si="35"/>
        <v>0</v>
      </c>
      <c r="AN121" s="428">
        <f t="shared" si="35"/>
        <v>0</v>
      </c>
      <c r="AO121" s="428">
        <f t="shared" si="35"/>
        <v>0</v>
      </c>
      <c r="AP121" s="428">
        <f t="shared" si="35"/>
        <v>0</v>
      </c>
      <c r="AQ121" s="428">
        <f t="shared" si="35"/>
        <v>0</v>
      </c>
      <c r="AR121" s="428">
        <f t="shared" si="35"/>
        <v>9.4363569719571458</v>
      </c>
      <c r="AS121" s="428">
        <f t="shared" si="35"/>
        <v>0</v>
      </c>
      <c r="AT121" s="429">
        <f>SUM(AH121:AM121)</f>
        <v>90.563643028042861</v>
      </c>
      <c r="AU121" s="429">
        <f>SUM(AN121:AS121)</f>
        <v>9.4363569719571458</v>
      </c>
      <c r="AV121" s="430">
        <f>AT121+AU121</f>
        <v>100</v>
      </c>
      <c r="BS121" s="124"/>
      <c r="BV121" s="245"/>
    </row>
    <row r="122" spans="30:74" ht="14.25" customHeight="1">
      <c r="AD122" s="832"/>
      <c r="AE122" s="834"/>
      <c r="AF122" s="423" t="s">
        <v>762</v>
      </c>
      <c r="AG122" s="485">
        <v>0</v>
      </c>
      <c r="AH122" s="428">
        <f t="shared" ref="AH122:AM122" si="36">AH121</f>
        <v>89.270727042110082</v>
      </c>
      <c r="AI122" s="428">
        <f t="shared" si="36"/>
        <v>0</v>
      </c>
      <c r="AJ122" s="428">
        <f t="shared" si="36"/>
        <v>0</v>
      </c>
      <c r="AK122" s="428">
        <f t="shared" si="36"/>
        <v>1.292915985932779</v>
      </c>
      <c r="AL122" s="428">
        <f t="shared" si="36"/>
        <v>0</v>
      </c>
      <c r="AM122" s="428">
        <f t="shared" si="36"/>
        <v>0</v>
      </c>
      <c r="AN122" s="431">
        <v>0</v>
      </c>
      <c r="AO122" s="428">
        <f>IF(AV114=0,0,IF(OR(K5&lt;&gt;AH146,K5&lt;&gt;AH147),AO104+AO112)/AV114*100)</f>
        <v>0</v>
      </c>
      <c r="AP122" s="428">
        <f>IF(AV114=0,0,AP114/AV114*100)</f>
        <v>0</v>
      </c>
      <c r="AQ122" s="428">
        <f>IF(AV114=0,0,AQ114/AV114*100)</f>
        <v>0</v>
      </c>
      <c r="AR122" s="431">
        <v>0</v>
      </c>
      <c r="AS122" s="431">
        <v>0</v>
      </c>
      <c r="AT122" s="429">
        <f>SUM(AH122:AM122)</f>
        <v>90.563643028042861</v>
      </c>
      <c r="AU122" s="429">
        <f>SUM(AN122:AS122)</f>
        <v>0</v>
      </c>
      <c r="AV122" s="430">
        <f>AT122+AU122</f>
        <v>90.563643028042861</v>
      </c>
      <c r="BS122" s="124"/>
      <c r="BV122" s="245"/>
    </row>
    <row r="123" spans="30:74" ht="14.25" customHeight="1">
      <c r="AD123" s="832"/>
      <c r="AE123" s="834"/>
      <c r="AF123" s="423" t="s">
        <v>833</v>
      </c>
      <c r="AG123" s="485">
        <v>0</v>
      </c>
      <c r="AH123" s="432">
        <f>Guidelines!$P$120/100*AH122</f>
        <v>0</v>
      </c>
      <c r="AI123" s="432">
        <f>Guidelines!$P$121/100*AI122</f>
        <v>0</v>
      </c>
      <c r="AJ123" s="432">
        <f>Guidelines!$P$122/100*AJ122</f>
        <v>0</v>
      </c>
      <c r="AK123" s="432">
        <f>Guidelines!$P$123/100*AK122</f>
        <v>0</v>
      </c>
      <c r="AL123" s="432">
        <f>Guidelines!$P$124/100*AL122</f>
        <v>0</v>
      </c>
      <c r="AM123" s="432">
        <f>Guidelines!$P$125/100*AM122</f>
        <v>0</v>
      </c>
      <c r="AN123" s="428">
        <f>IF(AN122=0,0,AN122/Guidelines!$M$237)</f>
        <v>0</v>
      </c>
      <c r="AO123" s="428">
        <f>IF(AO122=0,0,AO122/Guidelines!$M$237)</f>
        <v>0</v>
      </c>
      <c r="AP123" s="428">
        <f>IF(AP122=0,0,AP122/Guidelines!$M$237)</f>
        <v>0</v>
      </c>
      <c r="AQ123" s="428">
        <f>IF(AQ122=0,0,AQ122/Guidelines!$M$237)</f>
        <v>0</v>
      </c>
      <c r="AR123" s="428">
        <f>IF(AR122=0,0,AR122/Guidelines!$M$237)</f>
        <v>0</v>
      </c>
      <c r="AS123" s="428">
        <f>IF(AS122=0,0,AS122/Guidelines!$M$237)</f>
        <v>0</v>
      </c>
      <c r="AT123" s="429">
        <f>SUM(AH123:AM123)</f>
        <v>0</v>
      </c>
      <c r="AU123" s="429">
        <f>SUM(AN123:AS123)</f>
        <v>0</v>
      </c>
      <c r="AV123" s="430">
        <f>AT123+AU123</f>
        <v>0</v>
      </c>
      <c r="BS123" s="124"/>
      <c r="BV123" s="245"/>
    </row>
    <row r="124" spans="30:74" ht="14.25" customHeight="1">
      <c r="AD124" s="832"/>
      <c r="AE124" s="834"/>
      <c r="AF124" s="423" t="s">
        <v>834</v>
      </c>
      <c r="AG124" s="485">
        <v>0</v>
      </c>
      <c r="AH124" s="432">
        <f t="shared" ref="AH124:AM124" si="37">AH122/$AT$122*$AR$145</f>
        <v>0</v>
      </c>
      <c r="AI124" s="432">
        <f t="shared" si="37"/>
        <v>0</v>
      </c>
      <c r="AJ124" s="432">
        <f t="shared" si="37"/>
        <v>0</v>
      </c>
      <c r="AK124" s="432">
        <f t="shared" si="37"/>
        <v>0</v>
      </c>
      <c r="AL124" s="432">
        <f t="shared" si="37"/>
        <v>0</v>
      </c>
      <c r="AM124" s="432">
        <f t="shared" si="37"/>
        <v>0</v>
      </c>
      <c r="AN124" s="432">
        <f t="shared" ref="AN124:AS124" si="38">IF($AU$122=0,0,AN122/$AU$122*$AR$146)</f>
        <v>0</v>
      </c>
      <c r="AO124" s="432">
        <f t="shared" si="38"/>
        <v>0</v>
      </c>
      <c r="AP124" s="432">
        <f t="shared" si="38"/>
        <v>0</v>
      </c>
      <c r="AQ124" s="432">
        <f t="shared" si="38"/>
        <v>0</v>
      </c>
      <c r="AR124" s="432">
        <f t="shared" si="38"/>
        <v>0</v>
      </c>
      <c r="AS124" s="432">
        <f t="shared" si="38"/>
        <v>0</v>
      </c>
      <c r="AT124" s="429">
        <f>SUM(AH124:AM124)</f>
        <v>0</v>
      </c>
      <c r="AU124" s="429">
        <f>SUM(AN124:AS124)</f>
        <v>0</v>
      </c>
      <c r="AV124" s="430">
        <f>AT124+AU124</f>
        <v>0</v>
      </c>
      <c r="BS124" s="124"/>
      <c r="BV124" s="245"/>
    </row>
    <row r="125" spans="30:74" ht="14.25" customHeight="1">
      <c r="AD125" s="832"/>
      <c r="AE125" s="834"/>
      <c r="AF125" s="423" t="s">
        <v>326</v>
      </c>
      <c r="AG125" s="484">
        <v>0</v>
      </c>
      <c r="AH125" s="424">
        <f>STEC*AH124/100*Guidelines!$M$230*CLI/1000</f>
        <v>0</v>
      </c>
      <c r="AI125" s="424">
        <f>STEC*AI124/100*Guidelines!$M$230*CLI/1000</f>
        <v>0</v>
      </c>
      <c r="AJ125" s="424">
        <f>STEC*AJ124/100*Guidelines!$M$230*CLI/1000</f>
        <v>0</v>
      </c>
      <c r="AK125" s="424">
        <f>STEC*AK124/100*Guidelines!$M$230*CLI/1000</f>
        <v>0</v>
      </c>
      <c r="AL125" s="424">
        <f>STEC*AL124/100*Guidelines!$M$230*CLI/1000</f>
        <v>0</v>
      </c>
      <c r="AM125" s="424">
        <f>STEC*AM124/100*Guidelines!$M$230*CLI/1000</f>
        <v>0</v>
      </c>
      <c r="AN125" s="424">
        <f>STEC*AN124/100*Guidelines!$M$230*CLI/1000</f>
        <v>0</v>
      </c>
      <c r="AO125" s="424">
        <f>STEC*AO124/100*Guidelines!$M$230*CLI/1000</f>
        <v>0</v>
      </c>
      <c r="AP125" s="424">
        <f>STEC*AP124/100*Guidelines!$M$230*CLI/1000</f>
        <v>0</v>
      </c>
      <c r="AQ125" s="424">
        <f>STEC*AQ124/100*Guidelines!$M$230*CLI/1000</f>
        <v>0</v>
      </c>
      <c r="AR125" s="424">
        <f>STEC*AR124/100*Guidelines!$M$230*CLI/1000</f>
        <v>0</v>
      </c>
      <c r="AS125" s="424">
        <f>STEC*AS124/100*Guidelines!$M$230*CLI/1000</f>
        <v>0</v>
      </c>
      <c r="AT125" s="420">
        <f t="shared" si="32"/>
        <v>0</v>
      </c>
      <c r="AU125" s="420">
        <f t="shared" si="33"/>
        <v>0</v>
      </c>
      <c r="AV125" s="419">
        <f t="shared" si="34"/>
        <v>0</v>
      </c>
      <c r="BS125" s="124"/>
      <c r="BV125" s="245"/>
    </row>
    <row r="126" spans="30:74" ht="14.25" customHeight="1">
      <c r="AD126" s="832"/>
      <c r="AE126" s="761" t="s">
        <v>356</v>
      </c>
      <c r="AF126" s="423" t="s">
        <v>539</v>
      </c>
      <c r="AG126" s="484">
        <v>0</v>
      </c>
      <c r="AH126" s="436">
        <v>0</v>
      </c>
      <c r="AI126" s="436">
        <v>0</v>
      </c>
      <c r="AJ126" s="436">
        <v>0</v>
      </c>
      <c r="AK126" s="436">
        <v>0</v>
      </c>
      <c r="AL126" s="436">
        <v>0</v>
      </c>
      <c r="AM126" s="436">
        <v>0</v>
      </c>
      <c r="AN126" s="436">
        <v>0</v>
      </c>
      <c r="AO126" s="436">
        <v>0</v>
      </c>
      <c r="AP126" s="436">
        <v>0</v>
      </c>
      <c r="AQ126" s="436">
        <v>0</v>
      </c>
      <c r="AR126" s="436">
        <v>0</v>
      </c>
      <c r="AS126" s="436">
        <v>0</v>
      </c>
      <c r="AT126" s="420">
        <f t="shared" si="32"/>
        <v>0</v>
      </c>
      <c r="AU126" s="420">
        <f t="shared" si="33"/>
        <v>0</v>
      </c>
      <c r="AV126" s="419">
        <f t="shared" si="34"/>
        <v>0</v>
      </c>
      <c r="BS126" s="124"/>
      <c r="BV126" s="245"/>
    </row>
    <row r="127" spans="30:74" ht="14.25" customHeight="1">
      <c r="AD127" s="832"/>
      <c r="AE127" s="762"/>
      <c r="AF127" s="423" t="s">
        <v>326</v>
      </c>
      <c r="AG127" s="436">
        <v>0</v>
      </c>
      <c r="AH127" s="424">
        <f>IF(AV114=0,0,Guidelines!O120*(Baseline!AH114/Baseline!$AV$114)*STEC/1000*Guidelines!$M$231*CLI)</f>
        <v>0</v>
      </c>
      <c r="AI127" s="424">
        <f>IF(AV114=0,0,Guidelines!O121*(Baseline!AI114/Baseline!$AV$114)*STEC/1000*Guidelines!$M$231*CLI)</f>
        <v>0</v>
      </c>
      <c r="AJ127" s="424">
        <f>IF(AV114=0,0,Guidelines!O122*(Baseline!AJ114/Baseline!$AV$114)*STEC/1000*Guidelines!$M$231*CLI)</f>
        <v>0</v>
      </c>
      <c r="AK127" s="424">
        <f>IF(AV114=0,0,Guidelines!O123*(Baseline!AK114/Baseline!$AV$114)*STEC/1000*Guidelines!$M$231*CLI)</f>
        <v>732.28586107878505</v>
      </c>
      <c r="AL127" s="424">
        <f>IF(AV114=0,0,Guidelines!O124*(Baseline!AL114/Baseline!$AV$114)*STEC/1000*Guidelines!$M$231*CLI)</f>
        <v>0</v>
      </c>
      <c r="AM127" s="424">
        <f>IF(AV114=0,0,Guidelines!O125*(Baseline!AM114/Baseline!$AV$114)*STEC/1000*Guidelines!$M$231*CLI)</f>
        <v>0</v>
      </c>
      <c r="AN127" s="436">
        <v>0</v>
      </c>
      <c r="AO127" s="436">
        <v>0</v>
      </c>
      <c r="AP127" s="436">
        <v>0</v>
      </c>
      <c r="AQ127" s="436">
        <v>0</v>
      </c>
      <c r="AR127" s="436">
        <v>0</v>
      </c>
      <c r="AS127" s="436">
        <v>0</v>
      </c>
      <c r="AT127" s="420">
        <f t="shared" si="32"/>
        <v>732.28586107878505</v>
      </c>
      <c r="AU127" s="420">
        <f t="shared" si="33"/>
        <v>0</v>
      </c>
      <c r="AV127" s="419">
        <f t="shared" si="34"/>
        <v>732.28586107878505</v>
      </c>
      <c r="BS127" s="124"/>
      <c r="BV127" s="245"/>
    </row>
    <row r="128" spans="30:74" ht="14.25" customHeight="1">
      <c r="AD128" s="832"/>
      <c r="AE128" s="761" t="s">
        <v>60</v>
      </c>
      <c r="AF128" s="423" t="s">
        <v>539</v>
      </c>
      <c r="AG128" s="424">
        <f>IF(ISERROR(AG116+AG118+AG120+AG126),0,AG116+AG118+AG120+AG126)</f>
        <v>-9956.473841215</v>
      </c>
      <c r="AH128" s="424">
        <f t="shared" ref="AH128:AS128" si="39">AH116+AH118+AH120+AH126</f>
        <v>-10671.560769009222</v>
      </c>
      <c r="AI128" s="424">
        <f t="shared" si="39"/>
        <v>0</v>
      </c>
      <c r="AJ128" s="424">
        <f t="shared" si="39"/>
        <v>0</v>
      </c>
      <c r="AK128" s="424">
        <f t="shared" si="39"/>
        <v>0</v>
      </c>
      <c r="AL128" s="424">
        <f t="shared" si="39"/>
        <v>0</v>
      </c>
      <c r="AM128" s="424">
        <f t="shared" si="39"/>
        <v>0</v>
      </c>
      <c r="AN128" s="424">
        <f t="shared" si="39"/>
        <v>0</v>
      </c>
      <c r="AO128" s="424">
        <f t="shared" si="39"/>
        <v>0</v>
      </c>
      <c r="AP128" s="424">
        <f t="shared" si="39"/>
        <v>0</v>
      </c>
      <c r="AQ128" s="424">
        <f t="shared" si="39"/>
        <v>0</v>
      </c>
      <c r="AR128" s="424">
        <f t="shared" si="39"/>
        <v>-31281</v>
      </c>
      <c r="AS128" s="424">
        <f t="shared" si="39"/>
        <v>0</v>
      </c>
      <c r="AT128" s="420">
        <f>IF(ISERROR(SUM(AH128:AM128)),0,SUM(AH128:AM128))</f>
        <v>-10671.560769009222</v>
      </c>
      <c r="AU128" s="420">
        <f>IF(ISERROR(SUM(AN128:AS128)),0,SUM(AN128:AS128))</f>
        <v>-31281</v>
      </c>
      <c r="AV128" s="419">
        <f t="shared" si="34"/>
        <v>-41952.560769009222</v>
      </c>
      <c r="BS128" s="124"/>
      <c r="BV128" s="182"/>
    </row>
    <row r="129" spans="30:74" ht="14.25" customHeight="1">
      <c r="AD129" s="832"/>
      <c r="AE129" s="855"/>
      <c r="AF129" s="423" t="s">
        <v>326</v>
      </c>
      <c r="AG129" s="424">
        <f>IF(ISERROR(AG117+AG119+AG125+AG127),0,AG117+AG119+AG125+AG127)</f>
        <v>31579.632166438736</v>
      </c>
      <c r="AH129" s="424">
        <f t="shared" ref="AH129:AS129" si="40">AH117+AH119+AH125+AH127</f>
        <v>32948.607147889546</v>
      </c>
      <c r="AI129" s="424">
        <f t="shared" si="40"/>
        <v>0</v>
      </c>
      <c r="AJ129" s="424">
        <f t="shared" si="40"/>
        <v>0</v>
      </c>
      <c r="AK129" s="424">
        <f t="shared" si="40"/>
        <v>732.28586107878505</v>
      </c>
      <c r="AL129" s="424">
        <f t="shared" si="40"/>
        <v>0</v>
      </c>
      <c r="AM129" s="424">
        <f t="shared" si="40"/>
        <v>0</v>
      </c>
      <c r="AN129" s="424">
        <f t="shared" si="40"/>
        <v>0</v>
      </c>
      <c r="AO129" s="424">
        <f t="shared" si="40"/>
        <v>0</v>
      </c>
      <c r="AP129" s="424">
        <f t="shared" si="40"/>
        <v>0</v>
      </c>
      <c r="AQ129" s="424">
        <f t="shared" si="40"/>
        <v>0</v>
      </c>
      <c r="AR129" s="424">
        <f t="shared" si="40"/>
        <v>58345</v>
      </c>
      <c r="AS129" s="424">
        <f t="shared" si="40"/>
        <v>0</v>
      </c>
      <c r="AT129" s="420">
        <f>IF(ISERROR(SUM(AH129:AM129)),0,SUM(AH129:AM129))</f>
        <v>33680.893008968334</v>
      </c>
      <c r="AU129" s="420">
        <f>IF(ISERROR(SUM(AN129:AS129)),0,SUM(AN129:AS129))</f>
        <v>58345</v>
      </c>
      <c r="AV129" s="419">
        <f t="shared" si="34"/>
        <v>92025.893008968327</v>
      </c>
      <c r="BS129" s="124"/>
      <c r="BV129" s="148"/>
    </row>
    <row r="130" spans="30:74" ht="14.25" customHeight="1">
      <c r="AD130" s="833"/>
      <c r="AE130" s="762"/>
      <c r="AF130" s="423" t="s">
        <v>764</v>
      </c>
      <c r="AG130" s="481">
        <f t="shared" ref="AG130:AV130" si="41">IF(CLI=0,0,AG129*1000/CLI)</f>
        <v>22.612836794935852</v>
      </c>
      <c r="AH130" s="481">
        <f t="shared" si="41"/>
        <v>23.593101785634396</v>
      </c>
      <c r="AI130" s="481">
        <f t="shared" si="41"/>
        <v>0</v>
      </c>
      <c r="AJ130" s="481">
        <f t="shared" si="41"/>
        <v>0</v>
      </c>
      <c r="AK130" s="481">
        <f t="shared" si="41"/>
        <v>0.52435888348983939</v>
      </c>
      <c r="AL130" s="481">
        <f t="shared" si="41"/>
        <v>0</v>
      </c>
      <c r="AM130" s="481">
        <f t="shared" si="41"/>
        <v>0</v>
      </c>
      <c r="AN130" s="481">
        <f t="shared" si="41"/>
        <v>0</v>
      </c>
      <c r="AO130" s="481">
        <f t="shared" si="41"/>
        <v>0</v>
      </c>
      <c r="AP130" s="481">
        <f t="shared" si="41"/>
        <v>0</v>
      </c>
      <c r="AQ130" s="481">
        <f t="shared" si="41"/>
        <v>0</v>
      </c>
      <c r="AR130" s="481">
        <f t="shared" si="41"/>
        <v>41.778382846481271</v>
      </c>
      <c r="AS130" s="481">
        <f t="shared" si="41"/>
        <v>0</v>
      </c>
      <c r="AT130" s="481">
        <f t="shared" si="41"/>
        <v>24.117460669124235</v>
      </c>
      <c r="AU130" s="481">
        <f t="shared" si="41"/>
        <v>41.778382846481271</v>
      </c>
      <c r="AV130" s="481">
        <f t="shared" si="41"/>
        <v>65.895843515605506</v>
      </c>
      <c r="BS130" s="124"/>
      <c r="BV130" s="480"/>
    </row>
    <row r="131" spans="30:74" ht="14.25" customHeight="1">
      <c r="AD131" s="838" t="s">
        <v>540</v>
      </c>
      <c r="AE131" s="828" t="s">
        <v>311</v>
      </c>
      <c r="AF131" s="418" t="str">
        <f>LocCur&amp;"/t"</f>
        <v>USD/t</v>
      </c>
      <c r="AG131" s="481" t="s">
        <v>51</v>
      </c>
      <c r="AH131" s="437">
        <f t="shared" ref="AH131:AS131" si="42">IF(AH$113=0,0,SUMPRODUCT(($E$21:$E$69*$K$21:$K$69)*($G$21:$G$69=AH$102))/AH$113)</f>
        <v>138.00000000000003</v>
      </c>
      <c r="AI131" s="437">
        <f t="shared" si="42"/>
        <v>0</v>
      </c>
      <c r="AJ131" s="437">
        <f t="shared" si="42"/>
        <v>0</v>
      </c>
      <c r="AK131" s="437">
        <f t="shared" si="42"/>
        <v>530</v>
      </c>
      <c r="AL131" s="437">
        <f t="shared" si="42"/>
        <v>0</v>
      </c>
      <c r="AM131" s="437">
        <f t="shared" si="42"/>
        <v>0</v>
      </c>
      <c r="AN131" s="437">
        <f t="shared" si="42"/>
        <v>0</v>
      </c>
      <c r="AO131" s="437">
        <f t="shared" si="42"/>
        <v>0</v>
      </c>
      <c r="AP131" s="437">
        <f t="shared" si="42"/>
        <v>0</v>
      </c>
      <c r="AQ131" s="437">
        <f t="shared" si="42"/>
        <v>0</v>
      </c>
      <c r="AR131" s="437">
        <f t="shared" si="42"/>
        <v>14.333333333333334</v>
      </c>
      <c r="AS131" s="437">
        <f t="shared" si="42"/>
        <v>0</v>
      </c>
      <c r="AT131" s="486">
        <f>IF(AT113=0,0,SUMPRODUCT(AH131:AM131,$AH$113:$AM$113)/$AT$113)</f>
        <v>141.56853339546177</v>
      </c>
      <c r="AU131" s="486">
        <f>IF($AU$113=0,0,SUMPRODUCT(AN131:AS131,$AN$113:$AS$113)/$AU$113)</f>
        <v>14.333333333333334</v>
      </c>
      <c r="AV131" s="440">
        <f>IF(AV113=0,0,SUMPRODUCT(AH131:AS131,$AH$113:$AS$113)/$AV$113)</f>
        <v>121.97113149047539</v>
      </c>
      <c r="BS131" s="124"/>
      <c r="BV131" s="148"/>
    </row>
    <row r="132" spans="30:74" ht="14.25" customHeight="1">
      <c r="AD132" s="840"/>
      <c r="AE132" s="829"/>
      <c r="AF132" s="418" t="str">
        <f>LocCur&amp;"/GJ"</f>
        <v>USD/GJ</v>
      </c>
      <c r="AG132" s="481" t="s">
        <v>51</v>
      </c>
      <c r="AH132" s="437">
        <f t="shared" ref="AH132:AS132" si="43">IF(AH$113=0,0,SUMPRODUCT(($E$21:$E$69*$K$21:$K$69)*($G$21:$G$69=AH$102))/SUMPRODUCT(($E$21:$E$69*$M$21:$M$69)*($G$21:$G$69=AH$102)))</f>
        <v>5.4117647058823533</v>
      </c>
      <c r="AI132" s="437">
        <f t="shared" si="43"/>
        <v>0</v>
      </c>
      <c r="AJ132" s="437">
        <f t="shared" si="43"/>
        <v>0</v>
      </c>
      <c r="AK132" s="437">
        <f t="shared" si="43"/>
        <v>13.184079601990048</v>
      </c>
      <c r="AL132" s="437">
        <f t="shared" si="43"/>
        <v>0</v>
      </c>
      <c r="AM132" s="437">
        <f t="shared" si="43"/>
        <v>0</v>
      </c>
      <c r="AN132" s="437">
        <f t="shared" si="43"/>
        <v>0</v>
      </c>
      <c r="AO132" s="437">
        <f t="shared" si="43"/>
        <v>0</v>
      </c>
      <c r="AP132" s="437">
        <f t="shared" si="43"/>
        <v>0</v>
      </c>
      <c r="AQ132" s="437">
        <f t="shared" si="43"/>
        <v>0</v>
      </c>
      <c r="AR132" s="437">
        <f t="shared" si="43"/>
        <v>0.97705067030220405</v>
      </c>
      <c r="AS132" s="437">
        <f t="shared" si="43"/>
        <v>0</v>
      </c>
      <c r="AT132" s="439">
        <f>IF(SUMPRODUCT(AH133:AM133,AH113:AM113)=0,0,SUMPRODUCT(AH131:AM131,AH113:AM113)/SUMPRODUCT(AH133:AM133,AH113:AM113))</f>
        <v>5.5227247980439449</v>
      </c>
      <c r="AU132" s="439">
        <f>IF(SUMPRODUCT(AN133:AS133,AN113:AS113)=0,0,SUMPRODUCT(AN131:AS131,AN113:AS113)/SUMPRODUCT(AN133:AS133,AN113:AS113))</f>
        <v>0.97705067030220405</v>
      </c>
      <c r="AV132" s="440">
        <f>IF(SUMPRODUCT(AH133:AS133,AH113:AS113)=0,0,SUMPRODUCT(AH131:AS131,AH113:AS113)/SUMPRODUCT(AH133:AS133,AH113:AS113))</f>
        <v>5.0937787605683349</v>
      </c>
      <c r="BS132" s="124"/>
      <c r="BV132" s="148"/>
    </row>
    <row r="133" spans="30:74" ht="14.25" customHeight="1">
      <c r="AD133" s="831" t="s">
        <v>116</v>
      </c>
      <c r="AE133" s="477" t="s">
        <v>12</v>
      </c>
      <c r="AF133" s="423" t="s">
        <v>312</v>
      </c>
      <c r="AG133" s="432">
        <f>Guidelines!D119</f>
        <v>27</v>
      </c>
      <c r="AH133" s="428">
        <f t="shared" ref="AH133:AS133" si="44">IF(AH$113=0,0,SUMPRODUCT(($E$21:$E$69*$M$21:$M$69)*($G$21:$G$69=AH$102))/AH$113)</f>
        <v>25.5</v>
      </c>
      <c r="AI133" s="428">
        <f t="shared" si="44"/>
        <v>0</v>
      </c>
      <c r="AJ133" s="428">
        <f t="shared" si="44"/>
        <v>0</v>
      </c>
      <c r="AK133" s="428">
        <f t="shared" si="44"/>
        <v>40.200000000000003</v>
      </c>
      <c r="AL133" s="428">
        <f t="shared" si="44"/>
        <v>0</v>
      </c>
      <c r="AM133" s="428">
        <f t="shared" si="44"/>
        <v>0</v>
      </c>
      <c r="AN133" s="428">
        <f t="shared" si="44"/>
        <v>0</v>
      </c>
      <c r="AO133" s="428">
        <f t="shared" si="44"/>
        <v>0</v>
      </c>
      <c r="AP133" s="428">
        <f t="shared" si="44"/>
        <v>0</v>
      </c>
      <c r="AQ133" s="428">
        <f t="shared" si="44"/>
        <v>0</v>
      </c>
      <c r="AR133" s="428">
        <f t="shared" si="44"/>
        <v>14.67</v>
      </c>
      <c r="AS133" s="428">
        <f t="shared" si="44"/>
        <v>0</v>
      </c>
      <c r="AT133" s="429">
        <f t="shared" ref="AT133:AT140" si="45">IF($AT$113=0,0,SUMPRODUCT(AH133:AM133,$AH$113:$AM$113)/$AT$113)</f>
        <v>25.633820002329816</v>
      </c>
      <c r="AU133" s="429">
        <f t="shared" ref="AU133:AU140" si="46">IF($AU$113=0,0,SUMPRODUCT(AN133:AS133,$AN$113:$AS$113)/$AU$113)</f>
        <v>14.67</v>
      </c>
      <c r="AV133" s="430">
        <f>IF(AV113=0,0,SUMPRODUCT(AH133:AS133,$AH$113:$AS$113)/$AV$113)</f>
        <v>23.945117607908543</v>
      </c>
      <c r="BS133" s="124"/>
      <c r="BV133" s="148"/>
    </row>
    <row r="134" spans="30:74" ht="14.25" customHeight="1">
      <c r="AD134" s="832"/>
      <c r="AE134" s="477" t="s">
        <v>6</v>
      </c>
      <c r="AF134" s="423" t="s">
        <v>3</v>
      </c>
      <c r="AG134" s="481">
        <f>Guidelines!F119</f>
        <v>1</v>
      </c>
      <c r="AH134" s="437">
        <f t="shared" ref="AH134:AS134" si="47">IF(AH$113=0,0,SUMPRODUCT(($E$21:$E$69*$N$21:$N$69)*($G$21:$G$69=AH$102))/AH$113)</f>
        <v>1.2000000000000002</v>
      </c>
      <c r="AI134" s="437">
        <f t="shared" si="47"/>
        <v>0</v>
      </c>
      <c r="AJ134" s="437">
        <f t="shared" si="47"/>
        <v>0</v>
      </c>
      <c r="AK134" s="437">
        <f t="shared" si="47"/>
        <v>0</v>
      </c>
      <c r="AL134" s="437">
        <f t="shared" si="47"/>
        <v>0</v>
      </c>
      <c r="AM134" s="437">
        <f t="shared" si="47"/>
        <v>0</v>
      </c>
      <c r="AN134" s="437">
        <f t="shared" si="47"/>
        <v>0</v>
      </c>
      <c r="AO134" s="437">
        <f t="shared" si="47"/>
        <v>0</v>
      </c>
      <c r="AP134" s="437">
        <f t="shared" si="47"/>
        <v>0</v>
      </c>
      <c r="AQ134" s="437">
        <f t="shared" si="47"/>
        <v>0</v>
      </c>
      <c r="AR134" s="437">
        <f t="shared" si="47"/>
        <v>52.333333333333336</v>
      </c>
      <c r="AS134" s="437">
        <f t="shared" si="47"/>
        <v>0</v>
      </c>
      <c r="AT134" s="439">
        <f t="shared" si="45"/>
        <v>1.189075918177158</v>
      </c>
      <c r="AU134" s="439">
        <f t="shared" si="46"/>
        <v>52.333333333333336</v>
      </c>
      <c r="AV134" s="440">
        <f>IF(AV113=0,0,SUMPRODUCT(AH134:AS134,$AH$113:$AS$113)/$AV$113)</f>
        <v>9.066570253136975</v>
      </c>
      <c r="BS134" s="124"/>
      <c r="BV134" s="148"/>
    </row>
    <row r="135" spans="30:74" ht="14.25" customHeight="1">
      <c r="AD135" s="832"/>
      <c r="AE135" s="477" t="s">
        <v>8</v>
      </c>
      <c r="AF135" s="423" t="s">
        <v>3</v>
      </c>
      <c r="AG135" s="481">
        <f>Guidelines!H119</f>
        <v>15</v>
      </c>
      <c r="AH135" s="437">
        <f t="shared" ref="AH135:AS135" si="48">IF(AH$113=0,0,SUMPRODUCT(($E$21:$E$69*$O$21:$O$69)*($G$21:$G$69=AH$102))/AH$113)</f>
        <v>16</v>
      </c>
      <c r="AI135" s="437">
        <f t="shared" si="48"/>
        <v>0</v>
      </c>
      <c r="AJ135" s="437">
        <f t="shared" si="48"/>
        <v>0</v>
      </c>
      <c r="AK135" s="437">
        <f t="shared" si="48"/>
        <v>0</v>
      </c>
      <c r="AL135" s="437">
        <f t="shared" si="48"/>
        <v>0</v>
      </c>
      <c r="AM135" s="437">
        <f t="shared" si="48"/>
        <v>0</v>
      </c>
      <c r="AN135" s="437">
        <f t="shared" si="48"/>
        <v>0</v>
      </c>
      <c r="AO135" s="437">
        <f t="shared" si="48"/>
        <v>0</v>
      </c>
      <c r="AP135" s="437">
        <f t="shared" si="48"/>
        <v>0</v>
      </c>
      <c r="AQ135" s="437">
        <f t="shared" si="48"/>
        <v>0</v>
      </c>
      <c r="AR135" s="437">
        <f t="shared" si="48"/>
        <v>2.5</v>
      </c>
      <c r="AS135" s="437">
        <f t="shared" si="48"/>
        <v>0</v>
      </c>
      <c r="AT135" s="439">
        <f t="shared" si="45"/>
        <v>15.854345575695438</v>
      </c>
      <c r="AU135" s="439">
        <f t="shared" si="46"/>
        <v>2.5</v>
      </c>
      <c r="AV135" s="440">
        <f>IF(AV113=0,0,SUMPRODUCT(AH135:AS135,$AH$113:$AS$113)/$AV$113)</f>
        <v>13.797442475789216</v>
      </c>
      <c r="BS135" s="124"/>
      <c r="BV135" s="148"/>
    </row>
    <row r="136" spans="30:74" ht="14.25" customHeight="1">
      <c r="AD136" s="832"/>
      <c r="AE136" s="477" t="s">
        <v>7</v>
      </c>
      <c r="AF136" s="423" t="s">
        <v>3</v>
      </c>
      <c r="AG136" s="482">
        <f>Guidelines!L119</f>
        <v>0</v>
      </c>
      <c r="AH136" s="442">
        <f t="shared" ref="AH136:AS136" si="49">IF(AH$113=0,0,SUMPRODUCT(($E$21:$E$69*$P$21:$P$69)*($G$21:$G$69=AH$102))/AH$113)</f>
        <v>0.02</v>
      </c>
      <c r="AI136" s="442">
        <f t="shared" si="49"/>
        <v>0</v>
      </c>
      <c r="AJ136" s="442">
        <f t="shared" si="49"/>
        <v>0</v>
      </c>
      <c r="AK136" s="442">
        <f t="shared" si="49"/>
        <v>0</v>
      </c>
      <c r="AL136" s="442">
        <f t="shared" si="49"/>
        <v>0</v>
      </c>
      <c r="AM136" s="442">
        <f t="shared" si="49"/>
        <v>0</v>
      </c>
      <c r="AN136" s="442">
        <f t="shared" si="49"/>
        <v>0</v>
      </c>
      <c r="AO136" s="442">
        <f t="shared" si="49"/>
        <v>0</v>
      </c>
      <c r="AP136" s="442">
        <f t="shared" si="49"/>
        <v>0</v>
      </c>
      <c r="AQ136" s="442">
        <f t="shared" si="49"/>
        <v>0</v>
      </c>
      <c r="AR136" s="442">
        <f t="shared" si="49"/>
        <v>0.53333333333333333</v>
      </c>
      <c r="AS136" s="442">
        <f t="shared" si="49"/>
        <v>0</v>
      </c>
      <c r="AT136" s="443">
        <f t="shared" si="45"/>
        <v>1.9817931969619298E-2</v>
      </c>
      <c r="AU136" s="443">
        <f t="shared" si="46"/>
        <v>0.53333333333333333</v>
      </c>
      <c r="AV136" s="444">
        <f>IF(AV113=0,0,SUMPRODUCT(AH136:AS136,$AH$113:$AS$113)/$AV$113)</f>
        <v>9.8912142534078651E-2</v>
      </c>
      <c r="BS136" s="124"/>
      <c r="BV136" s="148"/>
    </row>
    <row r="137" spans="30:74" ht="14.25" customHeight="1">
      <c r="AD137" s="832"/>
      <c r="AE137" s="477" t="s">
        <v>1</v>
      </c>
      <c r="AF137" s="423" t="s">
        <v>3</v>
      </c>
      <c r="AG137" s="432">
        <f>Guidelines!J119</f>
        <v>0.5</v>
      </c>
      <c r="AH137" s="428">
        <f t="shared" ref="AH137:AS137" si="50">IF(AH$113=0,0,SUMPRODUCT(($E$21:$E$69*$Q$21:$Q$69)*($G$21:$G$69=AH$102))/AH$113)</f>
        <v>0.90000000000000024</v>
      </c>
      <c r="AI137" s="428">
        <f t="shared" si="50"/>
        <v>0</v>
      </c>
      <c r="AJ137" s="428">
        <f t="shared" si="50"/>
        <v>0</v>
      </c>
      <c r="AK137" s="428">
        <f t="shared" si="50"/>
        <v>1.4</v>
      </c>
      <c r="AL137" s="428">
        <f t="shared" si="50"/>
        <v>0</v>
      </c>
      <c r="AM137" s="428">
        <f t="shared" si="50"/>
        <v>0</v>
      </c>
      <c r="AN137" s="428">
        <f t="shared" si="50"/>
        <v>0</v>
      </c>
      <c r="AO137" s="428">
        <f t="shared" si="50"/>
        <v>0</v>
      </c>
      <c r="AP137" s="428">
        <f t="shared" si="50"/>
        <v>0</v>
      </c>
      <c r="AQ137" s="428">
        <f t="shared" si="50"/>
        <v>0</v>
      </c>
      <c r="AR137" s="428">
        <f t="shared" si="50"/>
        <v>0.18333333333333332</v>
      </c>
      <c r="AS137" s="428">
        <f t="shared" si="50"/>
        <v>0</v>
      </c>
      <c r="AT137" s="429">
        <f t="shared" si="45"/>
        <v>0.90455170075951774</v>
      </c>
      <c r="AU137" s="429">
        <f t="shared" si="46"/>
        <v>0.18333333333333332</v>
      </c>
      <c r="AV137" s="430">
        <f>IF(AV113=0,0,SUMPRODUCT(AH137:AS137,$AH$113:$AS$113)/$AV$113)</f>
        <v>0.79346604049563241</v>
      </c>
      <c r="BS137" s="124"/>
      <c r="BV137" s="148"/>
    </row>
    <row r="138" spans="30:74" ht="14.25" customHeight="1">
      <c r="AD138" s="832"/>
      <c r="AE138" s="477" t="s">
        <v>20</v>
      </c>
      <c r="AF138" s="423" t="s">
        <v>3</v>
      </c>
      <c r="AG138" s="432">
        <v>0</v>
      </c>
      <c r="AH138" s="428">
        <f t="shared" ref="AH138:AS138" si="51">IF(AH$113=0,0,SUMPRODUCT(($E$21:$E$69*$R$21:$R$69)*($G$21:$G$69=AH$102))/AH$113)</f>
        <v>0.21000000000000002</v>
      </c>
      <c r="AI138" s="428">
        <f t="shared" si="51"/>
        <v>0</v>
      </c>
      <c r="AJ138" s="428">
        <f t="shared" si="51"/>
        <v>0</v>
      </c>
      <c r="AK138" s="428">
        <f t="shared" si="51"/>
        <v>0</v>
      </c>
      <c r="AL138" s="428">
        <f t="shared" si="51"/>
        <v>0</v>
      </c>
      <c r="AM138" s="428">
        <f t="shared" si="51"/>
        <v>0</v>
      </c>
      <c r="AN138" s="428">
        <f t="shared" si="51"/>
        <v>0</v>
      </c>
      <c r="AO138" s="428">
        <f t="shared" si="51"/>
        <v>0</v>
      </c>
      <c r="AP138" s="428">
        <f t="shared" si="51"/>
        <v>0</v>
      </c>
      <c r="AQ138" s="428">
        <f t="shared" si="51"/>
        <v>0</v>
      </c>
      <c r="AR138" s="428">
        <f t="shared" si="51"/>
        <v>0</v>
      </c>
      <c r="AS138" s="428">
        <f t="shared" si="51"/>
        <v>0</v>
      </c>
      <c r="AT138" s="429">
        <f t="shared" si="45"/>
        <v>0.20808828568100265</v>
      </c>
      <c r="AU138" s="429">
        <f t="shared" si="46"/>
        <v>0</v>
      </c>
      <c r="AV138" s="430">
        <f>IF(AV113=0,0,SUMPRODUCT(AH138:AS138,$AH$113:$AS$113)/$AV$113)</f>
        <v>0.17603748712667991</v>
      </c>
      <c r="BS138" s="124"/>
      <c r="BV138" s="148"/>
    </row>
    <row r="139" spans="30:74" ht="14.25" customHeight="1">
      <c r="AD139" s="832"/>
      <c r="AE139" s="477" t="s">
        <v>21</v>
      </c>
      <c r="AF139" s="423" t="s">
        <v>3</v>
      </c>
      <c r="AG139" s="432">
        <v>0</v>
      </c>
      <c r="AH139" s="428">
        <f t="shared" ref="AH139:AS139" si="52">IF(AH$113=0,0,SUMPRODUCT(($E$21:$E$69*$S$21:$S$69)*($G$21:$G$69=AH$102))/AH$113)</f>
        <v>0.12</v>
      </c>
      <c r="AI139" s="428">
        <f t="shared" si="52"/>
        <v>0</v>
      </c>
      <c r="AJ139" s="428">
        <f t="shared" si="52"/>
        <v>0</v>
      </c>
      <c r="AK139" s="428">
        <f t="shared" si="52"/>
        <v>0</v>
      </c>
      <c r="AL139" s="428">
        <f t="shared" si="52"/>
        <v>0</v>
      </c>
      <c r="AM139" s="428">
        <f t="shared" si="52"/>
        <v>0</v>
      </c>
      <c r="AN139" s="428">
        <f t="shared" si="52"/>
        <v>0</v>
      </c>
      <c r="AO139" s="428">
        <f t="shared" si="52"/>
        <v>0</v>
      </c>
      <c r="AP139" s="428">
        <f t="shared" si="52"/>
        <v>0</v>
      </c>
      <c r="AQ139" s="428">
        <f t="shared" si="52"/>
        <v>0</v>
      </c>
      <c r="AR139" s="428">
        <f t="shared" si="52"/>
        <v>0</v>
      </c>
      <c r="AS139" s="428">
        <f t="shared" si="52"/>
        <v>0</v>
      </c>
      <c r="AT139" s="429">
        <f t="shared" si="45"/>
        <v>0.11890759181771578</v>
      </c>
      <c r="AU139" s="429">
        <f t="shared" si="46"/>
        <v>0</v>
      </c>
      <c r="AV139" s="430">
        <f>IF(AV113=0,0,SUMPRODUCT(AH139:AS139,$AH$113:$AS$113)/$AV$113)</f>
        <v>0.10059284978667421</v>
      </c>
      <c r="BS139" s="124"/>
      <c r="BV139" s="148"/>
    </row>
    <row r="140" spans="30:74" ht="14.25" customHeight="1">
      <c r="AD140" s="833"/>
      <c r="AE140" s="477" t="str">
        <f>T18</f>
        <v>user defined</v>
      </c>
      <c r="AF140" s="423" t="s">
        <v>3</v>
      </c>
      <c r="AG140" s="432" t="s">
        <v>51</v>
      </c>
      <c r="AH140" s="428">
        <f t="shared" ref="AH140:AS140" si="53">IF(AH$113=0,0,SUMPRODUCT(($E$21:$E$69*$T$21:$T$69)*($G$21:$G$69=AH$102))/AH$113)</f>
        <v>0</v>
      </c>
      <c r="AI140" s="428">
        <f t="shared" si="53"/>
        <v>0</v>
      </c>
      <c r="AJ140" s="428">
        <f t="shared" si="53"/>
        <v>0</v>
      </c>
      <c r="AK140" s="428">
        <f t="shared" si="53"/>
        <v>0</v>
      </c>
      <c r="AL140" s="428">
        <f t="shared" si="53"/>
        <v>0</v>
      </c>
      <c r="AM140" s="428">
        <f t="shared" si="53"/>
        <v>0</v>
      </c>
      <c r="AN140" s="428">
        <f t="shared" si="53"/>
        <v>0</v>
      </c>
      <c r="AO140" s="428">
        <f t="shared" si="53"/>
        <v>0</v>
      </c>
      <c r="AP140" s="428">
        <f t="shared" si="53"/>
        <v>0</v>
      </c>
      <c r="AQ140" s="428">
        <f t="shared" si="53"/>
        <v>0</v>
      </c>
      <c r="AR140" s="428">
        <f t="shared" si="53"/>
        <v>0</v>
      </c>
      <c r="AS140" s="428">
        <f t="shared" si="53"/>
        <v>0</v>
      </c>
      <c r="AT140" s="429">
        <f t="shared" si="45"/>
        <v>0</v>
      </c>
      <c r="AU140" s="429">
        <f t="shared" si="46"/>
        <v>0</v>
      </c>
      <c r="AV140" s="430">
        <f>IF(AV113=0,0,SUMPRODUCT(AH140:AS140,$AH$113:$AS$113)/$AV$113)</f>
        <v>0</v>
      </c>
      <c r="BS140" s="124"/>
      <c r="BV140" s="148"/>
    </row>
    <row r="141" spans="30:74" ht="14.25" customHeight="1">
      <c r="AD141" s="478" t="str">
        <f>"Net cash benefit, "&amp;LocCur&amp;"/"&amp;$D$13</f>
        <v>Net cash benefit, USD/year</v>
      </c>
      <c r="AE141" s="479"/>
      <c r="AF141" s="479"/>
      <c r="AG141" s="427" t="s">
        <v>51</v>
      </c>
      <c r="AH141" s="424" t="s">
        <v>51</v>
      </c>
      <c r="AI141" s="424" t="s">
        <v>51</v>
      </c>
      <c r="AJ141" s="424" t="s">
        <v>51</v>
      </c>
      <c r="AK141" s="424" t="s">
        <v>51</v>
      </c>
      <c r="AL141" s="424" t="s">
        <v>51</v>
      </c>
      <c r="AM141" s="424" t="s">
        <v>51</v>
      </c>
      <c r="AN141" s="424">
        <f t="shared" ref="AN141:AS141" si="54">-SUMPRODUCT(($E$21:$E$69*$K$21:$K$69)*($G$21:$G$69=AN$102))</f>
        <v>0</v>
      </c>
      <c r="AO141" s="424">
        <f t="shared" si="54"/>
        <v>0</v>
      </c>
      <c r="AP141" s="424">
        <f t="shared" si="54"/>
        <v>0</v>
      </c>
      <c r="AQ141" s="424">
        <f t="shared" si="54"/>
        <v>0</v>
      </c>
      <c r="AR141" s="424">
        <f t="shared" si="54"/>
        <v>-430000</v>
      </c>
      <c r="AS141" s="424">
        <f t="shared" si="54"/>
        <v>0</v>
      </c>
      <c r="AT141" s="420">
        <f>SUM(AH141:AM141)</f>
        <v>0</v>
      </c>
      <c r="AU141" s="420">
        <f>SUM(AN141:AS141)</f>
        <v>-430000</v>
      </c>
      <c r="AV141" s="424">
        <f>AT141+AU141</f>
        <v>-430000</v>
      </c>
      <c r="BS141" s="124"/>
      <c r="BV141" s="246"/>
    </row>
    <row r="142" spans="30:74" ht="14.25" customHeight="1">
      <c r="AD142" s="478" t="str">
        <f>"Substitution benefit, "&amp;LocCur&amp;"/"&amp;$D$13</f>
        <v>Substitution benefit, USD/year</v>
      </c>
      <c r="AE142" s="479"/>
      <c r="AF142" s="479"/>
      <c r="AG142" s="427" t="s">
        <v>51</v>
      </c>
      <c r="AH142" s="424" t="s">
        <v>51</v>
      </c>
      <c r="AI142" s="424" t="s">
        <v>51</v>
      </c>
      <c r="AJ142" s="424" t="s">
        <v>51</v>
      </c>
      <c r="AK142" s="424" t="s">
        <v>51</v>
      </c>
      <c r="AL142" s="424" t="s">
        <v>51</v>
      </c>
      <c r="AM142" s="424" t="s">
        <v>51</v>
      </c>
      <c r="AN142" s="424">
        <f t="shared" ref="AN142:AS142" si="55">SUMPRODUCT(($E$21:$E$69*$M$21:$M$69)*($G$21:$G$69=AN$102))*$L$70</f>
        <v>0</v>
      </c>
      <c r="AO142" s="424">
        <f t="shared" si="55"/>
        <v>0</v>
      </c>
      <c r="AP142" s="424">
        <f t="shared" si="55"/>
        <v>0</v>
      </c>
      <c r="AQ142" s="424">
        <f t="shared" si="55"/>
        <v>0</v>
      </c>
      <c r="AR142" s="424">
        <f t="shared" si="55"/>
        <v>2430551.1836191402</v>
      </c>
      <c r="AS142" s="424">
        <f t="shared" si="55"/>
        <v>0</v>
      </c>
      <c r="AT142" s="420">
        <f>SUM(AH142:AM142)</f>
        <v>0</v>
      </c>
      <c r="AU142" s="420">
        <f>SUM(AN142:AS142)</f>
        <v>2430551.1836191402</v>
      </c>
      <c r="AV142" s="424">
        <f>AT142+AU142</f>
        <v>2430551.1836191402</v>
      </c>
      <c r="BS142" s="124"/>
      <c r="BV142" s="246"/>
    </row>
    <row r="143" spans="30:74" ht="14.25" customHeight="1">
      <c r="AD143" s="478" t="str">
        <f>"CO2 emission credits, "&amp;LocCur&amp;"/"&amp;$D$13</f>
        <v>CO2 emission credits, USD/year</v>
      </c>
      <c r="AE143" s="479"/>
      <c r="AF143" s="479"/>
      <c r="AG143" s="427" t="s">
        <v>51</v>
      </c>
      <c r="AH143" s="424" t="s">
        <v>51</v>
      </c>
      <c r="AI143" s="424" t="s">
        <v>51</v>
      </c>
      <c r="AJ143" s="424" t="s">
        <v>51</v>
      </c>
      <c r="AK143" s="424" t="s">
        <v>51</v>
      </c>
      <c r="AL143" s="424" t="s">
        <v>51</v>
      </c>
      <c r="AM143" s="424" t="s">
        <v>51</v>
      </c>
      <c r="AN143" s="424" t="s">
        <v>51</v>
      </c>
      <c r="AO143" s="424" t="s">
        <v>51</v>
      </c>
      <c r="AP143" s="424" t="s">
        <v>51</v>
      </c>
      <c r="AQ143" s="424" t="s">
        <v>51</v>
      </c>
      <c r="AR143" s="424" t="s">
        <v>51</v>
      </c>
      <c r="AS143" s="424" t="s">
        <v>51</v>
      </c>
      <c r="AT143" s="420" t="s">
        <v>51</v>
      </c>
      <c r="AU143" s="420" t="s">
        <v>51</v>
      </c>
      <c r="AV143" s="424">
        <f>IF(AV114=0,0,D15*(AV146+AV147)*AV150/AV114)</f>
        <v>0</v>
      </c>
      <c r="BS143" s="124"/>
      <c r="BV143" s="246"/>
    </row>
    <row r="144" spans="30:74" ht="14.25" customHeight="1">
      <c r="AD144" s="413"/>
      <c r="AE144" s="413"/>
      <c r="AF144" s="413"/>
      <c r="AG144" s="413"/>
      <c r="AH144" s="413"/>
      <c r="AI144" s="413"/>
      <c r="AJ144" s="413"/>
      <c r="AK144" s="413"/>
      <c r="AL144" s="413"/>
      <c r="AM144" s="413"/>
      <c r="AN144" s="413"/>
      <c r="AO144" s="413"/>
      <c r="AP144" s="413"/>
      <c r="AQ144" s="413"/>
      <c r="AR144" s="413"/>
      <c r="AS144" s="413"/>
      <c r="AT144" s="413"/>
      <c r="AU144" s="413"/>
      <c r="AV144" s="413"/>
      <c r="BS144" s="124"/>
      <c r="BV144" s="246"/>
    </row>
    <row r="145" spans="30:74" ht="14.25" customHeight="1">
      <c r="AD145" s="446" t="str">
        <f>Baseline!AD145</f>
        <v>Fuel category</v>
      </c>
      <c r="AE145" s="446" t="s">
        <v>752</v>
      </c>
      <c r="AF145" s="446" t="str">
        <f>Baseline!AF145</f>
        <v>Kiln system</v>
      </c>
      <c r="AG145" s="446" t="str">
        <f>Baseline!AG145</f>
        <v>Location</v>
      </c>
      <c r="AH145" s="446" t="str">
        <f>Baseline!AH145</f>
        <v>Calciner</v>
      </c>
      <c r="AI145" s="446" t="str">
        <f>Baseline!AI145</f>
        <v>Trpt. equip.</v>
      </c>
      <c r="AJ145" s="446" t="str">
        <f>Baseline!AJ145</f>
        <v>Material</v>
      </c>
      <c r="AK145" s="446" t="str">
        <f>Baseline!AK145</f>
        <v>Timeframe</v>
      </c>
      <c r="AL145" s="446" t="str">
        <f>Baseline!AL145</f>
        <v>Limit</v>
      </c>
      <c r="AM145" s="446" t="str">
        <f>Baseline!AM145</f>
        <v>Yes/No</v>
      </c>
      <c r="AN145" s="446" t="str">
        <f>Baseline!AN145</f>
        <v>TF/AF</v>
      </c>
      <c r="AO145" s="413"/>
      <c r="AP145" s="753" t="s">
        <v>832</v>
      </c>
      <c r="AQ145" s="462" t="s">
        <v>754</v>
      </c>
      <c r="AR145" s="463">
        <f>IF(ISBLANK(H80),H79,H80)</f>
        <v>0</v>
      </c>
      <c r="AS145" s="413"/>
      <c r="AT145" s="852" t="s">
        <v>327</v>
      </c>
      <c r="AU145" s="853"/>
      <c r="AV145" s="854"/>
      <c r="BS145" s="124"/>
      <c r="BV145" s="246"/>
    </row>
    <row r="146" spans="30:74" ht="14.25" customHeight="1">
      <c r="AD146" s="517" t="str">
        <f>Baseline!AD146</f>
        <v>TF (coal)</v>
      </c>
      <c r="AE146" s="448" t="str">
        <f>Guidelines!A253</f>
        <v>Pneumatic 4" (100 mm)</v>
      </c>
      <c r="AF146" s="517" t="str">
        <f>Baseline!AF146</f>
        <v>Calciner</v>
      </c>
      <c r="AG146" s="517" t="str">
        <f>Baseline!AG146</f>
        <v>BZ</v>
      </c>
      <c r="AH146" s="517" t="str">
        <f>Baseline!AH146</f>
        <v>ILC</v>
      </c>
      <c r="AI146" s="517" t="str">
        <f>Baseline!AI146</f>
        <v>Airlock</v>
      </c>
      <c r="AJ146" s="517" t="str">
        <f>Baseline!AJ146</f>
        <v>Solids</v>
      </c>
      <c r="AK146" s="517" t="str">
        <f>Baseline!AK146</f>
        <v>week</v>
      </c>
      <c r="AL146" s="517" t="str">
        <f>Baseline!AL146</f>
        <v>Min</v>
      </c>
      <c r="AM146" s="517" t="str">
        <f>Baseline!AM146</f>
        <v>Yes</v>
      </c>
      <c r="AN146" s="517" t="str">
        <f>Baseline!AN146</f>
        <v>TF</v>
      </c>
      <c r="AO146" s="413"/>
      <c r="AP146" s="754"/>
      <c r="AQ146" s="462" t="s">
        <v>755</v>
      </c>
      <c r="AR146" s="518">
        <f>IF(ISBLANK(H82),H81,H82)</f>
        <v>0</v>
      </c>
      <c r="AS146" s="413"/>
      <c r="AT146" s="447" t="str">
        <f>"From TFs, t CO2/"&amp;$D$13</f>
        <v>From TFs, t CO2/year</v>
      </c>
      <c r="AU146" s="455"/>
      <c r="AV146" s="427">
        <f>SUMPRODUCT(($E$21:$E$69*$M$21:$M$69*$U$21:$U$69)*($G$21:$G$69&lt;&gt;$AD$152)*($G$21:$G$69&lt;&gt;$AD$153)*($G$21:$G$69&lt;&gt;$AD$154)*($G$21:$G$69&lt;&gt;$AD$155)*($G$21:$G$69&lt;&gt;$AD$156)*($G$21:$G$69&lt;&gt;$AD$157))/1000</f>
        <v>0</v>
      </c>
      <c r="BS146" s="124"/>
      <c r="BV146" s="246"/>
    </row>
    <row r="147" spans="30:74" ht="14.25" customHeight="1">
      <c r="AD147" s="517" t="str">
        <f>Baseline!AD147</f>
        <v>TF (lignite)</v>
      </c>
      <c r="AE147" s="448" t="str">
        <f>Guidelines!A254</f>
        <v>Pneumatic 5" (125 mm)</v>
      </c>
      <c r="AF147" s="517" t="str">
        <f>Baseline!AF147</f>
        <v>Preheater</v>
      </c>
      <c r="AG147" s="517" t="str">
        <f>Baseline!AG147</f>
        <v>ILC</v>
      </c>
      <c r="AH147" s="517" t="str">
        <f>Baseline!AH147</f>
        <v>SLC</v>
      </c>
      <c r="AI147" s="517" t="str">
        <f>Baseline!AI147</f>
        <v>Pneumatic</v>
      </c>
      <c r="AJ147" s="517" t="str">
        <f>Baseline!AJ147</f>
        <v>Liquids</v>
      </c>
      <c r="AK147" s="517" t="str">
        <f>Baseline!AK147</f>
        <v>month</v>
      </c>
      <c r="AL147" s="517" t="str">
        <f>Baseline!AL147</f>
        <v>Max</v>
      </c>
      <c r="AM147" s="517" t="str">
        <f>Baseline!AM147</f>
        <v>No</v>
      </c>
      <c r="AN147" s="517" t="str">
        <f>Baseline!AN147</f>
        <v>AF</v>
      </c>
      <c r="AO147" s="460"/>
      <c r="AP147" s="495" t="str">
        <f>"SACTE TF, "&amp;LocCur&amp;"/t cli"</f>
        <v>SACTE TF, USD/t cli</v>
      </c>
      <c r="AQ147" s="496"/>
      <c r="AR147" s="497">
        <f>IF(CLI=0,0,K70*E70/CLI)</f>
        <v>16.703299748376157</v>
      </c>
      <c r="AS147" s="413"/>
      <c r="AT147" s="449" t="str">
        <f>"From AFs, t CO2/"&amp;$D$13</f>
        <v>From AFs, t CO2/year</v>
      </c>
      <c r="AU147" s="435"/>
      <c r="AV147" s="427">
        <f>SUMPRODUCT(($E$21:$E$69*$M$21:$M$69*$U$21:$U$69)*($G$21:$G$69&lt;&gt;$AD$146)*($G$21:$G$69&lt;&gt;$AD$147)*($G$21:$G$69&lt;&gt;$AD$148)*($G$21:$G$69&lt;&gt;$AD$149)*($G$21:$G$69&lt;&gt;$AD$150)*($G$21:$G$69&lt;&gt;$AD$151))/1000</f>
        <v>0</v>
      </c>
      <c r="BS147" s="124"/>
      <c r="BV147" s="246"/>
    </row>
    <row r="148" spans="30:74" ht="14.25" customHeight="1">
      <c r="AD148" s="517" t="str">
        <f>Baseline!AD148</f>
        <v>TF (petcoke)</v>
      </c>
      <c r="AE148" s="448" t="str">
        <f>Guidelines!A255</f>
        <v>Pneumatic 6" (150 mm)</v>
      </c>
      <c r="AF148" s="517" t="str">
        <f>Baseline!AF148</f>
        <v>LEPOL</v>
      </c>
      <c r="AG148" s="517" t="str">
        <f>Baseline!AG148</f>
        <v>SLC/OLC/MFC</v>
      </c>
      <c r="AH148" s="517" t="str">
        <f>Baseline!AH148</f>
        <v>OLC</v>
      </c>
      <c r="AI148" s="517" t="str">
        <f>Baseline!AI148</f>
        <v>-</v>
      </c>
      <c r="AJ148" s="517" t="str">
        <f>Baseline!AJ148</f>
        <v>Sludges</v>
      </c>
      <c r="AK148" s="517" t="str">
        <f>Baseline!AK148</f>
        <v>year</v>
      </c>
      <c r="AL148" s="517" t="str">
        <f>Baseline!AL148</f>
        <v>-</v>
      </c>
      <c r="AM148" s="450"/>
      <c r="AN148" s="450"/>
      <c r="AO148" s="460"/>
      <c r="AP148" s="498" t="str">
        <f>"ACTE TF, "&amp;LocCur&amp;"/"&amp;D13</f>
        <v>ACTE TF, USD/year</v>
      </c>
      <c r="AQ148" s="499"/>
      <c r="AR148" s="500">
        <f>CLI*TTECpT</f>
        <v>23326753.153660838</v>
      </c>
      <c r="AS148" s="413"/>
      <c r="AT148" s="451" t="s">
        <v>328</v>
      </c>
      <c r="AU148" s="458"/>
      <c r="AV148" s="432">
        <f>IF(SUMPRODUCT(($E$21:$E$69*$M$21:$M$69)*($G$21:$G$69&lt;&gt;$AD$157))=0,0,AV146/SUMPRODUCT(($E$21:$E$69*$M$21:$M$69)*($G$21:$G$69&lt;&gt;$AD$157)))</f>
        <v>0</v>
      </c>
      <c r="BS148" s="124"/>
      <c r="BV148" s="246"/>
    </row>
    <row r="149" spans="30:74" ht="14.25" customHeight="1">
      <c r="AD149" s="517" t="str">
        <f>Baseline!AD149</f>
        <v>TF (liquid)</v>
      </c>
      <c r="AE149" s="448" t="str">
        <f>Guidelines!A256</f>
        <v>Pneumatic 7" (175 mm)</v>
      </c>
      <c r="AF149" s="517" t="str">
        <f>Baseline!AF149</f>
        <v>Long dry</v>
      </c>
      <c r="AG149" s="517" t="str">
        <f>Baseline!AG149</f>
        <v>PCC</v>
      </c>
      <c r="AH149" s="517" t="str">
        <f>Baseline!AH149</f>
        <v>MFC</v>
      </c>
      <c r="AI149" s="502"/>
      <c r="AJ149" s="502"/>
      <c r="AK149" s="502"/>
      <c r="AL149" s="452"/>
      <c r="AM149" s="450"/>
      <c r="AN149" s="450"/>
      <c r="AO149" s="460"/>
      <c r="AP149" s="461" t="s">
        <v>770</v>
      </c>
      <c r="AQ149" s="501"/>
      <c r="AR149" s="473">
        <f>Help!E295</f>
        <v>0.7</v>
      </c>
      <c r="AS149" s="413"/>
      <c r="AT149" s="413"/>
      <c r="AU149" s="413"/>
      <c r="AV149" s="413"/>
      <c r="BS149" s="124"/>
      <c r="BV149" s="246"/>
    </row>
    <row r="150" spans="30:74" ht="14.25" customHeight="1">
      <c r="AD150" s="517" t="str">
        <f>Baseline!AD150</f>
        <v>TF (gas)</v>
      </c>
      <c r="AE150" s="448" t="str">
        <f>Guidelines!A257</f>
        <v>Pneumatic 8" (200 mm)</v>
      </c>
      <c r="AF150" s="517" t="str">
        <f>Baseline!AF150</f>
        <v>Long wet</v>
      </c>
      <c r="AG150" s="517" t="str">
        <f>Baseline!AG150</f>
        <v>SF</v>
      </c>
      <c r="AH150" s="452"/>
      <c r="AI150" s="457"/>
      <c r="AJ150" s="457"/>
      <c r="AK150" s="457"/>
      <c r="AL150" s="457"/>
      <c r="AM150" s="457"/>
      <c r="AN150" s="511"/>
      <c r="AO150" s="457"/>
      <c r="AP150" s="457"/>
      <c r="AQ150" s="503"/>
      <c r="AR150" s="469"/>
      <c r="AS150" s="413"/>
      <c r="AT150" s="453" t="str">
        <f>"Biomass energy, GJ/"&amp;$D$13</f>
        <v>Biomass energy, GJ/year</v>
      </c>
      <c r="AU150" s="464"/>
      <c r="AV150" s="427">
        <f>SUMPRODUCT(($E$21:$E$69*$M$21:$M$69*$V$21:$V$69)*($G$21:$G$69&lt;&gt;$AD$146)*($G$21:$G$69&lt;&gt;$AD$147)*($G$21:$G$69&lt;&gt;$AD$148)*($G$21:$G$69&lt;&gt;$AD$149)*($G$21:$G$69&lt;&gt;$AD$150)*($G$21:$G$69&lt;&gt;$AD$151))/100</f>
        <v>0</v>
      </c>
      <c r="BS150" s="124"/>
      <c r="BV150" s="246"/>
    </row>
    <row r="151" spans="30:74" ht="14.25" customHeight="1">
      <c r="AD151" s="517" t="str">
        <f>Baseline!AD151</f>
        <v>TF (other)</v>
      </c>
      <c r="AE151" s="448" t="str">
        <f>Guidelines!A258</f>
        <v>Flap valve (old)</v>
      </c>
      <c r="AF151" s="453">
        <f>IF(K4=0,0,MATCH(K4,AF146:AF150,0))</f>
        <v>1</v>
      </c>
      <c r="AG151" s="454"/>
      <c r="AH151" s="452"/>
      <c r="AI151" s="457"/>
      <c r="AJ151" s="457"/>
      <c r="AK151" s="457"/>
      <c r="AL151" s="457"/>
      <c r="AM151" s="457"/>
      <c r="AN151" s="450"/>
      <c r="AO151" s="504"/>
      <c r="AP151" s="504"/>
      <c r="AQ151" s="503"/>
      <c r="AR151" s="469"/>
      <c r="AS151" s="413"/>
      <c r="AT151" s="413"/>
      <c r="AU151" s="413"/>
      <c r="AV151" s="413"/>
      <c r="BS151" s="124"/>
      <c r="BV151" s="246"/>
    </row>
    <row r="152" spans="30:74" ht="14.25" customHeight="1">
      <c r="AD152" s="517" t="str">
        <f>Baseline!AD152</f>
        <v>AF (v.fine)</v>
      </c>
      <c r="AE152" s="448" t="str">
        <f>Guidelines!A259</f>
        <v>Flap valve (new)</v>
      </c>
      <c r="AF152" s="460"/>
      <c r="AG152" s="460"/>
      <c r="AH152" s="512"/>
      <c r="AI152" s="457"/>
      <c r="AJ152" s="457"/>
      <c r="AK152" s="457"/>
      <c r="AL152" s="457"/>
      <c r="AM152" s="457"/>
      <c r="AN152" s="450"/>
      <c r="AO152" s="504"/>
      <c r="AP152" s="504"/>
      <c r="AQ152" s="505"/>
      <c r="AR152" s="506"/>
      <c r="AS152" s="413"/>
      <c r="AT152" s="847" t="str">
        <f>"Higher heat, "&amp;LocCur&amp;"/"&amp;D13</f>
        <v>Higher heat, USD/year</v>
      </c>
      <c r="AU152" s="848"/>
      <c r="AV152" s="468">
        <f>-(AHaf+AHbp)/1000*CLI*(L70+AV148*D15)</f>
        <v>-322223.37834187399</v>
      </c>
      <c r="AW152" s="279"/>
      <c r="AX152" s="280"/>
      <c r="BS152" s="124"/>
      <c r="BV152" s="246"/>
    </row>
    <row r="153" spans="30:74" ht="14.25" customHeight="1">
      <c r="AD153" s="517" t="str">
        <f>Baseline!AD153</f>
        <v>AF (fine)</v>
      </c>
      <c r="AE153" s="448" t="str">
        <f>Guidelines!A260</f>
        <v>Rotary airlock</v>
      </c>
      <c r="AF153" s="460"/>
      <c r="AG153" s="460"/>
      <c r="AH153" s="513"/>
      <c r="AI153" s="457"/>
      <c r="AJ153" s="457"/>
      <c r="AK153" s="457"/>
      <c r="AL153" s="457"/>
      <c r="AM153" s="457"/>
      <c r="AN153" s="450"/>
      <c r="AO153" s="507"/>
      <c r="AP153" s="507"/>
      <c r="AQ153" s="507"/>
      <c r="AR153" s="508"/>
      <c r="AS153" s="413"/>
      <c r="AT153" s="413"/>
      <c r="AU153" s="509"/>
      <c r="AV153" s="510"/>
      <c r="AW153" s="279"/>
      <c r="AX153" s="280"/>
      <c r="BS153" s="124"/>
      <c r="BV153" s="182"/>
    </row>
    <row r="154" spans="30:74" ht="14.25" customHeight="1">
      <c r="AD154" s="517" t="str">
        <f>Baseline!AD154</f>
        <v>AF (coarse)</v>
      </c>
      <c r="AE154" s="448" t="s">
        <v>51</v>
      </c>
      <c r="AF154" s="457"/>
      <c r="AG154" s="457"/>
      <c r="AH154" s="457"/>
      <c r="AI154" s="457"/>
      <c r="AJ154" s="457"/>
      <c r="AK154" s="457"/>
      <c r="AL154" s="457"/>
      <c r="AM154" s="457"/>
      <c r="AN154" s="450"/>
      <c r="AO154" s="413"/>
      <c r="AP154" s="413"/>
      <c r="AQ154" s="413"/>
      <c r="AR154" s="413"/>
      <c r="AS154" s="413"/>
      <c r="AT154" s="413"/>
      <c r="AU154" s="413"/>
      <c r="AV154" s="413"/>
      <c r="BS154" s="124"/>
      <c r="BV154" s="246"/>
    </row>
    <row r="155" spans="30:74" ht="14.25" customHeight="1">
      <c r="AD155" s="517" t="str">
        <f>Baseline!AD155</f>
        <v>AF (lumps)</v>
      </c>
      <c r="AE155" s="514"/>
      <c r="AF155" s="514"/>
      <c r="AG155" s="514"/>
      <c r="AH155" s="514"/>
      <c r="AI155" s="514"/>
      <c r="AJ155" s="514"/>
      <c r="AK155" s="514"/>
      <c r="AL155" s="514"/>
      <c r="AM155" s="514"/>
      <c r="AN155" s="450"/>
      <c r="AO155" s="413"/>
      <c r="AP155" s="413"/>
      <c r="AQ155" s="413"/>
      <c r="AR155" s="413"/>
      <c r="AS155" s="413"/>
      <c r="AT155" s="413"/>
      <c r="AU155" s="413"/>
      <c r="AV155" s="413"/>
      <c r="BS155" s="124"/>
      <c r="BV155" s="246"/>
    </row>
    <row r="156" spans="30:74" ht="14.25" customHeight="1">
      <c r="AD156" s="517" t="str">
        <f>Baseline!AD156</f>
        <v>AF (liquid)</v>
      </c>
      <c r="AE156" s="514"/>
      <c r="AF156" s="514"/>
      <c r="AG156" s="514"/>
      <c r="AH156" s="514"/>
      <c r="AI156" s="514"/>
      <c r="AJ156" s="514"/>
      <c r="AK156" s="514"/>
      <c r="AL156" s="514"/>
      <c r="AM156" s="514"/>
      <c r="AN156" s="450"/>
      <c r="AO156" s="413"/>
      <c r="AP156" s="413"/>
      <c r="AQ156" s="413"/>
      <c r="AR156" s="413"/>
      <c r="AS156" s="413"/>
      <c r="AT156" s="413"/>
      <c r="AU156" s="413"/>
      <c r="AV156" s="413"/>
      <c r="BS156" s="124"/>
      <c r="BV156" s="246"/>
    </row>
    <row r="157" spans="30:74" ht="14.25" customHeight="1">
      <c r="AD157" s="517" t="str">
        <f>Baseline!AD157</f>
        <v>AF (gas)</v>
      </c>
      <c r="AE157" s="514"/>
      <c r="AF157" s="514"/>
      <c r="AG157" s="514"/>
      <c r="AH157" s="514"/>
      <c r="AI157" s="514"/>
      <c r="AJ157" s="514"/>
      <c r="AK157" s="514"/>
      <c r="AL157" s="514"/>
      <c r="AM157" s="514"/>
      <c r="AN157" s="450"/>
      <c r="AO157" s="413"/>
      <c r="AP157" s="413"/>
      <c r="AQ157" s="413"/>
      <c r="AR157" s="413"/>
      <c r="AS157" s="413"/>
      <c r="AT157" s="413"/>
      <c r="AU157" s="413"/>
      <c r="AV157" s="413"/>
      <c r="BS157" s="124"/>
      <c r="BV157" s="246"/>
    </row>
    <row r="158" spans="30:74" ht="14.25" customHeight="1">
      <c r="AD158" s="492"/>
      <c r="AE158" s="491"/>
      <c r="AF158" s="491"/>
      <c r="AG158" s="491"/>
      <c r="AH158" s="491"/>
      <c r="AI158" s="491"/>
      <c r="AJ158" s="493"/>
      <c r="AK158" s="493"/>
      <c r="AL158" s="240"/>
      <c r="AM158" s="240"/>
      <c r="BS158" s="124"/>
      <c r="BV158" s="246"/>
    </row>
    <row r="159" spans="30:74" ht="14.25" customHeight="1">
      <c r="AD159" s="492"/>
      <c r="AE159" s="491"/>
      <c r="AF159" s="491"/>
      <c r="AG159" s="491"/>
      <c r="AH159" s="491"/>
      <c r="AI159" s="491"/>
      <c r="AJ159" s="493"/>
      <c r="AK159" s="493"/>
      <c r="AL159" s="240"/>
      <c r="AM159" s="240"/>
      <c r="BS159" s="124"/>
      <c r="BV159" s="246"/>
    </row>
    <row r="160" spans="30:74" ht="14.25" customHeight="1">
      <c r="AD160" s="492"/>
      <c r="AE160" s="491"/>
      <c r="AF160" s="491"/>
      <c r="AG160" s="491"/>
      <c r="AH160" s="491"/>
      <c r="AI160" s="491"/>
      <c r="AJ160" s="493"/>
      <c r="AK160" s="493"/>
      <c r="AL160" s="240"/>
      <c r="AM160" s="240"/>
      <c r="AU160" s="127"/>
      <c r="AV160" s="127"/>
      <c r="BS160" s="124"/>
      <c r="BV160" s="246"/>
    </row>
    <row r="161" spans="30:74" ht="14.25" customHeight="1">
      <c r="AD161" s="492"/>
      <c r="AE161" s="491"/>
      <c r="AF161" s="491"/>
      <c r="AG161" s="491"/>
      <c r="AH161" s="491"/>
      <c r="AI161" s="491"/>
      <c r="AJ161" s="493"/>
      <c r="AK161" s="493"/>
      <c r="AL161" s="240"/>
      <c r="AM161" s="240"/>
      <c r="AU161" s="127"/>
      <c r="AV161" s="127"/>
      <c r="BB161" s="182"/>
      <c r="BC161" s="182"/>
      <c r="BS161" s="124"/>
      <c r="BV161" s="246"/>
    </row>
    <row r="162" spans="30:74" ht="14.25" customHeight="1">
      <c r="AD162" s="492"/>
      <c r="AE162" s="491"/>
      <c r="AF162" s="491"/>
      <c r="AG162" s="491"/>
      <c r="AH162" s="491"/>
      <c r="AI162" s="491"/>
      <c r="AJ162" s="493"/>
      <c r="AK162" s="493"/>
      <c r="AL162" s="240"/>
      <c r="AM162" s="240"/>
      <c r="AP162" s="123"/>
      <c r="AQ162" s="123"/>
      <c r="AR162" s="127"/>
      <c r="AS162" s="127"/>
      <c r="AT162" s="127"/>
      <c r="BB162" s="182"/>
      <c r="BC162" s="182"/>
      <c r="BS162" s="124"/>
      <c r="BV162" s="246"/>
    </row>
    <row r="163" spans="30:74" ht="14.25" customHeight="1">
      <c r="AD163" s="492"/>
      <c r="AE163" s="491"/>
      <c r="AF163" s="491"/>
      <c r="AG163" s="491"/>
      <c r="AH163" s="491"/>
      <c r="AI163" s="491"/>
      <c r="AJ163" s="493"/>
      <c r="AK163" s="493"/>
      <c r="AL163" s="240"/>
      <c r="AM163" s="240"/>
      <c r="AP163" s="123"/>
      <c r="AQ163" s="123"/>
      <c r="AR163" s="127"/>
      <c r="AS163" s="127"/>
      <c r="AT163" s="127"/>
      <c r="AX163" s="239"/>
      <c r="AY163" s="239"/>
      <c r="AZ163" s="240"/>
      <c r="BA163" s="240"/>
      <c r="BB163" s="240"/>
      <c r="BC163" s="240"/>
      <c r="BD163" s="240"/>
      <c r="BS163" s="124"/>
      <c r="BV163" s="246"/>
    </row>
    <row r="164" spans="30:74" ht="14.25" customHeight="1">
      <c r="AD164" s="492"/>
      <c r="AE164" s="493"/>
      <c r="AF164" s="493"/>
      <c r="AG164" s="493"/>
      <c r="AH164" s="493"/>
      <c r="AI164" s="493"/>
      <c r="AJ164" s="494"/>
      <c r="AK164" s="494"/>
      <c r="AL164" s="240"/>
      <c r="AM164" s="240"/>
      <c r="AP164" s="123"/>
      <c r="AQ164" s="123"/>
      <c r="AR164" s="127"/>
      <c r="AS164" s="127"/>
      <c r="AT164" s="127"/>
      <c r="BS164" s="124"/>
      <c r="BV164" s="246"/>
    </row>
    <row r="165" spans="30:74" ht="14.25" customHeight="1">
      <c r="AD165" s="492"/>
      <c r="AE165" s="493"/>
      <c r="AF165" s="493"/>
      <c r="AG165" s="493"/>
      <c r="AH165" s="493"/>
      <c r="AI165" s="493"/>
      <c r="AJ165" s="494"/>
      <c r="AK165" s="494"/>
      <c r="AL165" s="240"/>
      <c r="AM165" s="240"/>
      <c r="AP165" s="123"/>
      <c r="AQ165" s="123"/>
      <c r="AR165" s="127"/>
      <c r="AS165" s="127"/>
      <c r="AT165" s="127"/>
      <c r="BS165" s="124"/>
      <c r="BV165" s="246"/>
    </row>
    <row r="166" spans="30:74" ht="14.25" customHeight="1">
      <c r="AD166" s="490"/>
      <c r="AE166" s="240"/>
      <c r="AF166" s="240"/>
      <c r="AG166" s="240"/>
      <c r="AH166" s="240"/>
      <c r="AI166" s="493"/>
      <c r="AJ166" s="480"/>
      <c r="AK166" s="494"/>
      <c r="AL166" s="491"/>
      <c r="AM166" s="491"/>
      <c r="AP166" s="123"/>
      <c r="AQ166" s="123"/>
      <c r="AR166" s="127"/>
      <c r="AS166" s="127"/>
      <c r="AT166" s="127"/>
      <c r="BS166" s="124"/>
      <c r="BV166" s="246"/>
    </row>
    <row r="167" spans="30:74" ht="14.25" customHeight="1">
      <c r="AD167" s="490"/>
      <c r="AE167" s="480"/>
      <c r="AF167" s="491"/>
      <c r="AG167" s="491"/>
      <c r="AI167" s="491"/>
      <c r="AJ167" s="240"/>
      <c r="AK167" s="491"/>
      <c r="AL167" s="491"/>
      <c r="AM167" s="240"/>
      <c r="AP167" s="127"/>
      <c r="AQ167" s="127"/>
      <c r="AR167" s="127"/>
      <c r="AS167" s="127"/>
      <c r="AT167" s="127"/>
      <c r="BS167" s="124"/>
      <c r="BV167" s="246"/>
    </row>
    <row r="168" spans="30:74" ht="14.25" customHeight="1">
      <c r="AR168" s="127"/>
      <c r="AS168" s="127"/>
      <c r="AT168" s="127"/>
      <c r="BS168" s="124"/>
      <c r="BV168" s="246"/>
    </row>
    <row r="169" spans="30:74" ht="14.25" customHeight="1">
      <c r="BS169" s="124"/>
      <c r="BV169" s="182"/>
    </row>
    <row r="170" spans="30:74" ht="14.25" customHeight="1">
      <c r="BS170" s="124"/>
      <c r="BV170" s="182"/>
    </row>
    <row r="171" spans="30:74" ht="14.25" customHeight="1">
      <c r="BS171" s="124"/>
      <c r="BV171" s="182"/>
    </row>
    <row r="172" spans="30:74" ht="14.25" customHeight="1">
      <c r="BS172" s="124"/>
      <c r="BV172" s="147"/>
    </row>
    <row r="173" spans="30:74" ht="14.25" customHeight="1">
      <c r="BS173" s="124"/>
      <c r="BV173" s="147"/>
    </row>
    <row r="174" spans="30:74" ht="14.25" customHeight="1">
      <c r="BS174" s="124"/>
      <c r="BV174" s="147"/>
    </row>
    <row r="175" spans="30:74" ht="14.25" customHeight="1">
      <c r="BV175" s="147"/>
    </row>
    <row r="176" spans="30:74" ht="14.25" customHeight="1">
      <c r="BV176" s="182"/>
    </row>
    <row r="177" spans="32:74" ht="14.25" customHeight="1">
      <c r="BV177" s="182"/>
    </row>
    <row r="178" spans="32:74" ht="14.25" customHeight="1">
      <c r="BV178" s="182"/>
    </row>
    <row r="179" spans="32:74" ht="14.25" customHeight="1">
      <c r="BV179" s="182"/>
    </row>
    <row r="180" spans="32:74" ht="14.25" customHeight="1">
      <c r="BC180" s="147"/>
      <c r="BV180" s="182"/>
    </row>
    <row r="181" spans="32:74" ht="14.25" customHeight="1">
      <c r="BC181" s="147"/>
      <c r="BV181" s="182"/>
    </row>
    <row r="182" spans="32:74" ht="14.25" customHeight="1">
      <c r="BC182" s="147"/>
      <c r="BF182" s="147"/>
      <c r="BG182" s="182"/>
      <c r="BH182" s="182"/>
      <c r="BI182" s="182"/>
      <c r="BJ182" s="182"/>
      <c r="BK182" s="182"/>
      <c r="BL182" s="182"/>
      <c r="BM182" s="182"/>
      <c r="BN182" s="182"/>
      <c r="BO182" s="182"/>
      <c r="BP182" s="182"/>
      <c r="BQ182" s="182"/>
      <c r="BR182" s="182"/>
      <c r="BS182" s="183"/>
      <c r="BT182" s="182"/>
      <c r="BU182" s="182"/>
      <c r="BV182" s="182"/>
    </row>
    <row r="183" spans="32:74" ht="14.25" customHeight="1">
      <c r="BC183" s="147"/>
      <c r="BF183" s="182"/>
      <c r="BG183" s="182"/>
      <c r="BH183" s="182"/>
      <c r="BI183" s="182"/>
      <c r="BJ183" s="182"/>
      <c r="BK183" s="182"/>
      <c r="BL183" s="182"/>
      <c r="BM183" s="182"/>
      <c r="BN183" s="182"/>
      <c r="BO183" s="182"/>
      <c r="BP183" s="182"/>
      <c r="BQ183" s="182"/>
      <c r="BR183" s="182"/>
      <c r="BS183" s="183"/>
      <c r="BT183" s="182"/>
      <c r="BU183" s="182"/>
      <c r="BV183" s="182"/>
    </row>
    <row r="184" spans="32:74" ht="14.25" customHeight="1">
      <c r="BC184" s="147"/>
      <c r="BF184" s="182"/>
      <c r="BG184" s="182"/>
      <c r="BH184" s="182"/>
      <c r="BI184" s="182"/>
      <c r="BJ184" s="182"/>
      <c r="BK184" s="182"/>
      <c r="BL184" s="182"/>
      <c r="BM184" s="182"/>
      <c r="BN184" s="182"/>
      <c r="BO184" s="182"/>
      <c r="BP184" s="182"/>
      <c r="BQ184" s="182"/>
      <c r="BR184" s="182"/>
      <c r="BS184" s="183"/>
      <c r="BT184" s="182"/>
      <c r="BU184" s="182"/>
      <c r="BV184" s="182"/>
    </row>
    <row r="185" spans="32:74" ht="14.25" customHeight="1">
      <c r="AF185" s="182"/>
      <c r="AG185" s="182"/>
      <c r="AH185" s="182"/>
      <c r="AI185" s="182"/>
      <c r="BC185" s="147"/>
      <c r="BE185" s="182"/>
      <c r="BF185" s="182"/>
      <c r="BG185" s="182"/>
      <c r="BH185" s="182"/>
      <c r="BI185" s="182"/>
      <c r="BJ185" s="182"/>
      <c r="BK185" s="182"/>
      <c r="BL185" s="182"/>
      <c r="BM185" s="182"/>
      <c r="BN185" s="182"/>
      <c r="BO185" s="182"/>
      <c r="BP185" s="182"/>
      <c r="BQ185" s="182"/>
      <c r="BR185" s="182"/>
      <c r="BS185" s="183"/>
      <c r="BT185" s="182"/>
      <c r="BU185" s="182"/>
      <c r="BV185" s="182"/>
    </row>
    <row r="186" spans="32:74" ht="14.25" customHeight="1">
      <c r="AF186" s="182"/>
      <c r="AG186" s="182"/>
      <c r="AH186" s="182"/>
      <c r="AI186" s="182"/>
      <c r="AJ186" s="147"/>
      <c r="AK186" s="147"/>
      <c r="AL186" s="147"/>
      <c r="AM186" s="147"/>
      <c r="AN186" s="147"/>
      <c r="AO186" s="147"/>
      <c r="AP186" s="147"/>
      <c r="AQ186" s="147"/>
      <c r="AR186" s="147"/>
      <c r="AS186" s="147"/>
      <c r="AT186" s="147"/>
      <c r="AU186" s="147"/>
      <c r="AV186" s="147"/>
      <c r="AW186" s="147"/>
      <c r="BC186" s="147"/>
      <c r="BE186" s="182"/>
      <c r="BF186" s="182"/>
      <c r="BG186" s="182"/>
      <c r="BH186" s="182"/>
      <c r="BI186" s="182"/>
      <c r="BJ186" s="182"/>
      <c r="BK186" s="182"/>
      <c r="BL186" s="182"/>
      <c r="BM186" s="182"/>
      <c r="BN186" s="182"/>
      <c r="BO186" s="182"/>
      <c r="BP186" s="182"/>
      <c r="BQ186" s="182"/>
      <c r="BR186" s="182"/>
      <c r="BS186" s="183"/>
      <c r="BT186" s="182"/>
      <c r="BU186" s="182"/>
      <c r="BV186" s="182"/>
    </row>
    <row r="187" spans="32:74" ht="14.25" customHeight="1">
      <c r="AF187" s="182"/>
      <c r="AG187" s="182"/>
      <c r="AH187" s="182"/>
      <c r="AI187" s="182"/>
      <c r="AJ187" s="182"/>
      <c r="AK187" s="182"/>
      <c r="AL187" s="182"/>
      <c r="AM187" s="182"/>
      <c r="AN187" s="182"/>
      <c r="AO187" s="182"/>
      <c r="AP187" s="182"/>
      <c r="AQ187" s="182"/>
      <c r="AR187" s="182"/>
      <c r="AS187" s="182"/>
      <c r="AT187" s="182"/>
      <c r="AU187" s="182"/>
      <c r="AV187" s="182"/>
      <c r="AW187" s="182"/>
      <c r="BC187" s="147"/>
      <c r="BD187" s="147"/>
      <c r="BE187" s="182"/>
      <c r="BF187" s="182"/>
      <c r="BG187" s="182"/>
      <c r="BH187" s="182"/>
      <c r="BI187" s="182"/>
      <c r="BJ187" s="182"/>
      <c r="BK187" s="182"/>
      <c r="BL187" s="182"/>
      <c r="BM187" s="182"/>
      <c r="BN187" s="182"/>
      <c r="BO187" s="182"/>
      <c r="BP187" s="182"/>
      <c r="BQ187" s="182"/>
      <c r="BR187" s="182"/>
      <c r="BS187" s="183"/>
      <c r="BT187" s="182"/>
      <c r="BU187" s="182"/>
      <c r="BV187" s="182"/>
    </row>
    <row r="188" spans="32:74" ht="14.25" customHeight="1">
      <c r="AF188" s="182"/>
      <c r="AG188" s="182"/>
      <c r="AH188" s="182"/>
      <c r="AI188" s="182"/>
      <c r="AJ188" s="182"/>
      <c r="AK188" s="182"/>
      <c r="AL188" s="182"/>
      <c r="AM188" s="182"/>
      <c r="AN188" s="182"/>
      <c r="AO188" s="182"/>
      <c r="AP188" s="182"/>
      <c r="AQ188" s="182"/>
      <c r="AR188" s="182"/>
      <c r="AS188" s="182"/>
      <c r="AT188" s="182"/>
      <c r="AU188" s="182"/>
      <c r="AV188" s="182"/>
      <c r="AW188" s="182"/>
      <c r="AX188" s="182"/>
      <c r="AY188" s="182"/>
      <c r="AZ188" s="182"/>
      <c r="BA188" s="182"/>
      <c r="BB188" s="182"/>
      <c r="BC188" s="182"/>
      <c r="BD188" s="182"/>
      <c r="BE188" s="182"/>
      <c r="BF188" s="182"/>
      <c r="BG188" s="182"/>
      <c r="BH188" s="182"/>
      <c r="BI188" s="182"/>
      <c r="BJ188" s="182"/>
      <c r="BK188" s="182"/>
      <c r="BL188" s="182"/>
      <c r="BM188" s="182"/>
      <c r="BN188" s="182"/>
      <c r="BO188" s="182"/>
      <c r="BP188" s="182"/>
      <c r="BQ188" s="182"/>
      <c r="BR188" s="182"/>
      <c r="BS188" s="183"/>
      <c r="BT188" s="182"/>
      <c r="BU188" s="182"/>
      <c r="BV188" s="182"/>
    </row>
    <row r="189" spans="32:74" ht="14.25" customHeight="1">
      <c r="AF189" s="182"/>
      <c r="AG189" s="182"/>
      <c r="AH189" s="182"/>
      <c r="AI189" s="182"/>
      <c r="AJ189" s="182"/>
      <c r="AK189" s="182"/>
      <c r="AL189" s="182"/>
      <c r="AM189" s="182"/>
      <c r="AN189" s="182"/>
      <c r="AO189" s="182"/>
      <c r="AP189" s="182"/>
      <c r="AQ189" s="182"/>
      <c r="AR189" s="182"/>
      <c r="AS189" s="182"/>
      <c r="AT189" s="182"/>
      <c r="AU189" s="182"/>
      <c r="AV189" s="182"/>
      <c r="AW189" s="182"/>
      <c r="AX189" s="182"/>
      <c r="AY189" s="182"/>
      <c r="AZ189" s="182"/>
      <c r="BA189" s="182"/>
      <c r="BB189" s="182"/>
      <c r="BC189" s="182"/>
      <c r="BD189" s="182"/>
      <c r="BE189" s="182"/>
      <c r="BF189" s="182"/>
      <c r="BG189" s="182"/>
      <c r="BH189" s="182"/>
      <c r="BI189" s="182"/>
      <c r="BJ189" s="182"/>
      <c r="BK189" s="182"/>
      <c r="BL189" s="182"/>
      <c r="BM189" s="182"/>
      <c r="BN189" s="182"/>
      <c r="BO189" s="182"/>
      <c r="BP189" s="182"/>
      <c r="BQ189" s="182"/>
      <c r="BR189" s="182"/>
      <c r="BS189" s="183"/>
      <c r="BT189" s="182"/>
      <c r="BU189" s="182"/>
      <c r="BV189" s="182"/>
    </row>
    <row r="190" spans="32:74" ht="14.25" customHeight="1">
      <c r="AF190" s="182"/>
      <c r="AG190" s="182"/>
      <c r="AH190" s="182"/>
      <c r="AI190" s="182"/>
      <c r="AJ190" s="182"/>
      <c r="AK190" s="182"/>
      <c r="AL190" s="182"/>
      <c r="AM190" s="182"/>
      <c r="AN190" s="182"/>
      <c r="AO190" s="182"/>
      <c r="AP190" s="182"/>
      <c r="AQ190" s="182"/>
      <c r="AR190" s="182"/>
      <c r="AS190" s="182"/>
      <c r="AT190" s="182"/>
      <c r="AU190" s="182"/>
      <c r="AV190" s="182"/>
      <c r="AW190" s="182"/>
      <c r="AX190" s="182"/>
      <c r="AY190" s="182"/>
      <c r="AZ190" s="182"/>
      <c r="BA190" s="182"/>
      <c r="BB190" s="182"/>
      <c r="BC190" s="182"/>
      <c r="BD190" s="182"/>
      <c r="BE190" s="182"/>
      <c r="BF190" s="182"/>
      <c r="BG190" s="182"/>
      <c r="BH190" s="182"/>
      <c r="BI190" s="182"/>
      <c r="BJ190" s="182"/>
      <c r="BK190" s="182"/>
      <c r="BL190" s="182"/>
      <c r="BM190" s="182"/>
      <c r="BN190" s="182"/>
      <c r="BO190" s="182"/>
      <c r="BP190" s="182"/>
      <c r="BQ190" s="182"/>
      <c r="BR190" s="182"/>
      <c r="BS190" s="183"/>
      <c r="BT190" s="182"/>
      <c r="BU190" s="182"/>
      <c r="BV190" s="182"/>
    </row>
    <row r="191" spans="32:74" ht="14.25" customHeight="1">
      <c r="AF191" s="182"/>
      <c r="AG191" s="182"/>
      <c r="AH191" s="182"/>
      <c r="AI191" s="182"/>
      <c r="AJ191" s="182"/>
      <c r="AK191" s="182"/>
      <c r="AL191" s="182"/>
      <c r="AM191" s="182"/>
      <c r="AN191" s="182"/>
      <c r="AO191" s="182"/>
      <c r="AP191" s="182"/>
      <c r="AQ191" s="182"/>
      <c r="AR191" s="182"/>
      <c r="AS191" s="182"/>
      <c r="AT191" s="182"/>
      <c r="AU191" s="182"/>
      <c r="AV191" s="182"/>
      <c r="AW191" s="182"/>
      <c r="AX191" s="182"/>
      <c r="AY191" s="182"/>
      <c r="AZ191" s="182"/>
      <c r="BA191" s="182"/>
      <c r="BB191" s="182"/>
      <c r="BC191" s="182"/>
      <c r="BD191" s="182"/>
      <c r="BE191" s="182"/>
      <c r="BF191" s="182"/>
      <c r="BG191" s="182"/>
      <c r="BH191" s="182"/>
      <c r="BI191" s="182"/>
      <c r="BJ191" s="182"/>
      <c r="BK191" s="182"/>
      <c r="BL191" s="182"/>
      <c r="BM191" s="182"/>
      <c r="BN191" s="182"/>
      <c r="BO191" s="182"/>
      <c r="BP191" s="182"/>
      <c r="BQ191" s="182"/>
      <c r="BR191" s="182"/>
      <c r="BS191" s="183"/>
      <c r="BT191" s="182"/>
      <c r="BU191" s="182"/>
      <c r="BV191" s="182"/>
    </row>
    <row r="192" spans="32:74" ht="14.25" customHeight="1">
      <c r="AF192" s="182"/>
      <c r="AG192" s="182"/>
      <c r="AH192" s="182"/>
      <c r="AI192" s="182"/>
      <c r="AJ192" s="182"/>
      <c r="AK192" s="182"/>
      <c r="AL192" s="182"/>
      <c r="AM192" s="182"/>
      <c r="AN192" s="182"/>
      <c r="AO192" s="182"/>
      <c r="AP192" s="182"/>
      <c r="AQ192" s="182"/>
      <c r="AR192" s="182"/>
      <c r="AS192" s="182"/>
      <c r="AT192" s="182"/>
      <c r="AU192" s="182"/>
      <c r="AV192" s="182"/>
      <c r="AW192" s="182"/>
      <c r="AX192" s="182"/>
      <c r="AY192" s="182"/>
      <c r="AZ192" s="182"/>
      <c r="BA192" s="182"/>
      <c r="BB192" s="182"/>
      <c r="BC192" s="182"/>
      <c r="BD192" s="182"/>
      <c r="BE192" s="182"/>
      <c r="BF192" s="182"/>
      <c r="BG192" s="182"/>
      <c r="BH192" s="182"/>
      <c r="BI192" s="182"/>
      <c r="BJ192" s="182"/>
      <c r="BK192" s="182"/>
      <c r="BL192" s="182"/>
      <c r="BM192" s="182"/>
      <c r="BN192" s="182"/>
      <c r="BO192" s="182"/>
      <c r="BP192" s="182"/>
      <c r="BQ192" s="182"/>
      <c r="BR192" s="182"/>
      <c r="BS192" s="183"/>
      <c r="BT192" s="182"/>
      <c r="BU192" s="182"/>
      <c r="BV192" s="182"/>
    </row>
    <row r="193" spans="32:74" ht="14.25" customHeight="1">
      <c r="AF193" s="182"/>
      <c r="AG193" s="182"/>
      <c r="AH193" s="182"/>
      <c r="AI193" s="182"/>
      <c r="AJ193" s="182"/>
      <c r="AK193" s="182"/>
      <c r="AL193" s="182"/>
      <c r="AM193" s="182"/>
      <c r="AN193" s="182"/>
      <c r="AO193" s="182"/>
      <c r="AP193" s="182"/>
      <c r="AQ193" s="182"/>
      <c r="AR193" s="182"/>
      <c r="AS193" s="182"/>
      <c r="AT193" s="182"/>
      <c r="AU193" s="182"/>
      <c r="AV193" s="182"/>
      <c r="AW193" s="182"/>
      <c r="AX193" s="182"/>
      <c r="AY193" s="182"/>
      <c r="AZ193" s="182"/>
      <c r="BA193" s="182"/>
      <c r="BB193" s="182"/>
      <c r="BC193" s="182"/>
      <c r="BD193" s="182"/>
      <c r="BE193" s="182"/>
      <c r="BF193" s="182"/>
      <c r="BG193" s="182"/>
      <c r="BH193" s="182"/>
      <c r="BI193" s="182"/>
      <c r="BJ193" s="182"/>
      <c r="BK193" s="182"/>
      <c r="BL193" s="182"/>
      <c r="BM193" s="182"/>
      <c r="BN193" s="182"/>
      <c r="BO193" s="182"/>
      <c r="BP193" s="182"/>
      <c r="BQ193" s="182"/>
      <c r="BS193" s="183"/>
      <c r="BT193" s="182"/>
      <c r="BU193" s="182"/>
      <c r="BV193" s="182"/>
    </row>
    <row r="194" spans="32:74" ht="14.25" customHeight="1">
      <c r="AF194" s="182"/>
      <c r="AG194" s="182"/>
      <c r="AH194" s="182"/>
      <c r="AI194" s="182"/>
      <c r="AJ194" s="182"/>
      <c r="AK194" s="182"/>
      <c r="AL194" s="182"/>
      <c r="AM194" s="182"/>
      <c r="AN194" s="182"/>
      <c r="AO194" s="182"/>
      <c r="AP194" s="182"/>
      <c r="AQ194" s="182"/>
      <c r="AR194" s="182"/>
      <c r="AS194" s="182"/>
      <c r="AT194" s="182"/>
      <c r="AU194" s="182"/>
      <c r="AV194" s="182"/>
      <c r="AW194" s="182"/>
      <c r="AX194" s="182"/>
      <c r="AY194" s="182"/>
      <c r="AZ194" s="182"/>
      <c r="BA194" s="182"/>
      <c r="BB194" s="182"/>
      <c r="BC194" s="182"/>
      <c r="BD194" s="182"/>
      <c r="BE194" s="182"/>
      <c r="BF194" s="182"/>
      <c r="BG194" s="182"/>
      <c r="BH194" s="182"/>
      <c r="BI194" s="182"/>
      <c r="BJ194" s="182"/>
      <c r="BK194" s="182"/>
      <c r="BL194" s="182"/>
      <c r="BM194" s="182"/>
      <c r="BN194" s="182"/>
      <c r="BO194" s="182"/>
      <c r="BP194" s="182"/>
      <c r="BQ194" s="182"/>
      <c r="BS194" s="183"/>
      <c r="BT194" s="182"/>
      <c r="BU194" s="182"/>
      <c r="BV194" s="182"/>
    </row>
    <row r="195" spans="32:74" ht="14.25" customHeight="1">
      <c r="AF195" s="182"/>
      <c r="AG195" s="182"/>
      <c r="AH195" s="182"/>
      <c r="AI195" s="182"/>
      <c r="AJ195" s="182"/>
      <c r="AK195" s="182"/>
      <c r="AL195" s="182"/>
      <c r="AM195" s="182"/>
      <c r="AN195" s="182"/>
      <c r="AO195" s="182"/>
      <c r="AP195" s="182"/>
      <c r="AQ195" s="182"/>
      <c r="AR195" s="182"/>
      <c r="AS195" s="182"/>
      <c r="AT195" s="182"/>
      <c r="AU195" s="182"/>
      <c r="AV195" s="182"/>
      <c r="AW195" s="182"/>
      <c r="AX195" s="182"/>
      <c r="AY195" s="182"/>
      <c r="AZ195" s="182"/>
      <c r="BA195" s="182"/>
      <c r="BB195" s="182"/>
      <c r="BC195" s="182"/>
      <c r="BD195" s="182"/>
      <c r="BE195" s="182"/>
      <c r="BF195" s="182"/>
      <c r="BG195" s="182"/>
      <c r="BH195" s="182"/>
      <c r="BI195" s="182"/>
      <c r="BJ195" s="182"/>
      <c r="BK195" s="182"/>
      <c r="BL195" s="182"/>
      <c r="BM195" s="182"/>
      <c r="BN195" s="182"/>
      <c r="BO195" s="182"/>
      <c r="BP195" s="182"/>
      <c r="BQ195" s="182"/>
      <c r="BS195" s="183"/>
      <c r="BT195" s="182"/>
      <c r="BU195" s="182"/>
      <c r="BV195" s="182"/>
    </row>
    <row r="196" spans="32:74" ht="14.25" customHeight="1">
      <c r="AF196" s="182"/>
      <c r="AG196" s="182"/>
      <c r="AH196" s="182"/>
      <c r="AI196" s="182"/>
      <c r="AJ196" s="182"/>
      <c r="AK196" s="182"/>
      <c r="AL196" s="182"/>
      <c r="AM196" s="182"/>
      <c r="AN196" s="182"/>
      <c r="AO196" s="182"/>
      <c r="AP196" s="182"/>
      <c r="AQ196" s="182"/>
      <c r="AR196" s="182"/>
      <c r="AS196" s="182"/>
      <c r="AT196" s="182"/>
      <c r="AU196" s="182"/>
      <c r="AV196" s="182"/>
      <c r="AW196" s="182"/>
      <c r="AX196" s="182"/>
      <c r="AY196" s="182"/>
      <c r="AZ196" s="182"/>
      <c r="BA196" s="182"/>
      <c r="BB196" s="182"/>
      <c r="BC196" s="182"/>
      <c r="BD196" s="182"/>
      <c r="BE196" s="182"/>
      <c r="BF196" s="182"/>
      <c r="BG196" s="182"/>
      <c r="BH196" s="182"/>
      <c r="BI196" s="182"/>
      <c r="BJ196" s="182"/>
      <c r="BK196" s="182"/>
      <c r="BL196" s="182"/>
      <c r="BM196" s="182"/>
      <c r="BN196" s="182"/>
      <c r="BO196" s="182"/>
      <c r="BP196" s="182"/>
      <c r="BQ196" s="182"/>
      <c r="BS196" s="183"/>
      <c r="BT196" s="182"/>
      <c r="BU196" s="182"/>
      <c r="BV196" s="182"/>
    </row>
    <row r="208" spans="32:74" ht="14.25" customHeight="1">
      <c r="BS208" s="124"/>
    </row>
    <row r="209" spans="71:71" ht="14.25" customHeight="1">
      <c r="BS209" s="124"/>
    </row>
    <row r="210" spans="71:71" ht="14.25" customHeight="1">
      <c r="BS210" s="124"/>
    </row>
    <row r="211" spans="71:71" ht="14.25" customHeight="1">
      <c r="BS211" s="124"/>
    </row>
    <row r="212" spans="71:71" ht="14.25" customHeight="1">
      <c r="BS212" s="124"/>
    </row>
    <row r="213" spans="71:71" ht="14.25" customHeight="1">
      <c r="BS213" s="124"/>
    </row>
    <row r="214" spans="71:71" ht="14.25" customHeight="1">
      <c r="BS214" s="124"/>
    </row>
    <row r="215" spans="71:71" ht="14.25" customHeight="1">
      <c r="BS215" s="124"/>
    </row>
    <row r="216" spans="71:71" ht="14.25" customHeight="1">
      <c r="BS216" s="124"/>
    </row>
    <row r="217" spans="71:71" ht="14.25" customHeight="1">
      <c r="BS217" s="124"/>
    </row>
    <row r="218" spans="71:71" ht="14.25" customHeight="1">
      <c r="BS218" s="124"/>
    </row>
    <row r="219" spans="71:71" ht="14.25" customHeight="1">
      <c r="BS219" s="124"/>
    </row>
    <row r="220" spans="71:71" ht="14.25" customHeight="1">
      <c r="BS220" s="124"/>
    </row>
    <row r="221" spans="71:71" ht="14.25" customHeight="1">
      <c r="BS221" s="124"/>
    </row>
    <row r="222" spans="71:71" ht="14.25" customHeight="1">
      <c r="BS222" s="124"/>
    </row>
    <row r="223" spans="71:71" ht="14.25" customHeight="1">
      <c r="BS223" s="124"/>
    </row>
    <row r="224" spans="71:71" ht="14.25" customHeight="1">
      <c r="BS224" s="124"/>
    </row>
    <row r="225" spans="71:71" ht="14.25" customHeight="1">
      <c r="BS225" s="124"/>
    </row>
    <row r="226" spans="71:71" ht="14.25" customHeight="1">
      <c r="BS226" s="124"/>
    </row>
    <row r="227" spans="71:71" ht="14.25" customHeight="1">
      <c r="BS227" s="124"/>
    </row>
    <row r="228" spans="71:71" ht="14.25" customHeight="1">
      <c r="BS228" s="124"/>
    </row>
    <row r="229" spans="71:71" ht="14.25" customHeight="1">
      <c r="BS229" s="124"/>
    </row>
    <row r="230" spans="71:71" ht="14.25" customHeight="1">
      <c r="BS230" s="124"/>
    </row>
    <row r="231" spans="71:71" ht="14.25" customHeight="1">
      <c r="BS231" s="124"/>
    </row>
    <row r="232" spans="71:71" ht="14.25" customHeight="1">
      <c r="BS232" s="124"/>
    </row>
    <row r="233" spans="71:71" ht="14.25" customHeight="1">
      <c r="BS233" s="124"/>
    </row>
    <row r="234" spans="71:71" ht="14.25" customHeight="1">
      <c r="BS234" s="124"/>
    </row>
    <row r="235" spans="71:71" ht="14.25" customHeight="1">
      <c r="BS235" s="124"/>
    </row>
    <row r="236" spans="71:71" ht="14.25" customHeight="1">
      <c r="BS236" s="124"/>
    </row>
    <row r="237" spans="71:71" ht="14.25" customHeight="1">
      <c r="BS237" s="124"/>
    </row>
    <row r="238" spans="71:71" ht="14.25" customHeight="1">
      <c r="BS238" s="124"/>
    </row>
    <row r="239" spans="71:71" ht="14.25" customHeight="1">
      <c r="BS239" s="124"/>
    </row>
    <row r="240" spans="71:71" ht="14.25" customHeight="1">
      <c r="BS240" s="124"/>
    </row>
    <row r="241" spans="71:71" ht="14.25" customHeight="1">
      <c r="BS241" s="124"/>
    </row>
    <row r="242" spans="71:71" ht="14.25" customHeight="1">
      <c r="BS242" s="124"/>
    </row>
    <row r="243" spans="71:71" ht="14.25" customHeight="1">
      <c r="BS243" s="124"/>
    </row>
    <row r="244" spans="71:71" ht="14.25" customHeight="1">
      <c r="BS244" s="124"/>
    </row>
    <row r="245" spans="71:71" ht="14.25" customHeight="1">
      <c r="BS245" s="124"/>
    </row>
    <row r="246" spans="71:71" ht="14.25" customHeight="1">
      <c r="BS246" s="124"/>
    </row>
    <row r="247" spans="71:71" ht="14.25" customHeight="1">
      <c r="BS247" s="124"/>
    </row>
    <row r="248" spans="71:71" ht="14.25" customHeight="1">
      <c r="BS248" s="124"/>
    </row>
    <row r="249" spans="71:71" ht="14.25" customHeight="1">
      <c r="BS249" s="124"/>
    </row>
    <row r="250" spans="71:71" ht="14.25" customHeight="1">
      <c r="BS250" s="124"/>
    </row>
    <row r="251" spans="71:71" ht="14.25" customHeight="1">
      <c r="BS251" s="124"/>
    </row>
    <row r="252" spans="71:71" ht="14.25" customHeight="1">
      <c r="BS252" s="124"/>
    </row>
    <row r="253" spans="71:71" ht="14.25" customHeight="1">
      <c r="BS253" s="124"/>
    </row>
    <row r="254" spans="71:71" ht="14.25" customHeight="1">
      <c r="BS254" s="124"/>
    </row>
    <row r="255" spans="71:71" ht="14.25" customHeight="1">
      <c r="BS255" s="124"/>
    </row>
    <row r="268" spans="57:74" ht="14.25" customHeight="1">
      <c r="BE268" s="182"/>
      <c r="BF268" s="182"/>
      <c r="BG268" s="182"/>
      <c r="BH268" s="182"/>
      <c r="BI268" s="182"/>
      <c r="BJ268" s="182"/>
      <c r="BK268" s="147"/>
      <c r="BL268" s="147"/>
      <c r="BM268" s="147"/>
      <c r="BN268" s="147"/>
      <c r="BO268" s="147"/>
      <c r="BP268" s="147"/>
      <c r="BQ268" s="147"/>
      <c r="BR268" s="147"/>
      <c r="BS268" s="147"/>
      <c r="BT268" s="182"/>
      <c r="BU268" s="182"/>
      <c r="BV268" s="182"/>
    </row>
    <row r="269" spans="57:74" ht="14.25" customHeight="1">
      <c r="BE269" s="182"/>
      <c r="BF269" s="182"/>
      <c r="BG269" s="182"/>
      <c r="BH269" s="182"/>
      <c r="BI269" s="182"/>
      <c r="BJ269" s="182"/>
      <c r="BK269" s="147"/>
      <c r="BL269" s="147"/>
      <c r="BM269" s="147"/>
      <c r="BN269" s="147"/>
      <c r="BO269" s="147"/>
      <c r="BP269" s="147"/>
      <c r="BQ269" s="147"/>
      <c r="BR269" s="147"/>
      <c r="BS269" s="147"/>
      <c r="BT269" s="182"/>
      <c r="BU269" s="182"/>
      <c r="BV269" s="182"/>
    </row>
    <row r="270" spans="57:74" ht="14.25" customHeight="1">
      <c r="BE270" s="182"/>
      <c r="BF270" s="182"/>
      <c r="BG270" s="182"/>
      <c r="BH270" s="182"/>
      <c r="BI270" s="182"/>
      <c r="BJ270" s="182"/>
      <c r="BK270" s="147"/>
      <c r="BL270" s="147"/>
      <c r="BM270" s="147"/>
      <c r="BN270" s="147"/>
      <c r="BO270" s="147"/>
      <c r="BP270" s="147"/>
      <c r="BQ270" s="147"/>
      <c r="BR270" s="147"/>
      <c r="BS270" s="147"/>
      <c r="BT270" s="182"/>
      <c r="BU270" s="182"/>
      <c r="BV270" s="182"/>
    </row>
    <row r="271" spans="57:74" ht="14.25" customHeight="1">
      <c r="BE271" s="182"/>
      <c r="BF271" s="182"/>
      <c r="BG271" s="182"/>
      <c r="BH271" s="182"/>
      <c r="BI271" s="182"/>
      <c r="BJ271" s="182"/>
      <c r="BK271" s="147"/>
      <c r="BL271" s="147"/>
      <c r="BM271" s="147"/>
      <c r="BN271" s="147"/>
      <c r="BO271" s="147"/>
      <c r="BP271" s="147"/>
      <c r="BQ271" s="147"/>
      <c r="BR271" s="147"/>
      <c r="BS271" s="147"/>
      <c r="BT271" s="182"/>
      <c r="BU271" s="182"/>
      <c r="BV271" s="182"/>
    </row>
    <row r="272" spans="57:74" ht="14.25" customHeight="1">
      <c r="BE272" s="182"/>
      <c r="BF272" s="182"/>
      <c r="BG272" s="182"/>
      <c r="BH272" s="182"/>
      <c r="BI272" s="182"/>
      <c r="BJ272" s="182"/>
      <c r="BK272" s="182"/>
      <c r="BL272" s="182"/>
      <c r="BM272" s="182"/>
      <c r="BN272" s="182"/>
      <c r="BO272" s="182"/>
      <c r="BP272" s="182"/>
      <c r="BQ272" s="182"/>
      <c r="BR272" s="182"/>
      <c r="BS272" s="183"/>
      <c r="BT272" s="182"/>
      <c r="BU272" s="182"/>
      <c r="BV272" s="182"/>
    </row>
    <row r="273" spans="32:74" ht="14.25" customHeight="1">
      <c r="AF273" s="182"/>
      <c r="AG273" s="182"/>
      <c r="AH273" s="182"/>
      <c r="AI273" s="182"/>
      <c r="AJ273" s="182"/>
      <c r="AK273" s="182"/>
      <c r="AL273" s="182"/>
      <c r="AM273" s="182"/>
      <c r="AN273" s="182"/>
      <c r="AO273" s="182"/>
      <c r="AP273" s="182"/>
      <c r="AQ273" s="182"/>
      <c r="AR273" s="182"/>
      <c r="AS273" s="182"/>
      <c r="AT273" s="182"/>
      <c r="AU273" s="182"/>
      <c r="AV273" s="182"/>
      <c r="AW273" s="182"/>
      <c r="AX273" s="182"/>
      <c r="AY273" s="182"/>
      <c r="AZ273" s="182"/>
      <c r="BA273" s="182"/>
      <c r="BB273" s="182"/>
      <c r="BC273" s="182"/>
      <c r="BD273" s="182"/>
      <c r="BE273" s="182"/>
      <c r="BF273" s="182"/>
      <c r="BG273" s="182"/>
      <c r="BH273" s="182"/>
      <c r="BI273" s="182"/>
      <c r="BJ273" s="182"/>
      <c r="BK273" s="182"/>
      <c r="BL273" s="182"/>
      <c r="BM273" s="182"/>
      <c r="BN273" s="182"/>
      <c r="BO273" s="182"/>
      <c r="BP273" s="182"/>
      <c r="BQ273" s="182"/>
      <c r="BR273" s="182"/>
      <c r="BS273" s="183"/>
      <c r="BT273" s="182"/>
      <c r="BU273" s="182"/>
      <c r="BV273" s="182"/>
    </row>
    <row r="274" spans="32:74" ht="14.25" customHeight="1">
      <c r="AF274" s="182"/>
      <c r="AG274" s="182"/>
      <c r="AH274" s="182"/>
      <c r="AI274" s="182"/>
      <c r="AJ274" s="182"/>
      <c r="AK274" s="182"/>
      <c r="AL274" s="182"/>
      <c r="AM274" s="182"/>
      <c r="AN274" s="182"/>
      <c r="AO274" s="182"/>
      <c r="AP274" s="182"/>
      <c r="AQ274" s="182"/>
      <c r="AR274" s="182"/>
      <c r="AS274" s="182"/>
      <c r="AT274" s="182"/>
      <c r="AU274" s="182"/>
      <c r="AV274" s="182"/>
      <c r="AW274" s="182"/>
      <c r="AX274" s="182"/>
      <c r="AY274" s="182"/>
      <c r="AZ274" s="182"/>
      <c r="BA274" s="182"/>
      <c r="BB274" s="182"/>
      <c r="BC274" s="182"/>
      <c r="BD274" s="182"/>
      <c r="BE274" s="182"/>
      <c r="BF274" s="182"/>
      <c r="BG274" s="182"/>
      <c r="BH274" s="182"/>
      <c r="BI274" s="182"/>
      <c r="BJ274" s="182"/>
      <c r="BK274" s="182"/>
      <c r="BL274" s="182"/>
      <c r="BM274" s="182"/>
      <c r="BN274" s="182"/>
      <c r="BO274" s="182"/>
      <c r="BP274" s="182"/>
      <c r="BQ274" s="182"/>
      <c r="BR274" s="182"/>
      <c r="BS274" s="183"/>
      <c r="BT274" s="182"/>
      <c r="BU274" s="182"/>
      <c r="BV274" s="182"/>
    </row>
    <row r="275" spans="32:74" ht="14.25" customHeight="1">
      <c r="AJ275" s="182"/>
      <c r="AK275" s="182"/>
      <c r="AL275" s="182"/>
      <c r="AM275" s="182"/>
      <c r="AN275" s="182"/>
      <c r="AO275" s="182"/>
      <c r="AP275" s="182"/>
      <c r="AQ275" s="182"/>
      <c r="AR275" s="182"/>
      <c r="AS275" s="182"/>
      <c r="AT275" s="182"/>
      <c r="AU275" s="182"/>
      <c r="AV275" s="182"/>
      <c r="AW275" s="182"/>
      <c r="AX275" s="182"/>
      <c r="AY275" s="182"/>
      <c r="AZ275" s="182"/>
      <c r="BA275" s="182"/>
      <c r="BB275" s="182"/>
      <c r="BC275" s="182"/>
      <c r="BD275" s="182"/>
      <c r="BE275" s="182"/>
      <c r="BF275" s="182"/>
      <c r="BG275" s="182"/>
      <c r="BH275" s="182"/>
      <c r="BI275" s="182"/>
      <c r="BJ275" s="182"/>
      <c r="BK275" s="182"/>
      <c r="BL275" s="182"/>
      <c r="BM275" s="182"/>
      <c r="BN275" s="182"/>
      <c r="BO275" s="182"/>
      <c r="BP275" s="182"/>
      <c r="BQ275" s="182"/>
      <c r="BR275" s="182"/>
      <c r="BS275" s="183"/>
      <c r="BT275" s="182"/>
      <c r="BU275" s="182"/>
      <c r="BV275" s="182"/>
    </row>
    <row r="276" spans="32:74" ht="14.25" customHeight="1">
      <c r="AJ276" s="182"/>
      <c r="AK276" s="182"/>
      <c r="AL276" s="182"/>
      <c r="AM276" s="182"/>
      <c r="AN276" s="182"/>
      <c r="AO276" s="182"/>
      <c r="AP276" s="182"/>
      <c r="AQ276" s="182"/>
      <c r="AR276" s="182"/>
      <c r="AS276" s="182"/>
      <c r="AT276" s="182"/>
      <c r="AU276" s="182"/>
      <c r="AV276" s="182"/>
      <c r="AW276" s="182"/>
      <c r="AX276" s="182"/>
      <c r="AY276" s="182"/>
      <c r="AZ276" s="182"/>
      <c r="BA276" s="182"/>
      <c r="BB276" s="182"/>
      <c r="BC276" s="182"/>
      <c r="BD276" s="182"/>
      <c r="BE276" s="182"/>
      <c r="BF276" s="182"/>
      <c r="BG276" s="182"/>
      <c r="BH276" s="182"/>
      <c r="BI276" s="182"/>
      <c r="BJ276" s="182"/>
      <c r="BK276" s="182"/>
      <c r="BL276" s="182"/>
      <c r="BM276" s="182"/>
      <c r="BN276" s="182"/>
      <c r="BO276" s="182"/>
      <c r="BP276" s="182"/>
      <c r="BQ276" s="182"/>
      <c r="BR276" s="182"/>
      <c r="BS276" s="183"/>
      <c r="BT276" s="182"/>
      <c r="BU276" s="182"/>
      <c r="BV276" s="182"/>
    </row>
    <row r="277" spans="32:74" ht="14.25" customHeight="1">
      <c r="BE277" s="182"/>
      <c r="BF277" s="182"/>
      <c r="BG277" s="182"/>
      <c r="BH277" s="182"/>
      <c r="BI277" s="182"/>
      <c r="BJ277" s="182"/>
      <c r="BK277" s="182"/>
      <c r="BL277" s="182"/>
      <c r="BM277" s="182"/>
      <c r="BN277" s="182"/>
      <c r="BO277" s="182"/>
      <c r="BP277" s="182"/>
      <c r="BQ277" s="182"/>
      <c r="BR277" s="182"/>
      <c r="BS277" s="183"/>
      <c r="BT277" s="182"/>
      <c r="BU277" s="182"/>
      <c r="BV277" s="182"/>
    </row>
  </sheetData>
  <mergeCells count="74">
    <mergeCell ref="A1:C1"/>
    <mergeCell ref="D6:E6"/>
    <mergeCell ref="K15:L15"/>
    <mergeCell ref="D5:E5"/>
    <mergeCell ref="D9:E9"/>
    <mergeCell ref="D12:E12"/>
    <mergeCell ref="B86:C86"/>
    <mergeCell ref="AD131:AD132"/>
    <mergeCell ref="AE131:AE132"/>
    <mergeCell ref="N4:O6"/>
    <mergeCell ref="D8:E8"/>
    <mergeCell ref="D10:E10"/>
    <mergeCell ref="D7:E7"/>
    <mergeCell ref="K5:L5"/>
    <mergeCell ref="K4:L4"/>
    <mergeCell ref="D4:E4"/>
    <mergeCell ref="N8:O8"/>
    <mergeCell ref="N9:O13"/>
    <mergeCell ref="D11:E11"/>
    <mergeCell ref="D13:E13"/>
    <mergeCell ref="F78:G78"/>
    <mergeCell ref="N73:O73"/>
    <mergeCell ref="M17:T17"/>
    <mergeCell ref="W17:Y17"/>
    <mergeCell ref="Q74:Q75"/>
    <mergeCell ref="Q73:W73"/>
    <mergeCell ref="K18:L18"/>
    <mergeCell ref="L73:M73"/>
    <mergeCell ref="AD116:AD130"/>
    <mergeCell ref="AE128:AE130"/>
    <mergeCell ref="AE113:AE115"/>
    <mergeCell ref="AE105:AE106"/>
    <mergeCell ref="AT152:AU152"/>
    <mergeCell ref="AE126:AE127"/>
    <mergeCell ref="AE120:AE125"/>
    <mergeCell ref="AE107:AE108"/>
    <mergeCell ref="AD133:AD140"/>
    <mergeCell ref="AE111:AE112"/>
    <mergeCell ref="AT145:AV145"/>
    <mergeCell ref="AP145:AP146"/>
    <mergeCell ref="AE116:AE117"/>
    <mergeCell ref="AE118:AE119"/>
    <mergeCell ref="B88:C88"/>
    <mergeCell ref="B89:C89"/>
    <mergeCell ref="AE103:AE104"/>
    <mergeCell ref="AD103:AD115"/>
    <mergeCell ref="A92:B93"/>
    <mergeCell ref="O92:Y92"/>
    <mergeCell ref="L92:N92"/>
    <mergeCell ref="C92:D92"/>
    <mergeCell ref="H92:J92"/>
    <mergeCell ref="AE109:AE110"/>
    <mergeCell ref="A96:B96"/>
    <mergeCell ref="A99:B99"/>
    <mergeCell ref="A97:B98"/>
    <mergeCell ref="B90:C90"/>
    <mergeCell ref="A95:B95"/>
    <mergeCell ref="F92:G92"/>
    <mergeCell ref="B87:C87"/>
    <mergeCell ref="I17:L17"/>
    <mergeCell ref="A17:G17"/>
    <mergeCell ref="A18:C18"/>
    <mergeCell ref="A19:C19"/>
    <mergeCell ref="A20:C20"/>
    <mergeCell ref="D18:E18"/>
    <mergeCell ref="A84:A85"/>
    <mergeCell ref="A73:B73"/>
    <mergeCell ref="A75:A79"/>
    <mergeCell ref="A80:A81"/>
    <mergeCell ref="F73:G73"/>
    <mergeCell ref="F79:F80"/>
    <mergeCell ref="F81:F82"/>
    <mergeCell ref="B84:C84"/>
    <mergeCell ref="B85:C85"/>
  </mergeCells>
  <conditionalFormatting sqref="C82">
    <cfRule type="cellIs" dxfId="97" priority="75" stopIfTrue="1" operator="notBetween">
      <formula>0.49</formula>
      <formula>-0.49</formula>
    </cfRule>
  </conditionalFormatting>
  <conditionalFormatting sqref="G72 N21:S69 I21 I24 I27 I30 I33 I36:I69 H21:H69 K21:L69">
    <cfRule type="cellIs" dxfId="96" priority="74" stopIfTrue="1" operator="equal">
      <formula>0</formula>
    </cfRule>
  </conditionalFormatting>
  <conditionalFormatting sqref="L33:L69">
    <cfRule type="cellIs" dxfId="95" priority="73" stopIfTrue="1" operator="greaterThan">
      <formula>#REF!</formula>
    </cfRule>
  </conditionalFormatting>
  <conditionalFormatting sqref="W21:Y69">
    <cfRule type="cellIs" dxfId="94" priority="72" stopIfTrue="1" operator="equal">
      <formula>0</formula>
    </cfRule>
  </conditionalFormatting>
  <conditionalFormatting sqref="Z69:AC69 AC25:AC68 Z21:AB68">
    <cfRule type="cellIs" dxfId="93" priority="55" stopIfTrue="1" operator="equal">
      <formula>0</formula>
    </cfRule>
  </conditionalFormatting>
  <conditionalFormatting sqref="M21:M69">
    <cfRule type="cellIs" dxfId="92" priority="54" stopIfTrue="1" operator="equal">
      <formula>0</formula>
    </cfRule>
  </conditionalFormatting>
  <conditionalFormatting sqref="T21:T69">
    <cfRule type="cellIs" dxfId="91" priority="47" stopIfTrue="1" operator="equal">
      <formula>0</formula>
    </cfRule>
  </conditionalFormatting>
  <conditionalFormatting sqref="U21:V69">
    <cfRule type="expression" dxfId="90" priority="623" stopIfTrue="1">
      <formula>$D$15&gt;0</formula>
    </cfRule>
  </conditionalFormatting>
  <conditionalFormatting sqref="H95">
    <cfRule type="colorScale" priority="641">
      <colorScale>
        <cfvo type="num" val="0"/>
        <cfvo type="formula" val="$H$97*$AR$149"/>
        <cfvo type="formula" val="$H$97"/>
        <color rgb="FF63BE7B"/>
        <color rgb="FFFFEB84"/>
        <color rgb="FFF8696B"/>
      </colorScale>
    </cfRule>
  </conditionalFormatting>
  <conditionalFormatting sqref="J95">
    <cfRule type="colorScale" priority="642">
      <colorScale>
        <cfvo type="num" val="0"/>
        <cfvo type="formula" val="$J$97*$AR$149"/>
        <cfvo type="formula" val="$J$97"/>
        <color rgb="FF63BE7B"/>
        <color rgb="FFFFEB84"/>
        <color rgb="FFF8696B"/>
      </colorScale>
    </cfRule>
  </conditionalFormatting>
  <conditionalFormatting sqref="K95">
    <cfRule type="colorScale" priority="643">
      <colorScale>
        <cfvo type="num" val="0"/>
        <cfvo type="formula" val="$K$97*$AR$149"/>
        <cfvo type="formula" val="$K$97"/>
        <color rgb="FF63BE7B"/>
        <color rgb="FFFFEB84"/>
        <color rgb="FFF8696B"/>
      </colorScale>
    </cfRule>
  </conditionalFormatting>
  <conditionalFormatting sqref="L95">
    <cfRule type="colorScale" priority="644">
      <colorScale>
        <cfvo type="num" val="0"/>
        <cfvo type="formula" val="$L$97*$AR$149"/>
        <cfvo type="formula" val="$L$97"/>
        <color rgb="FF63BE7B"/>
        <color rgb="FFFFEB84"/>
        <color rgb="FFF8696B"/>
      </colorScale>
    </cfRule>
  </conditionalFormatting>
  <conditionalFormatting sqref="M95">
    <cfRule type="colorScale" priority="645">
      <colorScale>
        <cfvo type="num" val="0"/>
        <cfvo type="formula" val="$M$97*$AR$149"/>
        <cfvo type="formula" val="$M$97"/>
        <color rgb="FF63BE7B"/>
        <color rgb="FFFFEB84"/>
        <color rgb="FFF8696B"/>
      </colorScale>
    </cfRule>
  </conditionalFormatting>
  <conditionalFormatting sqref="N95">
    <cfRule type="colorScale" priority="646">
      <colorScale>
        <cfvo type="num" val="0"/>
        <cfvo type="formula" val="$N$95*$AR$149"/>
        <cfvo type="formula" val="$N$97"/>
        <color rgb="FF63BE7B"/>
        <color rgb="FFFFEB84"/>
        <color rgb="FFF8696B"/>
      </colorScale>
    </cfRule>
  </conditionalFormatting>
  <conditionalFormatting sqref="I95">
    <cfRule type="colorScale" priority="647">
      <colorScale>
        <cfvo type="formula" val="$I$97"/>
        <cfvo type="formula" val="$I$97+$I$97*(1-$AR$149)"/>
        <cfvo type="num" val="1.2"/>
        <color rgb="FFF8696B"/>
        <color rgb="FFFFEB84"/>
        <color rgb="FF63BE7B"/>
      </colorScale>
    </cfRule>
  </conditionalFormatting>
  <conditionalFormatting sqref="I22">
    <cfRule type="cellIs" dxfId="89" priority="20" stopIfTrue="1" operator="equal">
      <formula>0</formula>
    </cfRule>
  </conditionalFormatting>
  <conditionalFormatting sqref="J22">
    <cfRule type="cellIs" dxfId="88" priority="19" stopIfTrue="1" operator="equal">
      <formula>0</formula>
    </cfRule>
  </conditionalFormatting>
  <conditionalFormatting sqref="I23">
    <cfRule type="cellIs" dxfId="87" priority="18" stopIfTrue="1" operator="equal">
      <formula>0</formula>
    </cfRule>
  </conditionalFormatting>
  <conditionalFormatting sqref="J23">
    <cfRule type="cellIs" dxfId="86" priority="17" stopIfTrue="1" operator="equal">
      <formula>0</formula>
    </cfRule>
  </conditionalFormatting>
  <conditionalFormatting sqref="I25">
    <cfRule type="cellIs" dxfId="85" priority="16" stopIfTrue="1" operator="equal">
      <formula>0</formula>
    </cfRule>
  </conditionalFormatting>
  <conditionalFormatting sqref="J25">
    <cfRule type="cellIs" dxfId="84" priority="15" stopIfTrue="1" operator="equal">
      <formula>0</formula>
    </cfRule>
  </conditionalFormatting>
  <conditionalFormatting sqref="I26">
    <cfRule type="cellIs" dxfId="83" priority="14" stopIfTrue="1" operator="equal">
      <formula>0</formula>
    </cfRule>
  </conditionalFormatting>
  <conditionalFormatting sqref="J26">
    <cfRule type="cellIs" dxfId="82" priority="13" stopIfTrue="1" operator="equal">
      <formula>0</formula>
    </cfRule>
  </conditionalFormatting>
  <conditionalFormatting sqref="I28">
    <cfRule type="cellIs" dxfId="81" priority="12" stopIfTrue="1" operator="equal">
      <formula>0</formula>
    </cfRule>
  </conditionalFormatting>
  <conditionalFormatting sqref="J28">
    <cfRule type="cellIs" dxfId="80" priority="11" stopIfTrue="1" operator="equal">
      <formula>0</formula>
    </cfRule>
  </conditionalFormatting>
  <conditionalFormatting sqref="I29">
    <cfRule type="cellIs" dxfId="79" priority="10" stopIfTrue="1" operator="equal">
      <formula>0</formula>
    </cfRule>
  </conditionalFormatting>
  <conditionalFormatting sqref="J29">
    <cfRule type="cellIs" dxfId="78" priority="9" stopIfTrue="1" operator="equal">
      <formula>0</formula>
    </cfRule>
  </conditionalFormatting>
  <conditionalFormatting sqref="I31">
    <cfRule type="cellIs" dxfId="77" priority="8" stopIfTrue="1" operator="equal">
      <formula>0</formula>
    </cfRule>
  </conditionalFormatting>
  <conditionalFormatting sqref="J31">
    <cfRule type="cellIs" dxfId="76" priority="7" stopIfTrue="1" operator="equal">
      <formula>0</formula>
    </cfRule>
  </conditionalFormatting>
  <conditionalFormatting sqref="I32">
    <cfRule type="cellIs" dxfId="75" priority="6" stopIfTrue="1" operator="equal">
      <formula>0</formula>
    </cfRule>
  </conditionalFormatting>
  <conditionalFormatting sqref="J32">
    <cfRule type="cellIs" dxfId="74" priority="5" stopIfTrue="1" operator="equal">
      <formula>0</formula>
    </cfRule>
  </conditionalFormatting>
  <conditionalFormatting sqref="I34">
    <cfRule type="cellIs" dxfId="73" priority="4" stopIfTrue="1" operator="equal">
      <formula>0</formula>
    </cfRule>
  </conditionalFormatting>
  <conditionalFormatting sqref="J34">
    <cfRule type="cellIs" dxfId="72" priority="3" stopIfTrue="1" operator="equal">
      <formula>0</formula>
    </cfRule>
  </conditionalFormatting>
  <conditionalFormatting sqref="I35">
    <cfRule type="cellIs" dxfId="71" priority="2" stopIfTrue="1" operator="equal">
      <formula>0</formula>
    </cfRule>
  </conditionalFormatting>
  <conditionalFormatting sqref="J35">
    <cfRule type="cellIs" dxfId="70" priority="1" stopIfTrue="1" operator="equal">
      <formula>0</formula>
    </cfRule>
  </conditionalFormatting>
  <conditionalFormatting sqref="G5:L5">
    <cfRule type="expression" dxfId="69" priority="693" stopIfTrue="1">
      <formula>$AF$151&lt;&gt;1</formula>
    </cfRule>
  </conditionalFormatting>
  <conditionalFormatting sqref="C95">
    <cfRule type="colorScale" priority="698">
      <colorScale>
        <cfvo type="num" val="0"/>
        <cfvo type="formula" val="$C$97*$AR$149"/>
        <cfvo type="formula" val="$C$97"/>
        <color rgb="FF63BE7B"/>
        <color rgb="FFFFEB84"/>
        <color rgb="FFF8696B"/>
      </colorScale>
    </cfRule>
  </conditionalFormatting>
  <conditionalFormatting sqref="D95">
    <cfRule type="colorScale" priority="699">
      <colorScale>
        <cfvo type="num" val="0"/>
        <cfvo type="formula" val="$D$97*$AR$149"/>
        <cfvo type="formula" val="$D$97"/>
        <color rgb="FF63BE7B"/>
        <color rgb="FFFFEB84"/>
        <color rgb="FFF8696B"/>
      </colorScale>
    </cfRule>
  </conditionalFormatting>
  <conditionalFormatting sqref="E95">
    <cfRule type="colorScale" priority="700">
      <colorScale>
        <cfvo type="num" val="0"/>
        <cfvo type="formula" val="$E$97*$AR$149"/>
        <cfvo type="formula" val="$E$97"/>
        <color rgb="FF63BE7B"/>
        <color rgb="FFFFEB84"/>
        <color rgb="FFF8696B"/>
      </colorScale>
    </cfRule>
  </conditionalFormatting>
  <conditionalFormatting sqref="F95">
    <cfRule type="colorScale" priority="701">
      <colorScale>
        <cfvo type="num" val="0"/>
        <cfvo type="formula" val="$F$97*$AR$149"/>
        <cfvo type="formula" val="$F$97"/>
        <color rgb="FF63BE7B"/>
        <color rgb="FFFFEB84"/>
        <color rgb="FFF8696B"/>
      </colorScale>
    </cfRule>
  </conditionalFormatting>
  <conditionalFormatting sqref="G95">
    <cfRule type="colorScale" priority="702">
      <colorScale>
        <cfvo type="num" val="0"/>
        <cfvo type="formula" val="$G$97*$AR$149"/>
        <cfvo type="formula" val="$G$97"/>
        <color rgb="FF63BE7B"/>
        <color rgb="FFFFEB84"/>
        <color rgb="FFF8696B"/>
      </colorScale>
    </cfRule>
  </conditionalFormatting>
  <conditionalFormatting sqref="F21:F69">
    <cfRule type="expression" dxfId="68" priority="703" stopIfTrue="1">
      <formula>AND(OR($F21=$AG$146,$F21=$AG$148),OR($G21=$AD$154,$G21=$AD$155))</formula>
    </cfRule>
    <cfRule type="expression" dxfId="67" priority="704" stopIfTrue="1">
      <formula>AND(OR($F21=$AG$146,$F21=$AG$147,$F21=$AG$148,$F21=$AG$149),$G21=$AD$155)</formula>
    </cfRule>
    <cfRule type="expression" dxfId="66" priority="705" stopIfTrue="1">
      <formula>AND($AF$151=2,$F21=$AG$150,$G21=$AD$153)</formula>
    </cfRule>
  </conditionalFormatting>
  <dataValidations count="7">
    <dataValidation type="list" allowBlank="1" showInputMessage="1" showErrorMessage="1" sqref="G21:G69">
      <formula1>$AD$146:$AD$157</formula1>
    </dataValidation>
    <dataValidation type="list" allowBlank="1" showInputMessage="1" showErrorMessage="1" sqref="F21:F69">
      <formula1>$AG$146:$AG$150</formula1>
    </dataValidation>
    <dataValidation type="list" allowBlank="1" showInputMessage="1" showErrorMessage="1" sqref="H74">
      <formula1>$AM$146:$AM$147</formula1>
    </dataValidation>
    <dataValidation type="list" allowBlank="1" showInputMessage="1" showErrorMessage="1" sqref="D13">
      <formula1>$AK$146:$AK$148</formula1>
    </dataValidation>
    <dataValidation type="decimal" operator="greaterThan" allowBlank="1" showInputMessage="1" showErrorMessage="1" errorTitle="Invalid NCV" error="For water-based fuels where NCV could be &lt;=0, please enter 0.001 to avoid division by 0. Based on the moisture content, FMO calculates and uses corrected NCV for water-based fuels." sqref="M21:M69">
      <formula1>0</formula1>
    </dataValidation>
    <dataValidation type="list" allowBlank="1" showInputMessage="1" showErrorMessage="1" sqref="B86:C90">
      <formula1>$AE$146:$AE$154</formula1>
    </dataValidation>
    <dataValidation type="list" allowBlank="1" showInputMessage="1" showErrorMessage="1" sqref="C98:Y98">
      <formula1>$AL$146:$AL$148</formula1>
    </dataValidation>
  </dataValidations>
  <hyperlinks>
    <hyperlink ref="G4" location="Help!KilnSystem" display="Kiln system"/>
    <hyperlink ref="F18:F19" location="Help!D201" display="Firing"/>
    <hyperlink ref="G18" location="Help!FuelCategory" display="Category"/>
    <hyperlink ref="F18" location="Help!FiringLocation" display="Firing"/>
    <hyperlink ref="F19" location="Help!FiringLocation" display="location"/>
    <hyperlink ref="B74" location="Guidelines!StandardFuel" display="std. fuel"/>
    <hyperlink ref="A97:B98" location="Guidelines!GuideValue_PQ" display="HTEC guide value"/>
    <hyperlink ref="Q77" location="Help!TEE" display="TEE, %"/>
    <hyperlink ref="Q78" location="Help!TSR" display="TSR, %"/>
    <hyperlink ref="F75" location="HotMealExtraction" display="Hot meal extraction rate, %"/>
    <hyperlink ref="B77" location="ClRemoval" display="from BP+HME"/>
    <hyperlink ref="F76" location="KilnGasBypass" display="Kiln gas bypass, %"/>
    <hyperlink ref="A14" location="CalenderDays" display="CalenderDays"/>
    <hyperlink ref="Q74" location="SACTE" display="SACTE"/>
    <hyperlink ref="Q76" location="Help!ACTE" display="ACTE"/>
    <hyperlink ref="G5" location="Help!CalcineType" display="Calciner type"/>
    <hyperlink ref="A92:B93" location="Help!ProcessQuality_Constraints" display="Process and quality constraints"/>
    <hyperlink ref="B78" location="Help!False_air_impact" display="false air"/>
    <hyperlink ref="A84:A85" location="Help!False_air_impact" display="Impact from false air"/>
    <hyperlink ref="F78:G78" location="Help!Oxygen_correction" display="Oxygen correction"/>
    <hyperlink ref="Q80" location="Help!SPC" display="support process costs"/>
    <hyperlink ref="Q81" location="Help!Operational_GAV" display="Help!Operational_GAV"/>
    <hyperlink ref="Q83" location="Help!Operational_GAV" display="Help!Operational_GAV"/>
  </hyperlinks>
  <printOptions horizontalCentered="1" verticalCentered="1"/>
  <pageMargins left="0" right="0" top="0" bottom="0" header="0" footer="0"/>
  <pageSetup paperSize="9" scale="68"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outlinePr summaryBelow="0" summaryRight="0"/>
    <pageSetUpPr fitToPage="1"/>
  </sheetPr>
  <dimension ref="A1:BV277"/>
  <sheetViews>
    <sheetView showGridLines="0" zoomScale="80" zoomScaleNormal="80" zoomScaleSheetLayoutView="50" workbookViewId="0">
      <selection sqref="A1:C1"/>
    </sheetView>
  </sheetViews>
  <sheetFormatPr defaultColWidth="10.7109375" defaultRowHeight="14.25" customHeight="1" outlineLevelRow="1" outlineLevelCol="1"/>
  <cols>
    <col min="1" max="16" width="10.7109375" style="124" customWidth="1"/>
    <col min="17" max="17" width="10.7109375" style="124" customWidth="1" collapsed="1"/>
    <col min="18" max="22" width="10.7109375" style="124" hidden="1" customWidth="1" outlineLevel="1"/>
    <col min="23" max="25" width="10.7109375" style="124" customWidth="1"/>
    <col min="26" max="28" width="10.7109375" style="124" hidden="1" customWidth="1"/>
    <col min="29" max="29" width="10.7109375" style="124" customWidth="1"/>
    <col min="30" max="30" width="11.7109375" style="124" customWidth="1"/>
    <col min="31" max="70" width="10.7109375" style="124" customWidth="1"/>
    <col min="71" max="71" width="10.7109375" style="125" customWidth="1"/>
    <col min="72" max="16384" width="10.7109375" style="124"/>
  </cols>
  <sheetData>
    <row r="1" spans="1:54" ht="26.25">
      <c r="A1" s="806" t="s">
        <v>354</v>
      </c>
      <c r="B1" s="806"/>
      <c r="C1" s="806"/>
      <c r="D1" s="560"/>
      <c r="E1" s="560"/>
      <c r="G1" s="123"/>
      <c r="AS1" s="125"/>
      <c r="AT1" s="125"/>
      <c r="AU1" s="125"/>
    </row>
    <row r="2" spans="1:54" s="127" customFormat="1" ht="14.25" customHeight="1" outlineLevel="1">
      <c r="A2" s="23" t="str">
        <f ca="1">"File: "&amp;MID(CELL("filename"),SEARCH("[",CELL("filename"))+1, SEARCH("]",CELL("filename"))-SEARCH("[",CELL("filename"))-1)</f>
        <v>File: FMO Case Study Solution.xlsx</v>
      </c>
      <c r="D2" s="126"/>
      <c r="E2" s="126"/>
      <c r="F2" s="126"/>
      <c r="G2" s="128"/>
      <c r="O2" s="549"/>
      <c r="R2" s="129"/>
      <c r="S2" s="129"/>
      <c r="T2" s="129"/>
      <c r="U2" s="129"/>
      <c r="V2" s="129"/>
      <c r="W2" s="129"/>
      <c r="BA2" s="126"/>
    </row>
    <row r="3" spans="1:54" s="127" customFormat="1" ht="14.25" customHeight="1" outlineLevel="1">
      <c r="A3" s="312"/>
      <c r="B3" s="312"/>
      <c r="D3" s="247" t="s">
        <v>827</v>
      </c>
      <c r="E3" s="131" t="str">
        <f>Baseline!$D$3</f>
        <v>Baseline</v>
      </c>
      <c r="K3" s="247" t="str">
        <f>$D$3</f>
        <v>Simulation</v>
      </c>
      <c r="L3" s="131" t="str">
        <f>Baseline!$D$3</f>
        <v>Baseline</v>
      </c>
      <c r="Y3" s="328" t="str">
        <f>$D$3</f>
        <v>Simulation</v>
      </c>
      <c r="AC3" s="358"/>
      <c r="AD3" s="358"/>
      <c r="BA3" s="126"/>
    </row>
    <row r="4" spans="1:54" s="127" customFormat="1" ht="14.25" customHeight="1" outlineLevel="1">
      <c r="A4" s="314" t="s">
        <v>94</v>
      </c>
      <c r="B4" s="315"/>
      <c r="C4" s="315"/>
      <c r="D4" s="869" t="str">
        <f>Baseline!D4</f>
        <v>GEOCEM</v>
      </c>
      <c r="E4" s="870"/>
      <c r="G4" s="316" t="s">
        <v>10</v>
      </c>
      <c r="H4" s="315"/>
      <c r="I4" s="315"/>
      <c r="J4" s="363"/>
      <c r="K4" s="871" t="str">
        <f>Baseline!K4</f>
        <v>Calciner</v>
      </c>
      <c r="L4" s="872"/>
      <c r="N4" s="865" t="s">
        <v>671</v>
      </c>
      <c r="O4" s="866"/>
      <c r="P4" s="342" t="s">
        <v>670</v>
      </c>
      <c r="Q4" s="542"/>
      <c r="R4" s="542"/>
      <c r="S4" s="542"/>
      <c r="T4" s="542"/>
      <c r="U4" s="542"/>
      <c r="V4" s="542"/>
      <c r="W4" s="360"/>
      <c r="X4" s="336"/>
      <c r="Y4" s="332">
        <f>IF(K6=0,0,(Baseline!AR150/((K6*K7/100)-(AV128/D14/K9*100))-1)*100)</f>
        <v>1.8125845754220826</v>
      </c>
      <c r="AC4" s="358"/>
      <c r="AD4" s="358"/>
      <c r="BA4" s="126"/>
    </row>
    <row r="5" spans="1:54" s="127" customFormat="1" ht="14.25" customHeight="1" outlineLevel="1">
      <c r="A5" s="311" t="s">
        <v>675</v>
      </c>
      <c r="B5" s="312"/>
      <c r="C5" s="364"/>
      <c r="D5" s="869">
        <f>Baseline!D5</f>
        <v>1</v>
      </c>
      <c r="E5" s="870"/>
      <c r="G5" s="377" t="s">
        <v>720</v>
      </c>
      <c r="K5" s="871" t="str">
        <f>Baseline!K5</f>
        <v>ILC</v>
      </c>
      <c r="L5" s="872"/>
      <c r="N5" s="865"/>
      <c r="O5" s="866"/>
      <c r="P5" s="342" t="s">
        <v>672</v>
      </c>
      <c r="Q5" s="329"/>
      <c r="R5" s="329"/>
      <c r="S5" s="329"/>
      <c r="T5" s="329"/>
      <c r="U5" s="329"/>
      <c r="V5" s="329"/>
      <c r="W5" s="360"/>
      <c r="X5" s="336"/>
      <c r="Y5" s="332">
        <f>K7+Y4</f>
        <v>96.812584575422079</v>
      </c>
      <c r="AC5" s="358"/>
      <c r="AD5" s="358"/>
      <c r="BA5" s="126"/>
    </row>
    <row r="6" spans="1:54" s="127" customFormat="1" ht="14.25" customHeight="1" outlineLevel="1">
      <c r="A6" s="311" t="s">
        <v>95</v>
      </c>
      <c r="B6" s="312"/>
      <c r="C6" s="312"/>
      <c r="D6" s="869" t="str">
        <f>Baseline!D6</f>
        <v>PPE</v>
      </c>
      <c r="E6" s="870"/>
      <c r="G6" s="311" t="s">
        <v>97</v>
      </c>
      <c r="H6" s="312"/>
      <c r="I6" s="312"/>
      <c r="J6" s="364"/>
      <c r="K6" s="135">
        <v>4500</v>
      </c>
      <c r="L6" s="139">
        <f>Baseline!K6</f>
        <v>4500</v>
      </c>
      <c r="N6" s="865"/>
      <c r="O6" s="866"/>
      <c r="P6" s="342" t="str">
        <f>"Impact on clinker production from TF+AF, t/"&amp;D13</f>
        <v>Impact on clinker production from TF+AF, t/year</v>
      </c>
      <c r="Q6" s="542"/>
      <c r="R6" s="542"/>
      <c r="S6" s="542"/>
      <c r="T6" s="542"/>
      <c r="U6" s="542"/>
      <c r="V6" s="542"/>
      <c r="W6" s="360"/>
      <c r="X6" s="336"/>
      <c r="Y6" s="346">
        <f>IF(Y4/100*K9/100*D14*K6&gt;0,0,Y4/100*K9/100*D14*K6)</f>
        <v>0</v>
      </c>
      <c r="AC6" s="358"/>
      <c r="AD6" s="359"/>
      <c r="AZ6" s="126"/>
      <c r="BA6" s="126"/>
    </row>
    <row r="7" spans="1:54" s="127" customFormat="1" ht="14.25" customHeight="1" outlineLevel="1">
      <c r="A7" s="311" t="s">
        <v>96</v>
      </c>
      <c r="B7" s="312"/>
      <c r="C7" s="312"/>
      <c r="D7" s="869" t="str">
        <f>Baseline!D7</f>
        <v>Process Engineer</v>
      </c>
      <c r="E7" s="870"/>
      <c r="G7" s="311" t="s">
        <v>586</v>
      </c>
      <c r="H7" s="312"/>
      <c r="I7" s="312"/>
      <c r="J7" s="364"/>
      <c r="K7" s="136">
        <v>95</v>
      </c>
      <c r="L7" s="248">
        <f>Baseline!K7</f>
        <v>95</v>
      </c>
      <c r="N7" s="333" t="s">
        <v>673</v>
      </c>
      <c r="O7" s="614"/>
      <c r="P7" s="342"/>
      <c r="Q7" s="542"/>
      <c r="R7" s="542"/>
      <c r="S7" s="542"/>
      <c r="T7" s="542"/>
      <c r="U7" s="542"/>
      <c r="V7" s="542"/>
      <c r="W7" s="360"/>
      <c r="X7" s="336"/>
      <c r="Y7" s="331">
        <f>K9</f>
        <v>89.5</v>
      </c>
      <c r="AC7" s="358"/>
      <c r="AD7" s="359"/>
      <c r="AZ7" s="126"/>
      <c r="BA7" s="126"/>
    </row>
    <row r="8" spans="1:54" s="127" customFormat="1" ht="14.25" customHeight="1" outlineLevel="1">
      <c r="A8" s="311" t="s">
        <v>69</v>
      </c>
      <c r="B8" s="312"/>
      <c r="C8" s="312"/>
      <c r="D8" s="867">
        <f>IF(OR(Baseline!D8="",0),"",Baseline!D8)</f>
        <v>42332</v>
      </c>
      <c r="E8" s="868"/>
      <c r="G8" s="311" t="s">
        <v>98</v>
      </c>
      <c r="H8" s="312"/>
      <c r="I8" s="312"/>
      <c r="J8" s="364"/>
      <c r="K8" s="137">
        <f>K6*K7%</f>
        <v>4275</v>
      </c>
      <c r="L8" s="139">
        <f>L6*L7%</f>
        <v>4275</v>
      </c>
      <c r="N8" s="865" t="s">
        <v>674</v>
      </c>
      <c r="O8" s="866"/>
      <c r="P8" s="342" t="str">
        <f>"Net impact on clinker production from TF+AF, t/"&amp;D13</f>
        <v>Net impact on clinker production from TF+AF, t/year</v>
      </c>
      <c r="Q8" s="542"/>
      <c r="R8" s="542"/>
      <c r="S8" s="542"/>
      <c r="T8" s="542"/>
      <c r="U8" s="542"/>
      <c r="V8" s="542"/>
      <c r="W8" s="360"/>
      <c r="X8" s="336"/>
      <c r="Y8" s="346">
        <f>IF(Y6+(Y7-K9)/100*Y5/100*D14*K6&gt;0,0,Y6+(Y7-K9)/100*Y5/100*D14*K6)</f>
        <v>0</v>
      </c>
      <c r="AC8" s="358"/>
      <c r="AD8" s="359"/>
      <c r="AZ8" s="126"/>
      <c r="BA8" s="126"/>
    </row>
    <row r="9" spans="1:54" s="127" customFormat="1" ht="14.25" customHeight="1" outlineLevel="1">
      <c r="A9" s="311" t="s">
        <v>70</v>
      </c>
      <c r="B9" s="312"/>
      <c r="C9" s="312"/>
      <c r="D9" s="869">
        <f>Baseline!D9</f>
        <v>0</v>
      </c>
      <c r="E9" s="870"/>
      <c r="G9" s="311" t="s">
        <v>587</v>
      </c>
      <c r="H9" s="312"/>
      <c r="I9" s="312"/>
      <c r="J9" s="364"/>
      <c r="K9" s="136">
        <v>89.5</v>
      </c>
      <c r="L9" s="248">
        <f>Baseline!K9</f>
        <v>89.5</v>
      </c>
      <c r="N9" s="819" t="s">
        <v>655</v>
      </c>
      <c r="O9" s="820"/>
      <c r="P9" s="335" t="s">
        <v>613</v>
      </c>
      <c r="Q9" s="335"/>
      <c r="R9" s="335"/>
      <c r="S9" s="335"/>
      <c r="T9" s="335"/>
      <c r="U9" s="335"/>
      <c r="V9" s="335"/>
      <c r="W9" s="361"/>
      <c r="X9" s="337"/>
      <c r="Y9" s="331"/>
      <c r="AC9" s="358"/>
      <c r="AD9" s="358"/>
      <c r="BA9" s="126"/>
      <c r="BB9" s="126"/>
    </row>
    <row r="10" spans="1:54" s="127" customFormat="1" ht="14.25" customHeight="1" outlineLevel="1">
      <c r="A10" s="311" t="str">
        <f>D3&amp;" reference"</f>
        <v>Simulation reference</v>
      </c>
      <c r="B10" s="312"/>
      <c r="C10" s="312"/>
      <c r="D10" s="777" t="s">
        <v>865</v>
      </c>
      <c r="E10" s="778"/>
      <c r="G10" s="311" t="s">
        <v>100</v>
      </c>
      <c r="H10" s="312"/>
      <c r="I10" s="312"/>
      <c r="J10" s="364"/>
      <c r="K10" s="249">
        <f>STEC</f>
        <v>3426.0397741696129</v>
      </c>
      <c r="L10" s="249">
        <f>Baseline!K10</f>
        <v>3300</v>
      </c>
      <c r="N10" s="821"/>
      <c r="O10" s="822"/>
      <c r="P10" s="335" t="s">
        <v>546</v>
      </c>
      <c r="Q10" s="294"/>
      <c r="R10" s="294"/>
      <c r="S10" s="294"/>
      <c r="T10" s="294"/>
      <c r="U10" s="294"/>
      <c r="V10" s="294"/>
      <c r="W10" s="361"/>
      <c r="X10" s="337"/>
      <c r="Y10" s="331"/>
      <c r="AC10" s="358"/>
      <c r="AD10" s="358"/>
    </row>
    <row r="11" spans="1:54" s="127" customFormat="1" ht="14.25" customHeight="1" outlineLevel="1">
      <c r="A11" s="311" t="str">
        <f>Baseline!A11</f>
        <v>Local currency (e.g. INR)</v>
      </c>
      <c r="B11" s="312"/>
      <c r="C11" s="312"/>
      <c r="D11" s="871" t="str">
        <f>Baseline!LocCur</f>
        <v>USD</v>
      </c>
      <c r="E11" s="872"/>
      <c r="G11" s="311" t="str">
        <f>"Clinker production volume, t/"&amp;$D$13</f>
        <v>Clinker production volume, t/year</v>
      </c>
      <c r="H11" s="312"/>
      <c r="I11" s="312"/>
      <c r="J11" s="364"/>
      <c r="K11" s="139">
        <f>K6*K7%*D14*K9%</f>
        <v>1396535.625</v>
      </c>
      <c r="L11" s="139">
        <f>L6*L7%*E14*L9%</f>
        <v>1396535.625</v>
      </c>
      <c r="N11" s="821"/>
      <c r="O11" s="822"/>
      <c r="P11" s="335" t="s">
        <v>546</v>
      </c>
      <c r="Q11" s="294"/>
      <c r="R11" s="294"/>
      <c r="S11" s="294"/>
      <c r="T11" s="294"/>
      <c r="U11" s="294"/>
      <c r="V11" s="294"/>
      <c r="W11" s="361"/>
      <c r="X11" s="337"/>
      <c r="Y11" s="331"/>
      <c r="AC11" s="358"/>
      <c r="AD11" s="358"/>
    </row>
    <row r="12" spans="1:54" s="127" customFormat="1" ht="14.25" customHeight="1" outlineLevel="1">
      <c r="A12" s="311" t="str">
        <f>Baseline!A12</f>
        <v>International currency (e.g. USD)</v>
      </c>
      <c r="B12" s="312"/>
      <c r="C12" s="312"/>
      <c r="D12" s="871" t="str">
        <f>Baseline!IntCur</f>
        <v>CHF</v>
      </c>
      <c r="E12" s="872"/>
      <c r="G12" s="140" t="s">
        <v>102</v>
      </c>
      <c r="H12" s="123"/>
      <c r="I12" s="123"/>
      <c r="J12" s="364"/>
      <c r="K12" s="250">
        <f>IF(CLI=0,0,Baseline!K12-2.5*SUMPRODUCT(Baseline!$E$21:$E$69,Baseline!$Q$21:$Q$69)/Baseline!CLI+2.5*SUMPRODUCT($E$21:$E$69,$Q$21:$Q$69)/'Solids+Liquids'!CLI)</f>
        <v>0.78375850949981984</v>
      </c>
      <c r="L12" s="250">
        <f>Baseline!K12</f>
        <v>0.81</v>
      </c>
      <c r="N12" s="821"/>
      <c r="O12" s="822"/>
      <c r="P12" s="335" t="s">
        <v>546</v>
      </c>
      <c r="Q12" s="294"/>
      <c r="R12" s="294"/>
      <c r="S12" s="294"/>
      <c r="T12" s="294"/>
      <c r="U12" s="294"/>
      <c r="V12" s="294"/>
      <c r="W12" s="361"/>
      <c r="X12" s="337"/>
      <c r="Y12" s="331"/>
      <c r="AD12" s="358"/>
    </row>
    <row r="13" spans="1:54" s="127" customFormat="1" ht="14.25" customHeight="1" outlineLevel="1">
      <c r="A13" s="311" t="s">
        <v>321</v>
      </c>
      <c r="B13" s="312"/>
      <c r="C13" s="312"/>
      <c r="D13" s="871" t="str">
        <f>Baseline!D13</f>
        <v>year</v>
      </c>
      <c r="E13" s="872"/>
      <c r="G13" s="140" t="s">
        <v>103</v>
      </c>
      <c r="H13" s="123"/>
      <c r="I13" s="123"/>
      <c r="J13" s="364"/>
      <c r="K13" s="250">
        <f>IF(CLI=0,0,Baseline!K13-SUMPRODUCT(Baseline!$E$21:$E$69,Baseline!$R$21:$R$69)/Baseline!CLI+SUMPRODUCT($E$21:$E$69,$R$21:$R$69)/'Solids+Liquids'!CLI)</f>
        <v>0.6795952176294261</v>
      </c>
      <c r="L13" s="250">
        <f>Baseline!K13</f>
        <v>0.67</v>
      </c>
      <c r="N13" s="823"/>
      <c r="O13" s="824"/>
      <c r="P13" s="335" t="s">
        <v>546</v>
      </c>
      <c r="Q13" s="294"/>
      <c r="R13" s="294"/>
      <c r="S13" s="294"/>
      <c r="T13" s="294"/>
      <c r="U13" s="294"/>
      <c r="V13" s="294"/>
      <c r="W13" s="361"/>
      <c r="X13" s="337"/>
      <c r="Y13" s="331"/>
      <c r="AC13" s="358"/>
      <c r="AD13" s="358"/>
    </row>
    <row r="14" spans="1:54" s="127" customFormat="1" ht="14.25" customHeight="1" outlineLevel="1">
      <c r="A14" s="377" t="str">
        <f>IF(D13=AK148,"Calender days in an ","Calender days in a ")&amp;D13</f>
        <v>Calender days in an year</v>
      </c>
      <c r="B14" s="312"/>
      <c r="C14" s="312"/>
      <c r="D14" s="601">
        <v>365</v>
      </c>
      <c r="E14" s="249">
        <f>Baseline!D14</f>
        <v>365</v>
      </c>
      <c r="G14" s="140" t="s">
        <v>104</v>
      </c>
      <c r="H14" s="123"/>
      <c r="I14" s="123"/>
      <c r="J14" s="364"/>
      <c r="K14" s="250">
        <f>IF(CLI=0,0,Baseline!K14-SUMPRODUCT(Baseline!$E$21:$E$69,Baseline!$S$21:$S$69)/Baseline!CLI+SUMPRODUCT($E$21:$E$69,$S$21:$S$69)/'Solids+Liquids'!CLI)</f>
        <v>0.25010599511049153</v>
      </c>
      <c r="L14" s="250">
        <f>Baseline!K14</f>
        <v>0.24</v>
      </c>
      <c r="N14" s="333" t="str">
        <f>"Net impact on clinker production from TF+AF with additional measures, t/"&amp;D13</f>
        <v>Net impact on clinker production from TF+AF with additional measures, t/year</v>
      </c>
      <c r="O14" s="342"/>
      <c r="P14" s="215"/>
      <c r="Q14" s="215"/>
      <c r="R14" s="215"/>
      <c r="S14" s="215"/>
      <c r="T14" s="215"/>
      <c r="U14" s="215"/>
      <c r="V14" s="215"/>
      <c r="W14" s="360"/>
      <c r="X14" s="336"/>
      <c r="Y14" s="346">
        <f>IF(Y8+SUM(Y9:Y13)/100*Y7/100*D14*K6&gt;=0,0,Y8+SUM(Y9:Y13)/100*Y7/100*D14*K6)</f>
        <v>0</v>
      </c>
      <c r="AC14" s="358"/>
      <c r="AD14" s="358"/>
    </row>
    <row r="15" spans="1:54" s="127" customFormat="1" ht="14.25" customHeight="1" outlineLevel="1">
      <c r="A15" s="610" t="str">
        <f>"Price of CO2 emission rights, "&amp;LocCur&amp;"/t CO2"</f>
        <v>Price of CO2 emission rights, USD/t CO2</v>
      </c>
      <c r="B15" s="313"/>
      <c r="C15" s="313"/>
      <c r="D15" s="607">
        <v>0</v>
      </c>
      <c r="E15" s="251">
        <f>Baseline!D15</f>
        <v>0</v>
      </c>
      <c r="G15" s="600" t="s">
        <v>99</v>
      </c>
      <c r="H15" s="143"/>
      <c r="I15" s="143"/>
      <c r="J15" s="611"/>
      <c r="K15" s="871">
        <f>Baseline!K15</f>
        <v>50</v>
      </c>
      <c r="L15" s="872"/>
      <c r="AC15" s="358"/>
      <c r="AD15" s="358"/>
    </row>
    <row r="16" spans="1:54" s="127" customFormat="1" ht="14.25" customHeight="1" outlineLevel="1">
      <c r="AC16" s="358"/>
      <c r="AD16" s="358"/>
    </row>
    <row r="17" spans="1:65" s="127" customFormat="1" ht="14.25" customHeight="1">
      <c r="A17" s="790" t="s">
        <v>129</v>
      </c>
      <c r="B17" s="791"/>
      <c r="C17" s="791"/>
      <c r="D17" s="791"/>
      <c r="E17" s="791"/>
      <c r="F17" s="791"/>
      <c r="G17" s="792"/>
      <c r="H17" s="606" t="s">
        <v>486</v>
      </c>
      <c r="I17" s="793" t="s">
        <v>854</v>
      </c>
      <c r="J17" s="794"/>
      <c r="K17" s="794"/>
      <c r="L17" s="795"/>
      <c r="M17" s="787" t="s">
        <v>476</v>
      </c>
      <c r="N17" s="788"/>
      <c r="O17" s="788"/>
      <c r="P17" s="788"/>
      <c r="Q17" s="788"/>
      <c r="R17" s="788"/>
      <c r="S17" s="788"/>
      <c r="T17" s="789"/>
      <c r="U17" s="606" t="s">
        <v>315</v>
      </c>
      <c r="V17" s="606" t="s">
        <v>317</v>
      </c>
      <c r="W17" s="805" t="s">
        <v>489</v>
      </c>
      <c r="X17" s="805"/>
      <c r="Y17" s="805"/>
      <c r="Z17" s="606" t="s">
        <v>322</v>
      </c>
      <c r="AA17" s="606" t="s">
        <v>668</v>
      </c>
      <c r="AB17" s="606" t="s">
        <v>669</v>
      </c>
      <c r="AC17" s="358"/>
      <c r="AD17" s="358"/>
      <c r="AE17" s="147"/>
      <c r="AF17" s="147"/>
      <c r="AG17" s="147"/>
      <c r="AH17" s="615"/>
      <c r="AI17" s="149"/>
      <c r="AJ17" s="149"/>
      <c r="AK17" s="149"/>
      <c r="AL17" s="149"/>
      <c r="AM17" s="149"/>
      <c r="AN17" s="149"/>
      <c r="AO17" s="149"/>
      <c r="AP17" s="149"/>
      <c r="AS17" s="149"/>
      <c r="AT17" s="149"/>
      <c r="AU17" s="149"/>
      <c r="AV17" s="149"/>
      <c r="BE17" s="615"/>
      <c r="BF17" s="615"/>
      <c r="BG17" s="615"/>
      <c r="BH17" s="615"/>
      <c r="BI17" s="149"/>
      <c r="BJ17" s="149"/>
      <c r="BK17" s="149"/>
      <c r="BL17" s="149"/>
      <c r="BM17" s="149"/>
    </row>
    <row r="18" spans="1:65" s="127" customFormat="1" ht="14.25" customHeight="1">
      <c r="A18" s="796" t="s">
        <v>5</v>
      </c>
      <c r="B18" s="797"/>
      <c r="C18" s="798"/>
      <c r="D18" s="790" t="s">
        <v>304</v>
      </c>
      <c r="E18" s="792"/>
      <c r="F18" s="296" t="s">
        <v>300</v>
      </c>
      <c r="G18" s="297" t="s">
        <v>502</v>
      </c>
      <c r="H18" s="605" t="s">
        <v>487</v>
      </c>
      <c r="I18" s="605" t="s">
        <v>852</v>
      </c>
      <c r="J18" s="605" t="s">
        <v>488</v>
      </c>
      <c r="K18" s="799" t="s">
        <v>60</v>
      </c>
      <c r="L18" s="799"/>
      <c r="M18" s="602" t="s">
        <v>12</v>
      </c>
      <c r="N18" s="605" t="s">
        <v>6</v>
      </c>
      <c r="O18" s="605" t="s">
        <v>8</v>
      </c>
      <c r="P18" s="605" t="s">
        <v>7</v>
      </c>
      <c r="Q18" s="605" t="s">
        <v>1</v>
      </c>
      <c r="R18" s="605" t="s">
        <v>20</v>
      </c>
      <c r="S18" s="605" t="s">
        <v>21</v>
      </c>
      <c r="T18" s="605" t="str">
        <f>Baseline!T18</f>
        <v>user defined</v>
      </c>
      <c r="U18" s="605" t="s">
        <v>313</v>
      </c>
      <c r="V18" s="605" t="s">
        <v>316</v>
      </c>
      <c r="W18" s="605"/>
      <c r="X18" s="605"/>
      <c r="Y18" s="605"/>
      <c r="Z18" s="605" t="s">
        <v>426</v>
      </c>
      <c r="AA18" s="605" t="s">
        <v>114</v>
      </c>
      <c r="AB18" s="605" t="s">
        <v>114</v>
      </c>
      <c r="AC18" s="358"/>
      <c r="AD18" s="358"/>
      <c r="AE18" s="147"/>
      <c r="AF18" s="147"/>
      <c r="AG18" s="147"/>
      <c r="AH18" s="615"/>
      <c r="AI18" s="615"/>
      <c r="AJ18" s="615"/>
      <c r="AK18" s="149"/>
      <c r="AL18" s="149"/>
      <c r="AM18" s="149"/>
      <c r="AN18" s="149"/>
      <c r="AO18" s="149"/>
      <c r="AP18" s="149"/>
      <c r="AS18" s="615"/>
      <c r="AT18" s="615"/>
      <c r="AU18" s="615"/>
      <c r="AV18" s="615"/>
      <c r="BE18" s="615"/>
      <c r="BF18" s="615"/>
      <c r="BG18" s="615"/>
      <c r="BH18" s="615"/>
      <c r="BI18" s="615"/>
      <c r="BJ18" s="615"/>
      <c r="BK18" s="615"/>
      <c r="BL18" s="615"/>
      <c r="BM18" s="615"/>
    </row>
    <row r="19" spans="1:65" s="127" customFormat="1" ht="14.25" customHeight="1">
      <c r="A19" s="800"/>
      <c r="B19" s="801"/>
      <c r="C19" s="802"/>
      <c r="D19" s="605" t="s">
        <v>302</v>
      </c>
      <c r="E19" s="605" t="s">
        <v>294</v>
      </c>
      <c r="F19" s="296" t="s">
        <v>301</v>
      </c>
      <c r="G19" s="151" t="s">
        <v>114</v>
      </c>
      <c r="H19" s="605" t="s">
        <v>303</v>
      </c>
      <c r="I19" s="605" t="s">
        <v>305</v>
      </c>
      <c r="J19" s="605" t="s">
        <v>853</v>
      </c>
      <c r="K19" s="605" t="s">
        <v>114</v>
      </c>
      <c r="L19" s="605"/>
      <c r="M19" s="605"/>
      <c r="N19" s="605"/>
      <c r="O19" s="605"/>
      <c r="P19" s="605"/>
      <c r="Q19" s="605"/>
      <c r="R19" s="605"/>
      <c r="S19" s="605"/>
      <c r="T19" s="605"/>
      <c r="U19" s="605" t="s">
        <v>314</v>
      </c>
      <c r="V19" s="605"/>
      <c r="W19" s="605"/>
      <c r="X19" s="605"/>
      <c r="Y19" s="605"/>
      <c r="Z19" s="605" t="s">
        <v>548</v>
      </c>
      <c r="AA19" s="605" t="s">
        <v>114</v>
      </c>
      <c r="AB19" s="605" t="s">
        <v>114</v>
      </c>
      <c r="AE19" s="147"/>
      <c r="AF19" s="147"/>
      <c r="AG19" s="147"/>
      <c r="AH19" s="615"/>
      <c r="AI19" s="615"/>
      <c r="AJ19" s="615"/>
      <c r="AK19" s="149"/>
      <c r="AL19" s="149"/>
      <c r="AM19" s="149"/>
      <c r="AN19" s="149"/>
      <c r="AO19" s="149"/>
      <c r="AP19" s="149"/>
      <c r="AS19" s="615"/>
      <c r="AT19" s="615"/>
      <c r="AU19" s="615"/>
      <c r="AV19" s="615"/>
      <c r="BE19" s="615"/>
      <c r="BF19" s="615"/>
      <c r="BG19" s="615"/>
      <c r="BH19" s="615"/>
      <c r="BI19" s="615"/>
      <c r="BJ19" s="615"/>
      <c r="BK19" s="615"/>
      <c r="BL19" s="615"/>
      <c r="BM19" s="615"/>
    </row>
    <row r="20" spans="1:65" s="127" customFormat="1" ht="14.25" customHeight="1">
      <c r="A20" s="800"/>
      <c r="B20" s="801"/>
      <c r="C20" s="802"/>
      <c r="D20" s="152" t="str">
        <f>"t AF/"&amp;$D$13</f>
        <v>t AF/year</v>
      </c>
      <c r="E20" s="152" t="str">
        <f>"t AF/"&amp;$D$13</f>
        <v>t AF/year</v>
      </c>
      <c r="F20" s="153" t="s">
        <v>51</v>
      </c>
      <c r="G20" s="271" t="s">
        <v>51</v>
      </c>
      <c r="H20" s="152" t="s">
        <v>3</v>
      </c>
      <c r="I20" s="155" t="str">
        <f t="shared" ref="I20:K20" si="0" xml:space="preserve"> LocCur &amp; "/t AF"</f>
        <v>USD/t AF</v>
      </c>
      <c r="J20" s="155" t="str">
        <f t="shared" si="0"/>
        <v>USD/t AF</v>
      </c>
      <c r="K20" s="155" t="str">
        <f t="shared" si="0"/>
        <v>USD/t AF</v>
      </c>
      <c r="L20" s="155" t="str">
        <f xml:space="preserve"> LocCur &amp; "/GJ"</f>
        <v>USD/GJ</v>
      </c>
      <c r="M20" s="155" t="s">
        <v>820</v>
      </c>
      <c r="N20" s="155" t="s">
        <v>3</v>
      </c>
      <c r="O20" s="155" t="s">
        <v>3</v>
      </c>
      <c r="P20" s="155" t="s">
        <v>3</v>
      </c>
      <c r="Q20" s="155" t="s">
        <v>3</v>
      </c>
      <c r="R20" s="155" t="s">
        <v>3</v>
      </c>
      <c r="S20" s="155" t="s">
        <v>3</v>
      </c>
      <c r="T20" s="155" t="s">
        <v>3</v>
      </c>
      <c r="U20" s="155" t="s">
        <v>485</v>
      </c>
      <c r="V20" s="155" t="s">
        <v>64</v>
      </c>
      <c r="W20" s="155" t="str">
        <f xml:space="preserve"> LocCur &amp; "/" &amp; $D$13</f>
        <v>USD/year</v>
      </c>
      <c r="X20" s="155" t="str">
        <f xml:space="preserve"> LocCur &amp; "/GJ"</f>
        <v>USD/GJ</v>
      </c>
      <c r="Y20" s="155" t="str">
        <f xml:space="preserve"> LocCur &amp; "/t AF"</f>
        <v>USD/t AF</v>
      </c>
      <c r="Z20" s="152" t="s">
        <v>312</v>
      </c>
      <c r="AA20" s="152" t="str">
        <f xml:space="preserve"> LocCur &amp; "/t AF"</f>
        <v>USD/t AF</v>
      </c>
      <c r="AB20" s="152" t="str">
        <f xml:space="preserve"> LocCur &amp; "/t AF"</f>
        <v>USD/t AF</v>
      </c>
      <c r="AE20" s="147"/>
      <c r="AF20" s="147"/>
      <c r="AG20" s="147"/>
      <c r="AH20" s="615"/>
      <c r="AI20" s="156"/>
      <c r="AJ20" s="156"/>
      <c r="AK20" s="156"/>
      <c r="AL20" s="156"/>
      <c r="AM20" s="156"/>
      <c r="AN20" s="156"/>
      <c r="AO20" s="156"/>
      <c r="AP20" s="156"/>
      <c r="AS20" s="156"/>
      <c r="AT20" s="156"/>
      <c r="AU20" s="156"/>
      <c r="AV20" s="156"/>
      <c r="BE20" s="615"/>
      <c r="BF20" s="615"/>
      <c r="BG20" s="615"/>
      <c r="BH20" s="615"/>
      <c r="BI20" s="156"/>
      <c r="BJ20" s="156"/>
      <c r="BK20" s="156"/>
      <c r="BL20" s="156"/>
      <c r="BM20" s="156"/>
    </row>
    <row r="21" spans="1:65" s="127" customFormat="1" ht="14.25" customHeight="1">
      <c r="A21" s="157" t="s">
        <v>863</v>
      </c>
      <c r="B21" s="596"/>
      <c r="C21" s="158"/>
      <c r="D21" s="159">
        <v>1500</v>
      </c>
      <c r="E21" s="160">
        <v>1500</v>
      </c>
      <c r="F21" s="161" t="s">
        <v>105</v>
      </c>
      <c r="G21" s="161" t="s">
        <v>509</v>
      </c>
      <c r="H21" s="162">
        <f t="shared" ref="H21:H69" si="1">IF($AV$114=0,0,E21*M21/$AV$114*100)</f>
        <v>1.2602969718239256</v>
      </c>
      <c r="I21" s="163">
        <v>510</v>
      </c>
      <c r="J21" s="164">
        <v>20</v>
      </c>
      <c r="K21" s="165">
        <f>I21+J21</f>
        <v>530</v>
      </c>
      <c r="L21" s="165">
        <f t="shared" ref="L21:L69" si="2">IF(M21=0,0,K21/M21)</f>
        <v>13.184079601990049</v>
      </c>
      <c r="M21" s="278">
        <v>40.200000000000003</v>
      </c>
      <c r="N21" s="136"/>
      <c r="O21" s="136"/>
      <c r="P21" s="166"/>
      <c r="Q21" s="141">
        <v>1.4</v>
      </c>
      <c r="R21" s="141"/>
      <c r="S21" s="141"/>
      <c r="T21" s="141"/>
      <c r="U21" s="167"/>
      <c r="V21" s="167"/>
      <c r="W21" s="168">
        <f>IF(LEFT(G21,2)=$AN$147,IF(L21=0,0,($L$70-L21)*M21*E21+$D$15*($AV$146+$AV$147)/$AV$114*(E21*M21*V21/100)),0)</f>
        <v>0</v>
      </c>
      <c r="X21" s="169">
        <f t="shared" ref="X21:X69" si="3">IF(W21=0,0,W21/(M21*E21))</f>
        <v>0</v>
      </c>
      <c r="Y21" s="169">
        <f t="shared" ref="Y21:Y69" si="4">IF(W21=0,0,W21/E21)</f>
        <v>0</v>
      </c>
      <c r="Z21" s="227">
        <f t="shared" ref="Z21:Z69" si="5">IF(M21&lt;=0.1,-2.45*N21%,0)</f>
        <v>0</v>
      </c>
      <c r="AA21" s="227">
        <f t="shared" ref="AA21:AA69" si="6">IF(LEFT(G21,2)=$AN$147,-K21,0)</f>
        <v>0</v>
      </c>
      <c r="AB21" s="227">
        <f t="shared" ref="AB21:AB69" si="7">IF(LEFT(G21,2)=$AN$147,$L$70*M21,0)</f>
        <v>0</v>
      </c>
      <c r="AD21" s="182"/>
      <c r="AE21" s="147"/>
      <c r="AF21" s="149"/>
      <c r="AG21" s="570"/>
      <c r="AH21" s="156"/>
      <c r="AI21" s="156"/>
      <c r="AJ21" s="156"/>
      <c r="AK21" s="156"/>
      <c r="AL21" s="156"/>
      <c r="AM21" s="156"/>
      <c r="AN21" s="156"/>
      <c r="AO21" s="156"/>
      <c r="AP21" s="156"/>
      <c r="AS21" s="170"/>
      <c r="AT21" s="170"/>
      <c r="AU21" s="170"/>
      <c r="AV21" s="156"/>
      <c r="BE21" s="156"/>
      <c r="BF21" s="156"/>
      <c r="BG21" s="156"/>
      <c r="BH21" s="156"/>
      <c r="BI21" s="156"/>
      <c r="BJ21" s="156"/>
      <c r="BK21" s="156"/>
      <c r="BL21" s="156"/>
      <c r="BM21" s="156"/>
    </row>
    <row r="22" spans="1:65" s="127" customFormat="1" ht="14.25" customHeight="1">
      <c r="A22" s="157" t="s">
        <v>864</v>
      </c>
      <c r="B22" s="596"/>
      <c r="C22" s="158"/>
      <c r="D22" s="159">
        <v>200000</v>
      </c>
      <c r="E22" s="160">
        <v>64452.339037897102</v>
      </c>
      <c r="F22" s="161" t="s">
        <v>105</v>
      </c>
      <c r="G22" s="161" t="s">
        <v>507</v>
      </c>
      <c r="H22" s="162">
        <f t="shared" si="1"/>
        <v>34.350609233316462</v>
      </c>
      <c r="I22" s="163">
        <v>125</v>
      </c>
      <c r="J22" s="163">
        <v>13</v>
      </c>
      <c r="K22" s="165">
        <f t="shared" ref="K22:K69" si="8">I22+J22</f>
        <v>138</v>
      </c>
      <c r="L22" s="165">
        <f t="shared" si="2"/>
        <v>5.4117647058823533</v>
      </c>
      <c r="M22" s="278">
        <v>25.5</v>
      </c>
      <c r="N22" s="136">
        <v>1.2</v>
      </c>
      <c r="O22" s="136">
        <v>16</v>
      </c>
      <c r="P22" s="166">
        <v>0.02</v>
      </c>
      <c r="Q22" s="141">
        <v>0.9</v>
      </c>
      <c r="R22" s="141">
        <v>0.21</v>
      </c>
      <c r="S22" s="141">
        <v>0.12</v>
      </c>
      <c r="T22" s="141"/>
      <c r="U22" s="167"/>
      <c r="V22" s="167"/>
      <c r="W22" s="168">
        <f t="shared" ref="W22:W69" si="9">IF(LEFT(G22,2)=$AN$147,IF(L22=0,0,($L$70-L22)*M22*E22+$D$15*($AV$146+$AV$147)/$AV$114*(E22*M22*V22/100)),0)</f>
        <v>0</v>
      </c>
      <c r="X22" s="169">
        <f t="shared" si="3"/>
        <v>0</v>
      </c>
      <c r="Y22" s="169">
        <f t="shared" si="4"/>
        <v>0</v>
      </c>
      <c r="Z22" s="227">
        <f t="shared" si="5"/>
        <v>0</v>
      </c>
      <c r="AA22" s="227">
        <f t="shared" si="6"/>
        <v>0</v>
      </c>
      <c r="AB22" s="227">
        <f t="shared" si="7"/>
        <v>0</v>
      </c>
      <c r="AD22" s="182"/>
      <c r="AE22" s="147"/>
      <c r="AF22" s="149"/>
      <c r="AG22" s="570"/>
      <c r="AH22" s="156"/>
      <c r="AI22" s="156"/>
      <c r="AJ22" s="156"/>
      <c r="AK22" s="156"/>
      <c r="AL22" s="156"/>
      <c r="AM22" s="156"/>
      <c r="AN22" s="156"/>
      <c r="AO22" s="156"/>
      <c r="AP22" s="156"/>
      <c r="AS22" s="170"/>
      <c r="AT22" s="170"/>
      <c r="AU22" s="170"/>
      <c r="AV22" s="156"/>
      <c r="BE22" s="156"/>
      <c r="BF22" s="156"/>
      <c r="BG22" s="156"/>
      <c r="BH22" s="156"/>
      <c r="BI22" s="156"/>
      <c r="BJ22" s="156"/>
      <c r="BK22" s="156"/>
      <c r="BL22" s="156"/>
      <c r="BM22" s="156"/>
    </row>
    <row r="23" spans="1:65" s="127" customFormat="1" ht="14.25" customHeight="1">
      <c r="A23" s="157" t="s">
        <v>864</v>
      </c>
      <c r="B23" s="596"/>
      <c r="C23" s="158"/>
      <c r="D23" s="159">
        <v>200000</v>
      </c>
      <c r="E23" s="160">
        <v>38972.712720520241</v>
      </c>
      <c r="F23" s="161" t="s">
        <v>308</v>
      </c>
      <c r="G23" s="161" t="s">
        <v>507</v>
      </c>
      <c r="H23" s="162">
        <f t="shared" si="1"/>
        <v>20.770951766975188</v>
      </c>
      <c r="I23" s="163">
        <v>125</v>
      </c>
      <c r="J23" s="163">
        <v>13</v>
      </c>
      <c r="K23" s="165">
        <f t="shared" si="8"/>
        <v>138</v>
      </c>
      <c r="L23" s="165">
        <f t="shared" si="2"/>
        <v>5.4117647058823533</v>
      </c>
      <c r="M23" s="278">
        <v>25.5</v>
      </c>
      <c r="N23" s="136">
        <v>1.2</v>
      </c>
      <c r="O23" s="136">
        <v>16</v>
      </c>
      <c r="P23" s="166">
        <v>0.02</v>
      </c>
      <c r="Q23" s="141">
        <v>0.9</v>
      </c>
      <c r="R23" s="141">
        <v>0.21</v>
      </c>
      <c r="S23" s="141">
        <v>0.12</v>
      </c>
      <c r="T23" s="141"/>
      <c r="U23" s="167"/>
      <c r="V23" s="167"/>
      <c r="W23" s="168">
        <f t="shared" si="9"/>
        <v>0</v>
      </c>
      <c r="X23" s="169">
        <f t="shared" si="3"/>
        <v>0</v>
      </c>
      <c r="Y23" s="169">
        <f t="shared" si="4"/>
        <v>0</v>
      </c>
      <c r="Z23" s="227">
        <f t="shared" si="5"/>
        <v>0</v>
      </c>
      <c r="AA23" s="227">
        <f t="shared" si="6"/>
        <v>0</v>
      </c>
      <c r="AB23" s="227">
        <f t="shared" si="7"/>
        <v>0</v>
      </c>
      <c r="AD23" s="595"/>
      <c r="AE23" s="147"/>
      <c r="AF23" s="149"/>
      <c r="AG23" s="570"/>
      <c r="AH23" s="156"/>
      <c r="AI23" s="156"/>
      <c r="AJ23" s="156"/>
      <c r="AK23" s="156"/>
      <c r="AL23" s="156"/>
      <c r="AM23" s="156"/>
      <c r="AN23" s="156"/>
      <c r="AO23" s="156"/>
      <c r="AP23" s="156"/>
      <c r="AS23" s="170"/>
      <c r="AT23" s="170"/>
      <c r="AU23" s="170"/>
      <c r="AV23" s="156"/>
      <c r="BE23" s="156"/>
      <c r="BF23" s="156"/>
      <c r="BG23" s="156"/>
      <c r="BH23" s="156"/>
      <c r="BI23" s="156"/>
      <c r="BJ23" s="156"/>
      <c r="BK23" s="156"/>
      <c r="BL23" s="156"/>
      <c r="BM23" s="156"/>
    </row>
    <row r="24" spans="1:65" s="127" customFormat="1" ht="14.25" customHeight="1">
      <c r="A24" s="157" t="s">
        <v>867</v>
      </c>
      <c r="B24" s="596"/>
      <c r="C24" s="158"/>
      <c r="D24" s="159">
        <v>10000</v>
      </c>
      <c r="E24" s="160">
        <v>10000</v>
      </c>
      <c r="F24" s="161" t="s">
        <v>308</v>
      </c>
      <c r="G24" s="161" t="s">
        <v>494</v>
      </c>
      <c r="H24" s="162">
        <f t="shared" si="1"/>
        <v>2.0900447293929116E-3</v>
      </c>
      <c r="I24" s="163">
        <v>-70</v>
      </c>
      <c r="J24" s="164">
        <v>3</v>
      </c>
      <c r="K24" s="165">
        <f t="shared" si="8"/>
        <v>-67</v>
      </c>
      <c r="L24" s="165">
        <f t="shared" si="2"/>
        <v>-6700</v>
      </c>
      <c r="M24" s="278">
        <v>0.01</v>
      </c>
      <c r="N24" s="136">
        <v>97</v>
      </c>
      <c r="O24" s="136">
        <v>1.5</v>
      </c>
      <c r="P24" s="166">
        <v>0.1</v>
      </c>
      <c r="Q24" s="141">
        <v>0.05</v>
      </c>
      <c r="R24" s="141"/>
      <c r="S24" s="141"/>
      <c r="T24" s="141"/>
      <c r="U24" s="167"/>
      <c r="V24" s="167"/>
      <c r="W24" s="168">
        <f t="shared" si="9"/>
        <v>670558.54983372299</v>
      </c>
      <c r="X24" s="169">
        <f t="shared" si="3"/>
        <v>6705.5854983372301</v>
      </c>
      <c r="Y24" s="169">
        <f t="shared" si="4"/>
        <v>67.055854983372299</v>
      </c>
      <c r="Z24" s="227">
        <f t="shared" si="5"/>
        <v>-2.3765000000000001</v>
      </c>
      <c r="AA24" s="227">
        <f t="shared" si="6"/>
        <v>67</v>
      </c>
      <c r="AB24" s="227">
        <f t="shared" si="7"/>
        <v>5.5854983372300646E-2</v>
      </c>
      <c r="AD24" s="183"/>
      <c r="AE24" s="147"/>
      <c r="AF24" s="149"/>
      <c r="AG24" s="570"/>
      <c r="AH24" s="156"/>
      <c r="AI24" s="156"/>
      <c r="AJ24" s="156"/>
      <c r="AK24" s="156"/>
      <c r="AL24" s="156"/>
      <c r="AM24" s="156"/>
      <c r="AN24" s="156"/>
      <c r="AO24" s="156"/>
      <c r="AP24" s="156"/>
      <c r="AS24" s="170"/>
      <c r="AT24" s="170"/>
      <c r="AU24" s="170"/>
      <c r="AV24" s="156"/>
      <c r="BE24" s="156"/>
      <c r="BF24" s="156"/>
      <c r="BG24" s="156"/>
      <c r="BH24" s="156"/>
      <c r="BI24" s="156"/>
      <c r="BJ24" s="156"/>
      <c r="BK24" s="156"/>
      <c r="BL24" s="156"/>
      <c r="BM24" s="156"/>
    </row>
    <row r="25" spans="1:65" s="127" customFormat="1" ht="14.25" customHeight="1">
      <c r="A25" s="157" t="s">
        <v>868</v>
      </c>
      <c r="B25" s="596"/>
      <c r="C25" s="158"/>
      <c r="D25" s="159">
        <v>10000</v>
      </c>
      <c r="E25" s="160">
        <v>10000</v>
      </c>
      <c r="F25" s="161" t="s">
        <v>105</v>
      </c>
      <c r="G25" s="161" t="s">
        <v>494</v>
      </c>
      <c r="H25" s="162">
        <f t="shared" si="1"/>
        <v>4.3890939317251139</v>
      </c>
      <c r="I25" s="163">
        <v>60</v>
      </c>
      <c r="J25" s="163">
        <v>5</v>
      </c>
      <c r="K25" s="165">
        <f t="shared" si="8"/>
        <v>65</v>
      </c>
      <c r="L25" s="165">
        <f t="shared" si="2"/>
        <v>3.0952380952380953</v>
      </c>
      <c r="M25" s="278">
        <v>21</v>
      </c>
      <c r="N25" s="136">
        <v>35</v>
      </c>
      <c r="O25" s="136">
        <v>2</v>
      </c>
      <c r="P25" s="166">
        <v>0.3</v>
      </c>
      <c r="Q25" s="141">
        <v>0.2</v>
      </c>
      <c r="R25" s="141"/>
      <c r="S25" s="141"/>
      <c r="T25" s="141"/>
      <c r="U25" s="167"/>
      <c r="V25" s="167"/>
      <c r="W25" s="168">
        <f t="shared" si="9"/>
        <v>522954.65081831353</v>
      </c>
      <c r="X25" s="169">
        <f t="shared" si="3"/>
        <v>2.4902602419919693</v>
      </c>
      <c r="Y25" s="169">
        <f t="shared" si="4"/>
        <v>52.295465081831352</v>
      </c>
      <c r="Z25" s="227">
        <f t="shared" si="5"/>
        <v>0</v>
      </c>
      <c r="AA25" s="227">
        <f t="shared" si="6"/>
        <v>-65</v>
      </c>
      <c r="AB25" s="227">
        <f t="shared" si="7"/>
        <v>117.29546508183135</v>
      </c>
      <c r="AC25" s="170"/>
      <c r="AD25" s="183"/>
      <c r="AE25" s="147"/>
      <c r="AF25" s="149"/>
      <c r="AG25" s="570"/>
      <c r="AH25" s="156"/>
      <c r="AI25" s="156"/>
      <c r="AJ25" s="156"/>
      <c r="AK25" s="156"/>
      <c r="AL25" s="156"/>
      <c r="AM25" s="156"/>
      <c r="AN25" s="156"/>
      <c r="AO25" s="156"/>
      <c r="AP25" s="156"/>
      <c r="AS25" s="170"/>
      <c r="AT25" s="170"/>
      <c r="AU25" s="170"/>
      <c r="AV25" s="156"/>
      <c r="BE25" s="156"/>
      <c r="BF25" s="156"/>
      <c r="BG25" s="156"/>
      <c r="BH25" s="156"/>
      <c r="BI25" s="156"/>
      <c r="BJ25" s="156"/>
      <c r="BK25" s="156"/>
      <c r="BL25" s="156"/>
      <c r="BM25" s="156"/>
    </row>
    <row r="26" spans="1:65" s="127" customFormat="1" ht="14.25" customHeight="1">
      <c r="A26" s="157" t="s">
        <v>869</v>
      </c>
      <c r="B26" s="596"/>
      <c r="C26" s="158"/>
      <c r="D26" s="159">
        <v>10000</v>
      </c>
      <c r="E26" s="160">
        <v>0</v>
      </c>
      <c r="F26" s="161" t="s">
        <v>105</v>
      </c>
      <c r="G26" s="161" t="s">
        <v>494</v>
      </c>
      <c r="H26" s="162">
        <f t="shared" si="1"/>
        <v>0</v>
      </c>
      <c r="I26" s="163">
        <v>40</v>
      </c>
      <c r="J26" s="163">
        <v>5</v>
      </c>
      <c r="K26" s="165">
        <f t="shared" si="8"/>
        <v>45</v>
      </c>
      <c r="L26" s="165">
        <f t="shared" si="2"/>
        <v>1.9565217391304348</v>
      </c>
      <c r="M26" s="278">
        <v>23</v>
      </c>
      <c r="N26" s="136">
        <v>25</v>
      </c>
      <c r="O26" s="136">
        <v>4</v>
      </c>
      <c r="P26" s="166">
        <v>1.2</v>
      </c>
      <c r="Q26" s="141">
        <v>0.3</v>
      </c>
      <c r="R26" s="141"/>
      <c r="S26" s="141"/>
      <c r="T26" s="141"/>
      <c r="U26" s="167"/>
      <c r="V26" s="167"/>
      <c r="W26" s="168">
        <f t="shared" si="9"/>
        <v>0</v>
      </c>
      <c r="X26" s="169">
        <f t="shared" si="3"/>
        <v>0</v>
      </c>
      <c r="Y26" s="169">
        <f t="shared" si="4"/>
        <v>0</v>
      </c>
      <c r="Z26" s="227">
        <f t="shared" si="5"/>
        <v>0</v>
      </c>
      <c r="AA26" s="227">
        <f t="shared" si="6"/>
        <v>-45</v>
      </c>
      <c r="AB26" s="227">
        <f t="shared" si="7"/>
        <v>128.46646175629149</v>
      </c>
      <c r="AC26" s="170"/>
      <c r="AD26" s="183"/>
      <c r="AE26" s="147"/>
      <c r="AF26" s="149"/>
      <c r="AG26" s="570"/>
      <c r="AH26" s="156"/>
      <c r="AI26" s="156"/>
      <c r="AJ26" s="156"/>
      <c r="AK26" s="156"/>
      <c r="AL26" s="156"/>
      <c r="AM26" s="156"/>
      <c r="AN26" s="156"/>
      <c r="AO26" s="156"/>
      <c r="AP26" s="156"/>
      <c r="AS26" s="170"/>
      <c r="AT26" s="170"/>
      <c r="AU26" s="170"/>
      <c r="AV26" s="156"/>
      <c r="BE26" s="156"/>
      <c r="BF26" s="156"/>
      <c r="BG26" s="156"/>
      <c r="BH26" s="156"/>
      <c r="BI26" s="156"/>
      <c r="BJ26" s="156"/>
      <c r="BK26" s="156"/>
      <c r="BL26" s="156"/>
      <c r="BM26" s="156"/>
    </row>
    <row r="27" spans="1:65" s="127" customFormat="1" ht="14.25" customHeight="1">
      <c r="A27" s="157" t="s">
        <v>870</v>
      </c>
      <c r="B27" s="596"/>
      <c r="C27" s="158"/>
      <c r="D27" s="159">
        <v>40000</v>
      </c>
      <c r="E27" s="160">
        <v>40000</v>
      </c>
      <c r="F27" s="161" t="s">
        <v>308</v>
      </c>
      <c r="G27" s="161" t="s">
        <v>499</v>
      </c>
      <c r="H27" s="162">
        <f t="shared" si="1"/>
        <v>9.1961968093288107</v>
      </c>
      <c r="I27" s="163">
        <v>30</v>
      </c>
      <c r="J27" s="164">
        <v>5</v>
      </c>
      <c r="K27" s="165">
        <f t="shared" si="8"/>
        <v>35</v>
      </c>
      <c r="L27" s="165">
        <f t="shared" si="2"/>
        <v>3.1818181818181817</v>
      </c>
      <c r="M27" s="278">
        <v>11</v>
      </c>
      <c r="N27" s="136">
        <v>28</v>
      </c>
      <c r="O27" s="136">
        <v>10</v>
      </c>
      <c r="P27" s="166">
        <v>0.11</v>
      </c>
      <c r="Q27" s="141">
        <v>0.23</v>
      </c>
      <c r="R27" s="141">
        <v>0.52</v>
      </c>
      <c r="S27" s="141">
        <v>0.21</v>
      </c>
      <c r="T27" s="141"/>
      <c r="U27" s="167"/>
      <c r="V27" s="167"/>
      <c r="W27" s="168">
        <f t="shared" si="9"/>
        <v>1057619.2683812284</v>
      </c>
      <c r="X27" s="169">
        <f t="shared" si="3"/>
        <v>2.403680155411883</v>
      </c>
      <c r="Y27" s="169">
        <f t="shared" si="4"/>
        <v>26.440481709530712</v>
      </c>
      <c r="Z27" s="227">
        <f t="shared" si="5"/>
        <v>0</v>
      </c>
      <c r="AA27" s="227">
        <f t="shared" si="6"/>
        <v>-35</v>
      </c>
      <c r="AB27" s="227">
        <f t="shared" si="7"/>
        <v>61.440481709530708</v>
      </c>
      <c r="AC27" s="170"/>
      <c r="AD27" s="564"/>
      <c r="AE27" s="564"/>
      <c r="AF27" s="149"/>
      <c r="AG27" s="570"/>
      <c r="AH27" s="156"/>
      <c r="AI27" s="156"/>
      <c r="AJ27" s="156"/>
      <c r="AK27" s="156"/>
      <c r="AL27" s="156"/>
      <c r="AM27" s="156"/>
      <c r="AN27" s="156"/>
      <c r="AO27" s="156"/>
      <c r="AP27" s="156"/>
      <c r="AS27" s="170"/>
      <c r="AT27" s="170"/>
      <c r="AU27" s="170"/>
      <c r="AV27" s="156"/>
      <c r="BE27" s="156"/>
      <c r="BF27" s="156"/>
      <c r="BG27" s="156"/>
      <c r="BH27" s="156"/>
      <c r="BI27" s="156"/>
      <c r="BJ27" s="156"/>
      <c r="BK27" s="156"/>
      <c r="BL27" s="156"/>
      <c r="BM27" s="156"/>
    </row>
    <row r="28" spans="1:65" s="127" customFormat="1" ht="14.25" customHeight="1">
      <c r="A28" s="157" t="s">
        <v>214</v>
      </c>
      <c r="B28" s="596"/>
      <c r="C28" s="158"/>
      <c r="D28" s="159">
        <v>25000</v>
      </c>
      <c r="E28" s="160">
        <v>24999.996182754396</v>
      </c>
      <c r="F28" s="161" t="s">
        <v>308</v>
      </c>
      <c r="G28" s="161" t="s">
        <v>500</v>
      </c>
      <c r="H28" s="162">
        <f t="shared" si="1"/>
        <v>15.152821974416531</v>
      </c>
      <c r="I28" s="163">
        <v>50</v>
      </c>
      <c r="J28" s="163">
        <v>5</v>
      </c>
      <c r="K28" s="165">
        <f t="shared" si="8"/>
        <v>55</v>
      </c>
      <c r="L28" s="165">
        <f t="shared" si="2"/>
        <v>1.896551724137931</v>
      </c>
      <c r="M28" s="278">
        <v>29</v>
      </c>
      <c r="N28" s="136">
        <v>0.8</v>
      </c>
      <c r="O28" s="136">
        <v>10</v>
      </c>
      <c r="P28" s="166">
        <v>0.1</v>
      </c>
      <c r="Q28" s="141">
        <v>1.2</v>
      </c>
      <c r="R28" s="141">
        <v>0.06</v>
      </c>
      <c r="S28" s="141">
        <v>0.2</v>
      </c>
      <c r="T28" s="141"/>
      <c r="U28" s="167"/>
      <c r="V28" s="167"/>
      <c r="W28" s="168">
        <f t="shared" si="9"/>
        <v>2674485.886124955</v>
      </c>
      <c r="X28" s="169">
        <f t="shared" si="3"/>
        <v>3.688946613092134</v>
      </c>
      <c r="Y28" s="169">
        <f t="shared" si="4"/>
        <v>106.97945177967188</v>
      </c>
      <c r="Z28" s="227">
        <f t="shared" si="5"/>
        <v>0</v>
      </c>
      <c r="AA28" s="227">
        <f t="shared" si="6"/>
        <v>-55</v>
      </c>
      <c r="AB28" s="227">
        <f t="shared" si="7"/>
        <v>161.97945177967188</v>
      </c>
      <c r="AC28" s="170"/>
      <c r="AD28" s="183"/>
      <c r="AE28" s="147"/>
      <c r="AF28" s="149"/>
      <c r="AG28" s="570"/>
      <c r="AH28" s="156"/>
      <c r="AI28" s="156"/>
      <c r="AJ28" s="156"/>
      <c r="AK28" s="156"/>
      <c r="AL28" s="156"/>
      <c r="AM28" s="156"/>
      <c r="AN28" s="156"/>
      <c r="AO28" s="156"/>
      <c r="AP28" s="156"/>
      <c r="AS28" s="170"/>
      <c r="AT28" s="170"/>
      <c r="AU28" s="170"/>
      <c r="AV28" s="156"/>
      <c r="BE28" s="156"/>
      <c r="BF28" s="156"/>
      <c r="BG28" s="156"/>
      <c r="BH28" s="156"/>
      <c r="BI28" s="156"/>
      <c r="BJ28" s="156"/>
      <c r="BK28" s="156"/>
      <c r="BL28" s="156"/>
      <c r="BM28" s="156"/>
    </row>
    <row r="29" spans="1:65" s="127" customFormat="1" ht="14.25" customHeight="1">
      <c r="A29" s="157" t="s">
        <v>873</v>
      </c>
      <c r="B29" s="596"/>
      <c r="C29" s="158"/>
      <c r="D29" s="159">
        <v>20000</v>
      </c>
      <c r="E29" s="160">
        <v>14072.313633219515</v>
      </c>
      <c r="F29" s="161" t="s">
        <v>108</v>
      </c>
      <c r="G29" s="161" t="s">
        <v>501</v>
      </c>
      <c r="H29" s="162">
        <f t="shared" si="1"/>
        <v>5.0000000397106579</v>
      </c>
      <c r="I29" s="163">
        <v>-37</v>
      </c>
      <c r="J29" s="163">
        <v>5</v>
      </c>
      <c r="K29" s="165">
        <f t="shared" si="8"/>
        <v>-32</v>
      </c>
      <c r="L29" s="165">
        <f t="shared" si="2"/>
        <v>-1.8823529411764706</v>
      </c>
      <c r="M29" s="278">
        <v>17</v>
      </c>
      <c r="N29" s="136">
        <v>20</v>
      </c>
      <c r="O29" s="136">
        <v>14</v>
      </c>
      <c r="P29" s="166">
        <v>0.3</v>
      </c>
      <c r="Q29" s="141">
        <v>0.2</v>
      </c>
      <c r="R29" s="141">
        <v>0.15</v>
      </c>
      <c r="S29" s="141">
        <v>0.06</v>
      </c>
      <c r="T29" s="141"/>
      <c r="U29" s="167"/>
      <c r="V29" s="167"/>
      <c r="W29" s="168">
        <f t="shared" si="9"/>
        <v>1786529.0710515929</v>
      </c>
      <c r="X29" s="169">
        <f t="shared" si="3"/>
        <v>7.4678512784065338</v>
      </c>
      <c r="Y29" s="169">
        <f t="shared" si="4"/>
        <v>126.95347173291108</v>
      </c>
      <c r="Z29" s="227">
        <f t="shared" si="5"/>
        <v>0</v>
      </c>
      <c r="AA29" s="227">
        <f t="shared" si="6"/>
        <v>32</v>
      </c>
      <c r="AB29" s="227">
        <f t="shared" si="7"/>
        <v>94.953471732911098</v>
      </c>
      <c r="AC29" s="170"/>
      <c r="AD29" s="183"/>
      <c r="AE29" s="147"/>
      <c r="AF29" s="149"/>
      <c r="AG29" s="570"/>
      <c r="AH29" s="156"/>
      <c r="AI29" s="156"/>
      <c r="AJ29" s="156"/>
      <c r="AK29" s="156"/>
      <c r="AL29" s="156"/>
      <c r="AM29" s="156"/>
      <c r="AN29" s="156"/>
      <c r="AO29" s="156"/>
      <c r="AP29" s="156"/>
      <c r="AS29" s="170"/>
      <c r="AT29" s="170"/>
      <c r="AU29" s="170"/>
      <c r="AV29" s="156"/>
      <c r="BE29" s="156"/>
      <c r="BF29" s="156"/>
      <c r="BG29" s="156"/>
      <c r="BH29" s="156"/>
      <c r="BI29" s="156"/>
      <c r="BJ29" s="156"/>
      <c r="BK29" s="156"/>
      <c r="BL29" s="156"/>
      <c r="BM29" s="156"/>
    </row>
    <row r="30" spans="1:65" s="127" customFormat="1" ht="14.25" customHeight="1">
      <c r="A30" s="157" t="s">
        <v>871</v>
      </c>
      <c r="B30" s="596"/>
      <c r="C30" s="158"/>
      <c r="D30" s="159">
        <v>50000</v>
      </c>
      <c r="E30" s="160">
        <v>0</v>
      </c>
      <c r="F30" s="161" t="s">
        <v>308</v>
      </c>
      <c r="G30" s="161" t="s">
        <v>500</v>
      </c>
      <c r="H30" s="162">
        <f t="shared" si="1"/>
        <v>0</v>
      </c>
      <c r="I30" s="163">
        <v>35</v>
      </c>
      <c r="J30" s="164">
        <v>8</v>
      </c>
      <c r="K30" s="165">
        <f t="shared" si="8"/>
        <v>43</v>
      </c>
      <c r="L30" s="165">
        <f t="shared" si="2"/>
        <v>2.8666666666666667</v>
      </c>
      <c r="M30" s="278">
        <v>15</v>
      </c>
      <c r="N30" s="136">
        <v>22</v>
      </c>
      <c r="O30" s="136">
        <v>16</v>
      </c>
      <c r="P30" s="166">
        <v>0.8</v>
      </c>
      <c r="Q30" s="141">
        <v>0.3</v>
      </c>
      <c r="R30" s="141">
        <v>0.18</v>
      </c>
      <c r="S30" s="141">
        <v>0.38</v>
      </c>
      <c r="T30" s="141"/>
      <c r="U30" s="167"/>
      <c r="V30" s="167"/>
      <c r="W30" s="168">
        <f t="shared" si="9"/>
        <v>0</v>
      </c>
      <c r="X30" s="169">
        <f t="shared" si="3"/>
        <v>0</v>
      </c>
      <c r="Y30" s="169">
        <f t="shared" si="4"/>
        <v>0</v>
      </c>
      <c r="Z30" s="227">
        <f t="shared" si="5"/>
        <v>0</v>
      </c>
      <c r="AA30" s="227">
        <f t="shared" si="6"/>
        <v>-43</v>
      </c>
      <c r="AB30" s="227">
        <f t="shared" si="7"/>
        <v>83.78247505845097</v>
      </c>
      <c r="AC30" s="170"/>
      <c r="AD30" s="564"/>
      <c r="AE30" s="564"/>
      <c r="AF30" s="149"/>
      <c r="AG30" s="570"/>
      <c r="AH30" s="156"/>
      <c r="AI30" s="156"/>
      <c r="AJ30" s="156"/>
      <c r="AK30" s="156"/>
      <c r="AL30" s="156"/>
      <c r="AM30" s="156"/>
      <c r="AN30" s="156"/>
      <c r="AO30" s="156"/>
      <c r="AP30" s="156"/>
      <c r="AS30" s="170"/>
      <c r="AT30" s="170"/>
      <c r="AU30" s="170"/>
      <c r="AV30" s="156"/>
      <c r="BE30" s="156"/>
      <c r="BF30" s="156"/>
      <c r="BG30" s="156"/>
      <c r="BH30" s="156"/>
      <c r="BI30" s="156"/>
      <c r="BJ30" s="156"/>
      <c r="BK30" s="156"/>
      <c r="BL30" s="156"/>
      <c r="BM30" s="156"/>
    </row>
    <row r="31" spans="1:65" s="127" customFormat="1" ht="14.25" customHeight="1">
      <c r="A31" s="157" t="s">
        <v>872</v>
      </c>
      <c r="B31" s="596"/>
      <c r="C31" s="158"/>
      <c r="D31" s="159">
        <v>50000</v>
      </c>
      <c r="E31" s="160">
        <v>29538.659774410404</v>
      </c>
      <c r="F31" s="161" t="s">
        <v>308</v>
      </c>
      <c r="G31" s="161" t="s">
        <v>500</v>
      </c>
      <c r="H31" s="162">
        <f t="shared" si="1"/>
        <v>9.8779392279738989</v>
      </c>
      <c r="I31" s="163">
        <v>8</v>
      </c>
      <c r="J31" s="163">
        <v>8</v>
      </c>
      <c r="K31" s="165">
        <f t="shared" si="8"/>
        <v>16</v>
      </c>
      <c r="L31" s="165">
        <f t="shared" si="2"/>
        <v>1</v>
      </c>
      <c r="M31" s="278">
        <v>16</v>
      </c>
      <c r="N31" s="136">
        <v>12</v>
      </c>
      <c r="O31" s="136">
        <v>15</v>
      </c>
      <c r="P31" s="166">
        <v>0.6</v>
      </c>
      <c r="Q31" s="141">
        <v>0.28000000000000003</v>
      </c>
      <c r="R31" s="141">
        <v>0.16</v>
      </c>
      <c r="S31" s="141">
        <v>0.3</v>
      </c>
      <c r="T31" s="141"/>
      <c r="U31" s="167"/>
      <c r="V31" s="167"/>
      <c r="W31" s="168">
        <f t="shared" si="9"/>
        <v>2167191.6044730162</v>
      </c>
      <c r="X31" s="169">
        <f t="shared" si="3"/>
        <v>4.5854983372300646</v>
      </c>
      <c r="Y31" s="169">
        <f t="shared" si="4"/>
        <v>73.367973395681034</v>
      </c>
      <c r="Z31" s="227">
        <f t="shared" si="5"/>
        <v>0</v>
      </c>
      <c r="AA31" s="227">
        <f t="shared" si="6"/>
        <v>-16</v>
      </c>
      <c r="AB31" s="227">
        <f t="shared" si="7"/>
        <v>89.367973395681034</v>
      </c>
      <c r="AC31" s="170"/>
      <c r="AD31" s="183"/>
      <c r="AE31" s="147"/>
      <c r="AF31" s="149"/>
      <c r="AG31" s="570"/>
      <c r="AH31" s="156"/>
      <c r="AI31" s="156"/>
      <c r="AJ31" s="156"/>
      <c r="AK31" s="156"/>
      <c r="AL31" s="156"/>
      <c r="AM31" s="156"/>
      <c r="AN31" s="156"/>
      <c r="AO31" s="156"/>
      <c r="AP31" s="156"/>
      <c r="AS31" s="170"/>
      <c r="AT31" s="170"/>
      <c r="AU31" s="170"/>
      <c r="AV31" s="156"/>
      <c r="BE31" s="156"/>
      <c r="BF31" s="156"/>
      <c r="BG31" s="156"/>
      <c r="BH31" s="156"/>
      <c r="BI31" s="156"/>
      <c r="BJ31" s="156"/>
      <c r="BK31" s="156"/>
      <c r="BL31" s="156"/>
      <c r="BM31" s="156"/>
    </row>
    <row r="32" spans="1:65" s="127" customFormat="1" ht="14.25" customHeight="1">
      <c r="A32" s="157"/>
      <c r="B32" s="596"/>
      <c r="C32" s="158"/>
      <c r="D32" s="159"/>
      <c r="E32" s="160"/>
      <c r="F32" s="161"/>
      <c r="G32" s="161"/>
      <c r="H32" s="162">
        <f t="shared" si="1"/>
        <v>0</v>
      </c>
      <c r="I32" s="163"/>
      <c r="J32" s="163"/>
      <c r="K32" s="165">
        <f t="shared" si="8"/>
        <v>0</v>
      </c>
      <c r="L32" s="165">
        <f t="shared" si="2"/>
        <v>0</v>
      </c>
      <c r="M32" s="278"/>
      <c r="N32" s="136"/>
      <c r="O32" s="136"/>
      <c r="P32" s="166"/>
      <c r="Q32" s="141"/>
      <c r="R32" s="141"/>
      <c r="S32" s="141"/>
      <c r="T32" s="141"/>
      <c r="U32" s="167"/>
      <c r="V32" s="167"/>
      <c r="W32" s="168">
        <f t="shared" si="9"/>
        <v>0</v>
      </c>
      <c r="X32" s="169">
        <f t="shared" si="3"/>
        <v>0</v>
      </c>
      <c r="Y32" s="169">
        <f t="shared" si="4"/>
        <v>0</v>
      </c>
      <c r="Z32" s="227">
        <f t="shared" si="5"/>
        <v>0</v>
      </c>
      <c r="AA32" s="227">
        <f t="shared" si="6"/>
        <v>0</v>
      </c>
      <c r="AB32" s="227">
        <f t="shared" si="7"/>
        <v>0</v>
      </c>
      <c r="AC32" s="170"/>
      <c r="AD32" s="183"/>
      <c r="AE32" s="147"/>
      <c r="AF32" s="149"/>
      <c r="AG32" s="570"/>
      <c r="AH32" s="156"/>
      <c r="AI32" s="156"/>
      <c r="AJ32" s="156"/>
      <c r="AK32" s="156"/>
      <c r="AL32" s="156"/>
      <c r="AM32" s="156"/>
      <c r="AN32" s="156"/>
      <c r="AO32" s="156"/>
      <c r="AP32" s="156"/>
      <c r="AS32" s="170"/>
      <c r="AT32" s="170"/>
      <c r="AU32" s="170"/>
      <c r="AV32" s="156"/>
      <c r="BE32" s="156"/>
      <c r="BF32" s="156"/>
      <c r="BG32" s="156"/>
      <c r="BH32" s="156"/>
      <c r="BI32" s="156"/>
      <c r="BJ32" s="156"/>
      <c r="BK32" s="156"/>
      <c r="BL32" s="156"/>
      <c r="BM32" s="156"/>
    </row>
    <row r="33" spans="1:65" s="127" customFormat="1" ht="14.25" customHeight="1">
      <c r="A33" s="157"/>
      <c r="B33" s="596"/>
      <c r="C33" s="158"/>
      <c r="D33" s="159"/>
      <c r="E33" s="160"/>
      <c r="F33" s="161"/>
      <c r="G33" s="161"/>
      <c r="H33" s="162">
        <f t="shared" si="1"/>
        <v>0</v>
      </c>
      <c r="I33" s="163"/>
      <c r="J33" s="164"/>
      <c r="K33" s="165">
        <f t="shared" si="8"/>
        <v>0</v>
      </c>
      <c r="L33" s="165">
        <f t="shared" si="2"/>
        <v>0</v>
      </c>
      <c r="M33" s="278"/>
      <c r="N33" s="136"/>
      <c r="O33" s="136"/>
      <c r="P33" s="166"/>
      <c r="Q33" s="141"/>
      <c r="R33" s="141"/>
      <c r="S33" s="141"/>
      <c r="T33" s="141"/>
      <c r="U33" s="167"/>
      <c r="V33" s="167"/>
      <c r="W33" s="168">
        <f t="shared" si="9"/>
        <v>0</v>
      </c>
      <c r="X33" s="169">
        <f t="shared" si="3"/>
        <v>0</v>
      </c>
      <c r="Y33" s="169">
        <f t="shared" si="4"/>
        <v>0</v>
      </c>
      <c r="Z33" s="227">
        <f t="shared" si="5"/>
        <v>0</v>
      </c>
      <c r="AA33" s="227">
        <f t="shared" si="6"/>
        <v>0</v>
      </c>
      <c r="AB33" s="227">
        <f t="shared" si="7"/>
        <v>0</v>
      </c>
      <c r="AC33" s="170"/>
      <c r="AD33" s="564"/>
      <c r="AE33" s="564"/>
      <c r="AF33" s="149"/>
      <c r="AG33" s="570"/>
      <c r="AH33" s="156"/>
      <c r="AI33" s="156"/>
      <c r="AJ33" s="156"/>
      <c r="AK33" s="156"/>
      <c r="AL33" s="156"/>
      <c r="AM33" s="156"/>
      <c r="AN33" s="156"/>
      <c r="AO33" s="156"/>
      <c r="AP33" s="156"/>
      <c r="AS33" s="170"/>
      <c r="AT33" s="170"/>
      <c r="AU33" s="170"/>
      <c r="AV33" s="156"/>
      <c r="BE33" s="156"/>
      <c r="BF33" s="156"/>
      <c r="BG33" s="156"/>
      <c r="BH33" s="156"/>
      <c r="BI33" s="156"/>
      <c r="BJ33" s="156"/>
      <c r="BK33" s="156"/>
      <c r="BL33" s="156"/>
      <c r="BM33" s="156"/>
    </row>
    <row r="34" spans="1:65" s="127" customFormat="1" ht="14.25" customHeight="1">
      <c r="A34" s="157"/>
      <c r="B34" s="596"/>
      <c r="C34" s="158"/>
      <c r="D34" s="159"/>
      <c r="E34" s="160"/>
      <c r="F34" s="161"/>
      <c r="G34" s="161"/>
      <c r="H34" s="162">
        <f t="shared" si="1"/>
        <v>0</v>
      </c>
      <c r="I34" s="163"/>
      <c r="J34" s="163"/>
      <c r="K34" s="165">
        <f t="shared" si="8"/>
        <v>0</v>
      </c>
      <c r="L34" s="165">
        <f t="shared" si="2"/>
        <v>0</v>
      </c>
      <c r="M34" s="278"/>
      <c r="N34" s="136"/>
      <c r="O34" s="136"/>
      <c r="P34" s="166"/>
      <c r="Q34" s="141"/>
      <c r="R34" s="141"/>
      <c r="S34" s="141"/>
      <c r="T34" s="141"/>
      <c r="U34" s="167"/>
      <c r="V34" s="167"/>
      <c r="W34" s="168">
        <f t="shared" si="9"/>
        <v>0</v>
      </c>
      <c r="X34" s="169">
        <f t="shared" si="3"/>
        <v>0</v>
      </c>
      <c r="Y34" s="169">
        <f t="shared" si="4"/>
        <v>0</v>
      </c>
      <c r="Z34" s="227">
        <f t="shared" si="5"/>
        <v>0</v>
      </c>
      <c r="AA34" s="227">
        <f t="shared" si="6"/>
        <v>0</v>
      </c>
      <c r="AB34" s="227">
        <f t="shared" si="7"/>
        <v>0</v>
      </c>
      <c r="AC34" s="170"/>
      <c r="AD34" s="183"/>
      <c r="AE34" s="147"/>
      <c r="AF34" s="149"/>
      <c r="AG34" s="570"/>
      <c r="AH34" s="156"/>
      <c r="AI34" s="156"/>
      <c r="AJ34" s="156"/>
      <c r="AK34" s="156"/>
      <c r="AL34" s="156"/>
      <c r="AM34" s="156"/>
      <c r="AN34" s="156"/>
      <c r="AO34" s="156"/>
      <c r="AP34" s="156"/>
      <c r="AS34" s="170"/>
      <c r="AT34" s="170"/>
      <c r="AU34" s="170"/>
      <c r="AV34" s="156"/>
      <c r="BE34" s="156"/>
      <c r="BF34" s="156"/>
      <c r="BG34" s="156"/>
      <c r="BH34" s="156"/>
      <c r="BI34" s="156"/>
      <c r="BJ34" s="156"/>
      <c r="BK34" s="156"/>
      <c r="BL34" s="156"/>
      <c r="BM34" s="156"/>
    </row>
    <row r="35" spans="1:65" s="127" customFormat="1" ht="14.25" hidden="1" customHeight="1">
      <c r="A35" s="157"/>
      <c r="B35" s="596"/>
      <c r="C35" s="158"/>
      <c r="D35" s="159"/>
      <c r="E35" s="160"/>
      <c r="F35" s="161"/>
      <c r="G35" s="161"/>
      <c r="H35" s="162">
        <f t="shared" si="1"/>
        <v>0</v>
      </c>
      <c r="I35" s="163"/>
      <c r="J35" s="163"/>
      <c r="K35" s="165">
        <f t="shared" si="8"/>
        <v>0</v>
      </c>
      <c r="L35" s="165">
        <f t="shared" si="2"/>
        <v>0</v>
      </c>
      <c r="M35" s="278"/>
      <c r="N35" s="136"/>
      <c r="O35" s="136"/>
      <c r="P35" s="166"/>
      <c r="Q35" s="141"/>
      <c r="R35" s="141"/>
      <c r="S35" s="141"/>
      <c r="T35" s="141"/>
      <c r="U35" s="167"/>
      <c r="V35" s="167"/>
      <c r="W35" s="168">
        <f t="shared" si="9"/>
        <v>0</v>
      </c>
      <c r="X35" s="169">
        <f t="shared" si="3"/>
        <v>0</v>
      </c>
      <c r="Y35" s="169">
        <f t="shared" si="4"/>
        <v>0</v>
      </c>
      <c r="Z35" s="227">
        <f t="shared" si="5"/>
        <v>0</v>
      </c>
      <c r="AA35" s="227">
        <f t="shared" si="6"/>
        <v>0</v>
      </c>
      <c r="AB35" s="227">
        <f t="shared" si="7"/>
        <v>0</v>
      </c>
      <c r="AC35" s="170"/>
      <c r="AD35" s="183"/>
      <c r="AE35" s="147"/>
      <c r="AF35" s="149"/>
      <c r="AG35" s="570"/>
      <c r="AH35" s="156"/>
      <c r="AI35" s="156"/>
      <c r="AJ35" s="156"/>
      <c r="AK35" s="156"/>
      <c r="AL35" s="156"/>
      <c r="AM35" s="156"/>
      <c r="AN35" s="156"/>
      <c r="AO35" s="156"/>
      <c r="AP35" s="156"/>
      <c r="AS35" s="170"/>
      <c r="AT35" s="170"/>
      <c r="AU35" s="170"/>
      <c r="AV35" s="156"/>
      <c r="BE35" s="156"/>
      <c r="BF35" s="156"/>
      <c r="BG35" s="156"/>
      <c r="BH35" s="156"/>
      <c r="BI35" s="156"/>
      <c r="BJ35" s="156"/>
      <c r="BK35" s="156"/>
      <c r="BL35" s="156"/>
      <c r="BM35" s="156"/>
    </row>
    <row r="36" spans="1:65" s="127" customFormat="1" ht="14.25" hidden="1" customHeight="1">
      <c r="A36" s="157"/>
      <c r="B36" s="596"/>
      <c r="C36" s="158"/>
      <c r="D36" s="159"/>
      <c r="E36" s="160"/>
      <c r="F36" s="161"/>
      <c r="G36" s="161"/>
      <c r="H36" s="162">
        <f t="shared" si="1"/>
        <v>0</v>
      </c>
      <c r="I36" s="163"/>
      <c r="J36" s="164"/>
      <c r="K36" s="165">
        <f t="shared" si="8"/>
        <v>0</v>
      </c>
      <c r="L36" s="165">
        <f t="shared" si="2"/>
        <v>0</v>
      </c>
      <c r="M36" s="278"/>
      <c r="N36" s="136"/>
      <c r="O36" s="136"/>
      <c r="P36" s="166"/>
      <c r="Q36" s="141"/>
      <c r="R36" s="141"/>
      <c r="S36" s="141"/>
      <c r="T36" s="141"/>
      <c r="U36" s="167"/>
      <c r="V36" s="167"/>
      <c r="W36" s="168">
        <f t="shared" si="9"/>
        <v>0</v>
      </c>
      <c r="X36" s="169">
        <f t="shared" si="3"/>
        <v>0</v>
      </c>
      <c r="Y36" s="169">
        <f t="shared" si="4"/>
        <v>0</v>
      </c>
      <c r="Z36" s="227">
        <f t="shared" si="5"/>
        <v>0</v>
      </c>
      <c r="AA36" s="227">
        <f t="shared" si="6"/>
        <v>0</v>
      </c>
      <c r="AB36" s="227">
        <f t="shared" si="7"/>
        <v>0</v>
      </c>
      <c r="AC36" s="170"/>
      <c r="AD36" s="564"/>
      <c r="AE36" s="564"/>
      <c r="AF36" s="149"/>
      <c r="AG36" s="149"/>
      <c r="AH36" s="170"/>
      <c r="AI36" s="156"/>
      <c r="AJ36" s="156"/>
      <c r="AK36" s="156"/>
      <c r="AL36" s="156"/>
      <c r="AM36" s="156"/>
      <c r="AN36" s="156"/>
      <c r="AO36" s="156"/>
      <c r="AP36" s="156"/>
      <c r="AS36" s="170"/>
      <c r="AT36" s="170"/>
      <c r="AU36" s="170"/>
      <c r="AV36" s="156"/>
      <c r="BE36" s="156"/>
      <c r="BF36" s="156"/>
      <c r="BG36" s="156"/>
      <c r="BH36" s="156"/>
      <c r="BI36" s="156"/>
      <c r="BJ36" s="156"/>
      <c r="BK36" s="156"/>
      <c r="BL36" s="156"/>
      <c r="BM36" s="156"/>
    </row>
    <row r="37" spans="1:65" s="127" customFormat="1" ht="14.25" hidden="1" customHeight="1">
      <c r="A37" s="157"/>
      <c r="B37" s="596"/>
      <c r="C37" s="158"/>
      <c r="D37" s="159"/>
      <c r="E37" s="160"/>
      <c r="F37" s="161"/>
      <c r="G37" s="161"/>
      <c r="H37" s="162">
        <f t="shared" si="1"/>
        <v>0</v>
      </c>
      <c r="I37" s="163"/>
      <c r="J37" s="164"/>
      <c r="K37" s="165">
        <f t="shared" si="8"/>
        <v>0</v>
      </c>
      <c r="L37" s="165">
        <f t="shared" si="2"/>
        <v>0</v>
      </c>
      <c r="M37" s="278"/>
      <c r="N37" s="136"/>
      <c r="O37" s="136"/>
      <c r="P37" s="166"/>
      <c r="Q37" s="141"/>
      <c r="R37" s="141"/>
      <c r="S37" s="141"/>
      <c r="T37" s="141"/>
      <c r="U37" s="167"/>
      <c r="V37" s="167"/>
      <c r="W37" s="168">
        <f t="shared" si="9"/>
        <v>0</v>
      </c>
      <c r="X37" s="169">
        <f t="shared" si="3"/>
        <v>0</v>
      </c>
      <c r="Y37" s="169">
        <f t="shared" si="4"/>
        <v>0</v>
      </c>
      <c r="Z37" s="227">
        <f t="shared" si="5"/>
        <v>0</v>
      </c>
      <c r="AA37" s="227">
        <f t="shared" si="6"/>
        <v>0</v>
      </c>
      <c r="AB37" s="227">
        <f t="shared" si="7"/>
        <v>0</v>
      </c>
      <c r="AC37" s="170"/>
      <c r="AD37" s="183"/>
      <c r="AE37" s="147"/>
      <c r="AF37" s="149"/>
      <c r="AG37" s="149"/>
      <c r="AH37" s="156"/>
      <c r="AI37" s="156"/>
      <c r="AJ37" s="156"/>
      <c r="AK37" s="156"/>
      <c r="AL37" s="156"/>
      <c r="AM37" s="156"/>
      <c r="AN37" s="156"/>
      <c r="AO37" s="156"/>
      <c r="AP37" s="156"/>
      <c r="AS37" s="170"/>
      <c r="AT37" s="170"/>
      <c r="AU37" s="170"/>
      <c r="AV37" s="156"/>
      <c r="BE37" s="156"/>
      <c r="BF37" s="156"/>
      <c r="BG37" s="156"/>
      <c r="BH37" s="156"/>
      <c r="BI37" s="156"/>
      <c r="BJ37" s="156"/>
      <c r="BK37" s="156"/>
      <c r="BL37" s="156"/>
      <c r="BM37" s="156"/>
    </row>
    <row r="38" spans="1:65" s="127" customFormat="1" ht="14.25" hidden="1" customHeight="1">
      <c r="A38" s="157"/>
      <c r="B38" s="596"/>
      <c r="C38" s="158"/>
      <c r="D38" s="159"/>
      <c r="E38" s="160"/>
      <c r="F38" s="161"/>
      <c r="G38" s="161"/>
      <c r="H38" s="162">
        <f t="shared" si="1"/>
        <v>0</v>
      </c>
      <c r="I38" s="163"/>
      <c r="J38" s="164"/>
      <c r="K38" s="165">
        <f t="shared" si="8"/>
        <v>0</v>
      </c>
      <c r="L38" s="165">
        <f t="shared" si="2"/>
        <v>0</v>
      </c>
      <c r="M38" s="278"/>
      <c r="N38" s="136"/>
      <c r="O38" s="136"/>
      <c r="P38" s="166"/>
      <c r="Q38" s="141"/>
      <c r="R38" s="141"/>
      <c r="S38" s="141"/>
      <c r="T38" s="141"/>
      <c r="U38" s="167"/>
      <c r="V38" s="167"/>
      <c r="W38" s="168">
        <f t="shared" si="9"/>
        <v>0</v>
      </c>
      <c r="X38" s="169">
        <f t="shared" si="3"/>
        <v>0</v>
      </c>
      <c r="Y38" s="169">
        <f t="shared" si="4"/>
        <v>0</v>
      </c>
      <c r="Z38" s="227">
        <f t="shared" si="5"/>
        <v>0</v>
      </c>
      <c r="AA38" s="227">
        <f t="shared" si="6"/>
        <v>0</v>
      </c>
      <c r="AB38" s="227">
        <f t="shared" si="7"/>
        <v>0</v>
      </c>
      <c r="AC38" s="170"/>
      <c r="AD38" s="182"/>
      <c r="AE38" s="147"/>
      <c r="AF38" s="149"/>
      <c r="AG38" s="149"/>
      <c r="AH38" s="156"/>
      <c r="AI38" s="156"/>
      <c r="AJ38" s="156"/>
      <c r="AK38" s="156"/>
      <c r="AL38" s="156"/>
      <c r="AM38" s="156"/>
      <c r="AN38" s="156"/>
      <c r="AO38" s="156"/>
      <c r="AP38" s="156"/>
      <c r="AS38" s="170"/>
      <c r="AT38" s="170"/>
      <c r="AU38" s="170"/>
      <c r="AV38" s="156"/>
      <c r="BE38" s="156"/>
      <c r="BF38" s="156"/>
      <c r="BG38" s="156"/>
      <c r="BH38" s="156"/>
      <c r="BI38" s="156"/>
      <c r="BJ38" s="156"/>
      <c r="BK38" s="156"/>
      <c r="BL38" s="156"/>
      <c r="BM38" s="156"/>
    </row>
    <row r="39" spans="1:65" s="127" customFormat="1" ht="14.25" hidden="1" customHeight="1">
      <c r="A39" s="157"/>
      <c r="B39" s="596"/>
      <c r="C39" s="158"/>
      <c r="D39" s="159"/>
      <c r="E39" s="160"/>
      <c r="F39" s="161"/>
      <c r="G39" s="161"/>
      <c r="H39" s="162">
        <f t="shared" si="1"/>
        <v>0</v>
      </c>
      <c r="I39" s="163"/>
      <c r="J39" s="164"/>
      <c r="K39" s="165">
        <f t="shared" si="8"/>
        <v>0</v>
      </c>
      <c r="L39" s="165">
        <f t="shared" si="2"/>
        <v>0</v>
      </c>
      <c r="M39" s="278"/>
      <c r="N39" s="136"/>
      <c r="O39" s="136"/>
      <c r="P39" s="166"/>
      <c r="Q39" s="141"/>
      <c r="R39" s="141"/>
      <c r="S39" s="141"/>
      <c r="T39" s="141"/>
      <c r="U39" s="167"/>
      <c r="V39" s="167"/>
      <c r="W39" s="168">
        <f t="shared" si="9"/>
        <v>0</v>
      </c>
      <c r="X39" s="169">
        <f t="shared" si="3"/>
        <v>0</v>
      </c>
      <c r="Y39" s="169">
        <f t="shared" si="4"/>
        <v>0</v>
      </c>
      <c r="Z39" s="227">
        <f t="shared" si="5"/>
        <v>0</v>
      </c>
      <c r="AA39" s="227">
        <f t="shared" si="6"/>
        <v>0</v>
      </c>
      <c r="AB39" s="227">
        <f t="shared" si="7"/>
        <v>0</v>
      </c>
      <c r="AC39" s="170"/>
      <c r="AD39" s="182"/>
      <c r="AE39" s="147"/>
      <c r="AF39" s="149"/>
      <c r="AG39" s="149"/>
      <c r="AH39" s="156"/>
      <c r="AI39" s="156"/>
      <c r="AJ39" s="156"/>
      <c r="AK39" s="156"/>
      <c r="AL39" s="156"/>
      <c r="AM39" s="156"/>
      <c r="AN39" s="156"/>
      <c r="AO39" s="156"/>
      <c r="AP39" s="156"/>
      <c r="AS39" s="170"/>
      <c r="AT39" s="170"/>
      <c r="AU39" s="170"/>
      <c r="AV39" s="156"/>
      <c r="BE39" s="156"/>
      <c r="BF39" s="156"/>
      <c r="BG39" s="156"/>
      <c r="BH39" s="156"/>
      <c r="BI39" s="156"/>
      <c r="BJ39" s="156"/>
      <c r="BK39" s="156"/>
      <c r="BL39" s="156"/>
      <c r="BM39" s="156"/>
    </row>
    <row r="40" spans="1:65" s="127" customFormat="1" ht="14.25" hidden="1" customHeight="1">
      <c r="A40" s="157"/>
      <c r="B40" s="596"/>
      <c r="C40" s="158"/>
      <c r="D40" s="159"/>
      <c r="E40" s="160"/>
      <c r="F40" s="161"/>
      <c r="G40" s="161"/>
      <c r="H40" s="162">
        <f t="shared" si="1"/>
        <v>0</v>
      </c>
      <c r="I40" s="163"/>
      <c r="J40" s="164"/>
      <c r="K40" s="165">
        <f t="shared" si="8"/>
        <v>0</v>
      </c>
      <c r="L40" s="165">
        <f t="shared" si="2"/>
        <v>0</v>
      </c>
      <c r="M40" s="278"/>
      <c r="N40" s="136"/>
      <c r="O40" s="136"/>
      <c r="P40" s="166"/>
      <c r="Q40" s="141"/>
      <c r="R40" s="141"/>
      <c r="S40" s="141"/>
      <c r="T40" s="141"/>
      <c r="U40" s="167"/>
      <c r="V40" s="167"/>
      <c r="W40" s="168">
        <f t="shared" si="9"/>
        <v>0</v>
      </c>
      <c r="X40" s="169">
        <f t="shared" si="3"/>
        <v>0</v>
      </c>
      <c r="Y40" s="169">
        <f t="shared" si="4"/>
        <v>0</v>
      </c>
      <c r="Z40" s="227">
        <f t="shared" si="5"/>
        <v>0</v>
      </c>
      <c r="AA40" s="227">
        <f t="shared" si="6"/>
        <v>0</v>
      </c>
      <c r="AB40" s="227">
        <f t="shared" si="7"/>
        <v>0</v>
      </c>
      <c r="AC40" s="170"/>
      <c r="AD40" s="182"/>
      <c r="AE40" s="147"/>
      <c r="AF40" s="149"/>
      <c r="AG40" s="149"/>
      <c r="AH40" s="193"/>
      <c r="AI40" s="156"/>
      <c r="AJ40" s="156"/>
      <c r="AK40" s="156"/>
      <c r="AL40" s="156"/>
      <c r="AM40" s="156"/>
      <c r="AN40" s="156"/>
      <c r="AO40" s="156"/>
      <c r="AP40" s="156"/>
      <c r="AS40" s="170"/>
      <c r="AT40" s="170"/>
      <c r="AU40" s="170"/>
      <c r="AV40" s="156"/>
      <c r="BE40" s="156"/>
      <c r="BF40" s="156"/>
      <c r="BG40" s="156"/>
      <c r="BH40" s="156"/>
      <c r="BI40" s="156"/>
      <c r="BJ40" s="156"/>
      <c r="BK40" s="156"/>
      <c r="BL40" s="156"/>
      <c r="BM40" s="156"/>
    </row>
    <row r="41" spans="1:65" s="127" customFormat="1" ht="14.25" hidden="1" customHeight="1">
      <c r="A41" s="157"/>
      <c r="B41" s="596"/>
      <c r="C41" s="158"/>
      <c r="D41" s="159"/>
      <c r="E41" s="160"/>
      <c r="F41" s="161"/>
      <c r="G41" s="161"/>
      <c r="H41" s="162">
        <f t="shared" si="1"/>
        <v>0</v>
      </c>
      <c r="I41" s="163"/>
      <c r="J41" s="164"/>
      <c r="K41" s="165">
        <f t="shared" si="8"/>
        <v>0</v>
      </c>
      <c r="L41" s="165">
        <f t="shared" si="2"/>
        <v>0</v>
      </c>
      <c r="M41" s="278"/>
      <c r="N41" s="136"/>
      <c r="O41" s="136"/>
      <c r="P41" s="166"/>
      <c r="Q41" s="141"/>
      <c r="R41" s="141"/>
      <c r="S41" s="141"/>
      <c r="T41" s="141"/>
      <c r="U41" s="167"/>
      <c r="V41" s="167"/>
      <c r="W41" s="168">
        <f t="shared" si="9"/>
        <v>0</v>
      </c>
      <c r="X41" s="169">
        <f t="shared" si="3"/>
        <v>0</v>
      </c>
      <c r="Y41" s="169">
        <f t="shared" si="4"/>
        <v>0</v>
      </c>
      <c r="Z41" s="227">
        <f t="shared" si="5"/>
        <v>0</v>
      </c>
      <c r="AA41" s="227">
        <f t="shared" si="6"/>
        <v>0</v>
      </c>
      <c r="AB41" s="227">
        <f t="shared" si="7"/>
        <v>0</v>
      </c>
      <c r="AC41" s="170"/>
      <c r="AD41" s="182"/>
      <c r="AE41" s="147"/>
      <c r="AF41" s="149"/>
      <c r="AG41" s="149"/>
      <c r="AH41" s="156"/>
      <c r="AI41" s="156"/>
      <c r="AJ41" s="156"/>
      <c r="AK41" s="156"/>
      <c r="AL41" s="156"/>
      <c r="AM41" s="156"/>
      <c r="AN41" s="156"/>
      <c r="AO41" s="156"/>
      <c r="AP41" s="156"/>
      <c r="AS41" s="170"/>
      <c r="AT41" s="170"/>
      <c r="AU41" s="170"/>
      <c r="AV41" s="156"/>
      <c r="BE41" s="156"/>
      <c r="BF41" s="156"/>
      <c r="BG41" s="156"/>
      <c r="BH41" s="156"/>
      <c r="BI41" s="156"/>
      <c r="BJ41" s="156"/>
      <c r="BK41" s="156"/>
      <c r="BL41" s="156"/>
      <c r="BM41" s="156"/>
    </row>
    <row r="42" spans="1:65" s="127" customFormat="1" ht="14.25" hidden="1" customHeight="1">
      <c r="A42" s="157"/>
      <c r="B42" s="596"/>
      <c r="C42" s="158"/>
      <c r="D42" s="571"/>
      <c r="E42" s="160"/>
      <c r="F42" s="161"/>
      <c r="G42" s="161"/>
      <c r="H42" s="162">
        <f t="shared" si="1"/>
        <v>0</v>
      </c>
      <c r="I42" s="163"/>
      <c r="J42" s="164"/>
      <c r="K42" s="165">
        <f t="shared" si="8"/>
        <v>0</v>
      </c>
      <c r="L42" s="165">
        <f t="shared" si="2"/>
        <v>0</v>
      </c>
      <c r="M42" s="278"/>
      <c r="N42" s="136"/>
      <c r="O42" s="136"/>
      <c r="P42" s="166"/>
      <c r="Q42" s="141"/>
      <c r="R42" s="141"/>
      <c r="S42" s="141"/>
      <c r="T42" s="141"/>
      <c r="U42" s="167"/>
      <c r="V42" s="167"/>
      <c r="W42" s="168">
        <f t="shared" si="9"/>
        <v>0</v>
      </c>
      <c r="X42" s="169">
        <f t="shared" si="3"/>
        <v>0</v>
      </c>
      <c r="Y42" s="169">
        <f t="shared" si="4"/>
        <v>0</v>
      </c>
      <c r="Z42" s="227">
        <f t="shared" si="5"/>
        <v>0</v>
      </c>
      <c r="AA42" s="227">
        <f t="shared" si="6"/>
        <v>0</v>
      </c>
      <c r="AB42" s="227">
        <f t="shared" si="7"/>
        <v>0</v>
      </c>
      <c r="AC42" s="170"/>
      <c r="AD42" s="182"/>
      <c r="AE42" s="147"/>
      <c r="AF42" s="149"/>
      <c r="AG42" s="149"/>
      <c r="AH42" s="156"/>
      <c r="AI42" s="156"/>
      <c r="AJ42" s="156"/>
      <c r="AK42" s="156"/>
      <c r="AL42" s="156"/>
      <c r="AM42" s="156"/>
      <c r="AN42" s="156"/>
      <c r="AO42" s="156"/>
      <c r="AP42" s="156"/>
      <c r="AS42" s="170"/>
      <c r="AT42" s="170"/>
      <c r="AU42" s="170"/>
      <c r="AV42" s="156"/>
      <c r="BE42" s="156"/>
      <c r="BF42" s="156"/>
      <c r="BG42" s="156"/>
      <c r="BH42" s="156"/>
      <c r="BI42" s="156"/>
      <c r="BJ42" s="156"/>
      <c r="BK42" s="156"/>
      <c r="BL42" s="156"/>
      <c r="BM42" s="156"/>
    </row>
    <row r="43" spans="1:65" s="127" customFormat="1" ht="14.25" hidden="1" customHeight="1">
      <c r="A43" s="157"/>
      <c r="B43" s="596"/>
      <c r="C43" s="158"/>
      <c r="D43" s="159"/>
      <c r="E43" s="160"/>
      <c r="F43" s="161"/>
      <c r="G43" s="161"/>
      <c r="H43" s="162">
        <f t="shared" si="1"/>
        <v>0</v>
      </c>
      <c r="I43" s="163"/>
      <c r="J43" s="164"/>
      <c r="K43" s="165">
        <f t="shared" si="8"/>
        <v>0</v>
      </c>
      <c r="L43" s="165">
        <f t="shared" si="2"/>
        <v>0</v>
      </c>
      <c r="M43" s="278"/>
      <c r="N43" s="136"/>
      <c r="O43" s="136"/>
      <c r="P43" s="166"/>
      <c r="Q43" s="141"/>
      <c r="R43" s="141"/>
      <c r="S43" s="141"/>
      <c r="T43" s="141"/>
      <c r="U43" s="167"/>
      <c r="V43" s="167"/>
      <c r="W43" s="168">
        <f t="shared" si="9"/>
        <v>0</v>
      </c>
      <c r="X43" s="169">
        <f t="shared" si="3"/>
        <v>0</v>
      </c>
      <c r="Y43" s="169">
        <f t="shared" si="4"/>
        <v>0</v>
      </c>
      <c r="Z43" s="227">
        <f t="shared" si="5"/>
        <v>0</v>
      </c>
      <c r="AA43" s="227">
        <f t="shared" si="6"/>
        <v>0</v>
      </c>
      <c r="AB43" s="227">
        <f t="shared" si="7"/>
        <v>0</v>
      </c>
      <c r="AC43" s="170"/>
      <c r="AD43" s="182"/>
      <c r="AE43" s="147"/>
      <c r="AF43" s="149"/>
      <c r="AG43" s="149"/>
      <c r="AH43" s="156"/>
      <c r="AI43" s="156"/>
      <c r="AJ43" s="156"/>
      <c r="AK43" s="156"/>
      <c r="AL43" s="156"/>
      <c r="AM43" s="156"/>
      <c r="AN43" s="156"/>
      <c r="AO43" s="156"/>
      <c r="AP43" s="156"/>
      <c r="AS43" s="170"/>
      <c r="AT43" s="170"/>
      <c r="AU43" s="170"/>
      <c r="AV43" s="156"/>
      <c r="BE43" s="156"/>
      <c r="BF43" s="156"/>
      <c r="BG43" s="156"/>
      <c r="BH43" s="156"/>
      <c r="BI43" s="156"/>
      <c r="BJ43" s="156"/>
      <c r="BK43" s="156"/>
      <c r="BL43" s="156"/>
      <c r="BM43" s="156"/>
    </row>
    <row r="44" spans="1:65" s="127" customFormat="1" ht="14.25" hidden="1" customHeight="1">
      <c r="A44" s="157"/>
      <c r="B44" s="596"/>
      <c r="C44" s="158"/>
      <c r="D44" s="159"/>
      <c r="E44" s="160"/>
      <c r="F44" s="161"/>
      <c r="G44" s="161"/>
      <c r="H44" s="162">
        <f t="shared" si="1"/>
        <v>0</v>
      </c>
      <c r="I44" s="163"/>
      <c r="J44" s="164"/>
      <c r="K44" s="165">
        <f t="shared" si="8"/>
        <v>0</v>
      </c>
      <c r="L44" s="165">
        <f t="shared" si="2"/>
        <v>0</v>
      </c>
      <c r="M44" s="278"/>
      <c r="N44" s="136"/>
      <c r="O44" s="136"/>
      <c r="P44" s="166"/>
      <c r="Q44" s="141"/>
      <c r="R44" s="141"/>
      <c r="S44" s="141"/>
      <c r="T44" s="141"/>
      <c r="U44" s="167"/>
      <c r="V44" s="167"/>
      <c r="W44" s="168">
        <f t="shared" si="9"/>
        <v>0</v>
      </c>
      <c r="X44" s="169">
        <f t="shared" si="3"/>
        <v>0</v>
      </c>
      <c r="Y44" s="169">
        <f t="shared" si="4"/>
        <v>0</v>
      </c>
      <c r="Z44" s="227">
        <f t="shared" si="5"/>
        <v>0</v>
      </c>
      <c r="AA44" s="227">
        <f t="shared" si="6"/>
        <v>0</v>
      </c>
      <c r="AB44" s="227">
        <f t="shared" si="7"/>
        <v>0</v>
      </c>
      <c r="AC44" s="170"/>
      <c r="AD44" s="182"/>
      <c r="AE44" s="147"/>
      <c r="AF44" s="149"/>
      <c r="AG44" s="149"/>
      <c r="AH44" s="156"/>
      <c r="AI44" s="156"/>
      <c r="AJ44" s="156"/>
      <c r="AK44" s="156"/>
      <c r="AL44" s="156"/>
      <c r="AM44" s="156"/>
      <c r="AN44" s="156"/>
      <c r="AO44" s="156"/>
      <c r="AP44" s="156"/>
      <c r="AS44" s="170"/>
      <c r="AT44" s="170"/>
      <c r="AU44" s="170"/>
      <c r="AV44" s="156"/>
      <c r="BE44" s="156"/>
      <c r="BF44" s="156"/>
      <c r="BG44" s="156"/>
      <c r="BH44" s="156"/>
      <c r="BI44" s="156"/>
      <c r="BJ44" s="156"/>
      <c r="BK44" s="156"/>
      <c r="BL44" s="156"/>
      <c r="BM44" s="156"/>
    </row>
    <row r="45" spans="1:65" s="127" customFormat="1" ht="14.25" hidden="1" customHeight="1">
      <c r="A45" s="157"/>
      <c r="B45" s="596"/>
      <c r="C45" s="158"/>
      <c r="D45" s="159"/>
      <c r="E45" s="160"/>
      <c r="F45" s="161"/>
      <c r="G45" s="161"/>
      <c r="H45" s="162">
        <f t="shared" si="1"/>
        <v>0</v>
      </c>
      <c r="I45" s="163"/>
      <c r="J45" s="164"/>
      <c r="K45" s="165">
        <f t="shared" si="8"/>
        <v>0</v>
      </c>
      <c r="L45" s="165">
        <f t="shared" si="2"/>
        <v>0</v>
      </c>
      <c r="M45" s="278"/>
      <c r="N45" s="136"/>
      <c r="O45" s="136"/>
      <c r="P45" s="166"/>
      <c r="Q45" s="141"/>
      <c r="R45" s="141"/>
      <c r="S45" s="141"/>
      <c r="T45" s="141"/>
      <c r="U45" s="167"/>
      <c r="V45" s="167"/>
      <c r="W45" s="168">
        <f t="shared" si="9"/>
        <v>0</v>
      </c>
      <c r="X45" s="169">
        <f t="shared" si="3"/>
        <v>0</v>
      </c>
      <c r="Y45" s="169">
        <f t="shared" si="4"/>
        <v>0</v>
      </c>
      <c r="Z45" s="227">
        <f t="shared" si="5"/>
        <v>0</v>
      </c>
      <c r="AA45" s="227">
        <f t="shared" si="6"/>
        <v>0</v>
      </c>
      <c r="AB45" s="227">
        <f t="shared" si="7"/>
        <v>0</v>
      </c>
      <c r="AC45" s="170"/>
      <c r="AD45" s="182"/>
      <c r="AE45" s="147"/>
      <c r="AF45" s="149"/>
      <c r="AG45" s="149"/>
      <c r="AH45" s="156"/>
      <c r="AI45" s="156"/>
      <c r="AJ45" s="156"/>
      <c r="AK45" s="156"/>
      <c r="AL45" s="156"/>
      <c r="AM45" s="156"/>
      <c r="AN45" s="156"/>
      <c r="AO45" s="156"/>
      <c r="AP45" s="156"/>
      <c r="AS45" s="170"/>
      <c r="AT45" s="170"/>
      <c r="AU45" s="170"/>
      <c r="AV45" s="156"/>
      <c r="BE45" s="156"/>
      <c r="BF45" s="156"/>
      <c r="BG45" s="156"/>
      <c r="BH45" s="156"/>
      <c r="BI45" s="156"/>
      <c r="BJ45" s="156"/>
      <c r="BK45" s="156"/>
      <c r="BL45" s="156"/>
      <c r="BM45" s="156"/>
    </row>
    <row r="46" spans="1:65" s="127" customFormat="1" ht="14.25" hidden="1" customHeight="1">
      <c r="A46" s="157"/>
      <c r="B46" s="596"/>
      <c r="C46" s="158"/>
      <c r="D46" s="159"/>
      <c r="E46" s="160"/>
      <c r="F46" s="161"/>
      <c r="G46" s="161"/>
      <c r="H46" s="162">
        <f t="shared" si="1"/>
        <v>0</v>
      </c>
      <c r="I46" s="163"/>
      <c r="J46" s="164"/>
      <c r="K46" s="165">
        <f t="shared" si="8"/>
        <v>0</v>
      </c>
      <c r="L46" s="165">
        <f t="shared" si="2"/>
        <v>0</v>
      </c>
      <c r="M46" s="278"/>
      <c r="N46" s="136"/>
      <c r="O46" s="136"/>
      <c r="P46" s="166"/>
      <c r="Q46" s="141"/>
      <c r="R46" s="141"/>
      <c r="S46" s="141"/>
      <c r="T46" s="141"/>
      <c r="U46" s="167"/>
      <c r="V46" s="167"/>
      <c r="W46" s="168">
        <f t="shared" si="9"/>
        <v>0</v>
      </c>
      <c r="X46" s="169">
        <f t="shared" si="3"/>
        <v>0</v>
      </c>
      <c r="Y46" s="169">
        <f t="shared" si="4"/>
        <v>0</v>
      </c>
      <c r="Z46" s="227">
        <f t="shared" si="5"/>
        <v>0</v>
      </c>
      <c r="AA46" s="227">
        <f t="shared" si="6"/>
        <v>0</v>
      </c>
      <c r="AB46" s="227">
        <f t="shared" si="7"/>
        <v>0</v>
      </c>
      <c r="AC46" s="170"/>
      <c r="AD46" s="182"/>
      <c r="AE46" s="147"/>
      <c r="AF46" s="149"/>
      <c r="AG46" s="149"/>
      <c r="AH46" s="156"/>
      <c r="AI46" s="156"/>
      <c r="AJ46" s="156"/>
      <c r="AK46" s="156"/>
      <c r="AL46" s="156"/>
      <c r="AM46" s="156"/>
      <c r="AN46" s="156"/>
      <c r="AO46" s="156"/>
      <c r="AP46" s="156"/>
      <c r="AS46" s="170"/>
      <c r="AT46" s="170"/>
      <c r="AU46" s="170"/>
      <c r="AV46" s="156"/>
      <c r="BE46" s="156"/>
      <c r="BF46" s="156"/>
      <c r="BG46" s="156"/>
      <c r="BH46" s="156"/>
      <c r="BI46" s="156"/>
      <c r="BJ46" s="156"/>
      <c r="BK46" s="156"/>
      <c r="BL46" s="156"/>
      <c r="BM46" s="156"/>
    </row>
    <row r="47" spans="1:65" s="127" customFormat="1" ht="14.25" hidden="1" customHeight="1">
      <c r="A47" s="157"/>
      <c r="B47" s="596"/>
      <c r="C47" s="158"/>
      <c r="D47" s="159"/>
      <c r="E47" s="160"/>
      <c r="F47" s="161"/>
      <c r="G47" s="161"/>
      <c r="H47" s="162">
        <f t="shared" si="1"/>
        <v>0</v>
      </c>
      <c r="I47" s="163"/>
      <c r="J47" s="164"/>
      <c r="K47" s="165">
        <f t="shared" si="8"/>
        <v>0</v>
      </c>
      <c r="L47" s="165">
        <f t="shared" si="2"/>
        <v>0</v>
      </c>
      <c r="M47" s="278"/>
      <c r="N47" s="136"/>
      <c r="O47" s="136"/>
      <c r="P47" s="166"/>
      <c r="Q47" s="141"/>
      <c r="R47" s="141"/>
      <c r="S47" s="141"/>
      <c r="T47" s="141"/>
      <c r="U47" s="167"/>
      <c r="V47" s="167"/>
      <c r="W47" s="168">
        <f t="shared" si="9"/>
        <v>0</v>
      </c>
      <c r="X47" s="169">
        <f t="shared" si="3"/>
        <v>0</v>
      </c>
      <c r="Y47" s="169">
        <f t="shared" si="4"/>
        <v>0</v>
      </c>
      <c r="Z47" s="227">
        <f t="shared" si="5"/>
        <v>0</v>
      </c>
      <c r="AA47" s="227">
        <f t="shared" si="6"/>
        <v>0</v>
      </c>
      <c r="AB47" s="227">
        <f t="shared" si="7"/>
        <v>0</v>
      </c>
      <c r="AC47" s="170"/>
      <c r="AD47" s="182"/>
      <c r="AE47" s="147"/>
      <c r="AF47" s="149"/>
      <c r="AG47" s="149"/>
      <c r="AH47" s="156"/>
      <c r="AI47" s="156"/>
      <c r="AJ47" s="156"/>
      <c r="AK47" s="156"/>
      <c r="AL47" s="156"/>
      <c r="AM47" s="156"/>
      <c r="AN47" s="156"/>
      <c r="AO47" s="156"/>
      <c r="AP47" s="156"/>
      <c r="AS47" s="170"/>
      <c r="AT47" s="170"/>
      <c r="AU47" s="170"/>
      <c r="AV47" s="156"/>
      <c r="BE47" s="156"/>
      <c r="BF47" s="156"/>
      <c r="BG47" s="156"/>
      <c r="BH47" s="156"/>
      <c r="BI47" s="156"/>
      <c r="BJ47" s="156"/>
      <c r="BK47" s="156"/>
      <c r="BL47" s="156"/>
      <c r="BM47" s="156"/>
    </row>
    <row r="48" spans="1:65" s="127" customFormat="1" ht="14.25" hidden="1" customHeight="1">
      <c r="A48" s="157"/>
      <c r="B48" s="596"/>
      <c r="C48" s="158"/>
      <c r="D48" s="159"/>
      <c r="E48" s="160"/>
      <c r="F48" s="161"/>
      <c r="G48" s="161"/>
      <c r="H48" s="162">
        <f t="shared" si="1"/>
        <v>0</v>
      </c>
      <c r="I48" s="163"/>
      <c r="J48" s="164"/>
      <c r="K48" s="165">
        <f t="shared" si="8"/>
        <v>0</v>
      </c>
      <c r="L48" s="165">
        <f t="shared" si="2"/>
        <v>0</v>
      </c>
      <c r="M48" s="278"/>
      <c r="N48" s="136"/>
      <c r="O48" s="136"/>
      <c r="P48" s="166"/>
      <c r="Q48" s="141"/>
      <c r="R48" s="141"/>
      <c r="S48" s="141"/>
      <c r="T48" s="141"/>
      <c r="U48" s="167"/>
      <c r="V48" s="167"/>
      <c r="W48" s="168">
        <f t="shared" si="9"/>
        <v>0</v>
      </c>
      <c r="X48" s="169">
        <f t="shared" si="3"/>
        <v>0</v>
      </c>
      <c r="Y48" s="169">
        <f t="shared" si="4"/>
        <v>0</v>
      </c>
      <c r="Z48" s="227">
        <f t="shared" si="5"/>
        <v>0</v>
      </c>
      <c r="AA48" s="227">
        <f t="shared" si="6"/>
        <v>0</v>
      </c>
      <c r="AB48" s="227">
        <f t="shared" si="7"/>
        <v>0</v>
      </c>
      <c r="AC48" s="170"/>
      <c r="AD48" s="182"/>
      <c r="AE48" s="147"/>
      <c r="AF48" s="149"/>
      <c r="AG48" s="149"/>
      <c r="AH48" s="156"/>
      <c r="AI48" s="156"/>
      <c r="AJ48" s="156"/>
      <c r="AK48" s="156"/>
      <c r="AL48" s="156"/>
      <c r="AM48" s="156"/>
      <c r="AN48" s="156"/>
      <c r="AO48" s="156"/>
      <c r="AP48" s="156"/>
      <c r="AS48" s="170"/>
      <c r="AT48" s="170"/>
      <c r="AU48" s="170"/>
      <c r="AV48" s="156"/>
      <c r="BE48" s="156"/>
      <c r="BF48" s="156"/>
      <c r="BG48" s="156"/>
      <c r="BH48" s="156"/>
      <c r="BI48" s="156"/>
      <c r="BJ48" s="156"/>
      <c r="BK48" s="156"/>
      <c r="BL48" s="156"/>
      <c r="BM48" s="156"/>
    </row>
    <row r="49" spans="1:65" s="127" customFormat="1" ht="14.25" hidden="1" customHeight="1">
      <c r="A49" s="157"/>
      <c r="B49" s="596"/>
      <c r="C49" s="158"/>
      <c r="D49" s="159"/>
      <c r="E49" s="160"/>
      <c r="F49" s="161"/>
      <c r="G49" s="161"/>
      <c r="H49" s="162">
        <f t="shared" si="1"/>
        <v>0</v>
      </c>
      <c r="I49" s="163"/>
      <c r="J49" s="164"/>
      <c r="K49" s="165">
        <f t="shared" si="8"/>
        <v>0</v>
      </c>
      <c r="L49" s="165">
        <f t="shared" si="2"/>
        <v>0</v>
      </c>
      <c r="M49" s="278"/>
      <c r="N49" s="136"/>
      <c r="O49" s="136"/>
      <c r="P49" s="166"/>
      <c r="Q49" s="141"/>
      <c r="R49" s="141"/>
      <c r="S49" s="141"/>
      <c r="T49" s="141"/>
      <c r="U49" s="167"/>
      <c r="V49" s="167"/>
      <c r="W49" s="168">
        <f t="shared" si="9"/>
        <v>0</v>
      </c>
      <c r="X49" s="169">
        <f t="shared" si="3"/>
        <v>0</v>
      </c>
      <c r="Y49" s="169">
        <f t="shared" si="4"/>
        <v>0</v>
      </c>
      <c r="Z49" s="227">
        <f t="shared" si="5"/>
        <v>0</v>
      </c>
      <c r="AA49" s="227">
        <f t="shared" si="6"/>
        <v>0</v>
      </c>
      <c r="AB49" s="227">
        <f t="shared" si="7"/>
        <v>0</v>
      </c>
      <c r="AC49" s="170"/>
      <c r="AD49" s="182"/>
      <c r="AE49" s="147"/>
      <c r="AF49" s="149"/>
      <c r="AG49" s="149"/>
      <c r="AH49" s="156"/>
      <c r="AI49" s="156"/>
      <c r="AJ49" s="156"/>
      <c r="AK49" s="156"/>
      <c r="AL49" s="156"/>
      <c r="AM49" s="156"/>
      <c r="AN49" s="156"/>
      <c r="AO49" s="156"/>
      <c r="AP49" s="156"/>
      <c r="AS49" s="170"/>
      <c r="AT49" s="170"/>
      <c r="AU49" s="170"/>
      <c r="AV49" s="156"/>
      <c r="BE49" s="156"/>
      <c r="BF49" s="156"/>
      <c r="BG49" s="156"/>
      <c r="BH49" s="156"/>
      <c r="BI49" s="156"/>
      <c r="BJ49" s="156"/>
      <c r="BK49" s="156"/>
      <c r="BL49" s="156"/>
      <c r="BM49" s="156"/>
    </row>
    <row r="50" spans="1:65" s="127" customFormat="1" ht="14.25" hidden="1" customHeight="1">
      <c r="A50" s="157"/>
      <c r="B50" s="596"/>
      <c r="C50" s="158"/>
      <c r="D50" s="159"/>
      <c r="E50" s="160"/>
      <c r="F50" s="161"/>
      <c r="G50" s="161"/>
      <c r="H50" s="162">
        <f t="shared" si="1"/>
        <v>0</v>
      </c>
      <c r="I50" s="163"/>
      <c r="J50" s="164"/>
      <c r="K50" s="165">
        <f t="shared" si="8"/>
        <v>0</v>
      </c>
      <c r="L50" s="165">
        <f t="shared" si="2"/>
        <v>0</v>
      </c>
      <c r="M50" s="278"/>
      <c r="N50" s="136"/>
      <c r="O50" s="136"/>
      <c r="P50" s="166"/>
      <c r="Q50" s="141"/>
      <c r="R50" s="141"/>
      <c r="S50" s="141"/>
      <c r="T50" s="141"/>
      <c r="U50" s="167"/>
      <c r="V50" s="167"/>
      <c r="W50" s="168">
        <f t="shared" si="9"/>
        <v>0</v>
      </c>
      <c r="X50" s="169">
        <f t="shared" si="3"/>
        <v>0</v>
      </c>
      <c r="Y50" s="169">
        <f t="shared" si="4"/>
        <v>0</v>
      </c>
      <c r="Z50" s="227">
        <f t="shared" si="5"/>
        <v>0</v>
      </c>
      <c r="AA50" s="227">
        <f t="shared" si="6"/>
        <v>0</v>
      </c>
      <c r="AB50" s="227">
        <f t="shared" si="7"/>
        <v>0</v>
      </c>
      <c r="AC50" s="170"/>
      <c r="AD50" s="182"/>
      <c r="AE50" s="147"/>
      <c r="AF50" s="149"/>
      <c r="AG50" s="149"/>
      <c r="AH50" s="156"/>
      <c r="AI50" s="156"/>
      <c r="AJ50" s="156"/>
      <c r="AK50" s="156"/>
      <c r="AL50" s="156"/>
      <c r="AM50" s="156"/>
      <c r="AN50" s="156"/>
      <c r="AO50" s="156"/>
      <c r="AP50" s="156"/>
      <c r="AS50" s="170"/>
      <c r="AT50" s="170"/>
      <c r="AU50" s="170"/>
      <c r="AV50" s="156"/>
      <c r="BE50" s="156"/>
      <c r="BF50" s="156"/>
      <c r="BG50" s="156"/>
      <c r="BH50" s="156"/>
      <c r="BI50" s="156"/>
      <c r="BJ50" s="156"/>
      <c r="BK50" s="156"/>
      <c r="BL50" s="156"/>
      <c r="BM50" s="156"/>
    </row>
    <row r="51" spans="1:65" s="127" customFormat="1" ht="14.25" hidden="1" customHeight="1">
      <c r="A51" s="157"/>
      <c r="B51" s="596"/>
      <c r="C51" s="158"/>
      <c r="D51" s="159"/>
      <c r="E51" s="160"/>
      <c r="F51" s="161"/>
      <c r="G51" s="161"/>
      <c r="H51" s="162">
        <f t="shared" si="1"/>
        <v>0</v>
      </c>
      <c r="I51" s="163"/>
      <c r="J51" s="164"/>
      <c r="K51" s="165">
        <f t="shared" si="8"/>
        <v>0</v>
      </c>
      <c r="L51" s="165">
        <f t="shared" si="2"/>
        <v>0</v>
      </c>
      <c r="M51" s="278"/>
      <c r="N51" s="136"/>
      <c r="O51" s="136"/>
      <c r="P51" s="166"/>
      <c r="Q51" s="141"/>
      <c r="R51" s="141"/>
      <c r="S51" s="141"/>
      <c r="T51" s="141"/>
      <c r="U51" s="167"/>
      <c r="V51" s="167"/>
      <c r="W51" s="168">
        <f t="shared" si="9"/>
        <v>0</v>
      </c>
      <c r="X51" s="169">
        <f t="shared" si="3"/>
        <v>0</v>
      </c>
      <c r="Y51" s="169">
        <f t="shared" si="4"/>
        <v>0</v>
      </c>
      <c r="Z51" s="227">
        <f t="shared" si="5"/>
        <v>0</v>
      </c>
      <c r="AA51" s="227">
        <f t="shared" si="6"/>
        <v>0</v>
      </c>
      <c r="AB51" s="227">
        <f t="shared" si="7"/>
        <v>0</v>
      </c>
      <c r="AC51" s="170"/>
      <c r="AD51" s="182"/>
      <c r="AE51" s="147"/>
      <c r="AF51" s="149"/>
      <c r="AG51" s="149"/>
      <c r="AH51" s="156"/>
      <c r="AI51" s="156"/>
      <c r="AJ51" s="156"/>
      <c r="AK51" s="156"/>
      <c r="AL51" s="156"/>
      <c r="AM51" s="156"/>
      <c r="AN51" s="156"/>
      <c r="AO51" s="156"/>
      <c r="AP51" s="156"/>
      <c r="AS51" s="170"/>
      <c r="AT51" s="170"/>
      <c r="AU51" s="170"/>
      <c r="AV51" s="156"/>
      <c r="BE51" s="156"/>
      <c r="BF51" s="156"/>
      <c r="BG51" s="156"/>
      <c r="BH51" s="156"/>
      <c r="BI51" s="156"/>
      <c r="BJ51" s="156"/>
      <c r="BK51" s="156"/>
      <c r="BL51" s="156"/>
      <c r="BM51" s="156"/>
    </row>
    <row r="52" spans="1:65" s="127" customFormat="1" ht="14.25" hidden="1" customHeight="1">
      <c r="A52" s="157"/>
      <c r="B52" s="596"/>
      <c r="C52" s="158"/>
      <c r="D52" s="159"/>
      <c r="E52" s="160"/>
      <c r="F52" s="161"/>
      <c r="G52" s="161"/>
      <c r="H52" s="162">
        <f t="shared" si="1"/>
        <v>0</v>
      </c>
      <c r="I52" s="163"/>
      <c r="J52" s="164"/>
      <c r="K52" s="165">
        <f t="shared" si="8"/>
        <v>0</v>
      </c>
      <c r="L52" s="165">
        <f t="shared" si="2"/>
        <v>0</v>
      </c>
      <c r="M52" s="278"/>
      <c r="N52" s="136"/>
      <c r="O52" s="136"/>
      <c r="P52" s="166"/>
      <c r="Q52" s="141"/>
      <c r="R52" s="141"/>
      <c r="S52" s="141"/>
      <c r="T52" s="141"/>
      <c r="U52" s="167"/>
      <c r="V52" s="167"/>
      <c r="W52" s="168">
        <f t="shared" si="9"/>
        <v>0</v>
      </c>
      <c r="X52" s="169">
        <f t="shared" si="3"/>
        <v>0</v>
      </c>
      <c r="Y52" s="169">
        <f t="shared" si="4"/>
        <v>0</v>
      </c>
      <c r="Z52" s="227">
        <f t="shared" si="5"/>
        <v>0</v>
      </c>
      <c r="AA52" s="227">
        <f t="shared" si="6"/>
        <v>0</v>
      </c>
      <c r="AB52" s="227">
        <f t="shared" si="7"/>
        <v>0</v>
      </c>
      <c r="AC52" s="170"/>
      <c r="AD52" s="182"/>
      <c r="AE52" s="147"/>
      <c r="AF52" s="149"/>
      <c r="AG52" s="149"/>
      <c r="AH52" s="156"/>
      <c r="AI52" s="156"/>
      <c r="AJ52" s="156"/>
      <c r="AK52" s="156"/>
      <c r="AL52" s="156"/>
      <c r="AM52" s="156"/>
      <c r="AN52" s="156"/>
      <c r="AO52" s="156"/>
      <c r="AP52" s="156"/>
      <c r="AS52" s="170"/>
      <c r="AT52" s="170"/>
      <c r="AU52" s="170"/>
      <c r="AV52" s="156"/>
      <c r="BE52" s="156"/>
      <c r="BF52" s="156"/>
      <c r="BG52" s="156"/>
      <c r="BH52" s="156"/>
      <c r="BI52" s="156"/>
      <c r="BJ52" s="156"/>
      <c r="BK52" s="156"/>
      <c r="BL52" s="156"/>
      <c r="BM52" s="156"/>
    </row>
    <row r="53" spans="1:65" s="127" customFormat="1" ht="14.25" hidden="1" customHeight="1">
      <c r="A53" s="157"/>
      <c r="B53" s="596"/>
      <c r="C53" s="158"/>
      <c r="D53" s="159"/>
      <c r="E53" s="160"/>
      <c r="F53" s="565"/>
      <c r="G53" s="161"/>
      <c r="H53" s="162">
        <f t="shared" si="1"/>
        <v>0</v>
      </c>
      <c r="I53" s="163"/>
      <c r="J53" s="164"/>
      <c r="K53" s="165">
        <f t="shared" si="8"/>
        <v>0</v>
      </c>
      <c r="L53" s="165">
        <f t="shared" si="2"/>
        <v>0</v>
      </c>
      <c r="M53" s="278"/>
      <c r="N53" s="136"/>
      <c r="O53" s="136"/>
      <c r="P53" s="166"/>
      <c r="Q53" s="141"/>
      <c r="R53" s="141"/>
      <c r="S53" s="141"/>
      <c r="T53" s="141"/>
      <c r="U53" s="167"/>
      <c r="V53" s="167"/>
      <c r="W53" s="168">
        <f t="shared" si="9"/>
        <v>0</v>
      </c>
      <c r="X53" s="169">
        <f t="shared" si="3"/>
        <v>0</v>
      </c>
      <c r="Y53" s="169">
        <f t="shared" si="4"/>
        <v>0</v>
      </c>
      <c r="Z53" s="227">
        <f t="shared" si="5"/>
        <v>0</v>
      </c>
      <c r="AA53" s="227">
        <f t="shared" si="6"/>
        <v>0</v>
      </c>
      <c r="AB53" s="227">
        <f t="shared" si="7"/>
        <v>0</v>
      </c>
      <c r="AC53" s="170"/>
      <c r="AD53" s="182"/>
      <c r="AE53" s="147"/>
      <c r="AF53" s="149"/>
      <c r="AG53" s="149"/>
      <c r="AH53" s="156"/>
      <c r="AI53" s="156"/>
      <c r="AJ53" s="156"/>
      <c r="AK53" s="156"/>
      <c r="AL53" s="156"/>
      <c r="AM53" s="156"/>
      <c r="AN53" s="156"/>
      <c r="AO53" s="156"/>
      <c r="AP53" s="156"/>
      <c r="AS53" s="170"/>
      <c r="AT53" s="170"/>
      <c r="AU53" s="170"/>
      <c r="AV53" s="156"/>
      <c r="BE53" s="156"/>
      <c r="BF53" s="156"/>
      <c r="BG53" s="156"/>
      <c r="BH53" s="156"/>
      <c r="BI53" s="156"/>
      <c r="BJ53" s="156"/>
      <c r="BK53" s="156"/>
      <c r="BL53" s="156"/>
      <c r="BM53" s="156"/>
    </row>
    <row r="54" spans="1:65" s="127" customFormat="1" ht="14.25" hidden="1" customHeight="1">
      <c r="A54" s="157"/>
      <c r="B54" s="596"/>
      <c r="C54" s="158"/>
      <c r="D54" s="159"/>
      <c r="E54" s="160"/>
      <c r="F54" s="565"/>
      <c r="G54" s="161"/>
      <c r="H54" s="162">
        <f t="shared" si="1"/>
        <v>0</v>
      </c>
      <c r="I54" s="163"/>
      <c r="J54" s="164"/>
      <c r="K54" s="165">
        <f t="shared" si="8"/>
        <v>0</v>
      </c>
      <c r="L54" s="165">
        <f t="shared" si="2"/>
        <v>0</v>
      </c>
      <c r="M54" s="278"/>
      <c r="N54" s="136"/>
      <c r="O54" s="136"/>
      <c r="P54" s="166"/>
      <c r="Q54" s="141"/>
      <c r="R54" s="141"/>
      <c r="S54" s="141"/>
      <c r="T54" s="141"/>
      <c r="U54" s="167"/>
      <c r="V54" s="167"/>
      <c r="W54" s="168">
        <f t="shared" si="9"/>
        <v>0</v>
      </c>
      <c r="X54" s="169">
        <f t="shared" si="3"/>
        <v>0</v>
      </c>
      <c r="Y54" s="169">
        <f t="shared" si="4"/>
        <v>0</v>
      </c>
      <c r="Z54" s="227">
        <f t="shared" si="5"/>
        <v>0</v>
      </c>
      <c r="AA54" s="227">
        <f t="shared" si="6"/>
        <v>0</v>
      </c>
      <c r="AB54" s="227">
        <f t="shared" si="7"/>
        <v>0</v>
      </c>
      <c r="AC54" s="170"/>
      <c r="AD54" s="182"/>
      <c r="AE54" s="147"/>
      <c r="AF54" s="149"/>
      <c r="AG54" s="149"/>
      <c r="AH54" s="156"/>
      <c r="AI54" s="156"/>
      <c r="AJ54" s="156"/>
      <c r="AK54" s="156"/>
      <c r="AL54" s="156"/>
      <c r="AM54" s="156"/>
      <c r="AN54" s="156"/>
      <c r="AO54" s="156"/>
      <c r="AP54" s="156"/>
      <c r="AS54" s="170"/>
      <c r="AT54" s="170"/>
      <c r="AU54" s="170"/>
      <c r="AV54" s="156"/>
      <c r="BE54" s="156"/>
      <c r="BF54" s="156"/>
      <c r="BG54" s="156"/>
      <c r="BH54" s="156"/>
      <c r="BI54" s="156"/>
      <c r="BJ54" s="156"/>
      <c r="BK54" s="156"/>
      <c r="BL54" s="156"/>
      <c r="BM54" s="156"/>
    </row>
    <row r="55" spans="1:65" s="127" customFormat="1" ht="14.25" hidden="1" customHeight="1">
      <c r="A55" s="157"/>
      <c r="B55" s="596"/>
      <c r="C55" s="158"/>
      <c r="D55" s="159"/>
      <c r="E55" s="160"/>
      <c r="F55" s="565"/>
      <c r="G55" s="161"/>
      <c r="H55" s="162">
        <f t="shared" si="1"/>
        <v>0</v>
      </c>
      <c r="I55" s="163"/>
      <c r="J55" s="164"/>
      <c r="K55" s="165">
        <f t="shared" si="8"/>
        <v>0</v>
      </c>
      <c r="L55" s="165">
        <f t="shared" si="2"/>
        <v>0</v>
      </c>
      <c r="M55" s="278"/>
      <c r="N55" s="136"/>
      <c r="O55" s="136"/>
      <c r="P55" s="166"/>
      <c r="Q55" s="141"/>
      <c r="R55" s="141"/>
      <c r="S55" s="141"/>
      <c r="T55" s="141"/>
      <c r="U55" s="167"/>
      <c r="V55" s="167"/>
      <c r="W55" s="168">
        <f t="shared" si="9"/>
        <v>0</v>
      </c>
      <c r="X55" s="169">
        <f t="shared" si="3"/>
        <v>0</v>
      </c>
      <c r="Y55" s="169">
        <f t="shared" si="4"/>
        <v>0</v>
      </c>
      <c r="Z55" s="227">
        <f t="shared" si="5"/>
        <v>0</v>
      </c>
      <c r="AA55" s="227">
        <f t="shared" si="6"/>
        <v>0</v>
      </c>
      <c r="AB55" s="227">
        <f t="shared" si="7"/>
        <v>0</v>
      </c>
      <c r="AC55" s="170"/>
      <c r="AD55" s="182"/>
      <c r="AE55" s="147"/>
      <c r="AF55" s="149"/>
      <c r="AG55" s="149"/>
      <c r="AH55" s="156"/>
      <c r="AI55" s="156"/>
      <c r="AJ55" s="156"/>
      <c r="AK55" s="156"/>
      <c r="AL55" s="156"/>
      <c r="AM55" s="156"/>
      <c r="AN55" s="156"/>
      <c r="AO55" s="156"/>
      <c r="AP55" s="156"/>
      <c r="AS55" s="170"/>
      <c r="AT55" s="170"/>
      <c r="AU55" s="170"/>
      <c r="AV55" s="156"/>
      <c r="BE55" s="156"/>
      <c r="BF55" s="156"/>
      <c r="BG55" s="156"/>
      <c r="BH55" s="156"/>
      <c r="BI55" s="156"/>
      <c r="BJ55" s="156"/>
      <c r="BK55" s="156"/>
      <c r="BL55" s="156"/>
      <c r="BM55" s="156"/>
    </row>
    <row r="56" spans="1:65" s="127" customFormat="1" ht="14.25" hidden="1" customHeight="1">
      <c r="A56" s="157"/>
      <c r="B56" s="596"/>
      <c r="C56" s="158"/>
      <c r="D56" s="159"/>
      <c r="E56" s="160"/>
      <c r="F56" s="565"/>
      <c r="G56" s="161"/>
      <c r="H56" s="162">
        <f t="shared" si="1"/>
        <v>0</v>
      </c>
      <c r="I56" s="163"/>
      <c r="J56" s="164"/>
      <c r="K56" s="165">
        <f t="shared" si="8"/>
        <v>0</v>
      </c>
      <c r="L56" s="165">
        <f t="shared" si="2"/>
        <v>0</v>
      </c>
      <c r="M56" s="278"/>
      <c r="N56" s="136"/>
      <c r="O56" s="136"/>
      <c r="P56" s="166"/>
      <c r="Q56" s="141"/>
      <c r="R56" s="141"/>
      <c r="S56" s="141"/>
      <c r="T56" s="141"/>
      <c r="U56" s="167"/>
      <c r="V56" s="167"/>
      <c r="W56" s="168">
        <f t="shared" si="9"/>
        <v>0</v>
      </c>
      <c r="X56" s="169">
        <f t="shared" si="3"/>
        <v>0</v>
      </c>
      <c r="Y56" s="169">
        <f t="shared" si="4"/>
        <v>0</v>
      </c>
      <c r="Z56" s="227">
        <f t="shared" si="5"/>
        <v>0</v>
      </c>
      <c r="AA56" s="227">
        <f t="shared" si="6"/>
        <v>0</v>
      </c>
      <c r="AB56" s="227">
        <f t="shared" si="7"/>
        <v>0</v>
      </c>
      <c r="AC56" s="170"/>
      <c r="AD56" s="182"/>
      <c r="AE56" s="147"/>
      <c r="AF56" s="149"/>
      <c r="AG56" s="149"/>
      <c r="AH56" s="156"/>
      <c r="AI56" s="156"/>
      <c r="AJ56" s="156"/>
      <c r="AK56" s="156"/>
      <c r="AL56" s="156"/>
      <c r="AM56" s="156"/>
      <c r="AN56" s="156"/>
      <c r="AO56" s="156"/>
      <c r="AP56" s="156"/>
      <c r="AS56" s="170"/>
      <c r="AT56" s="170"/>
      <c r="AU56" s="170"/>
      <c r="AV56" s="156"/>
      <c r="BE56" s="156"/>
      <c r="BF56" s="156"/>
      <c r="BG56" s="156"/>
      <c r="BH56" s="156"/>
      <c r="BI56" s="156"/>
      <c r="BJ56" s="156"/>
      <c r="BK56" s="156"/>
      <c r="BL56" s="156"/>
      <c r="BM56" s="156"/>
    </row>
    <row r="57" spans="1:65" s="127" customFormat="1" ht="14.25" hidden="1" customHeight="1">
      <c r="A57" s="157"/>
      <c r="B57" s="596"/>
      <c r="C57" s="158"/>
      <c r="D57" s="159"/>
      <c r="E57" s="160"/>
      <c r="F57" s="565"/>
      <c r="G57" s="161"/>
      <c r="H57" s="162">
        <f t="shared" si="1"/>
        <v>0</v>
      </c>
      <c r="I57" s="163"/>
      <c r="J57" s="164"/>
      <c r="K57" s="165">
        <f t="shared" si="8"/>
        <v>0</v>
      </c>
      <c r="L57" s="165">
        <f t="shared" si="2"/>
        <v>0</v>
      </c>
      <c r="M57" s="278"/>
      <c r="N57" s="136"/>
      <c r="O57" s="136"/>
      <c r="P57" s="166"/>
      <c r="Q57" s="141"/>
      <c r="R57" s="141"/>
      <c r="S57" s="141"/>
      <c r="T57" s="141"/>
      <c r="U57" s="167"/>
      <c r="V57" s="167"/>
      <c r="W57" s="168">
        <f t="shared" si="9"/>
        <v>0</v>
      </c>
      <c r="X57" s="169">
        <f t="shared" si="3"/>
        <v>0</v>
      </c>
      <c r="Y57" s="169">
        <f t="shared" si="4"/>
        <v>0</v>
      </c>
      <c r="Z57" s="227">
        <f t="shared" si="5"/>
        <v>0</v>
      </c>
      <c r="AA57" s="227">
        <f t="shared" si="6"/>
        <v>0</v>
      </c>
      <c r="AB57" s="227">
        <f t="shared" si="7"/>
        <v>0</v>
      </c>
      <c r="AC57" s="170"/>
      <c r="AD57" s="182"/>
      <c r="AE57" s="147"/>
      <c r="AF57" s="149"/>
      <c r="AG57" s="149"/>
      <c r="AH57" s="156"/>
      <c r="AI57" s="156"/>
      <c r="AJ57" s="156"/>
      <c r="AK57" s="156"/>
      <c r="AL57" s="156"/>
      <c r="AM57" s="156"/>
      <c r="AN57" s="156"/>
      <c r="AO57" s="156"/>
      <c r="AP57" s="156"/>
      <c r="AS57" s="170"/>
      <c r="AT57" s="170"/>
      <c r="AU57" s="170"/>
      <c r="AV57" s="156"/>
      <c r="BE57" s="156"/>
      <c r="BF57" s="156"/>
      <c r="BG57" s="156"/>
      <c r="BH57" s="156"/>
      <c r="BI57" s="156"/>
      <c r="BJ57" s="156"/>
      <c r="BK57" s="156"/>
      <c r="BL57" s="156"/>
      <c r="BM57" s="156"/>
    </row>
    <row r="58" spans="1:65" s="127" customFormat="1" ht="14.25" hidden="1" customHeight="1">
      <c r="A58" s="157"/>
      <c r="B58" s="596"/>
      <c r="C58" s="158"/>
      <c r="D58" s="159"/>
      <c r="E58" s="160"/>
      <c r="F58" s="565"/>
      <c r="G58" s="161"/>
      <c r="H58" s="162">
        <f t="shared" si="1"/>
        <v>0</v>
      </c>
      <c r="I58" s="163"/>
      <c r="J58" s="164"/>
      <c r="K58" s="165">
        <f t="shared" si="8"/>
        <v>0</v>
      </c>
      <c r="L58" s="165">
        <f t="shared" si="2"/>
        <v>0</v>
      </c>
      <c r="M58" s="278"/>
      <c r="N58" s="136"/>
      <c r="O58" s="136"/>
      <c r="P58" s="166"/>
      <c r="Q58" s="141"/>
      <c r="R58" s="141"/>
      <c r="S58" s="141"/>
      <c r="T58" s="141"/>
      <c r="U58" s="167"/>
      <c r="V58" s="167"/>
      <c r="W58" s="168">
        <f t="shared" si="9"/>
        <v>0</v>
      </c>
      <c r="X58" s="169">
        <f t="shared" si="3"/>
        <v>0</v>
      </c>
      <c r="Y58" s="169">
        <f t="shared" si="4"/>
        <v>0</v>
      </c>
      <c r="Z58" s="227">
        <f t="shared" si="5"/>
        <v>0</v>
      </c>
      <c r="AA58" s="227">
        <f t="shared" si="6"/>
        <v>0</v>
      </c>
      <c r="AB58" s="227">
        <f t="shared" si="7"/>
        <v>0</v>
      </c>
      <c r="AC58" s="170"/>
      <c r="AD58" s="182"/>
      <c r="AE58" s="147"/>
      <c r="AF58" s="149"/>
      <c r="AG58" s="149"/>
      <c r="AH58" s="156"/>
      <c r="AI58" s="156"/>
      <c r="AJ58" s="156"/>
      <c r="AK58" s="156"/>
      <c r="AL58" s="156"/>
      <c r="AM58" s="156"/>
      <c r="AN58" s="156"/>
      <c r="AO58" s="156"/>
      <c r="AP58" s="156"/>
      <c r="AS58" s="170"/>
      <c r="AT58" s="170"/>
      <c r="AU58" s="170"/>
      <c r="AV58" s="156"/>
      <c r="BE58" s="156"/>
      <c r="BF58" s="156"/>
      <c r="BG58" s="156"/>
      <c r="BH58" s="156"/>
      <c r="BI58" s="156"/>
      <c r="BJ58" s="156"/>
      <c r="BK58" s="156"/>
      <c r="BL58" s="156"/>
      <c r="BM58" s="156"/>
    </row>
    <row r="59" spans="1:65" s="127" customFormat="1" ht="14.25" hidden="1" customHeight="1">
      <c r="A59" s="157"/>
      <c r="B59" s="596"/>
      <c r="C59" s="158"/>
      <c r="D59" s="159"/>
      <c r="E59" s="160"/>
      <c r="F59" s="565"/>
      <c r="G59" s="161"/>
      <c r="H59" s="162">
        <f t="shared" si="1"/>
        <v>0</v>
      </c>
      <c r="I59" s="163"/>
      <c r="J59" s="164"/>
      <c r="K59" s="165">
        <f t="shared" si="8"/>
        <v>0</v>
      </c>
      <c r="L59" s="165">
        <f t="shared" si="2"/>
        <v>0</v>
      </c>
      <c r="M59" s="278"/>
      <c r="N59" s="136"/>
      <c r="O59" s="136"/>
      <c r="P59" s="166"/>
      <c r="Q59" s="141"/>
      <c r="R59" s="141"/>
      <c r="S59" s="141"/>
      <c r="T59" s="141"/>
      <c r="U59" s="167"/>
      <c r="V59" s="167"/>
      <c r="W59" s="168">
        <f t="shared" si="9"/>
        <v>0</v>
      </c>
      <c r="X59" s="169">
        <f t="shared" si="3"/>
        <v>0</v>
      </c>
      <c r="Y59" s="169">
        <f t="shared" si="4"/>
        <v>0</v>
      </c>
      <c r="Z59" s="227">
        <f t="shared" si="5"/>
        <v>0</v>
      </c>
      <c r="AA59" s="227">
        <f t="shared" si="6"/>
        <v>0</v>
      </c>
      <c r="AB59" s="227">
        <f t="shared" si="7"/>
        <v>0</v>
      </c>
      <c r="AC59" s="170"/>
      <c r="AD59" s="182"/>
      <c r="AE59" s="147"/>
      <c r="AF59" s="149"/>
      <c r="AG59" s="149"/>
      <c r="AH59" s="156"/>
      <c r="AI59" s="156"/>
      <c r="AJ59" s="156"/>
      <c r="AK59" s="156"/>
      <c r="AL59" s="156"/>
      <c r="AM59" s="156"/>
      <c r="AN59" s="156"/>
      <c r="AO59" s="156"/>
      <c r="AP59" s="156"/>
      <c r="AS59" s="170"/>
      <c r="AT59" s="170"/>
      <c r="AU59" s="170"/>
      <c r="AV59" s="156"/>
      <c r="BE59" s="156"/>
      <c r="BF59" s="156"/>
      <c r="BG59" s="156"/>
      <c r="BH59" s="156"/>
      <c r="BI59" s="156"/>
      <c r="BJ59" s="156"/>
      <c r="BK59" s="156"/>
      <c r="BL59" s="156"/>
      <c r="BM59" s="156"/>
    </row>
    <row r="60" spans="1:65" s="127" customFormat="1" ht="14.25" hidden="1" customHeight="1">
      <c r="A60" s="157"/>
      <c r="B60" s="596"/>
      <c r="C60" s="158"/>
      <c r="D60" s="159"/>
      <c r="E60" s="160"/>
      <c r="F60" s="161"/>
      <c r="G60" s="161"/>
      <c r="H60" s="162">
        <f t="shared" si="1"/>
        <v>0</v>
      </c>
      <c r="I60" s="163"/>
      <c r="J60" s="164"/>
      <c r="K60" s="165">
        <f t="shared" si="8"/>
        <v>0</v>
      </c>
      <c r="L60" s="165">
        <f t="shared" si="2"/>
        <v>0</v>
      </c>
      <c r="M60" s="278"/>
      <c r="N60" s="136"/>
      <c r="O60" s="136"/>
      <c r="P60" s="166"/>
      <c r="Q60" s="141"/>
      <c r="R60" s="141"/>
      <c r="S60" s="141"/>
      <c r="T60" s="141"/>
      <c r="U60" s="167"/>
      <c r="V60" s="167"/>
      <c r="W60" s="168">
        <f t="shared" si="9"/>
        <v>0</v>
      </c>
      <c r="X60" s="169">
        <f t="shared" si="3"/>
        <v>0</v>
      </c>
      <c r="Y60" s="169">
        <f t="shared" si="4"/>
        <v>0</v>
      </c>
      <c r="Z60" s="227">
        <f t="shared" si="5"/>
        <v>0</v>
      </c>
      <c r="AA60" s="227">
        <f t="shared" si="6"/>
        <v>0</v>
      </c>
      <c r="AB60" s="227">
        <f t="shared" si="7"/>
        <v>0</v>
      </c>
      <c r="AC60" s="170"/>
      <c r="AD60" s="182"/>
      <c r="AE60" s="147"/>
      <c r="AF60" s="149"/>
      <c r="AG60" s="149"/>
      <c r="AH60" s="156"/>
      <c r="AI60" s="156"/>
      <c r="AJ60" s="156"/>
      <c r="AK60" s="156"/>
      <c r="AL60" s="156"/>
      <c r="AM60" s="156"/>
      <c r="AN60" s="156"/>
      <c r="AO60" s="156"/>
      <c r="AP60" s="156"/>
      <c r="AS60" s="170"/>
      <c r="AT60" s="170"/>
      <c r="AU60" s="170"/>
      <c r="AV60" s="156"/>
      <c r="BE60" s="156"/>
      <c r="BF60" s="156"/>
      <c r="BG60" s="156"/>
      <c r="BH60" s="156"/>
      <c r="BI60" s="156"/>
      <c r="BJ60" s="156"/>
      <c r="BK60" s="156"/>
      <c r="BL60" s="156"/>
      <c r="BM60" s="156"/>
    </row>
    <row r="61" spans="1:65" s="127" customFormat="1" ht="14.25" hidden="1" customHeight="1">
      <c r="A61" s="157"/>
      <c r="B61" s="596"/>
      <c r="C61" s="158"/>
      <c r="D61" s="159"/>
      <c r="E61" s="160"/>
      <c r="F61" s="161"/>
      <c r="G61" s="161"/>
      <c r="H61" s="162">
        <f t="shared" si="1"/>
        <v>0</v>
      </c>
      <c r="I61" s="163"/>
      <c r="J61" s="164"/>
      <c r="K61" s="165">
        <f t="shared" si="8"/>
        <v>0</v>
      </c>
      <c r="L61" s="165">
        <f t="shared" si="2"/>
        <v>0</v>
      </c>
      <c r="M61" s="278"/>
      <c r="N61" s="136"/>
      <c r="O61" s="136"/>
      <c r="P61" s="166"/>
      <c r="Q61" s="141"/>
      <c r="R61" s="141"/>
      <c r="S61" s="141"/>
      <c r="T61" s="141"/>
      <c r="U61" s="167"/>
      <c r="V61" s="167"/>
      <c r="W61" s="168">
        <f t="shared" si="9"/>
        <v>0</v>
      </c>
      <c r="X61" s="169">
        <f t="shared" si="3"/>
        <v>0</v>
      </c>
      <c r="Y61" s="169">
        <f t="shared" si="4"/>
        <v>0</v>
      </c>
      <c r="Z61" s="227">
        <f t="shared" si="5"/>
        <v>0</v>
      </c>
      <c r="AA61" s="227">
        <f t="shared" si="6"/>
        <v>0</v>
      </c>
      <c r="AB61" s="227">
        <f t="shared" si="7"/>
        <v>0</v>
      </c>
      <c r="AC61" s="170"/>
      <c r="AD61" s="182"/>
      <c r="AE61" s="147"/>
      <c r="AF61" s="149"/>
      <c r="AG61" s="149"/>
      <c r="AH61" s="156"/>
      <c r="AI61" s="156"/>
      <c r="AJ61" s="156"/>
      <c r="AK61" s="156"/>
      <c r="AL61" s="156"/>
      <c r="AM61" s="156"/>
      <c r="AN61" s="156"/>
      <c r="AO61" s="156"/>
      <c r="AP61" s="156"/>
      <c r="AS61" s="170"/>
      <c r="AT61" s="170"/>
      <c r="AU61" s="170"/>
      <c r="AV61" s="156"/>
      <c r="BE61" s="156"/>
      <c r="BF61" s="156"/>
      <c r="BG61" s="156"/>
      <c r="BH61" s="156"/>
      <c r="BI61" s="156"/>
      <c r="BJ61" s="156"/>
      <c r="BK61" s="156"/>
      <c r="BL61" s="156"/>
      <c r="BM61" s="156"/>
    </row>
    <row r="62" spans="1:65" s="127" customFormat="1" ht="14.25" hidden="1" customHeight="1">
      <c r="A62" s="157"/>
      <c r="B62" s="596"/>
      <c r="C62" s="158"/>
      <c r="D62" s="571"/>
      <c r="E62" s="160"/>
      <c r="F62" s="161"/>
      <c r="G62" s="161"/>
      <c r="H62" s="162">
        <f t="shared" si="1"/>
        <v>0</v>
      </c>
      <c r="I62" s="163"/>
      <c r="J62" s="164"/>
      <c r="K62" s="165">
        <f t="shared" si="8"/>
        <v>0</v>
      </c>
      <c r="L62" s="165">
        <f t="shared" si="2"/>
        <v>0</v>
      </c>
      <c r="M62" s="278"/>
      <c r="N62" s="136"/>
      <c r="O62" s="136"/>
      <c r="P62" s="166"/>
      <c r="Q62" s="141"/>
      <c r="R62" s="141"/>
      <c r="S62" s="141"/>
      <c r="T62" s="141"/>
      <c r="U62" s="167"/>
      <c r="V62" s="167"/>
      <c r="W62" s="168">
        <f t="shared" si="9"/>
        <v>0</v>
      </c>
      <c r="X62" s="169">
        <f t="shared" si="3"/>
        <v>0</v>
      </c>
      <c r="Y62" s="169">
        <f t="shared" si="4"/>
        <v>0</v>
      </c>
      <c r="Z62" s="227">
        <f t="shared" si="5"/>
        <v>0</v>
      </c>
      <c r="AA62" s="227">
        <f t="shared" si="6"/>
        <v>0</v>
      </c>
      <c r="AB62" s="227">
        <f t="shared" si="7"/>
        <v>0</v>
      </c>
      <c r="AC62" s="170"/>
      <c r="AD62" s="182"/>
      <c r="AE62" s="147"/>
      <c r="AF62" s="149"/>
      <c r="AG62" s="149"/>
      <c r="AH62" s="156"/>
      <c r="AI62" s="156"/>
      <c r="AJ62" s="156"/>
      <c r="AK62" s="156"/>
      <c r="AL62" s="156"/>
      <c r="AM62" s="156"/>
      <c r="AN62" s="156"/>
      <c r="AO62" s="156"/>
      <c r="AP62" s="156"/>
      <c r="AS62" s="170"/>
      <c r="AT62" s="170"/>
      <c r="AU62" s="170"/>
      <c r="AV62" s="156"/>
      <c r="BE62" s="156"/>
      <c r="BF62" s="156"/>
      <c r="BG62" s="156"/>
      <c r="BH62" s="156"/>
      <c r="BI62" s="156"/>
      <c r="BJ62" s="156"/>
      <c r="BK62" s="156"/>
      <c r="BL62" s="156"/>
      <c r="BM62" s="156"/>
    </row>
    <row r="63" spans="1:65" s="127" customFormat="1" ht="14.25" hidden="1" customHeight="1">
      <c r="A63" s="157"/>
      <c r="B63" s="596"/>
      <c r="C63" s="158"/>
      <c r="D63" s="159"/>
      <c r="E63" s="160"/>
      <c r="F63" s="161"/>
      <c r="G63" s="161"/>
      <c r="H63" s="162">
        <f t="shared" si="1"/>
        <v>0</v>
      </c>
      <c r="I63" s="163"/>
      <c r="J63" s="164"/>
      <c r="K63" s="165">
        <f t="shared" si="8"/>
        <v>0</v>
      </c>
      <c r="L63" s="165">
        <f t="shared" si="2"/>
        <v>0</v>
      </c>
      <c r="M63" s="278"/>
      <c r="N63" s="136"/>
      <c r="O63" s="136"/>
      <c r="P63" s="166"/>
      <c r="Q63" s="141"/>
      <c r="R63" s="141"/>
      <c r="S63" s="141"/>
      <c r="T63" s="141"/>
      <c r="U63" s="167"/>
      <c r="V63" s="167"/>
      <c r="W63" s="168">
        <f t="shared" si="9"/>
        <v>0</v>
      </c>
      <c r="X63" s="169">
        <f t="shared" si="3"/>
        <v>0</v>
      </c>
      <c r="Y63" s="169">
        <f t="shared" si="4"/>
        <v>0</v>
      </c>
      <c r="Z63" s="227">
        <f t="shared" si="5"/>
        <v>0</v>
      </c>
      <c r="AA63" s="227">
        <f t="shared" si="6"/>
        <v>0</v>
      </c>
      <c r="AB63" s="227">
        <f t="shared" si="7"/>
        <v>0</v>
      </c>
      <c r="AC63" s="170"/>
      <c r="AD63" s="182"/>
      <c r="AE63" s="147"/>
      <c r="AF63" s="149"/>
      <c r="AG63" s="149"/>
      <c r="AH63" s="156"/>
      <c r="AI63" s="156"/>
      <c r="AJ63" s="156"/>
      <c r="AK63" s="156"/>
      <c r="AL63" s="156"/>
      <c r="AM63" s="156"/>
      <c r="AN63" s="156"/>
      <c r="AO63" s="156"/>
      <c r="AP63" s="156"/>
      <c r="AS63" s="170"/>
      <c r="AT63" s="170"/>
      <c r="AU63" s="170"/>
      <c r="AV63" s="156"/>
      <c r="BE63" s="156"/>
      <c r="BF63" s="156"/>
      <c r="BG63" s="156"/>
      <c r="BH63" s="156"/>
      <c r="BI63" s="156"/>
      <c r="BJ63" s="156"/>
      <c r="BK63" s="156"/>
      <c r="BL63" s="156"/>
      <c r="BM63" s="156"/>
    </row>
    <row r="64" spans="1:65" s="127" customFormat="1" ht="14.25" hidden="1" customHeight="1">
      <c r="A64" s="157"/>
      <c r="B64" s="596"/>
      <c r="C64" s="158"/>
      <c r="D64" s="159"/>
      <c r="E64" s="160"/>
      <c r="F64" s="161"/>
      <c r="G64" s="161"/>
      <c r="H64" s="162">
        <f t="shared" si="1"/>
        <v>0</v>
      </c>
      <c r="I64" s="163"/>
      <c r="J64" s="164"/>
      <c r="K64" s="165">
        <f t="shared" si="8"/>
        <v>0</v>
      </c>
      <c r="L64" s="165">
        <f t="shared" si="2"/>
        <v>0</v>
      </c>
      <c r="M64" s="278"/>
      <c r="N64" s="136"/>
      <c r="O64" s="136"/>
      <c r="P64" s="166"/>
      <c r="Q64" s="141"/>
      <c r="R64" s="141"/>
      <c r="S64" s="141"/>
      <c r="T64" s="141"/>
      <c r="U64" s="167"/>
      <c r="V64" s="167"/>
      <c r="W64" s="168">
        <f t="shared" si="9"/>
        <v>0</v>
      </c>
      <c r="X64" s="169">
        <f t="shared" si="3"/>
        <v>0</v>
      </c>
      <c r="Y64" s="169">
        <f t="shared" si="4"/>
        <v>0</v>
      </c>
      <c r="Z64" s="227">
        <f t="shared" si="5"/>
        <v>0</v>
      </c>
      <c r="AA64" s="227">
        <f t="shared" si="6"/>
        <v>0</v>
      </c>
      <c r="AB64" s="227">
        <f t="shared" si="7"/>
        <v>0</v>
      </c>
      <c r="AC64" s="170"/>
      <c r="AD64" s="182"/>
      <c r="AE64" s="147"/>
      <c r="AF64" s="149"/>
      <c r="AG64" s="149"/>
      <c r="AH64" s="156"/>
      <c r="AI64" s="156"/>
      <c r="AJ64" s="156"/>
      <c r="AK64" s="156"/>
      <c r="AL64" s="156"/>
      <c r="AM64" s="156"/>
      <c r="AN64" s="156"/>
      <c r="AO64" s="156"/>
      <c r="AP64" s="156"/>
      <c r="AS64" s="170"/>
      <c r="AT64" s="170"/>
      <c r="AU64" s="170"/>
      <c r="AV64" s="156"/>
      <c r="BE64" s="156"/>
      <c r="BF64" s="156"/>
      <c r="BG64" s="156"/>
      <c r="BH64" s="156"/>
      <c r="BI64" s="156"/>
      <c r="BJ64" s="156"/>
      <c r="BK64" s="156"/>
      <c r="BL64" s="156"/>
      <c r="BM64" s="156"/>
    </row>
    <row r="65" spans="1:73" s="127" customFormat="1" ht="14.25" hidden="1" customHeight="1">
      <c r="A65" s="157"/>
      <c r="B65" s="596"/>
      <c r="C65" s="158"/>
      <c r="D65" s="159"/>
      <c r="E65" s="160"/>
      <c r="F65" s="161"/>
      <c r="G65" s="161"/>
      <c r="H65" s="162">
        <f t="shared" si="1"/>
        <v>0</v>
      </c>
      <c r="I65" s="163"/>
      <c r="J65" s="164"/>
      <c r="K65" s="165">
        <f t="shared" si="8"/>
        <v>0</v>
      </c>
      <c r="L65" s="165">
        <f t="shared" si="2"/>
        <v>0</v>
      </c>
      <c r="M65" s="278"/>
      <c r="N65" s="136"/>
      <c r="O65" s="136"/>
      <c r="P65" s="166"/>
      <c r="Q65" s="141"/>
      <c r="R65" s="141"/>
      <c r="S65" s="141"/>
      <c r="T65" s="141"/>
      <c r="U65" s="167"/>
      <c r="V65" s="167"/>
      <c r="W65" s="168">
        <f t="shared" si="9"/>
        <v>0</v>
      </c>
      <c r="X65" s="169">
        <f t="shared" si="3"/>
        <v>0</v>
      </c>
      <c r="Y65" s="169">
        <f t="shared" si="4"/>
        <v>0</v>
      </c>
      <c r="Z65" s="227">
        <f t="shared" si="5"/>
        <v>0</v>
      </c>
      <c r="AA65" s="227">
        <f t="shared" si="6"/>
        <v>0</v>
      </c>
      <c r="AB65" s="227">
        <f t="shared" si="7"/>
        <v>0</v>
      </c>
      <c r="AC65" s="170"/>
      <c r="AD65" s="182"/>
      <c r="AE65" s="147"/>
      <c r="AF65" s="149"/>
      <c r="AG65" s="149"/>
      <c r="AH65" s="156"/>
      <c r="AI65" s="156"/>
      <c r="AJ65" s="156"/>
      <c r="AK65" s="156"/>
      <c r="AL65" s="156"/>
      <c r="AM65" s="156"/>
      <c r="AN65" s="156"/>
      <c r="AO65" s="156"/>
      <c r="AP65" s="156"/>
      <c r="AS65" s="170"/>
      <c r="AT65" s="170"/>
      <c r="AU65" s="170"/>
      <c r="AV65" s="156"/>
      <c r="BE65" s="156"/>
      <c r="BF65" s="156"/>
      <c r="BG65" s="156"/>
      <c r="BH65" s="156"/>
      <c r="BI65" s="156"/>
      <c r="BJ65" s="156"/>
      <c r="BK65" s="156"/>
      <c r="BL65" s="156"/>
      <c r="BM65" s="156"/>
    </row>
    <row r="66" spans="1:73" s="127" customFormat="1" ht="14.25" hidden="1" customHeight="1">
      <c r="A66" s="157"/>
      <c r="B66" s="596"/>
      <c r="C66" s="158"/>
      <c r="D66" s="159"/>
      <c r="E66" s="160"/>
      <c r="F66" s="161"/>
      <c r="G66" s="161"/>
      <c r="H66" s="162">
        <f t="shared" si="1"/>
        <v>0</v>
      </c>
      <c r="I66" s="163"/>
      <c r="J66" s="164"/>
      <c r="K66" s="165">
        <f t="shared" si="8"/>
        <v>0</v>
      </c>
      <c r="L66" s="165">
        <f t="shared" si="2"/>
        <v>0</v>
      </c>
      <c r="M66" s="278"/>
      <c r="N66" s="136"/>
      <c r="O66" s="136"/>
      <c r="P66" s="166"/>
      <c r="Q66" s="141"/>
      <c r="R66" s="141"/>
      <c r="S66" s="141"/>
      <c r="T66" s="141"/>
      <c r="U66" s="167"/>
      <c r="V66" s="167"/>
      <c r="W66" s="168">
        <f t="shared" si="9"/>
        <v>0</v>
      </c>
      <c r="X66" s="169">
        <f t="shared" si="3"/>
        <v>0</v>
      </c>
      <c r="Y66" s="169">
        <f t="shared" si="4"/>
        <v>0</v>
      </c>
      <c r="Z66" s="227">
        <f t="shared" si="5"/>
        <v>0</v>
      </c>
      <c r="AA66" s="227">
        <f t="shared" si="6"/>
        <v>0</v>
      </c>
      <c r="AB66" s="227">
        <f t="shared" si="7"/>
        <v>0</v>
      </c>
      <c r="AC66" s="170"/>
      <c r="AD66" s="182"/>
      <c r="AE66" s="147"/>
      <c r="AF66" s="149"/>
      <c r="AG66" s="149"/>
      <c r="AH66" s="156"/>
      <c r="AI66" s="156"/>
      <c r="AJ66" s="156"/>
      <c r="AK66" s="156"/>
      <c r="AL66" s="156"/>
      <c r="AM66" s="156"/>
      <c r="AN66" s="156"/>
      <c r="AO66" s="156"/>
      <c r="AP66" s="156"/>
      <c r="AS66" s="170"/>
      <c r="AT66" s="170"/>
      <c r="AU66" s="170"/>
      <c r="AV66" s="156"/>
      <c r="BE66" s="156"/>
      <c r="BF66" s="156"/>
      <c r="BG66" s="156"/>
      <c r="BH66" s="156"/>
      <c r="BI66" s="156"/>
      <c r="BJ66" s="156"/>
      <c r="BK66" s="156"/>
      <c r="BL66" s="156"/>
      <c r="BM66" s="156"/>
    </row>
    <row r="67" spans="1:73" s="127" customFormat="1" ht="14.25" hidden="1" customHeight="1">
      <c r="A67" s="157"/>
      <c r="B67" s="596"/>
      <c r="C67" s="158"/>
      <c r="D67" s="159"/>
      <c r="E67" s="160"/>
      <c r="F67" s="161"/>
      <c r="G67" s="161"/>
      <c r="H67" s="162">
        <f t="shared" si="1"/>
        <v>0</v>
      </c>
      <c r="I67" s="163"/>
      <c r="J67" s="164"/>
      <c r="K67" s="165">
        <f t="shared" si="8"/>
        <v>0</v>
      </c>
      <c r="L67" s="165">
        <f t="shared" si="2"/>
        <v>0</v>
      </c>
      <c r="M67" s="278"/>
      <c r="N67" s="136"/>
      <c r="O67" s="136"/>
      <c r="P67" s="166"/>
      <c r="Q67" s="141"/>
      <c r="R67" s="141"/>
      <c r="S67" s="141"/>
      <c r="T67" s="141"/>
      <c r="U67" s="167"/>
      <c r="V67" s="167"/>
      <c r="W67" s="168">
        <f t="shared" si="9"/>
        <v>0</v>
      </c>
      <c r="X67" s="169">
        <f t="shared" si="3"/>
        <v>0</v>
      </c>
      <c r="Y67" s="169">
        <f t="shared" si="4"/>
        <v>0</v>
      </c>
      <c r="Z67" s="227">
        <f t="shared" si="5"/>
        <v>0</v>
      </c>
      <c r="AA67" s="227">
        <f t="shared" si="6"/>
        <v>0</v>
      </c>
      <c r="AB67" s="227">
        <f t="shared" si="7"/>
        <v>0</v>
      </c>
      <c r="AC67" s="170"/>
      <c r="AD67" s="182"/>
      <c r="AE67" s="147"/>
      <c r="AF67" s="149"/>
      <c r="AG67" s="149"/>
      <c r="AH67" s="156"/>
      <c r="AI67" s="156"/>
      <c r="AJ67" s="156"/>
      <c r="AK67" s="156"/>
      <c r="AL67" s="156"/>
      <c r="AM67" s="156"/>
      <c r="AN67" s="156"/>
      <c r="AO67" s="156"/>
      <c r="AP67" s="156"/>
      <c r="AS67" s="170"/>
      <c r="AT67" s="170"/>
      <c r="AU67" s="170"/>
      <c r="AV67" s="156"/>
      <c r="BE67" s="156"/>
      <c r="BF67" s="156"/>
      <c r="BG67" s="156"/>
      <c r="BH67" s="156"/>
      <c r="BI67" s="156"/>
      <c r="BJ67" s="156"/>
      <c r="BK67" s="156"/>
      <c r="BL67" s="156"/>
      <c r="BM67" s="156"/>
    </row>
    <row r="68" spans="1:73" s="127" customFormat="1" ht="14.25" hidden="1" customHeight="1">
      <c r="A68" s="157"/>
      <c r="B68" s="596"/>
      <c r="C68" s="158"/>
      <c r="D68" s="159"/>
      <c r="E68" s="160"/>
      <c r="F68" s="161"/>
      <c r="G68" s="161"/>
      <c r="H68" s="162">
        <f t="shared" si="1"/>
        <v>0</v>
      </c>
      <c r="I68" s="163"/>
      <c r="J68" s="164"/>
      <c r="K68" s="165">
        <f t="shared" si="8"/>
        <v>0</v>
      </c>
      <c r="L68" s="165">
        <f t="shared" si="2"/>
        <v>0</v>
      </c>
      <c r="M68" s="278"/>
      <c r="N68" s="136"/>
      <c r="O68" s="136"/>
      <c r="P68" s="166"/>
      <c r="Q68" s="141"/>
      <c r="R68" s="141"/>
      <c r="S68" s="141"/>
      <c r="T68" s="141"/>
      <c r="U68" s="167"/>
      <c r="V68" s="167"/>
      <c r="W68" s="168">
        <f t="shared" si="9"/>
        <v>0</v>
      </c>
      <c r="X68" s="169">
        <f t="shared" si="3"/>
        <v>0</v>
      </c>
      <c r="Y68" s="169">
        <f t="shared" si="4"/>
        <v>0</v>
      </c>
      <c r="Z68" s="227">
        <f t="shared" si="5"/>
        <v>0</v>
      </c>
      <c r="AA68" s="227">
        <f t="shared" si="6"/>
        <v>0</v>
      </c>
      <c r="AB68" s="227">
        <f t="shared" si="7"/>
        <v>0</v>
      </c>
      <c r="AC68" s="170"/>
      <c r="AD68" s="182"/>
      <c r="AE68" s="147"/>
      <c r="AF68" s="149"/>
      <c r="AG68" s="149"/>
      <c r="AH68" s="156"/>
      <c r="AI68" s="156"/>
      <c r="AJ68" s="156"/>
      <c r="AK68" s="156"/>
      <c r="AL68" s="156"/>
      <c r="AM68" s="156"/>
      <c r="AN68" s="156"/>
      <c r="AO68" s="156"/>
      <c r="AP68" s="156"/>
      <c r="AS68" s="170"/>
      <c r="AT68" s="170"/>
      <c r="AU68" s="170"/>
      <c r="AV68" s="156"/>
      <c r="BE68" s="156"/>
      <c r="BF68" s="156"/>
      <c r="BG68" s="156"/>
      <c r="BH68" s="156"/>
      <c r="BI68" s="156"/>
      <c r="BJ68" s="156"/>
      <c r="BK68" s="156"/>
      <c r="BL68" s="156"/>
      <c r="BM68" s="156"/>
    </row>
    <row r="69" spans="1:73" s="127" customFormat="1" ht="14.25" customHeight="1">
      <c r="A69" s="157"/>
      <c r="B69" s="596"/>
      <c r="C69" s="158"/>
      <c r="D69" s="159"/>
      <c r="E69" s="160"/>
      <c r="F69" s="161"/>
      <c r="G69" s="161"/>
      <c r="H69" s="162">
        <f t="shared" si="1"/>
        <v>0</v>
      </c>
      <c r="I69" s="163"/>
      <c r="J69" s="164"/>
      <c r="K69" s="165">
        <f t="shared" si="8"/>
        <v>0</v>
      </c>
      <c r="L69" s="165">
        <f t="shared" si="2"/>
        <v>0</v>
      </c>
      <c r="M69" s="278"/>
      <c r="N69" s="136"/>
      <c r="O69" s="136"/>
      <c r="P69" s="166"/>
      <c r="Q69" s="141"/>
      <c r="R69" s="141"/>
      <c r="S69" s="141"/>
      <c r="T69" s="141"/>
      <c r="U69" s="167"/>
      <c r="V69" s="167"/>
      <c r="W69" s="168">
        <f t="shared" si="9"/>
        <v>0</v>
      </c>
      <c r="X69" s="169">
        <f t="shared" si="3"/>
        <v>0</v>
      </c>
      <c r="Y69" s="169">
        <f t="shared" si="4"/>
        <v>0</v>
      </c>
      <c r="Z69" s="227">
        <f t="shared" si="5"/>
        <v>0</v>
      </c>
      <c r="AA69" s="227">
        <f t="shared" si="6"/>
        <v>0</v>
      </c>
      <c r="AB69" s="227">
        <f t="shared" si="7"/>
        <v>0</v>
      </c>
      <c r="AC69" s="170"/>
      <c r="AD69" s="182"/>
      <c r="AE69" s="147"/>
      <c r="AF69" s="149"/>
      <c r="AG69" s="149"/>
      <c r="AH69" s="156"/>
      <c r="AI69" s="156"/>
      <c r="AJ69" s="156"/>
      <c r="AK69" s="156"/>
      <c r="AL69" s="156"/>
      <c r="AM69" s="156"/>
      <c r="AN69" s="156"/>
      <c r="AO69" s="156"/>
      <c r="AP69" s="156"/>
      <c r="AS69" s="170"/>
      <c r="AT69" s="170"/>
      <c r="AU69" s="170"/>
      <c r="AV69" s="156"/>
      <c r="BE69" s="156"/>
      <c r="BF69" s="156"/>
      <c r="BG69" s="156"/>
      <c r="BH69" s="156"/>
      <c r="BI69" s="156"/>
      <c r="BJ69" s="156"/>
      <c r="BK69" s="156"/>
      <c r="BL69" s="156"/>
      <c r="BM69" s="156"/>
    </row>
    <row r="70" spans="1:73" s="127" customFormat="1" ht="14.25" customHeight="1">
      <c r="A70" s="171" t="s">
        <v>337</v>
      </c>
      <c r="B70" s="597"/>
      <c r="C70" s="172"/>
      <c r="D70" s="173"/>
      <c r="E70" s="174">
        <f>AT113</f>
        <v>104925.05175841734</v>
      </c>
      <c r="F70" s="175"/>
      <c r="G70" s="176"/>
      <c r="H70" s="178">
        <f>IF(AV114=0,0,AT114/AV114*100)</f>
        <v>56.381857972115576</v>
      </c>
      <c r="I70" s="568"/>
      <c r="J70" s="177"/>
      <c r="K70" s="178">
        <f>AT131</f>
        <v>143.60400009478988</v>
      </c>
      <c r="L70" s="178">
        <f>AT132</f>
        <v>5.5854983372300646</v>
      </c>
      <c r="M70" s="181">
        <f>AT133</f>
        <v>25.710150003554624</v>
      </c>
      <c r="N70" s="178">
        <f>AT134</f>
        <v>1.1828448976690107</v>
      </c>
      <c r="O70" s="178">
        <f>AT135</f>
        <v>15.771265302253475</v>
      </c>
      <c r="P70" s="180">
        <f>AT136</f>
        <v>1.9714081627816845E-2</v>
      </c>
      <c r="Q70" s="181">
        <f>AT137</f>
        <v>0.90714795930457892</v>
      </c>
      <c r="R70" s="181">
        <f>AT138</f>
        <v>0.20699785709207688</v>
      </c>
      <c r="S70" s="181">
        <f>AT139</f>
        <v>0.11828448976690108</v>
      </c>
      <c r="T70" s="181">
        <f>AT140</f>
        <v>0</v>
      </c>
      <c r="U70" s="179"/>
      <c r="V70" s="177"/>
      <c r="W70" s="174" t="s">
        <v>51</v>
      </c>
      <c r="X70" s="174" t="s">
        <v>51</v>
      </c>
      <c r="Y70" s="174" t="s">
        <v>51</v>
      </c>
      <c r="AC70" s="147"/>
      <c r="AE70" s="147"/>
      <c r="AF70" s="147"/>
      <c r="AG70" s="147"/>
      <c r="AH70" s="156"/>
      <c r="AI70" s="156"/>
      <c r="AJ70" s="156"/>
      <c r="AK70" s="156"/>
      <c r="AL70" s="156"/>
      <c r="AM70" s="156"/>
      <c r="AN70" s="156"/>
      <c r="AO70" s="156"/>
      <c r="AP70" s="156"/>
      <c r="AQ70" s="182"/>
      <c r="AR70" s="182"/>
      <c r="AS70" s="183"/>
      <c r="AT70" s="183"/>
      <c r="AU70" s="183"/>
      <c r="AV70" s="147"/>
      <c r="BE70" s="156"/>
      <c r="BF70" s="156"/>
      <c r="BG70" s="156"/>
      <c r="BH70" s="156"/>
      <c r="BI70" s="156"/>
      <c r="BJ70" s="156"/>
      <c r="BK70" s="156"/>
      <c r="BL70" s="156"/>
      <c r="BM70" s="156"/>
    </row>
    <row r="71" spans="1:73" s="127" customFormat="1" ht="14.25" customHeight="1">
      <c r="A71" s="171" t="s">
        <v>338</v>
      </c>
      <c r="B71" s="597"/>
      <c r="C71" s="172"/>
      <c r="D71" s="184"/>
      <c r="E71" s="174">
        <f>AU113</f>
        <v>128610.96959038431</v>
      </c>
      <c r="F71" s="185"/>
      <c r="G71" s="147"/>
      <c r="H71" s="178">
        <f>IF(AV114=0,0,AU114/AV114*100)</f>
        <v>43.61814202788441</v>
      </c>
      <c r="I71" s="566"/>
      <c r="J71" s="186"/>
      <c r="K71" s="178">
        <f>AU131</f>
        <v>21.594614510912461</v>
      </c>
      <c r="L71" s="178">
        <f>AU132</f>
        <v>1.330797224627096</v>
      </c>
      <c r="M71" s="181">
        <f>AU133</f>
        <v>16.226825628497618</v>
      </c>
      <c r="N71" s="178">
        <f>AU134</f>
        <v>24.071898351779367</v>
      </c>
      <c r="O71" s="178">
        <f>AU135</f>
        <v>10.303104420478958</v>
      </c>
      <c r="P71" s="180">
        <f>AU136</f>
        <v>0.25538171182050717</v>
      </c>
      <c r="Q71" s="181">
        <f>AU137</f>
        <v>0.41042597727784041</v>
      </c>
      <c r="R71" s="181">
        <f>AU138</f>
        <v>0.22655168896286978</v>
      </c>
      <c r="S71" s="181">
        <f>AU139</f>
        <v>0.17965758333412565</v>
      </c>
      <c r="T71" s="181">
        <f>AU140</f>
        <v>0</v>
      </c>
      <c r="U71" s="187"/>
      <c r="V71" s="186"/>
      <c r="W71" s="174">
        <f>SUM(W21:W69)</f>
        <v>8879339.0306828283</v>
      </c>
      <c r="X71" s="178">
        <f>IF(AU114=0,0,W71/AU114)</f>
        <v>4.2547011126029686</v>
      </c>
      <c r="Y71" s="178">
        <f>IF(E71=0,0,W71/E71)</f>
        <v>69.040293055583177</v>
      </c>
      <c r="Z71" s="188"/>
      <c r="AC71" s="147"/>
      <c r="AD71" s="147"/>
      <c r="AE71" s="147"/>
      <c r="AF71" s="147"/>
      <c r="AG71" s="147"/>
      <c r="AH71" s="156"/>
      <c r="AI71" s="156"/>
      <c r="AJ71" s="156"/>
      <c r="AK71" s="156"/>
      <c r="AL71" s="156"/>
      <c r="AM71" s="156"/>
      <c r="AN71" s="156"/>
      <c r="AO71" s="156"/>
      <c r="AP71" s="156"/>
      <c r="AQ71" s="182"/>
      <c r="AR71" s="182"/>
      <c r="AS71" s="183"/>
      <c r="AT71" s="183"/>
      <c r="AU71" s="183"/>
      <c r="AV71" s="147"/>
      <c r="BE71" s="156"/>
      <c r="BF71" s="156"/>
      <c r="BG71" s="156"/>
      <c r="BH71" s="156"/>
      <c r="BI71" s="156"/>
      <c r="BJ71" s="156"/>
      <c r="BK71" s="156"/>
      <c r="BL71" s="156"/>
      <c r="BM71" s="156"/>
    </row>
    <row r="72" spans="1:73" s="127" customFormat="1" ht="14.25" customHeight="1">
      <c r="D72" s="313"/>
      <c r="E72" s="312"/>
      <c r="G72" s="189"/>
      <c r="W72" s="190"/>
      <c r="X72" s="191"/>
      <c r="AC72" s="147"/>
      <c r="AD72" s="147"/>
      <c r="AE72" s="147"/>
      <c r="AF72" s="147"/>
      <c r="AG72" s="147"/>
      <c r="AH72" s="156"/>
      <c r="AI72" s="156"/>
      <c r="AJ72" s="156"/>
      <c r="AK72" s="156"/>
      <c r="AL72" s="156"/>
      <c r="AM72" s="156"/>
      <c r="AN72" s="156"/>
      <c r="AO72" s="156"/>
      <c r="AP72" s="156"/>
      <c r="AQ72" s="182"/>
      <c r="AR72" s="182"/>
      <c r="AS72" s="183"/>
      <c r="AT72" s="183"/>
      <c r="AU72" s="183"/>
      <c r="AV72" s="147"/>
      <c r="BE72" s="156"/>
      <c r="BF72" s="156"/>
      <c r="BG72" s="156"/>
      <c r="BH72" s="156"/>
      <c r="BI72" s="156"/>
      <c r="BJ72" s="156"/>
      <c r="BK72" s="156"/>
      <c r="BL72" s="156"/>
      <c r="BM72" s="156"/>
    </row>
    <row r="73" spans="1:73" s="127" customFormat="1" ht="14.25" customHeight="1">
      <c r="A73" s="779" t="s">
        <v>804</v>
      </c>
      <c r="B73" s="830"/>
      <c r="C73" s="247" t="str">
        <f>$D$3</f>
        <v>Simulation</v>
      </c>
      <c r="D73" s="131" t="str">
        <f>Baseline!$D$3</f>
        <v>Baseline</v>
      </c>
      <c r="E73" s="311"/>
      <c r="F73" s="779" t="s">
        <v>678</v>
      </c>
      <c r="G73" s="830"/>
      <c r="H73" s="247" t="str">
        <f>$D$3</f>
        <v>Simulation</v>
      </c>
      <c r="I73" s="131" t="str">
        <f>Baseline!$D$3</f>
        <v>Baseline</v>
      </c>
      <c r="K73" s="270" t="s">
        <v>332</v>
      </c>
      <c r="L73" s="863" t="str">
        <f>D3</f>
        <v>Simulation</v>
      </c>
      <c r="M73" s="864"/>
      <c r="N73" s="873" t="str">
        <f>Baseline!$D$3</f>
        <v>Baseline</v>
      </c>
      <c r="O73" s="810"/>
      <c r="Q73" s="860" t="s">
        <v>547</v>
      </c>
      <c r="R73" s="861"/>
      <c r="S73" s="861"/>
      <c r="T73" s="861"/>
      <c r="U73" s="861"/>
      <c r="V73" s="861"/>
      <c r="W73" s="862"/>
      <c r="X73" s="247" t="str">
        <f>$D$3</f>
        <v>Simulation</v>
      </c>
      <c r="Y73" s="131" t="str">
        <f>Baseline!$D$3</f>
        <v>Baseline</v>
      </c>
      <c r="AC73" s="147"/>
      <c r="AD73" s="147"/>
      <c r="AE73" s="147"/>
      <c r="AF73" s="147"/>
      <c r="AG73" s="147"/>
      <c r="AH73" s="156"/>
      <c r="AI73" s="193"/>
      <c r="AJ73" s="170"/>
      <c r="AK73" s="170"/>
      <c r="AL73" s="170"/>
      <c r="AM73" s="170"/>
      <c r="AN73" s="170"/>
      <c r="AO73" s="170"/>
      <c r="AP73" s="193"/>
      <c r="AQ73" s="145"/>
      <c r="AR73" s="145"/>
      <c r="AS73" s="183"/>
      <c r="AT73" s="183"/>
      <c r="AU73" s="183"/>
      <c r="AV73" s="147"/>
      <c r="BE73" s="156"/>
      <c r="BF73" s="156"/>
      <c r="BG73" s="156"/>
      <c r="BH73" s="156"/>
      <c r="BI73" s="194"/>
      <c r="BJ73" s="156"/>
      <c r="BK73" s="194"/>
      <c r="BL73" s="195"/>
      <c r="BM73" s="156"/>
    </row>
    <row r="74" spans="1:73" s="127" customFormat="1" ht="14.25" customHeight="1">
      <c r="A74" s="608" t="s">
        <v>801</v>
      </c>
      <c r="B74" s="521" t="s">
        <v>550</v>
      </c>
      <c r="C74" s="197">
        <f>C80-SUM(C75:C79)</f>
        <v>3296.3211127374148</v>
      </c>
      <c r="D74" s="198">
        <f>Baseline!STECsf</f>
        <v>3296.3211127374148</v>
      </c>
      <c r="F74" s="199" t="s">
        <v>336</v>
      </c>
      <c r="G74" s="288"/>
      <c r="H74" s="160" t="s">
        <v>290</v>
      </c>
      <c r="I74" s="198" t="str">
        <f>Baseline!H74</f>
        <v>No</v>
      </c>
      <c r="K74" s="271"/>
      <c r="L74" s="599" t="s">
        <v>110</v>
      </c>
      <c r="M74" s="599" t="s">
        <v>333</v>
      </c>
      <c r="N74" s="271" t="s">
        <v>110</v>
      </c>
      <c r="O74" s="271" t="s">
        <v>333</v>
      </c>
      <c r="Q74" s="769" t="s">
        <v>689</v>
      </c>
      <c r="R74" s="293"/>
      <c r="S74" s="293"/>
      <c r="T74" s="293"/>
      <c r="U74" s="293"/>
      <c r="V74" s="293"/>
      <c r="W74" s="611" t="str">
        <f>LocCur&amp;"/t cli"</f>
        <v>USD/t cli</v>
      </c>
      <c r="X74" s="201">
        <f>IF(K11=0,0,SUMPRODUCT(K21:K69,E21:E69)/K11)</f>
        <v>12.778020935084003</v>
      </c>
      <c r="Y74" s="165">
        <f>Baseline!TECpT</f>
        <v>18.194375814795272</v>
      </c>
      <c r="AD74" s="358"/>
      <c r="AJ74" s="156"/>
      <c r="AK74" s="156"/>
      <c r="AL74" s="156"/>
      <c r="AM74" s="156"/>
      <c r="AN74" s="156"/>
      <c r="AO74" s="156"/>
      <c r="AP74" s="156"/>
      <c r="AQ74" s="182" t="s">
        <v>114</v>
      </c>
      <c r="AR74" s="182"/>
      <c r="AS74" s="183"/>
      <c r="AT74" s="183"/>
      <c r="AU74" s="183"/>
      <c r="AV74" s="149"/>
      <c r="BE74" s="156"/>
      <c r="BF74" s="156"/>
      <c r="BG74" s="156"/>
      <c r="BH74" s="156"/>
      <c r="BI74" s="147"/>
      <c r="BJ74" s="156"/>
      <c r="BK74" s="203"/>
      <c r="BL74" s="147"/>
      <c r="BM74" s="156"/>
    </row>
    <row r="75" spans="1:73" s="127" customFormat="1" ht="14.25" customHeight="1">
      <c r="A75" s="827" t="s">
        <v>802</v>
      </c>
      <c r="B75" s="288" t="s">
        <v>754</v>
      </c>
      <c r="C75" s="197">
        <f>AT130-AG130</f>
        <v>-7.129941872218712</v>
      </c>
      <c r="D75" s="198">
        <f>Baseline!C75</f>
        <v>3.678887262585409</v>
      </c>
      <c r="F75" s="372" t="s">
        <v>692</v>
      </c>
      <c r="G75" s="288"/>
      <c r="H75" s="374">
        <v>0</v>
      </c>
      <c r="I75" s="375">
        <f>Baseline!H75</f>
        <v>0</v>
      </c>
      <c r="K75" s="205" t="str">
        <f>AG146</f>
        <v>BZ</v>
      </c>
      <c r="L75" s="206">
        <f>IF($AV$114=0,0,AU104/$AV$114*100)</f>
        <v>4.3890939317251139</v>
      </c>
      <c r="M75" s="206">
        <f>SUMIFS($H$21:$H$69,$F$21:$F$69,"="&amp;K75)</f>
        <v>40.000000136865502</v>
      </c>
      <c r="N75" s="248">
        <f>Baseline!L75</f>
        <v>0</v>
      </c>
      <c r="O75" s="248">
        <f>Baseline!M75</f>
        <v>39.999791691823681</v>
      </c>
      <c r="Q75" s="771"/>
      <c r="R75" s="389"/>
      <c r="S75" s="389"/>
      <c r="T75" s="389"/>
      <c r="U75" s="389"/>
      <c r="V75" s="389"/>
      <c r="W75" s="288" t="str">
        <f>LocCur&amp;"/GJ"</f>
        <v>USD/GJ</v>
      </c>
      <c r="X75" s="207">
        <f>IF(SUMPRODUCT(E21:E69,M21:M69)=0,0,SUMPRODUCT(E21:E69,K21:K69)/SUMPRODUCT(E21:E69,M21:M69))</f>
        <v>3.7296767630729213</v>
      </c>
      <c r="Y75" s="207">
        <f>Baseline!TECpG</f>
        <v>5.5134604512280578</v>
      </c>
      <c r="AD75" s="358"/>
      <c r="AJ75" s="124"/>
      <c r="AK75" s="124"/>
      <c r="AL75" s="124"/>
      <c r="AM75" s="124"/>
      <c r="AN75" s="124"/>
      <c r="AO75" s="124"/>
      <c r="AP75" s="124"/>
      <c r="AQ75" s="182"/>
      <c r="AR75" s="182"/>
      <c r="AS75" s="183"/>
      <c r="AT75" s="183"/>
      <c r="AU75" s="183"/>
      <c r="AV75" s="149"/>
      <c r="BE75" s="156"/>
      <c r="BF75" s="156"/>
      <c r="BG75" s="156"/>
      <c r="BH75" s="156"/>
      <c r="BI75" s="124"/>
      <c r="BJ75" s="124"/>
      <c r="BK75" s="124"/>
      <c r="BL75" s="124"/>
      <c r="BM75" s="124"/>
    </row>
    <row r="76" spans="1:73" s="127" customFormat="1" ht="14.25" customHeight="1">
      <c r="A76" s="803"/>
      <c r="B76" s="288" t="s">
        <v>755</v>
      </c>
      <c r="C76" s="197">
        <f>AU130</f>
        <v>136.84860377846266</v>
      </c>
      <c r="D76" s="198">
        <f>Baseline!C76</f>
        <v>0</v>
      </c>
      <c r="F76" s="372" t="s">
        <v>693</v>
      </c>
      <c r="G76" s="288"/>
      <c r="H76" s="374">
        <v>0</v>
      </c>
      <c r="I76" s="375">
        <f>Baseline!H76</f>
        <v>0</v>
      </c>
      <c r="K76" s="205" t="str">
        <f>AG147</f>
        <v>ILC</v>
      </c>
      <c r="L76" s="206">
        <f>IF($AV$114=0,0,AU106/$AV$114*100)</f>
        <v>34.229048056448633</v>
      </c>
      <c r="M76" s="206">
        <f>SUMIFS($H$21:$H$69,$F$21:$F$69,"="&amp;K76)</f>
        <v>54.999999823423821</v>
      </c>
      <c r="N76" s="248">
        <f>Baseline!L76</f>
        <v>0</v>
      </c>
      <c r="O76" s="248">
        <f>Baseline!M76</f>
        <v>60.000208308176326</v>
      </c>
      <c r="Q76" s="370" t="s">
        <v>722</v>
      </c>
      <c r="W76" s="288" t="str">
        <f>LocCur&amp;"/"&amp;D13</f>
        <v>USD/year</v>
      </c>
      <c r="X76" s="242">
        <f>CLI*TECpT</f>
        <v>17844961.452840623</v>
      </c>
      <c r="Y76" s="242">
        <f>Baseline!X76</f>
        <v>25409094</v>
      </c>
      <c r="AJ76" s="182"/>
      <c r="AK76" s="124"/>
      <c r="AL76" s="124"/>
      <c r="AM76" s="124"/>
      <c r="AN76" s="124"/>
      <c r="AO76" s="124"/>
      <c r="AP76" s="124"/>
      <c r="AQ76" s="183"/>
      <c r="AR76" s="183"/>
      <c r="AS76" s="183"/>
      <c r="AT76" s="183"/>
      <c r="AU76" s="183"/>
      <c r="AV76" s="147"/>
      <c r="BE76" s="147"/>
      <c r="BF76" s="147"/>
      <c r="BG76" s="147"/>
      <c r="BH76" s="147"/>
      <c r="BI76" s="182"/>
      <c r="BJ76" s="182"/>
      <c r="BK76" s="147"/>
      <c r="BL76" s="147"/>
      <c r="BM76" s="147"/>
    </row>
    <row r="77" spans="1:73" s="127" customFormat="1" ht="14.25" customHeight="1">
      <c r="A77" s="803"/>
      <c r="B77" s="521" t="s">
        <v>756</v>
      </c>
      <c r="C77" s="197">
        <f>H75*Guidelines!$M$233+H76*Guidelines!$M$234</f>
        <v>0</v>
      </c>
      <c r="D77" s="198">
        <f>Baseline!C77</f>
        <v>0</v>
      </c>
      <c r="K77" s="205" t="str">
        <f>AG148</f>
        <v>SLC/OLC/MFC</v>
      </c>
      <c r="L77" s="206">
        <f>IF($AV$114=0,0,AU108/$AV$114*100)</f>
        <v>0</v>
      </c>
      <c r="M77" s="206">
        <f>SUMIFS($H$21:$H$69,$F$21:$F$69,"="&amp;K77)</f>
        <v>0</v>
      </c>
      <c r="N77" s="248">
        <f>Baseline!L77</f>
        <v>0</v>
      </c>
      <c r="O77" s="248">
        <f>Baseline!M77</f>
        <v>0</v>
      </c>
      <c r="Q77" s="522" t="s">
        <v>111</v>
      </c>
      <c r="R77" s="211"/>
      <c r="S77" s="211"/>
      <c r="T77" s="211"/>
      <c r="U77" s="211"/>
      <c r="V77" s="211"/>
      <c r="W77" s="288"/>
      <c r="X77" s="201">
        <f>IF(SUMPRODUCT(AH113:AM113,AH131:AM131)=0,0,(1-(SUMPRODUCT(K21:K69,E21:E69)*(1-X78/100)/SUMPRODUCT(AH113:AM113,AH131:AM131)))*100)</f>
        <v>33.225711693210769</v>
      </c>
      <c r="Y77" s="165">
        <f>Baseline!TEE</f>
        <v>0</v>
      </c>
      <c r="AJ77" s="182"/>
      <c r="AK77" s="124"/>
      <c r="AL77" s="124"/>
      <c r="AM77" s="124"/>
      <c r="AN77" s="124"/>
      <c r="AO77" s="124"/>
      <c r="AP77" s="124"/>
      <c r="AQ77" s="124"/>
      <c r="AR77" s="124"/>
      <c r="AS77" s="183"/>
      <c r="AT77" s="183"/>
      <c r="AU77" s="183"/>
      <c r="AV77" s="124"/>
      <c r="BE77" s="147"/>
      <c r="BF77" s="147"/>
      <c r="BG77" s="147"/>
      <c r="BH77" s="147"/>
      <c r="BI77" s="182"/>
      <c r="BJ77" s="182"/>
      <c r="BK77" s="124"/>
      <c r="BL77" s="124"/>
      <c r="BM77" s="147"/>
    </row>
    <row r="78" spans="1:73" s="127" customFormat="1" ht="14.25" customHeight="1">
      <c r="A78" s="803"/>
      <c r="B78" s="521" t="s">
        <v>753</v>
      </c>
      <c r="C78" s="197">
        <f>SUM(E86:E90)</f>
        <v>0</v>
      </c>
      <c r="D78" s="198">
        <f>Baseline!C78</f>
        <v>0</v>
      </c>
      <c r="F78" s="815" t="s">
        <v>679</v>
      </c>
      <c r="G78" s="817"/>
      <c r="H78" s="247" t="str">
        <f>$D$3</f>
        <v>Simulation</v>
      </c>
      <c r="I78" s="131" t="str">
        <f>Baseline!$D$3</f>
        <v>Baseline</v>
      </c>
      <c r="K78" s="205" t="str">
        <f>AG149</f>
        <v>PCC</v>
      </c>
      <c r="L78" s="206">
        <f>IF($AV$114=0,0,AU110/$AV$114*100)</f>
        <v>0</v>
      </c>
      <c r="M78" s="206">
        <f>SUMIFS($H$21:$H$69,$F$21:$F$69,"="&amp;K78)</f>
        <v>0</v>
      </c>
      <c r="N78" s="248">
        <f>Baseline!L78</f>
        <v>0</v>
      </c>
      <c r="O78" s="248">
        <f>Baseline!M78</f>
        <v>0</v>
      </c>
      <c r="Q78" s="522" t="s">
        <v>110</v>
      </c>
      <c r="R78" s="211"/>
      <c r="S78" s="211"/>
      <c r="T78" s="211"/>
      <c r="U78" s="211"/>
      <c r="V78" s="211"/>
      <c r="W78" s="288"/>
      <c r="X78" s="201">
        <f>H71</f>
        <v>43.61814202788441</v>
      </c>
      <c r="Y78" s="165">
        <f>Baseline!TSR</f>
        <v>0</v>
      </c>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47"/>
      <c r="BI78" s="182"/>
      <c r="BJ78" s="182"/>
      <c r="BK78" s="145"/>
      <c r="BL78" s="182"/>
      <c r="BM78" s="182"/>
      <c r="BN78" s="182"/>
      <c r="BO78" s="182"/>
      <c r="BP78" s="182"/>
      <c r="BQ78" s="182"/>
      <c r="BR78" s="182"/>
      <c r="BS78" s="183"/>
      <c r="BT78" s="124"/>
      <c r="BU78" s="124"/>
    </row>
    <row r="79" spans="1:73" s="127" customFormat="1" ht="14.25" customHeight="1">
      <c r="A79" s="804"/>
      <c r="B79" s="288" t="s">
        <v>677</v>
      </c>
      <c r="C79" s="369">
        <v>0</v>
      </c>
      <c r="D79" s="198">
        <f>Baseline!C79</f>
        <v>0</v>
      </c>
      <c r="F79" s="751" t="s">
        <v>754</v>
      </c>
      <c r="G79" s="288" t="s">
        <v>306</v>
      </c>
      <c r="H79" s="210">
        <f>AT123</f>
        <v>0</v>
      </c>
      <c r="I79" s="252">
        <f>Baseline!H79</f>
        <v>0</v>
      </c>
      <c r="K79" s="205" t="str">
        <f>AG150</f>
        <v>SF</v>
      </c>
      <c r="L79" s="206">
        <f>IF($AV$114=0,0,AU112/$AV$114*100)</f>
        <v>5.0000000397106579</v>
      </c>
      <c r="M79" s="206">
        <f>SUMIFS($H$21:$H$69,$F$21:$F$69,"="&amp;K79)</f>
        <v>5.0000000397106579</v>
      </c>
      <c r="N79" s="248">
        <f>Baseline!L79</f>
        <v>0</v>
      </c>
      <c r="O79" s="248">
        <f>Baseline!M79</f>
        <v>0</v>
      </c>
      <c r="Q79" s="287" t="s">
        <v>259</v>
      </c>
      <c r="R79" s="211"/>
      <c r="S79" s="211"/>
      <c r="T79" s="211"/>
      <c r="U79" s="211"/>
      <c r="V79" s="211"/>
      <c r="W79" s="288"/>
      <c r="X79" s="213">
        <f>IF(X78=0,0,X77/X78)</f>
        <v>0.76174064617355963</v>
      </c>
      <c r="Y79" s="214" t="str">
        <f>IF(Y78=0,"-",Y77/Y78)</f>
        <v>-</v>
      </c>
      <c r="Z79" s="218"/>
      <c r="BF79" s="124"/>
      <c r="BG79" s="182"/>
      <c r="BH79" s="182"/>
      <c r="BI79" s="182"/>
      <c r="BJ79" s="182"/>
      <c r="BK79" s="145"/>
      <c r="BL79" s="182"/>
      <c r="BM79" s="182"/>
      <c r="BN79" s="182"/>
      <c r="BO79" s="182"/>
      <c r="BP79" s="182"/>
      <c r="BQ79" s="182"/>
      <c r="BR79" s="182"/>
      <c r="BS79" s="183"/>
      <c r="BT79" s="124"/>
      <c r="BU79" s="124"/>
    </row>
    <row r="80" spans="1:73" s="127" customFormat="1" ht="14.25" customHeight="1">
      <c r="A80" s="803" t="s">
        <v>803</v>
      </c>
      <c r="B80" s="288" t="s">
        <v>490</v>
      </c>
      <c r="C80" s="197">
        <f>Baseline!C80-SUM(Baseline!C75:C79)+SUM('Solids+Liquids'!C75:C79)</f>
        <v>3426.0397746436588</v>
      </c>
      <c r="D80" s="198">
        <f>Baseline!C80</f>
        <v>3300</v>
      </c>
      <c r="F80" s="752"/>
      <c r="G80" s="288" t="s">
        <v>310</v>
      </c>
      <c r="H80" s="212"/>
      <c r="I80" s="252">
        <f>Baseline!H80</f>
        <v>0</v>
      </c>
      <c r="K80" s="205" t="s">
        <v>60</v>
      </c>
      <c r="L80" s="206">
        <f>SUM(L75:L79)</f>
        <v>43.618142027884403</v>
      </c>
      <c r="M80" s="206">
        <f>SUM(M75:M79)</f>
        <v>99.999999999999986</v>
      </c>
      <c r="N80" s="206">
        <f>SUM(N75:N79)</f>
        <v>0</v>
      </c>
      <c r="O80" s="206">
        <f>SUM(O75:O79)</f>
        <v>100</v>
      </c>
      <c r="Q80" s="593" t="str">
        <f>"SPCs, "&amp;LocCur&amp;"/a"</f>
        <v>SPCs, USD/a</v>
      </c>
      <c r="R80" s="211"/>
      <c r="S80" s="211"/>
      <c r="T80" s="211"/>
      <c r="U80" s="211"/>
      <c r="V80" s="211"/>
      <c r="W80" s="288"/>
      <c r="X80" s="594">
        <v>-500000</v>
      </c>
      <c r="Y80" s="284">
        <f>Baseline!X80</f>
        <v>0</v>
      </c>
      <c r="Z80" s="218"/>
      <c r="BF80" s="124"/>
      <c r="BG80" s="182"/>
      <c r="BH80" s="182"/>
      <c r="BI80" s="182"/>
      <c r="BJ80" s="182"/>
      <c r="BK80" s="145"/>
      <c r="BL80" s="182"/>
      <c r="BM80" s="182"/>
      <c r="BN80" s="182"/>
      <c r="BO80" s="182"/>
      <c r="BP80" s="182"/>
      <c r="BQ80" s="182"/>
      <c r="BR80" s="182"/>
      <c r="BS80" s="183"/>
      <c r="BT80" s="124"/>
      <c r="BU80" s="124"/>
    </row>
    <row r="81" spans="1:73" s="127" customFormat="1" ht="14.25" customHeight="1">
      <c r="A81" s="804"/>
      <c r="B81" s="288" t="s">
        <v>549</v>
      </c>
      <c r="C81" s="198">
        <f>IF(K11=0,,(SUMPRODUCT(M21:M69,E21:E69))*1000/K11)</f>
        <v>3426.0397741696129</v>
      </c>
      <c r="D81" s="198">
        <f>Baseline!C81</f>
        <v>3299.9920786123876</v>
      </c>
      <c r="E81" s="219"/>
      <c r="F81" s="751" t="s">
        <v>755</v>
      </c>
      <c r="G81" s="288" t="s">
        <v>306</v>
      </c>
      <c r="H81" s="210">
        <f>AU123</f>
        <v>1.0010253747367031</v>
      </c>
      <c r="I81" s="252">
        <f>Baseline!H81</f>
        <v>0</v>
      </c>
      <c r="Q81" s="522" t="str">
        <f>IF(SPC=0,"Op. GAV AF, ","GAV AF, ")&amp;LocCur&amp;"/a"</f>
        <v>GAV AF, USD/a</v>
      </c>
      <c r="R81" s="211"/>
      <c r="S81" s="211"/>
      <c r="T81" s="211"/>
      <c r="U81" s="211"/>
      <c r="V81" s="211"/>
      <c r="W81" s="288"/>
      <c r="X81" s="198">
        <f>IF(AV114=0,0,SUMPRODUCT(AH113:AM113,AH131:AM131)/(1-X78/100)-SUMPRODUCT(AH113:AM113,AH131:AM131)-SUMPRODUCT(AN113:AS113,AN131:AS131)+$D$15*(AV146+AV147)/AV114*AV150)+X80</f>
        <v>8379339.0306828283</v>
      </c>
      <c r="Y81" s="284">
        <f>Baseline!X81</f>
        <v>0</v>
      </c>
      <c r="AD81" s="544"/>
      <c r="AF81" s="124"/>
      <c r="AG81" s="124"/>
      <c r="AH81" s="182"/>
      <c r="AI81" s="182"/>
      <c r="BF81" s="124"/>
      <c r="BG81" s="182"/>
      <c r="BH81" s="182"/>
      <c r="BI81" s="182"/>
      <c r="BJ81" s="182"/>
      <c r="BK81" s="182"/>
      <c r="BL81" s="182"/>
      <c r="BM81" s="182"/>
      <c r="BN81" s="182"/>
      <c r="BO81" s="182"/>
      <c r="BP81" s="182"/>
      <c r="BQ81" s="182"/>
      <c r="BR81" s="182"/>
      <c r="BS81" s="183"/>
      <c r="BT81" s="124"/>
      <c r="BU81" s="124"/>
    </row>
    <row r="82" spans="1:73" s="127" customFormat="1" ht="14.25" customHeight="1">
      <c r="A82" s="287" t="s">
        <v>335</v>
      </c>
      <c r="B82" s="215"/>
      <c r="C82" s="197">
        <f>C81-C80</f>
        <v>-4.7404591896338388E-7</v>
      </c>
      <c r="D82" s="198">
        <f>Baseline!C82</f>
        <v>-7.9213876124413218E-3</v>
      </c>
      <c r="E82" s="219"/>
      <c r="F82" s="752"/>
      <c r="G82" s="288" t="s">
        <v>310</v>
      </c>
      <c r="H82" s="212"/>
      <c r="I82" s="252">
        <f>Baseline!H82</f>
        <v>0</v>
      </c>
      <c r="L82" s="569"/>
      <c r="Q82" s="287" t="str">
        <f>LocCur&amp;":"&amp;IntCur&amp;" exchange rate"</f>
        <v>USD:CHF exchange rate</v>
      </c>
      <c r="R82" s="551"/>
      <c r="S82" s="551"/>
      <c r="T82" s="551"/>
      <c r="U82" s="551"/>
      <c r="V82" s="551"/>
      <c r="W82" s="288"/>
      <c r="X82" s="552">
        <v>1.05</v>
      </c>
      <c r="Y82" s="554">
        <f>Baseline!X82</f>
        <v>1.05</v>
      </c>
      <c r="AD82" s="544"/>
      <c r="AF82" s="124"/>
      <c r="AG82" s="124"/>
      <c r="AH82" s="182"/>
      <c r="AI82" s="182"/>
      <c r="BF82" s="124"/>
      <c r="BG82" s="182"/>
      <c r="BH82" s="182"/>
      <c r="BI82" s="182"/>
      <c r="BJ82" s="182"/>
      <c r="BK82" s="182"/>
      <c r="BL82" s="182"/>
      <c r="BM82" s="182"/>
      <c r="BN82" s="182"/>
      <c r="BO82" s="182"/>
      <c r="BP82" s="182"/>
      <c r="BQ82" s="182"/>
      <c r="BR82" s="182"/>
      <c r="BS82" s="183"/>
      <c r="BT82" s="124"/>
      <c r="BU82" s="124"/>
    </row>
    <row r="83" spans="1:73" s="127" customFormat="1" ht="14.25" customHeight="1" collapsed="1">
      <c r="E83" s="219"/>
      <c r="Q83" s="522" t="str">
        <f>IF(SPC=0,"Op. GAV AF, ","GAV AF, ")&amp;IntCur&amp;"/a"</f>
        <v>GAV AF, CHF/a</v>
      </c>
      <c r="R83" s="551"/>
      <c r="S83" s="551"/>
      <c r="T83" s="551"/>
      <c r="U83" s="551"/>
      <c r="V83" s="551"/>
      <c r="W83" s="288"/>
      <c r="X83" s="198">
        <f>IF(X82=0,0,X81/X82)</f>
        <v>7980322.8863645978</v>
      </c>
      <c r="Y83" s="198">
        <f>IF(Y82=0,0,Y81/Y82)</f>
        <v>0</v>
      </c>
      <c r="AF83" s="124"/>
      <c r="AG83" s="124"/>
      <c r="AH83" s="182"/>
      <c r="AI83" s="182"/>
      <c r="BF83" s="124"/>
      <c r="BG83" s="182"/>
      <c r="BH83" s="182"/>
      <c r="BI83" s="182"/>
      <c r="BJ83" s="182"/>
      <c r="BK83" s="182"/>
      <c r="BL83" s="182"/>
      <c r="BM83" s="182"/>
      <c r="BN83" s="182"/>
      <c r="BO83" s="182"/>
      <c r="BP83" s="182"/>
      <c r="BQ83" s="182"/>
      <c r="BR83" s="182"/>
      <c r="BS83" s="183"/>
      <c r="BT83" s="124"/>
      <c r="BU83" s="124"/>
    </row>
    <row r="84" spans="1:73" s="127" customFormat="1" ht="14.25" hidden="1" customHeight="1" outlineLevel="1">
      <c r="A84" s="767" t="s">
        <v>759</v>
      </c>
      <c r="B84" s="757" t="s">
        <v>815</v>
      </c>
      <c r="C84" s="758"/>
      <c r="D84" s="270" t="s">
        <v>735</v>
      </c>
      <c r="E84" s="270" t="s">
        <v>736</v>
      </c>
      <c r="AF84" s="124"/>
      <c r="AG84" s="124"/>
      <c r="AH84" s="182"/>
      <c r="AI84" s="182"/>
      <c r="BF84" s="124"/>
      <c r="BG84" s="182"/>
      <c r="BH84" s="182"/>
      <c r="BI84" s="182"/>
      <c r="BJ84" s="182"/>
      <c r="BK84" s="182"/>
      <c r="BL84" s="182"/>
      <c r="BM84" s="182"/>
      <c r="BN84" s="182"/>
      <c r="BO84" s="182"/>
      <c r="BP84" s="182"/>
      <c r="BQ84" s="182"/>
      <c r="BR84" s="182"/>
      <c r="BS84" s="183"/>
      <c r="BT84" s="124"/>
      <c r="BU84" s="124"/>
    </row>
    <row r="85" spans="1:73" s="127" customFormat="1" ht="14.25" hidden="1" customHeight="1" outlineLevel="1">
      <c r="A85" s="768"/>
      <c r="B85" s="759" t="s">
        <v>747</v>
      </c>
      <c r="C85" s="760"/>
      <c r="D85" s="271" t="s">
        <v>734</v>
      </c>
      <c r="E85" s="271" t="s">
        <v>358</v>
      </c>
      <c r="AF85" s="124"/>
      <c r="AG85" s="124"/>
      <c r="AH85" s="182"/>
      <c r="AI85" s="182"/>
      <c r="BF85" s="124"/>
      <c r="BG85" s="182"/>
      <c r="BH85" s="182"/>
      <c r="BI85" s="182"/>
      <c r="BJ85" s="182"/>
      <c r="BK85" s="182"/>
      <c r="BL85" s="182"/>
      <c r="BM85" s="182"/>
      <c r="BN85" s="182"/>
      <c r="BO85" s="182"/>
      <c r="BP85" s="182"/>
      <c r="BQ85" s="182"/>
      <c r="BR85" s="182"/>
      <c r="BS85" s="183"/>
      <c r="BT85" s="124"/>
      <c r="BU85" s="124"/>
    </row>
    <row r="86" spans="1:73" s="127" customFormat="1" ht="14.25" hidden="1" customHeight="1" outlineLevel="1">
      <c r="A86" s="205" t="s">
        <v>737</v>
      </c>
      <c r="B86" s="755"/>
      <c r="C86" s="756"/>
      <c r="D86" s="397"/>
      <c r="E86" s="398">
        <f>IF(OR(B86=$AE$154,B86=0),0,VLOOKUP(B86,Guidelines!$A$253:$H$260,6,FALSE)*D86*$K$9*$D$14*24*Guidelines!$M$232/CLI/100)</f>
        <v>0</v>
      </c>
      <c r="AF86" s="124"/>
      <c r="AG86" s="124"/>
      <c r="AH86" s="182"/>
      <c r="AI86" s="182"/>
      <c r="BF86" s="124"/>
      <c r="BG86" s="182"/>
      <c r="BH86" s="182"/>
      <c r="BI86" s="182"/>
      <c r="BJ86" s="182"/>
      <c r="BK86" s="182"/>
      <c r="BL86" s="182"/>
      <c r="BM86" s="182"/>
      <c r="BN86" s="182"/>
      <c r="BO86" s="182"/>
      <c r="BP86" s="182"/>
      <c r="BQ86" s="182"/>
      <c r="BR86" s="182"/>
      <c r="BS86" s="183"/>
      <c r="BT86" s="124"/>
      <c r="BU86" s="124"/>
    </row>
    <row r="87" spans="1:73" s="127" customFormat="1" ht="14.25" hidden="1" customHeight="1" outlineLevel="1">
      <c r="A87" s="205" t="s">
        <v>738</v>
      </c>
      <c r="B87" s="755"/>
      <c r="C87" s="756"/>
      <c r="D87" s="397"/>
      <c r="E87" s="398">
        <f>IF(OR(B87=$AE$154,B87=0),0,VLOOKUP(B87,Guidelines!$A$253:$H$260,6,FALSE)*D87*$K$9*$D$14*24*Guidelines!$M$232/CLI/100)</f>
        <v>0</v>
      </c>
      <c r="AF87" s="124"/>
      <c r="AG87" s="124"/>
      <c r="AH87" s="182"/>
      <c r="AI87" s="182"/>
      <c r="BF87" s="124"/>
      <c r="BG87" s="182"/>
      <c r="BH87" s="182"/>
      <c r="BI87" s="182"/>
      <c r="BJ87" s="182"/>
      <c r="BK87" s="182"/>
      <c r="BL87" s="182"/>
      <c r="BM87" s="182"/>
      <c r="BN87" s="182"/>
      <c r="BO87" s="182"/>
      <c r="BP87" s="182"/>
      <c r="BQ87" s="182"/>
      <c r="BR87" s="182"/>
      <c r="BS87" s="183"/>
      <c r="BT87" s="124"/>
      <c r="BU87" s="124"/>
    </row>
    <row r="88" spans="1:73" s="127" customFormat="1" ht="14.25" hidden="1" customHeight="1" outlineLevel="1">
      <c r="A88" s="205" t="s">
        <v>739</v>
      </c>
      <c r="B88" s="755"/>
      <c r="C88" s="756"/>
      <c r="D88" s="397"/>
      <c r="E88" s="398">
        <f>IF(OR(B88=$AE$154,B88=0),0,VLOOKUP(B88,Guidelines!$A$253:$H$260,6,FALSE)*D88*$K$9*$D$14*24*Guidelines!$M$232/CLI/100)</f>
        <v>0</v>
      </c>
      <c r="AF88" s="124"/>
      <c r="AG88" s="124"/>
      <c r="AH88" s="182"/>
      <c r="AI88" s="182"/>
      <c r="BF88" s="124"/>
      <c r="BG88" s="182"/>
      <c r="BH88" s="182"/>
      <c r="BI88" s="182"/>
      <c r="BJ88" s="182"/>
      <c r="BK88" s="182"/>
      <c r="BL88" s="182"/>
      <c r="BM88" s="182"/>
      <c r="BN88" s="182"/>
      <c r="BO88" s="182"/>
      <c r="BP88" s="182"/>
      <c r="BQ88" s="182"/>
      <c r="BR88" s="182"/>
      <c r="BS88" s="183"/>
      <c r="BT88" s="124"/>
      <c r="BU88" s="124"/>
    </row>
    <row r="89" spans="1:73" s="127" customFormat="1" ht="14.25" hidden="1" customHeight="1" outlineLevel="1">
      <c r="A89" s="205" t="s">
        <v>745</v>
      </c>
      <c r="B89" s="755"/>
      <c r="C89" s="756"/>
      <c r="D89" s="397"/>
      <c r="E89" s="398">
        <f>IF(OR(B89=$AE$154,B89=0),0,VLOOKUP(B89,Guidelines!$A$253:$H$260,6,FALSE)*D89*$K$9*$D$14*24*Guidelines!$M$232/CLI/100)</f>
        <v>0</v>
      </c>
      <c r="AF89" s="124"/>
      <c r="AG89" s="124"/>
      <c r="AH89" s="182"/>
      <c r="AI89" s="182"/>
      <c r="BF89" s="124"/>
      <c r="BG89" s="182"/>
      <c r="BH89" s="182"/>
      <c r="BI89" s="182"/>
      <c r="BJ89" s="182"/>
      <c r="BK89" s="182"/>
      <c r="BL89" s="182"/>
      <c r="BM89" s="182"/>
      <c r="BN89" s="182"/>
      <c r="BO89" s="182"/>
      <c r="BP89" s="182"/>
      <c r="BQ89" s="182"/>
      <c r="BR89" s="182"/>
      <c r="BS89" s="183"/>
      <c r="BT89" s="124"/>
      <c r="BU89" s="124"/>
    </row>
    <row r="90" spans="1:73" s="127" customFormat="1" ht="14.25" hidden="1" customHeight="1" outlineLevel="1">
      <c r="A90" s="205" t="s">
        <v>746</v>
      </c>
      <c r="B90" s="755"/>
      <c r="C90" s="756"/>
      <c r="D90" s="397"/>
      <c r="E90" s="398">
        <f>IF(OR(B90=$AE$154,B90=0),0,VLOOKUP(B90,Guidelines!$A$253:$H$260,6,FALSE)*D90*$K$9*$D$14*24*Guidelines!$M$232/CLI/100)</f>
        <v>0</v>
      </c>
      <c r="AF90" s="124"/>
      <c r="AG90" s="124"/>
      <c r="AH90" s="182"/>
      <c r="AI90" s="182"/>
      <c r="BF90" s="124"/>
      <c r="BG90" s="182"/>
      <c r="BH90" s="182"/>
      <c r="BI90" s="182"/>
      <c r="BJ90" s="182"/>
      <c r="BK90" s="182"/>
      <c r="BL90" s="182"/>
      <c r="BM90" s="182"/>
      <c r="BN90" s="182"/>
      <c r="BO90" s="182"/>
      <c r="BP90" s="182"/>
      <c r="BQ90" s="182"/>
      <c r="BR90" s="182"/>
      <c r="BS90" s="183"/>
      <c r="BT90" s="124"/>
      <c r="BU90" s="124"/>
    </row>
    <row r="91" spans="1:73" s="127" customFormat="1" ht="14.25" customHeight="1">
      <c r="E91" s="219"/>
      <c r="AF91" s="124"/>
      <c r="AG91" s="124"/>
      <c r="AH91" s="182"/>
      <c r="AI91" s="182"/>
      <c r="BF91" s="124"/>
      <c r="BG91" s="182"/>
      <c r="BH91" s="182"/>
      <c r="BI91" s="182"/>
      <c r="BJ91" s="182"/>
      <c r="BK91" s="182"/>
      <c r="BL91" s="182"/>
      <c r="BM91" s="182"/>
      <c r="BN91" s="182"/>
      <c r="BO91" s="182"/>
      <c r="BP91" s="182"/>
      <c r="BQ91" s="182"/>
      <c r="BR91" s="182"/>
      <c r="BS91" s="183"/>
      <c r="BT91" s="124"/>
      <c r="BU91" s="124"/>
    </row>
    <row r="92" spans="1:73" s="127" customFormat="1" ht="14.25" customHeight="1">
      <c r="A92" s="763" t="s">
        <v>581</v>
      </c>
      <c r="B92" s="764"/>
      <c r="C92" s="775" t="s">
        <v>491</v>
      </c>
      <c r="D92" s="776"/>
      <c r="E92" s="265" t="s">
        <v>541</v>
      </c>
      <c r="F92" s="825" t="s">
        <v>261</v>
      </c>
      <c r="G92" s="826"/>
      <c r="H92" s="825" t="s">
        <v>101</v>
      </c>
      <c r="I92" s="842"/>
      <c r="J92" s="826"/>
      <c r="K92" s="220" t="s">
        <v>60</v>
      </c>
      <c r="L92" s="825" t="s">
        <v>109</v>
      </c>
      <c r="M92" s="842"/>
      <c r="N92" s="826"/>
      <c r="O92" s="825" t="s">
        <v>544</v>
      </c>
      <c r="P92" s="842"/>
      <c r="Q92" s="842"/>
      <c r="R92" s="842"/>
      <c r="S92" s="842"/>
      <c r="T92" s="842"/>
      <c r="U92" s="842"/>
      <c r="V92" s="842"/>
      <c r="W92" s="842"/>
      <c r="X92" s="842"/>
      <c r="Y92" s="826"/>
      <c r="BN92" s="182"/>
      <c r="BO92" s="182"/>
      <c r="BP92" s="182"/>
      <c r="BQ92" s="182"/>
      <c r="BR92" s="182"/>
      <c r="BS92" s="183"/>
      <c r="BT92" s="124"/>
      <c r="BU92" s="124"/>
    </row>
    <row r="93" spans="1:73" s="127" customFormat="1" ht="14.25" customHeight="1">
      <c r="A93" s="765"/>
      <c r="B93" s="766"/>
      <c r="C93" s="222" t="s">
        <v>771</v>
      </c>
      <c r="D93" s="222" t="s">
        <v>772</v>
      </c>
      <c r="E93" s="222" t="s">
        <v>114</v>
      </c>
      <c r="F93" s="222" t="s">
        <v>262</v>
      </c>
      <c r="G93" s="222" t="s">
        <v>60</v>
      </c>
      <c r="H93" s="222" t="s">
        <v>23</v>
      </c>
      <c r="I93" s="222" t="s">
        <v>340</v>
      </c>
      <c r="J93" s="222" t="s">
        <v>330</v>
      </c>
      <c r="K93" s="222" t="s">
        <v>260</v>
      </c>
      <c r="L93" s="222" t="s">
        <v>6</v>
      </c>
      <c r="M93" s="222" t="s">
        <v>8</v>
      </c>
      <c r="N93" s="283" t="s">
        <v>12</v>
      </c>
      <c r="O93" s="283"/>
      <c r="P93" s="283"/>
      <c r="Q93" s="283"/>
      <c r="R93" s="283"/>
      <c r="S93" s="283"/>
      <c r="T93" s="283"/>
      <c r="U93" s="283"/>
      <c r="V93" s="283"/>
      <c r="W93" s="283"/>
      <c r="X93" s="283"/>
      <c r="Y93" s="283"/>
      <c r="BN93" s="182"/>
      <c r="BO93" s="182"/>
      <c r="BP93" s="182"/>
      <c r="BQ93" s="182"/>
      <c r="BR93" s="182"/>
      <c r="BS93" s="183"/>
      <c r="BT93" s="182"/>
      <c r="BU93" s="182"/>
    </row>
    <row r="94" spans="1:73" s="127" customFormat="1" ht="14.25" customHeight="1">
      <c r="A94" s="603"/>
      <c r="B94" s="604"/>
      <c r="C94" s="283" t="s">
        <v>22</v>
      </c>
      <c r="D94" s="283" t="s">
        <v>22</v>
      </c>
      <c r="E94" s="283" t="s">
        <v>22</v>
      </c>
      <c r="F94" s="283" t="s">
        <v>26</v>
      </c>
      <c r="G94" s="283" t="s">
        <v>26</v>
      </c>
      <c r="H94" s="283" t="s">
        <v>3</v>
      </c>
      <c r="I94" s="283" t="s">
        <v>51</v>
      </c>
      <c r="J94" s="283" t="s">
        <v>3</v>
      </c>
      <c r="K94" s="283" t="s">
        <v>4</v>
      </c>
      <c r="L94" s="283" t="s">
        <v>3</v>
      </c>
      <c r="M94" s="283" t="s">
        <v>26</v>
      </c>
      <c r="N94" s="283" t="s">
        <v>312</v>
      </c>
      <c r="O94" s="283"/>
      <c r="P94" s="283"/>
      <c r="Q94" s="283"/>
      <c r="R94" s="283"/>
      <c r="S94" s="283"/>
      <c r="T94" s="283"/>
      <c r="U94" s="283"/>
      <c r="V94" s="283"/>
      <c r="W94" s="283"/>
      <c r="X94" s="283"/>
      <c r="Y94" s="283"/>
      <c r="BO94" s="182"/>
      <c r="BP94" s="182"/>
      <c r="BQ94" s="182"/>
      <c r="BR94" s="182"/>
      <c r="BS94" s="183"/>
      <c r="BT94" s="182"/>
      <c r="BU94" s="182"/>
    </row>
    <row r="95" spans="1:73" s="127" customFormat="1" ht="14.25" customHeight="1">
      <c r="A95" s="858" t="str">
        <f>$D$3</f>
        <v>Simulation</v>
      </c>
      <c r="B95" s="859"/>
      <c r="C95" s="226">
        <f>IF(AV114=0,0,AO104/AV114*100)</f>
        <v>0</v>
      </c>
      <c r="D95" s="226">
        <f>IF(AV114=0,0,(AO114+AP114-AO104-AP104)/AV114*100)</f>
        <v>34.226958011719248</v>
      </c>
      <c r="E95" s="226">
        <f>IF(AV114=0,0,AQ112/AV114*100)</f>
        <v>5.0000000397106579</v>
      </c>
      <c r="F95" s="226">
        <f>IF(K11=0,0,SUMPRODUCT(($E$21:$E$69*$O$21:$O$69)*(G21:G69=AD155))/$K$11)</f>
        <v>0.14107222711563353</v>
      </c>
      <c r="G95" s="226">
        <f>IF(K11=0,0,SUMPRODUCT($E$21:$E$69*$O$21:$O$69)/$K$11)</f>
        <v>2.1337751963495029</v>
      </c>
      <c r="H95" s="227">
        <f>IF(K12=0,,K12)</f>
        <v>0.78375850949981984</v>
      </c>
      <c r="I95" s="227">
        <f>IF(K12=0,0,(K13/94+K14/62)/(K12/80))</f>
        <v>1.1497116914770684</v>
      </c>
      <c r="J95" s="227">
        <f>K14+0.658*K13</f>
        <v>0.69727964831065392</v>
      </c>
      <c r="K95" s="139">
        <f>IF(K11=0,0,(SUMPRODUCT(P21:P69,E21:E69))*10000/K11+$K$15)</f>
        <v>299.99999987867034</v>
      </c>
      <c r="L95" s="226">
        <f>IF(K11=0,0,SUMPRODUCT(($E$21:$E$69*$N$21:$N$69)*($F$21:$F$69=$AG$146))/$K$11)</f>
        <v>0.30600208057383177</v>
      </c>
      <c r="M95" s="226">
        <f>IF(K11=0,0,SUMPRODUCT(($E$21:$E$69*$O$21:$O$69)*($F$21:$F$69=$AG$146))/$K$11)</f>
        <v>0.75274658647276083</v>
      </c>
      <c r="N95" s="227">
        <f>IF(SUMIF(F21:F69,AG146,E21:E69)=0,0,SUMPRODUCT((E21:E69*M21:M69)*(F21:F69=AG146))/SUMIF(F21:F69,AG146,E21:E69))</f>
        <v>25.19783682384622</v>
      </c>
      <c r="O95" s="226"/>
      <c r="P95" s="226"/>
      <c r="Q95" s="226"/>
      <c r="R95" s="226"/>
      <c r="S95" s="226"/>
      <c r="T95" s="226"/>
      <c r="U95" s="226"/>
      <c r="V95" s="226"/>
      <c r="W95" s="226"/>
      <c r="X95" s="226"/>
      <c r="Y95" s="226"/>
      <c r="BO95" s="182"/>
      <c r="BP95" s="182"/>
      <c r="BQ95" s="182"/>
      <c r="BR95" s="182"/>
      <c r="BS95" s="183"/>
      <c r="BT95" s="182"/>
      <c r="BU95" s="182"/>
    </row>
    <row r="96" spans="1:73" s="127" customFormat="1" ht="14.25" customHeight="1">
      <c r="A96" s="856" t="str">
        <f>Baseline!$D$3</f>
        <v>Baseline</v>
      </c>
      <c r="B96" s="857"/>
      <c r="C96" s="226">
        <f>Baseline!C95</f>
        <v>0</v>
      </c>
      <c r="D96" s="226">
        <f>Baseline!D95</f>
        <v>0</v>
      </c>
      <c r="E96" s="226">
        <f>Baseline!E95</f>
        <v>0</v>
      </c>
      <c r="F96" s="226">
        <f>Baseline!ASHc</f>
        <v>0</v>
      </c>
      <c r="G96" s="226">
        <f>Baseline!G95</f>
        <v>2.0434910137004203</v>
      </c>
      <c r="H96" s="227">
        <f>Baseline!H95</f>
        <v>0.81</v>
      </c>
      <c r="I96" s="227">
        <f>Baseline!I95</f>
        <v>1.0862841793978835</v>
      </c>
      <c r="J96" s="227">
        <f>Baseline!J95</f>
        <v>0.68086000000000002</v>
      </c>
      <c r="K96" s="139">
        <f>Baseline!Cl</f>
        <v>75.543637671255254</v>
      </c>
      <c r="L96" s="226">
        <f>Baseline!L95</f>
        <v>6.0085255612437383E-2</v>
      </c>
      <c r="M96" s="226">
        <f>Baseline!M95</f>
        <v>0.80113674149916514</v>
      </c>
      <c r="N96" s="250">
        <f>Baseline!N95</f>
        <v>25.80871111360009</v>
      </c>
      <c r="O96" s="226">
        <f>Baseline!O95</f>
        <v>0</v>
      </c>
      <c r="P96" s="226">
        <f>Baseline!P95</f>
        <v>0</v>
      </c>
      <c r="Q96" s="226">
        <f>Baseline!Q95</f>
        <v>0</v>
      </c>
      <c r="R96" s="226"/>
      <c r="S96" s="226"/>
      <c r="T96" s="226"/>
      <c r="U96" s="226"/>
      <c r="V96" s="226"/>
      <c r="W96" s="226">
        <f>Baseline!W95</f>
        <v>0</v>
      </c>
      <c r="X96" s="226">
        <f>Baseline!X95</f>
        <v>0</v>
      </c>
      <c r="Y96" s="226">
        <f>Baseline!Y95</f>
        <v>0</v>
      </c>
      <c r="BO96" s="182"/>
      <c r="BP96" s="182"/>
      <c r="BQ96" s="182"/>
      <c r="BR96" s="182"/>
      <c r="BS96" s="183"/>
      <c r="BT96" s="182"/>
      <c r="BU96" s="182"/>
    </row>
    <row r="97" spans="1:74" s="127" customFormat="1" ht="14.25" customHeight="1">
      <c r="A97" s="769" t="s">
        <v>292</v>
      </c>
      <c r="B97" s="770"/>
      <c r="C97" s="226">
        <f>IF(ISBLANK(C99),Guidelines!$M$242,C99)</f>
        <v>12</v>
      </c>
      <c r="D97" s="226">
        <f>IF(ISBLANK(D99),Guidelines!$M$243,D99)</f>
        <v>45</v>
      </c>
      <c r="E97" s="226">
        <f>IF(ISBLANK(E99),Guidelines!$M$244,E99)</f>
        <v>5</v>
      </c>
      <c r="F97" s="226" t="str">
        <f>IF(ISBLANK(F99),"-",F99)</f>
        <v>-</v>
      </c>
      <c r="G97" s="226" t="str">
        <f>IF(ISBLANK(G99),"-",G99)</f>
        <v>-</v>
      </c>
      <c r="H97" s="227">
        <f>IF(ISBLANK(H99),Guidelines!$M$247,H99)</f>
        <v>2</v>
      </c>
      <c r="I97" s="227">
        <f>IF(ISBLANK(I99),Guidelines!$M$246,I99)</f>
        <v>0.4</v>
      </c>
      <c r="J97" s="227">
        <f>IF(ISBLANK(J99),Guidelines!$M$248,J99)</f>
        <v>1.2</v>
      </c>
      <c r="K97" s="139">
        <f>IF(ISBLANK(K99),IF(H74=AM146,Guidelines!$M$245+100+(H75*150)+(H76*100),Guidelines!$M$245+(H75*150)+(H76*100)),K99)</f>
        <v>300</v>
      </c>
      <c r="L97" s="226">
        <f>IF(ISBLANK(L99),Guidelines!$M$235,L99)</f>
        <v>2</v>
      </c>
      <c r="M97" s="226">
        <f>IF(ISBLANK(M99),Guidelines!$M$236,M99)</f>
        <v>3</v>
      </c>
      <c r="N97" s="250" t="s">
        <v>51</v>
      </c>
      <c r="O97" s="226" t="s">
        <v>51</v>
      </c>
      <c r="P97" s="226" t="s">
        <v>51</v>
      </c>
      <c r="Q97" s="226" t="s">
        <v>51</v>
      </c>
      <c r="R97" s="226" t="s">
        <v>51</v>
      </c>
      <c r="S97" s="226" t="s">
        <v>51</v>
      </c>
      <c r="T97" s="226"/>
      <c r="U97" s="226" t="s">
        <v>51</v>
      </c>
      <c r="V97" s="226" t="s">
        <v>51</v>
      </c>
      <c r="W97" s="226" t="s">
        <v>51</v>
      </c>
      <c r="X97" s="226" t="s">
        <v>51</v>
      </c>
      <c r="Y97" s="226" t="s">
        <v>51</v>
      </c>
      <c r="BO97" s="182"/>
      <c r="BP97" s="182"/>
      <c r="BQ97" s="182"/>
      <c r="BR97" s="182"/>
      <c r="BS97" s="183"/>
      <c r="BT97" s="182"/>
      <c r="BU97" s="182"/>
    </row>
    <row r="98" spans="1:74" s="127" customFormat="1" ht="14.25" customHeight="1">
      <c r="A98" s="771"/>
      <c r="B98" s="772"/>
      <c r="C98" s="231" t="s">
        <v>265</v>
      </c>
      <c r="D98" s="231" t="s">
        <v>265</v>
      </c>
      <c r="E98" s="231" t="s">
        <v>265</v>
      </c>
      <c r="F98" s="231" t="s">
        <v>265</v>
      </c>
      <c r="G98" s="231" t="s">
        <v>265</v>
      </c>
      <c r="H98" s="231" t="s">
        <v>265</v>
      </c>
      <c r="I98" s="231" t="s">
        <v>264</v>
      </c>
      <c r="J98" s="231" t="s">
        <v>265</v>
      </c>
      <c r="K98" s="231" t="s">
        <v>265</v>
      </c>
      <c r="L98" s="231" t="s">
        <v>265</v>
      </c>
      <c r="M98" s="231" t="s">
        <v>265</v>
      </c>
      <c r="N98" s="402" t="s">
        <v>51</v>
      </c>
      <c r="O98" s="231" t="s">
        <v>51</v>
      </c>
      <c r="P98" s="231" t="s">
        <v>51</v>
      </c>
      <c r="Q98" s="231" t="s">
        <v>51</v>
      </c>
      <c r="R98" s="231" t="s">
        <v>51</v>
      </c>
      <c r="S98" s="231" t="s">
        <v>51</v>
      </c>
      <c r="T98" s="231"/>
      <c r="U98" s="231" t="s">
        <v>51</v>
      </c>
      <c r="V98" s="231" t="s">
        <v>51</v>
      </c>
      <c r="W98" s="231" t="s">
        <v>51</v>
      </c>
      <c r="X98" s="231" t="s">
        <v>51</v>
      </c>
      <c r="Y98" s="231" t="s">
        <v>51</v>
      </c>
      <c r="BO98" s="182"/>
      <c r="BP98" s="182"/>
      <c r="BQ98" s="182"/>
      <c r="BR98" s="182"/>
      <c r="BS98" s="183"/>
      <c r="BT98" s="182"/>
      <c r="BU98" s="182"/>
    </row>
    <row r="99" spans="1:74" s="127" customFormat="1" ht="14.25" customHeight="1">
      <c r="A99" s="843" t="s">
        <v>293</v>
      </c>
      <c r="B99" s="844"/>
      <c r="C99" s="232"/>
      <c r="D99" s="232">
        <v>45</v>
      </c>
      <c r="E99" s="232"/>
      <c r="F99" s="232"/>
      <c r="G99" s="232"/>
      <c r="H99" s="233"/>
      <c r="I99" s="233"/>
      <c r="J99" s="233"/>
      <c r="K99" s="234"/>
      <c r="L99" s="232"/>
      <c r="M99" s="232"/>
      <c r="N99" s="403"/>
      <c r="O99" s="232"/>
      <c r="P99" s="232"/>
      <c r="Q99" s="235"/>
      <c r="R99" s="235"/>
      <c r="S99" s="235"/>
      <c r="T99" s="235"/>
      <c r="U99" s="235"/>
      <c r="V99" s="235"/>
      <c r="W99" s="232"/>
      <c r="X99" s="232"/>
      <c r="Y99" s="232"/>
    </row>
    <row r="100" spans="1:74" s="127" customFormat="1" ht="14.25" customHeight="1">
      <c r="A100" s="236"/>
      <c r="B100" s="236"/>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BI100" s="124"/>
      <c r="BJ100" s="124"/>
      <c r="BK100" s="124"/>
      <c r="BL100" s="124"/>
      <c r="BM100" s="124"/>
      <c r="BN100" s="124"/>
      <c r="BO100" s="124"/>
      <c r="BP100" s="124"/>
      <c r="BQ100" s="124"/>
      <c r="BR100" s="124"/>
      <c r="BS100" s="125"/>
      <c r="BT100" s="124"/>
      <c r="BU100" s="124"/>
    </row>
    <row r="101" spans="1:74" ht="14.25" customHeight="1">
      <c r="B101" s="238"/>
      <c r="C101" s="520"/>
      <c r="D101" s="519"/>
      <c r="E101" s="519"/>
      <c r="F101" s="519"/>
      <c r="G101" s="519"/>
      <c r="H101" s="519"/>
      <c r="I101" s="519"/>
      <c r="J101" s="519"/>
      <c r="K101" s="519"/>
      <c r="L101" s="519"/>
      <c r="M101" s="519"/>
      <c r="N101" s="519"/>
      <c r="BS101" s="124"/>
      <c r="BV101" s="182"/>
    </row>
    <row r="102" spans="1:74" ht="14.25" customHeight="1">
      <c r="AD102" s="413"/>
      <c r="AE102" s="413"/>
      <c r="AF102" s="412"/>
      <c r="AG102" s="416" t="s">
        <v>359</v>
      </c>
      <c r="AH102" s="416" t="str">
        <f>AD146</f>
        <v>TF (coal)</v>
      </c>
      <c r="AI102" s="416" t="str">
        <f>AD147</f>
        <v>TF (lignite)</v>
      </c>
      <c r="AJ102" s="416" t="str">
        <f>AD148</f>
        <v>TF (petcoke)</v>
      </c>
      <c r="AK102" s="416" t="str">
        <f>AD149</f>
        <v>TF (liquid)</v>
      </c>
      <c r="AL102" s="416" t="str">
        <f>AD150</f>
        <v>TF (gas)</v>
      </c>
      <c r="AM102" s="416" t="str">
        <f>AD151</f>
        <v>TF (other)</v>
      </c>
      <c r="AN102" s="416" t="str">
        <f>AD152</f>
        <v>AF (v.fine)</v>
      </c>
      <c r="AO102" s="416" t="str">
        <f>AD153</f>
        <v>AF (fine)</v>
      </c>
      <c r="AP102" s="416" t="str">
        <f>AD154</f>
        <v>AF (coarse)</v>
      </c>
      <c r="AQ102" s="416" t="str">
        <f>AD155</f>
        <v>AF (lumps)</v>
      </c>
      <c r="AR102" s="416" t="str">
        <f>AD156</f>
        <v>AF (liquid)</v>
      </c>
      <c r="AS102" s="416" t="str">
        <f>AD157</f>
        <v>AF (gas)</v>
      </c>
      <c r="AT102" s="417" t="s">
        <v>536</v>
      </c>
      <c r="AU102" s="417" t="s">
        <v>537</v>
      </c>
      <c r="AV102" s="416" t="s">
        <v>538</v>
      </c>
    </row>
    <row r="103" spans="1:74" ht="14.25" customHeight="1">
      <c r="G103" s="539"/>
      <c r="AD103" s="838" t="str">
        <f>"Inputs"&amp;CHAR(10)&amp;"Volume (t/"&amp;D13&amp;"), Heat (GJ/"&amp;D13&amp;")"</f>
        <v>Inputs
Volume (t/year), Heat (GJ/year)</v>
      </c>
      <c r="AE103" s="835" t="str">
        <f>$AG$146</f>
        <v>BZ</v>
      </c>
      <c r="AF103" s="418" t="s">
        <v>325</v>
      </c>
      <c r="AG103" s="427" t="s">
        <v>51</v>
      </c>
      <c r="AH103" s="419">
        <f t="shared" ref="AH103:AS103" si="10">SUMIFS($E$21:$E$69,$F$21:$F$69,"="&amp;$AE103,$G$21:$G$69,"="&amp;AH$102)</f>
        <v>64452.339037897102</v>
      </c>
      <c r="AI103" s="419">
        <f t="shared" si="10"/>
        <v>0</v>
      </c>
      <c r="AJ103" s="419">
        <f t="shared" si="10"/>
        <v>0</v>
      </c>
      <c r="AK103" s="419">
        <f t="shared" si="10"/>
        <v>1500</v>
      </c>
      <c r="AL103" s="419">
        <f t="shared" si="10"/>
        <v>0</v>
      </c>
      <c r="AM103" s="419">
        <f t="shared" si="10"/>
        <v>0</v>
      </c>
      <c r="AN103" s="419">
        <f t="shared" si="10"/>
        <v>0</v>
      </c>
      <c r="AO103" s="419">
        <f t="shared" si="10"/>
        <v>0</v>
      </c>
      <c r="AP103" s="419">
        <f t="shared" si="10"/>
        <v>0</v>
      </c>
      <c r="AQ103" s="419">
        <f t="shared" si="10"/>
        <v>0</v>
      </c>
      <c r="AR103" s="419">
        <f t="shared" si="10"/>
        <v>10000</v>
      </c>
      <c r="AS103" s="419">
        <f t="shared" si="10"/>
        <v>0</v>
      </c>
      <c r="AT103" s="420">
        <f>SUM(AH103:AM103)</f>
        <v>65952.339037897094</v>
      </c>
      <c r="AU103" s="420">
        <f>SUM(AN103:AS103)</f>
        <v>10000</v>
      </c>
      <c r="AV103" s="419">
        <f>AT103+AU103</f>
        <v>75952.339037897094</v>
      </c>
    </row>
    <row r="104" spans="1:74" ht="14.25" customHeight="1">
      <c r="AD104" s="839"/>
      <c r="AE104" s="835"/>
      <c r="AF104" s="418" t="s">
        <v>326</v>
      </c>
      <c r="AG104" s="427" t="s">
        <v>51</v>
      </c>
      <c r="AH104" s="419">
        <f t="shared" ref="AH104:AS104" si="11">SUMPRODUCT(($E$21:$E$69*$M$21:$M$69)*($F$21:$F$69=$AE103)*($G$21:$G$69=AH$102))</f>
        <v>1643534.6454663761</v>
      </c>
      <c r="AI104" s="419">
        <f t="shared" si="11"/>
        <v>0</v>
      </c>
      <c r="AJ104" s="419">
        <f t="shared" si="11"/>
        <v>0</v>
      </c>
      <c r="AK104" s="419">
        <f t="shared" si="11"/>
        <v>60300.000000000007</v>
      </c>
      <c r="AL104" s="419">
        <f t="shared" si="11"/>
        <v>0</v>
      </c>
      <c r="AM104" s="419">
        <f t="shared" si="11"/>
        <v>0</v>
      </c>
      <c r="AN104" s="419">
        <f t="shared" si="11"/>
        <v>0</v>
      </c>
      <c r="AO104" s="419">
        <f t="shared" si="11"/>
        <v>0</v>
      </c>
      <c r="AP104" s="419">
        <f t="shared" si="11"/>
        <v>0</v>
      </c>
      <c r="AQ104" s="419">
        <f t="shared" si="11"/>
        <v>0</v>
      </c>
      <c r="AR104" s="419">
        <f t="shared" si="11"/>
        <v>210000</v>
      </c>
      <c r="AS104" s="419">
        <f t="shared" si="11"/>
        <v>0</v>
      </c>
      <c r="AT104" s="420">
        <f>SUM(AH104:AM104)</f>
        <v>1703834.6454663761</v>
      </c>
      <c r="AU104" s="420">
        <f>SUM(AN104:AS104)</f>
        <v>210000</v>
      </c>
      <c r="AV104" s="419">
        <f>AT104+AU104</f>
        <v>1913834.6454663761</v>
      </c>
    </row>
    <row r="105" spans="1:74" ht="14.25" customHeight="1">
      <c r="AD105" s="839"/>
      <c r="AE105" s="835" t="str">
        <f>$AG$147</f>
        <v>ILC</v>
      </c>
      <c r="AF105" s="418" t="s">
        <v>325</v>
      </c>
      <c r="AG105" s="427" t="s">
        <v>51</v>
      </c>
      <c r="AH105" s="419">
        <f t="shared" ref="AH105:AS105" si="12">SUMIFS($E$21:$E$69,$F$21:$F$69,"="&amp;$AE105,$G$21:$G$69,"="&amp;AH$102)</f>
        <v>38972.712720520241</v>
      </c>
      <c r="AI105" s="419">
        <f t="shared" si="12"/>
        <v>0</v>
      </c>
      <c r="AJ105" s="419">
        <f t="shared" si="12"/>
        <v>0</v>
      </c>
      <c r="AK105" s="419">
        <f t="shared" si="12"/>
        <v>0</v>
      </c>
      <c r="AL105" s="419">
        <f t="shared" si="12"/>
        <v>0</v>
      </c>
      <c r="AM105" s="419">
        <f t="shared" si="12"/>
        <v>0</v>
      </c>
      <c r="AN105" s="419">
        <f t="shared" si="12"/>
        <v>0</v>
      </c>
      <c r="AO105" s="419">
        <f t="shared" si="12"/>
        <v>40000</v>
      </c>
      <c r="AP105" s="419">
        <f t="shared" si="12"/>
        <v>54538.655957164796</v>
      </c>
      <c r="AQ105" s="419">
        <f t="shared" si="12"/>
        <v>0</v>
      </c>
      <c r="AR105" s="419">
        <f t="shared" si="12"/>
        <v>10000</v>
      </c>
      <c r="AS105" s="419">
        <f t="shared" si="12"/>
        <v>0</v>
      </c>
      <c r="AT105" s="420">
        <f t="shared" ref="AT105:AT114" si="13">SUM(AH105:AM105)</f>
        <v>38972.712720520241</v>
      </c>
      <c r="AU105" s="420">
        <f t="shared" ref="AU105:AU114" si="14">SUM(AN105:AS105)</f>
        <v>104538.6559571648</v>
      </c>
      <c r="AV105" s="419">
        <f t="shared" ref="AV105:AV114" si="15">AT105+AU105</f>
        <v>143511.36867768504</v>
      </c>
    </row>
    <row r="106" spans="1:74" ht="14.25" customHeight="1">
      <c r="AD106" s="839"/>
      <c r="AE106" s="835"/>
      <c r="AF106" s="418" t="s">
        <v>326</v>
      </c>
      <c r="AG106" s="427" t="s">
        <v>51</v>
      </c>
      <c r="AH106" s="419">
        <f t="shared" ref="AH106:AS106" si="16">SUMPRODUCT(($E$21:$E$69*$M$21:$M$69)*($F$21:$F$69=$AE105)*($G$21:$G$69=AH$102))</f>
        <v>993804.17437326617</v>
      </c>
      <c r="AI106" s="419">
        <f t="shared" si="16"/>
        <v>0</v>
      </c>
      <c r="AJ106" s="419">
        <f t="shared" si="16"/>
        <v>0</v>
      </c>
      <c r="AK106" s="419">
        <f t="shared" si="16"/>
        <v>0</v>
      </c>
      <c r="AL106" s="419">
        <f t="shared" si="16"/>
        <v>0</v>
      </c>
      <c r="AM106" s="419">
        <f t="shared" si="16"/>
        <v>0</v>
      </c>
      <c r="AN106" s="419">
        <f t="shared" si="16"/>
        <v>0</v>
      </c>
      <c r="AO106" s="419">
        <f t="shared" si="16"/>
        <v>440000</v>
      </c>
      <c r="AP106" s="419">
        <f t="shared" si="16"/>
        <v>1197618.445690444</v>
      </c>
      <c r="AQ106" s="419">
        <f t="shared" si="16"/>
        <v>0</v>
      </c>
      <c r="AR106" s="419">
        <f t="shared" si="16"/>
        <v>100</v>
      </c>
      <c r="AS106" s="419">
        <f t="shared" si="16"/>
        <v>0</v>
      </c>
      <c r="AT106" s="420">
        <f t="shared" si="13"/>
        <v>993804.17437326617</v>
      </c>
      <c r="AU106" s="420">
        <f t="shared" si="14"/>
        <v>1637718.445690444</v>
      </c>
      <c r="AV106" s="419">
        <f t="shared" si="15"/>
        <v>2631522.62006371</v>
      </c>
    </row>
    <row r="107" spans="1:74" ht="14.25" customHeight="1">
      <c r="AD107" s="839"/>
      <c r="AE107" s="836" t="str">
        <f>$AG$148</f>
        <v>SLC/OLC/MFC</v>
      </c>
      <c r="AF107" s="418" t="s">
        <v>325</v>
      </c>
      <c r="AG107" s="427" t="s">
        <v>51</v>
      </c>
      <c r="AH107" s="419">
        <f t="shared" ref="AH107:AS107" si="17">SUMIFS($E$21:$E$69,$F$21:$F$69,"="&amp;$AE107,$G$21:$G$69,"="&amp;AH$102)</f>
        <v>0</v>
      </c>
      <c r="AI107" s="419">
        <f t="shared" si="17"/>
        <v>0</v>
      </c>
      <c r="AJ107" s="419">
        <f t="shared" si="17"/>
        <v>0</v>
      </c>
      <c r="AK107" s="419">
        <f t="shared" si="17"/>
        <v>0</v>
      </c>
      <c r="AL107" s="419">
        <f t="shared" si="17"/>
        <v>0</v>
      </c>
      <c r="AM107" s="419">
        <f t="shared" si="17"/>
        <v>0</v>
      </c>
      <c r="AN107" s="419">
        <f t="shared" si="17"/>
        <v>0</v>
      </c>
      <c r="AO107" s="419">
        <f t="shared" si="17"/>
        <v>0</v>
      </c>
      <c r="AP107" s="419">
        <f t="shared" si="17"/>
        <v>0</v>
      </c>
      <c r="AQ107" s="419">
        <f t="shared" si="17"/>
        <v>0</v>
      </c>
      <c r="AR107" s="419">
        <f t="shared" si="17"/>
        <v>0</v>
      </c>
      <c r="AS107" s="419">
        <f t="shared" si="17"/>
        <v>0</v>
      </c>
      <c r="AT107" s="420">
        <f t="shared" si="13"/>
        <v>0</v>
      </c>
      <c r="AU107" s="420">
        <f t="shared" si="14"/>
        <v>0</v>
      </c>
      <c r="AV107" s="419">
        <f t="shared" si="15"/>
        <v>0</v>
      </c>
    </row>
    <row r="108" spans="1:74" ht="14.25" customHeight="1">
      <c r="AD108" s="839"/>
      <c r="AE108" s="837"/>
      <c r="AF108" s="418" t="s">
        <v>326</v>
      </c>
      <c r="AG108" s="427" t="s">
        <v>51</v>
      </c>
      <c r="AH108" s="419">
        <f t="shared" ref="AH108:AS108" si="18">SUMPRODUCT(($E$21:$E$69*$M$21:$M$69)*($F$21:$F$69=$AE107)*($G$21:$G$69=AH$102))</f>
        <v>0</v>
      </c>
      <c r="AI108" s="419">
        <f t="shared" si="18"/>
        <v>0</v>
      </c>
      <c r="AJ108" s="419">
        <f t="shared" si="18"/>
        <v>0</v>
      </c>
      <c r="AK108" s="419">
        <f t="shared" si="18"/>
        <v>0</v>
      </c>
      <c r="AL108" s="419">
        <f t="shared" si="18"/>
        <v>0</v>
      </c>
      <c r="AM108" s="419">
        <f t="shared" si="18"/>
        <v>0</v>
      </c>
      <c r="AN108" s="419">
        <f t="shared" si="18"/>
        <v>0</v>
      </c>
      <c r="AO108" s="419">
        <f t="shared" si="18"/>
        <v>0</v>
      </c>
      <c r="AP108" s="419">
        <f t="shared" si="18"/>
        <v>0</v>
      </c>
      <c r="AQ108" s="419">
        <f t="shared" si="18"/>
        <v>0</v>
      </c>
      <c r="AR108" s="419">
        <f t="shared" si="18"/>
        <v>0</v>
      </c>
      <c r="AS108" s="419">
        <f t="shared" si="18"/>
        <v>0</v>
      </c>
      <c r="AT108" s="420">
        <f t="shared" si="13"/>
        <v>0</v>
      </c>
      <c r="AU108" s="420">
        <f t="shared" si="14"/>
        <v>0</v>
      </c>
      <c r="AV108" s="419">
        <f t="shared" si="15"/>
        <v>0</v>
      </c>
    </row>
    <row r="109" spans="1:74" ht="14.25" customHeight="1">
      <c r="AD109" s="839"/>
      <c r="AE109" s="835" t="str">
        <f>$AG$149</f>
        <v>PCC</v>
      </c>
      <c r="AF109" s="418" t="s">
        <v>325</v>
      </c>
      <c r="AG109" s="427" t="s">
        <v>51</v>
      </c>
      <c r="AH109" s="419">
        <f t="shared" ref="AH109:AS109" si="19">SUMIFS($E$21:$E$69,$F$21:$F$69,"="&amp;$AE109,$G$21:$G$69,"="&amp;AH$102)</f>
        <v>0</v>
      </c>
      <c r="AI109" s="419">
        <f t="shared" si="19"/>
        <v>0</v>
      </c>
      <c r="AJ109" s="419">
        <f t="shared" si="19"/>
        <v>0</v>
      </c>
      <c r="AK109" s="419">
        <f t="shared" si="19"/>
        <v>0</v>
      </c>
      <c r="AL109" s="419">
        <f t="shared" si="19"/>
        <v>0</v>
      </c>
      <c r="AM109" s="419">
        <f t="shared" si="19"/>
        <v>0</v>
      </c>
      <c r="AN109" s="419">
        <f t="shared" si="19"/>
        <v>0</v>
      </c>
      <c r="AO109" s="419">
        <f t="shared" si="19"/>
        <v>0</v>
      </c>
      <c r="AP109" s="419">
        <f t="shared" si="19"/>
        <v>0</v>
      </c>
      <c r="AQ109" s="419">
        <f t="shared" si="19"/>
        <v>0</v>
      </c>
      <c r="AR109" s="419">
        <f t="shared" si="19"/>
        <v>0</v>
      </c>
      <c r="AS109" s="419">
        <f t="shared" si="19"/>
        <v>0</v>
      </c>
      <c r="AT109" s="420">
        <f t="shared" si="13"/>
        <v>0</v>
      </c>
      <c r="AU109" s="420">
        <f t="shared" si="14"/>
        <v>0</v>
      </c>
      <c r="AV109" s="419">
        <f t="shared" si="15"/>
        <v>0</v>
      </c>
      <c r="BE109" s="241"/>
      <c r="BF109" s="241"/>
      <c r="BG109" s="125"/>
      <c r="BH109" s="125"/>
      <c r="BI109" s="125"/>
      <c r="BJ109" s="125"/>
      <c r="BK109" s="125"/>
      <c r="BL109" s="125"/>
      <c r="BM109" s="125"/>
    </row>
    <row r="110" spans="1:74" ht="14.25" customHeight="1">
      <c r="AD110" s="839"/>
      <c r="AE110" s="835"/>
      <c r="AF110" s="418" t="s">
        <v>326</v>
      </c>
      <c r="AG110" s="427" t="s">
        <v>51</v>
      </c>
      <c r="AH110" s="419">
        <f t="shared" ref="AH110:AS110" si="20">SUMPRODUCT(($E$21:$E$69*$M$21:$M$69)*($F$21:$F$69=$AE109)*($G$21:$G$69=AH$102))</f>
        <v>0</v>
      </c>
      <c r="AI110" s="419">
        <f t="shared" si="20"/>
        <v>0</v>
      </c>
      <c r="AJ110" s="419">
        <f t="shared" si="20"/>
        <v>0</v>
      </c>
      <c r="AK110" s="419">
        <f t="shared" si="20"/>
        <v>0</v>
      </c>
      <c r="AL110" s="419">
        <f t="shared" si="20"/>
        <v>0</v>
      </c>
      <c r="AM110" s="419">
        <f t="shared" si="20"/>
        <v>0</v>
      </c>
      <c r="AN110" s="419">
        <f t="shared" si="20"/>
        <v>0</v>
      </c>
      <c r="AO110" s="419">
        <f t="shared" si="20"/>
        <v>0</v>
      </c>
      <c r="AP110" s="419">
        <f t="shared" si="20"/>
        <v>0</v>
      </c>
      <c r="AQ110" s="419">
        <f t="shared" si="20"/>
        <v>0</v>
      </c>
      <c r="AR110" s="419">
        <f t="shared" si="20"/>
        <v>0</v>
      </c>
      <c r="AS110" s="419">
        <f t="shared" si="20"/>
        <v>0</v>
      </c>
      <c r="AT110" s="420">
        <f t="shared" si="13"/>
        <v>0</v>
      </c>
      <c r="AU110" s="420">
        <f t="shared" si="14"/>
        <v>0</v>
      </c>
      <c r="AV110" s="419">
        <f t="shared" si="15"/>
        <v>0</v>
      </c>
      <c r="BE110" s="241"/>
      <c r="BF110" s="241"/>
      <c r="BG110" s="125"/>
      <c r="BH110" s="125"/>
      <c r="BI110" s="125"/>
      <c r="BJ110" s="125"/>
      <c r="BK110" s="125"/>
      <c r="BL110" s="125"/>
      <c r="BM110" s="125"/>
    </row>
    <row r="111" spans="1:74" ht="14.25" customHeight="1">
      <c r="AD111" s="839"/>
      <c r="AE111" s="835" t="str">
        <f>$AG$150</f>
        <v>SF</v>
      </c>
      <c r="AF111" s="418" t="s">
        <v>325</v>
      </c>
      <c r="AG111" s="427" t="s">
        <v>51</v>
      </c>
      <c r="AH111" s="419">
        <f t="shared" ref="AH111:AS111" si="21">SUMIFS($E$21:$E$69,$F$21:$F$69,"="&amp;$AE111,$G$21:$G$69,"="&amp;AH$102)</f>
        <v>0</v>
      </c>
      <c r="AI111" s="419">
        <f t="shared" si="21"/>
        <v>0</v>
      </c>
      <c r="AJ111" s="419">
        <f t="shared" si="21"/>
        <v>0</v>
      </c>
      <c r="AK111" s="419">
        <f t="shared" si="21"/>
        <v>0</v>
      </c>
      <c r="AL111" s="419">
        <f t="shared" si="21"/>
        <v>0</v>
      </c>
      <c r="AM111" s="419">
        <f t="shared" si="21"/>
        <v>0</v>
      </c>
      <c r="AN111" s="419">
        <f t="shared" si="21"/>
        <v>0</v>
      </c>
      <c r="AO111" s="419">
        <f t="shared" si="21"/>
        <v>0</v>
      </c>
      <c r="AP111" s="419">
        <f t="shared" si="21"/>
        <v>0</v>
      </c>
      <c r="AQ111" s="419">
        <f t="shared" si="21"/>
        <v>14072.313633219515</v>
      </c>
      <c r="AR111" s="419">
        <f t="shared" si="21"/>
        <v>0</v>
      </c>
      <c r="AS111" s="419">
        <f t="shared" si="21"/>
        <v>0</v>
      </c>
      <c r="AT111" s="420">
        <f t="shared" si="13"/>
        <v>0</v>
      </c>
      <c r="AU111" s="420">
        <f t="shared" si="14"/>
        <v>14072.313633219515</v>
      </c>
      <c r="AV111" s="419">
        <f t="shared" si="15"/>
        <v>14072.313633219515</v>
      </c>
      <c r="BE111" s="241"/>
      <c r="BF111" s="241"/>
      <c r="BG111" s="125"/>
      <c r="BH111" s="125"/>
      <c r="BI111" s="125"/>
      <c r="BJ111" s="125"/>
      <c r="BK111" s="125"/>
      <c r="BL111" s="125"/>
      <c r="BM111" s="125"/>
    </row>
    <row r="112" spans="1:74" ht="14.25" customHeight="1">
      <c r="AD112" s="839"/>
      <c r="AE112" s="835"/>
      <c r="AF112" s="418" t="s">
        <v>326</v>
      </c>
      <c r="AG112" s="427" t="s">
        <v>51</v>
      </c>
      <c r="AH112" s="419">
        <f t="shared" ref="AH112:AS112" si="22">SUMPRODUCT(($E$21:$E$69*$M$21:$M$69)*($F$21:$F$69=$AE111)*($G$21:$G$69=AH$102))</f>
        <v>0</v>
      </c>
      <c r="AI112" s="419">
        <f t="shared" si="22"/>
        <v>0</v>
      </c>
      <c r="AJ112" s="419">
        <f t="shared" si="22"/>
        <v>0</v>
      </c>
      <c r="AK112" s="419">
        <f t="shared" si="22"/>
        <v>0</v>
      </c>
      <c r="AL112" s="419">
        <f t="shared" si="22"/>
        <v>0</v>
      </c>
      <c r="AM112" s="419">
        <f t="shared" si="22"/>
        <v>0</v>
      </c>
      <c r="AN112" s="419">
        <f t="shared" si="22"/>
        <v>0</v>
      </c>
      <c r="AO112" s="419">
        <f t="shared" si="22"/>
        <v>0</v>
      </c>
      <c r="AP112" s="419">
        <f t="shared" si="22"/>
        <v>0</v>
      </c>
      <c r="AQ112" s="419">
        <f t="shared" si="22"/>
        <v>239229.33176473176</v>
      </c>
      <c r="AR112" s="419">
        <f t="shared" si="22"/>
        <v>0</v>
      </c>
      <c r="AS112" s="419">
        <f t="shared" si="22"/>
        <v>0</v>
      </c>
      <c r="AT112" s="420">
        <f t="shared" si="13"/>
        <v>0</v>
      </c>
      <c r="AU112" s="420">
        <f t="shared" si="14"/>
        <v>239229.33176473176</v>
      </c>
      <c r="AV112" s="419">
        <f t="shared" si="15"/>
        <v>239229.33176473176</v>
      </c>
      <c r="BE112" s="241"/>
      <c r="BF112" s="241"/>
      <c r="BG112" s="125"/>
      <c r="BH112" s="125"/>
      <c r="BI112" s="125"/>
      <c r="BJ112" s="125"/>
      <c r="BK112" s="125"/>
      <c r="BL112" s="125"/>
      <c r="BM112" s="125"/>
    </row>
    <row r="113" spans="30:74" ht="14.25" customHeight="1">
      <c r="AD113" s="839"/>
      <c r="AE113" s="836" t="s">
        <v>60</v>
      </c>
      <c r="AF113" s="418" t="s">
        <v>325</v>
      </c>
      <c r="AG113" s="427">
        <f>AG114/Guidelines!D119</f>
        <v>169327.78639087116</v>
      </c>
      <c r="AH113" s="419">
        <f>AH103+AH105+AH107+AH109+AH111</f>
        <v>103425.05175841734</v>
      </c>
      <c r="AI113" s="419">
        <f t="shared" ref="AI113:AS114" si="23">AI103+AI105+AI107+AI109+AI111</f>
        <v>0</v>
      </c>
      <c r="AJ113" s="419">
        <f t="shared" si="23"/>
        <v>0</v>
      </c>
      <c r="AK113" s="419">
        <f t="shared" si="23"/>
        <v>1500</v>
      </c>
      <c r="AL113" s="419">
        <f t="shared" si="23"/>
        <v>0</v>
      </c>
      <c r="AM113" s="419">
        <f t="shared" si="23"/>
        <v>0</v>
      </c>
      <c r="AN113" s="419">
        <f t="shared" si="23"/>
        <v>0</v>
      </c>
      <c r="AO113" s="419">
        <f t="shared" si="23"/>
        <v>40000</v>
      </c>
      <c r="AP113" s="419">
        <f t="shared" si="23"/>
        <v>54538.655957164796</v>
      </c>
      <c r="AQ113" s="419">
        <f t="shared" si="23"/>
        <v>14072.313633219515</v>
      </c>
      <c r="AR113" s="419">
        <f t="shared" si="23"/>
        <v>20000</v>
      </c>
      <c r="AS113" s="419">
        <f t="shared" si="23"/>
        <v>0</v>
      </c>
      <c r="AT113" s="420">
        <f t="shared" si="13"/>
        <v>104925.05175841734</v>
      </c>
      <c r="AU113" s="420">
        <f t="shared" si="14"/>
        <v>128610.96959038431</v>
      </c>
      <c r="AV113" s="419">
        <f t="shared" si="15"/>
        <v>233536.02134880165</v>
      </c>
      <c r="BG113" s="182"/>
      <c r="BH113" s="244"/>
    </row>
    <row r="114" spans="30:74" ht="14.25" customHeight="1">
      <c r="AD114" s="839"/>
      <c r="AE114" s="841"/>
      <c r="AF114" s="418" t="s">
        <v>326</v>
      </c>
      <c r="AG114" s="427">
        <f>AV114-AV129</f>
        <v>4571850.2325535212</v>
      </c>
      <c r="AH114" s="419">
        <f>AH104+AH106+AH108+AH110+AH112</f>
        <v>2637338.8198396424</v>
      </c>
      <c r="AI114" s="419">
        <f t="shared" si="23"/>
        <v>0</v>
      </c>
      <c r="AJ114" s="419">
        <f t="shared" si="23"/>
        <v>0</v>
      </c>
      <c r="AK114" s="419">
        <f t="shared" si="23"/>
        <v>60300.000000000007</v>
      </c>
      <c r="AL114" s="419">
        <f t="shared" si="23"/>
        <v>0</v>
      </c>
      <c r="AM114" s="419">
        <f t="shared" si="23"/>
        <v>0</v>
      </c>
      <c r="AN114" s="419">
        <f t="shared" si="23"/>
        <v>0</v>
      </c>
      <c r="AO114" s="419">
        <f t="shared" si="23"/>
        <v>440000</v>
      </c>
      <c r="AP114" s="419">
        <f t="shared" si="23"/>
        <v>1197618.445690444</v>
      </c>
      <c r="AQ114" s="419">
        <f t="shared" si="23"/>
        <v>239229.33176473176</v>
      </c>
      <c r="AR114" s="419">
        <f t="shared" si="23"/>
        <v>210100</v>
      </c>
      <c r="AS114" s="419">
        <f t="shared" si="23"/>
        <v>0</v>
      </c>
      <c r="AT114" s="420">
        <f t="shared" si="13"/>
        <v>2697638.8198396424</v>
      </c>
      <c r="AU114" s="420">
        <f t="shared" si="14"/>
        <v>2086947.7774551758</v>
      </c>
      <c r="AV114" s="419">
        <f t="shared" si="15"/>
        <v>4784586.5972948186</v>
      </c>
      <c r="BG114" s="182"/>
      <c r="BH114" s="244"/>
    </row>
    <row r="115" spans="30:74" ht="14.25" customHeight="1">
      <c r="AD115" s="840"/>
      <c r="AE115" s="837"/>
      <c r="AF115" s="418" t="s">
        <v>764</v>
      </c>
      <c r="AG115" s="427">
        <f t="shared" ref="AG115:AV115" si="24">IF(CLI=0,0,AG114*1000/CLI)</f>
        <v>3273.7082754716844</v>
      </c>
      <c r="AH115" s="427">
        <f t="shared" si="24"/>
        <v>1888.4866040131576</v>
      </c>
      <c r="AI115" s="427">
        <f t="shared" si="24"/>
        <v>0</v>
      </c>
      <c r="AJ115" s="427">
        <f t="shared" si="24"/>
        <v>0</v>
      </c>
      <c r="AK115" s="427">
        <f t="shared" si="24"/>
        <v>43.17827552734289</v>
      </c>
      <c r="AL115" s="427">
        <f t="shared" si="24"/>
        <v>0</v>
      </c>
      <c r="AM115" s="427">
        <f t="shared" si="24"/>
        <v>0</v>
      </c>
      <c r="AN115" s="427">
        <f t="shared" si="24"/>
        <v>0</v>
      </c>
      <c r="AO115" s="427">
        <f t="shared" si="24"/>
        <v>315.06536039852188</v>
      </c>
      <c r="AP115" s="427">
        <f t="shared" si="24"/>
        <v>857.5638345713121</v>
      </c>
      <c r="AQ115" s="427">
        <f t="shared" si="24"/>
        <v>171.30199006898357</v>
      </c>
      <c r="AR115" s="427">
        <f t="shared" si="24"/>
        <v>150.44370959029419</v>
      </c>
      <c r="AS115" s="427">
        <f t="shared" si="24"/>
        <v>0</v>
      </c>
      <c r="AT115" s="427">
        <f t="shared" si="24"/>
        <v>1931.6648795405004</v>
      </c>
      <c r="AU115" s="427">
        <f t="shared" si="24"/>
        <v>1494.3748946291119</v>
      </c>
      <c r="AV115" s="427">
        <f t="shared" si="24"/>
        <v>3426.0397741696129</v>
      </c>
      <c r="BG115" s="182"/>
      <c r="BH115" s="244"/>
    </row>
    <row r="116" spans="30:74" ht="14.25" customHeight="1">
      <c r="AD116" s="831" t="str">
        <f>"Impacts"&amp;CHAR(10)&amp;"Production (t/"&amp;D13&amp;"), Heat (GJ/"&amp;D13&amp;")"</f>
        <v>Impacts
Production (t/year), Heat (GJ/year)</v>
      </c>
      <c r="AE116" s="834" t="s">
        <v>6</v>
      </c>
      <c r="AF116" s="423" t="s">
        <v>539</v>
      </c>
      <c r="AG116" s="427">
        <f>-(AG113*Guidelines!F119/100)*Guidelines!M225</f>
        <v>-3352.6901705392493</v>
      </c>
      <c r="AH116" s="424">
        <f>-SUMPRODUCT(($E$21:$E$69*$N$21:$N$69)*Guidelines!$M$225/100*($G$21:$G$69=AH$102))</f>
        <v>-2457.3792297799955</v>
      </c>
      <c r="AI116" s="424">
        <f>-SUMPRODUCT(($E$21:$E$69*$N$21:$N$69)*Guidelines!$M$225/100*($G$21:$G$69=AI$102))</f>
        <v>0</v>
      </c>
      <c r="AJ116" s="424">
        <f>-SUMPRODUCT(($E$21:$E$69*$N$21:$N$69)*Guidelines!$M$225/100*($G$21:$G$69=AJ$102))</f>
        <v>0</v>
      </c>
      <c r="AK116" s="424">
        <f>-SUMPRODUCT(($E$21:$E$69*$N$21:$N$69)*Guidelines!$M$225/100*($G$21:$G$69=AK$102))</f>
        <v>0</v>
      </c>
      <c r="AL116" s="424">
        <f>-SUMPRODUCT(($E$21:$E$69*$N$21:$N$69)*Guidelines!$M$225/100*($G$21:$G$69=AL$102))</f>
        <v>0</v>
      </c>
      <c r="AM116" s="424">
        <f>-SUMPRODUCT(($E$21:$E$69*$N$21:$N$69)*Guidelines!$M$225/100*($G$21:$G$69=AM$102))</f>
        <v>0</v>
      </c>
      <c r="AN116" s="424">
        <f>-SUMPRODUCT(($E$21:$E$69*$N$21:$N$69)*Guidelines!$M$225/100*($G$21:$G$69=AN$102))</f>
        <v>0</v>
      </c>
      <c r="AO116" s="424">
        <f>-SUMPRODUCT(($E$21:$E$69*$N$21:$N$69)*Guidelines!$M$225/100*($G$21:$G$69=AO$102))</f>
        <v>-22176</v>
      </c>
      <c r="AP116" s="424">
        <f>-SUMPRODUCT(($E$21:$E$69*$N$21:$N$69)*Guidelines!$M$225/100*($G$21:$G$69=AP$102))</f>
        <v>-7414.385501934742</v>
      </c>
      <c r="AQ116" s="424">
        <f>-SUMPRODUCT(($E$21:$E$69*$N$21:$N$69)*Guidelines!$M$225/100*($G$21:$G$69=AQ$102))</f>
        <v>-5572.636198754929</v>
      </c>
      <c r="AR116" s="424">
        <f>-SUMPRODUCT(($E$21:$E$69*$N$21:$N$69)*Guidelines!$M$225/100*($G$21:$G$69=AR$102))</f>
        <v>-26136</v>
      </c>
      <c r="AS116" s="424">
        <f>-SUMPRODUCT(($E$21:$E$69*$N$21:$N$69)*Guidelines!$M$225/100*($G$21:$G$69=AS$102))</f>
        <v>0</v>
      </c>
      <c r="AT116" s="420">
        <f>SUM(AH116:AM116)</f>
        <v>-2457.3792297799955</v>
      </c>
      <c r="AU116" s="420">
        <f>SUM(AN116:AS116)</f>
        <v>-61299.021700689671</v>
      </c>
      <c r="AV116" s="419">
        <f>AT116+AU116</f>
        <v>-63756.400930469666</v>
      </c>
      <c r="BE116" s="182"/>
      <c r="BF116" s="182"/>
      <c r="BG116" s="182"/>
      <c r="BH116" s="182"/>
    </row>
    <row r="117" spans="30:74" ht="14.25" customHeight="1">
      <c r="AD117" s="832"/>
      <c r="AE117" s="834"/>
      <c r="AF117" s="423" t="s">
        <v>326</v>
      </c>
      <c r="AG117" s="427">
        <f>(AG113*Guidelines!F119/100)*Guidelines!M228</f>
        <v>3640.5474074037297</v>
      </c>
      <c r="AH117" s="424">
        <f>SUMPRODUCT(($E$21:$E$69*$N$21:$N$69)*Guidelines!$M$228/100*($G$21:$G$69=AH$102))-SUMPRODUCT(($E$21:$E$69*$Z$21:$Z$69)*($G$21:$G$69=AH$102))</f>
        <v>2668.3663353671673</v>
      </c>
      <c r="AI117" s="424">
        <f>SUMPRODUCT(($E$21:$E$69*$N$21:$N$69)*Guidelines!$M$228/100*($G$21:$G$69=AI$102))-SUMPRODUCT(($E$21:$E$69*$Z$21:$Z$69)*($G$21:$G$69=AI$102))</f>
        <v>0</v>
      </c>
      <c r="AJ117" s="424">
        <f>SUMPRODUCT(($E$21:$E$69*$N$21:$N$69)*Guidelines!$M$228/100*($G$21:$G$69=AJ$102))-SUMPRODUCT(($E$21:$E$69*$Z$21:$Z$69)*($G$21:$G$69=AJ$102))</f>
        <v>0</v>
      </c>
      <c r="AK117" s="424">
        <f>SUMPRODUCT(($E$21:$E$69*$N$21:$N$69)*Guidelines!$M$228/100*($G$21:$G$69=AK$102))-SUMPRODUCT(($E$21:$E$69*$Z$21:$Z$69)*($G$21:$G$69=AK$102))</f>
        <v>0</v>
      </c>
      <c r="AL117" s="424">
        <f>SUMPRODUCT(($E$21:$E$69*$N$21:$N$69)*Guidelines!$M$228/100*($G$21:$G$69=AL$102))-SUMPRODUCT(($E$21:$E$69*$Z$21:$Z$69)*($G$21:$G$69=AL$102))</f>
        <v>0</v>
      </c>
      <c r="AM117" s="424">
        <f>SUMPRODUCT(($E$21:$E$69*$N$21:$N$69)*Guidelines!$M$228/100*($G$21:$G$69=AM$102))-SUMPRODUCT(($E$21:$E$69*$Z$21:$Z$69)*($G$21:$G$69=AM$102))</f>
        <v>0</v>
      </c>
      <c r="AN117" s="424">
        <f>SUMPRODUCT(($E$21:$E$69*$N$21:$N$69)*Guidelines!$M$228/100*($G$21:$G$69=AN$102))-SUMPRODUCT(($E$21:$E$69*$Z$21:$Z$69)*($G$21:$G$69=AN$102))</f>
        <v>0</v>
      </c>
      <c r="AO117" s="424">
        <f>SUMPRODUCT(($E$21:$E$69*$N$21:$N$69)*Guidelines!$M$228/100*($G$21:$G$69=AO$102))-SUMPRODUCT(($E$21:$E$69*$Z$21:$Z$69)*($G$21:$G$69=AO$102))</f>
        <v>24080</v>
      </c>
      <c r="AP117" s="424">
        <f>SUMPRODUCT(($E$21:$E$69*$N$21:$N$69)*Guidelines!$M$228/100*($G$21:$G$69=AP$102))-SUMPRODUCT(($E$21:$E$69*$Z$21:$Z$69)*($G$21:$G$69=AP$102))</f>
        <v>8050.9741561412593</v>
      </c>
      <c r="AQ117" s="424">
        <f>SUMPRODUCT(($E$21:$E$69*$N$21:$N$69)*Guidelines!$M$228/100*($G$21:$G$69=AQ$102))-SUMPRODUCT(($E$21:$E$69*$Z$21:$Z$69)*($G$21:$G$69=AQ$102))</f>
        <v>6051.0948622843916</v>
      </c>
      <c r="AR117" s="424">
        <f>SUMPRODUCT(($E$21:$E$69*$N$21:$N$69)*Guidelines!$M$228/100*($G$21:$G$69=AR$102))-SUMPRODUCT(($E$21:$E$69*$Z$21:$Z$69)*($G$21:$G$69=AR$102))</f>
        <v>52145</v>
      </c>
      <c r="AS117" s="424">
        <f>SUMPRODUCT(($E$21:$E$69*$N$21:$N$69)*Guidelines!$M$228/100*($G$21:$G$69=AS$102))-SUMPRODUCT(($E$21:$E$69*$Z$21:$Z$69)*($G$21:$G$69=AS$102))</f>
        <v>0</v>
      </c>
      <c r="AT117" s="420">
        <f t="shared" ref="AT117:AT127" si="25">SUM(AH117:AM117)</f>
        <v>2668.3663353671673</v>
      </c>
      <c r="AU117" s="420">
        <f t="shared" ref="AU117:AU127" si="26">SUM(AN117:AS117)</f>
        <v>90327.069018425653</v>
      </c>
      <c r="AV117" s="419">
        <f t="shared" ref="AV117:AV129" si="27">AT117+AU117</f>
        <v>92995.435353792825</v>
      </c>
      <c r="BE117" s="182"/>
      <c r="BF117" s="182"/>
      <c r="BG117" s="182"/>
      <c r="BH117" s="182"/>
    </row>
    <row r="118" spans="30:74" ht="14.25" customHeight="1">
      <c r="AD118" s="832"/>
      <c r="AE118" s="834" t="s">
        <v>8</v>
      </c>
      <c r="AF118" s="423" t="s">
        <v>539</v>
      </c>
      <c r="AG118" s="427">
        <f>-(AG113*Guidelines!H119/100)*Guidelines!M226</f>
        <v>-6603.7836692439751</v>
      </c>
      <c r="AH118" s="424">
        <f>-SUMPRODUCT(($E$21:$E$69*$O$21:$O$69)*Guidelines!$M$226/100*($G$21:$G$69=AH$102))</f>
        <v>-4302.482153150162</v>
      </c>
      <c r="AI118" s="424">
        <f>-SUMPRODUCT(($E$21:$E$69*$O$21:$O$69)*Guidelines!$M$226/100*($G$21:$G$69=AI$102))</f>
        <v>0</v>
      </c>
      <c r="AJ118" s="424">
        <f>-SUMPRODUCT(($E$21:$E$69*$O$21:$O$69)*Guidelines!$M$226/100*($G$21:$G$69=AJ$102))</f>
        <v>0</v>
      </c>
      <c r="AK118" s="424">
        <f>-SUMPRODUCT(($E$21:$E$69*$O$21:$O$69)*Guidelines!$M$226/100*($G$21:$G$69=AK$102))</f>
        <v>0</v>
      </c>
      <c r="AL118" s="424">
        <f>-SUMPRODUCT(($E$21:$E$69*$O$21:$O$69)*Guidelines!$M$226/100*($G$21:$G$69=AL$102))</f>
        <v>0</v>
      </c>
      <c r="AM118" s="424">
        <f>-SUMPRODUCT(($E$21:$E$69*$O$21:$O$69)*Guidelines!$M$226/100*($G$21:$G$69=AM$102))</f>
        <v>0</v>
      </c>
      <c r="AN118" s="424">
        <f>-SUMPRODUCT(($E$21:$E$69*$O$21:$O$69)*Guidelines!$M$226/100*($G$21:$G$69=AN$102))</f>
        <v>0</v>
      </c>
      <c r="AO118" s="424">
        <f>-SUMPRODUCT(($E$21:$E$69*$O$21:$O$69)*Guidelines!$M$226/100*($G$21:$G$69=AO$102))</f>
        <v>-1040</v>
      </c>
      <c r="AP118" s="424">
        <f>-SUMPRODUCT(($E$21:$E$69*$O$21:$O$69)*Guidelines!$M$226/100*($G$21:$G$69=AP$102))</f>
        <v>-1802.0076319536201</v>
      </c>
      <c r="AQ118" s="424">
        <f>-SUMPRODUCT(($E$21:$E$69*$O$21:$O$69)*Guidelines!$M$226/100*($G$21:$G$69=AQ$102))</f>
        <v>-512.2322162491904</v>
      </c>
      <c r="AR118" s="424">
        <f>-SUMPRODUCT(($E$21:$E$69*$O$21:$O$69)*Guidelines!$M$226/100*($G$21:$G$69=AR$102))</f>
        <v>-91</v>
      </c>
      <c r="AS118" s="424">
        <f>-SUMPRODUCT(($E$21:$E$69*$O$21:$O$69)*Guidelines!$M$226/100*($G$21:$G$69=AS$102))</f>
        <v>0</v>
      </c>
      <c r="AT118" s="420">
        <f t="shared" si="25"/>
        <v>-4302.482153150162</v>
      </c>
      <c r="AU118" s="420">
        <f t="shared" si="26"/>
        <v>-3445.2398482028107</v>
      </c>
      <c r="AV118" s="419">
        <f t="shared" si="27"/>
        <v>-7747.7220013529732</v>
      </c>
      <c r="BS118" s="124"/>
      <c r="BV118" s="245"/>
    </row>
    <row r="119" spans="30:74" ht="14.25" customHeight="1">
      <c r="AD119" s="832"/>
      <c r="AE119" s="834"/>
      <c r="AF119" s="423" t="s">
        <v>326</v>
      </c>
      <c r="AG119" s="427">
        <f>(AG113*Guidelines!H119/100)*Guidelines!M229</f>
        <v>27939.084754493739</v>
      </c>
      <c r="AH119" s="424">
        <f>SUMPRODUCT(($E$21:$E$69*$O$21:$O$69)*Guidelines!$M$229/100*($G$21:$G$69=AH$102))</f>
        <v>18202.809109481452</v>
      </c>
      <c r="AI119" s="424">
        <f>SUMPRODUCT(($E$21:$E$69*$O$21:$O$69)*Guidelines!$M$229/100*($G$21:$G$69=AI$102))</f>
        <v>0</v>
      </c>
      <c r="AJ119" s="424">
        <f>SUMPRODUCT(($E$21:$E$69*$O$21:$O$69)*Guidelines!$M$229/100*($G$21:$G$69=AJ$102))</f>
        <v>0</v>
      </c>
      <c r="AK119" s="424">
        <f>SUMPRODUCT(($E$21:$E$69*$O$21:$O$69)*Guidelines!$M$229/100*($G$21:$G$69=AK$102))</f>
        <v>0</v>
      </c>
      <c r="AL119" s="424">
        <f>SUMPRODUCT(($E$21:$E$69*$O$21:$O$69)*Guidelines!$M$229/100*($G$21:$G$69=AL$102))</f>
        <v>0</v>
      </c>
      <c r="AM119" s="424">
        <f>SUMPRODUCT(($E$21:$E$69*$O$21:$O$69)*Guidelines!$M$229/100*($G$21:$G$69=AM$102))</f>
        <v>0</v>
      </c>
      <c r="AN119" s="424">
        <f>SUMPRODUCT(($E$21:$E$69*$O$21:$O$69)*Guidelines!$M$229/100*($G$21:$G$69=AN$102))</f>
        <v>0</v>
      </c>
      <c r="AO119" s="424">
        <f>SUMPRODUCT(($E$21:$E$69*$O$21:$O$69)*Guidelines!$M$229/100*($G$21:$G$69=AO$102))</f>
        <v>4400.0000000000009</v>
      </c>
      <c r="AP119" s="424">
        <f>SUMPRODUCT(($E$21:$E$69*$O$21:$O$69)*Guidelines!$M$229/100*($G$21:$G$69=AP$102))</f>
        <v>7623.8784428807003</v>
      </c>
      <c r="AQ119" s="424">
        <f>SUMPRODUCT(($E$21:$E$69*$O$21:$O$69)*Guidelines!$M$229/100*($G$21:$G$69=AQ$102))</f>
        <v>2167.1362995158056</v>
      </c>
      <c r="AR119" s="424">
        <f>SUMPRODUCT(($E$21:$E$69*$O$21:$O$69)*Guidelines!$M$229/100*($G$21:$G$69=AR$102))</f>
        <v>385</v>
      </c>
      <c r="AS119" s="424">
        <f>SUMPRODUCT(($E$21:$E$69*$O$21:$O$69)*Guidelines!$M$229/100*($G$21:$G$69=AS$102))</f>
        <v>0</v>
      </c>
      <c r="AT119" s="420">
        <f t="shared" si="25"/>
        <v>18202.809109481452</v>
      </c>
      <c r="AU119" s="420">
        <f t="shared" si="26"/>
        <v>14576.014742396506</v>
      </c>
      <c r="AV119" s="419">
        <f t="shared" si="27"/>
        <v>32778.823851877954</v>
      </c>
      <c r="BS119" s="124"/>
      <c r="BV119" s="245"/>
    </row>
    <row r="120" spans="30:74" ht="14.25" customHeight="1">
      <c r="AD120" s="832"/>
      <c r="AE120" s="834" t="s">
        <v>66</v>
      </c>
      <c r="AF120" s="423" t="s">
        <v>539</v>
      </c>
      <c r="AG120" s="484">
        <v>0</v>
      </c>
      <c r="AH120" s="424">
        <f>-Guidelines!$M$227/100*CLI*AH124</f>
        <v>0</v>
      </c>
      <c r="AI120" s="424">
        <f>-Guidelines!$M$227/100*CLI*AI124</f>
        <v>0</v>
      </c>
      <c r="AJ120" s="424">
        <f>-Guidelines!$M$227/100*CLI*AJ124</f>
        <v>0</v>
      </c>
      <c r="AK120" s="424">
        <f>-Guidelines!$M$227/100*CLI*AK124</f>
        <v>0</v>
      </c>
      <c r="AL120" s="424">
        <f>-Guidelines!$M$227/100*CLI*AL124</f>
        <v>0</v>
      </c>
      <c r="AM120" s="424">
        <f>-Guidelines!$M$227/100*CLI*AM124</f>
        <v>0</v>
      </c>
      <c r="AN120" s="424">
        <f>-Guidelines!$M$227/100*CLI*AN124</f>
        <v>0</v>
      </c>
      <c r="AO120" s="424">
        <f>-Guidelines!$M$227/100*CLI*AO124</f>
        <v>0</v>
      </c>
      <c r="AP120" s="424">
        <f>-Guidelines!$M$227/100*CLI*AP124</f>
        <v>-66417.064506011549</v>
      </c>
      <c r="AQ120" s="424">
        <f>-Guidelines!$M$227/100*CLI*AQ124</f>
        <v>-13267.08854286896</v>
      </c>
      <c r="AR120" s="424">
        <f>-Guidelines!$M$227/100*CLI*AR124</f>
        <v>0</v>
      </c>
      <c r="AS120" s="424">
        <f>-Guidelines!$M$227/100*CLI*AS124</f>
        <v>0</v>
      </c>
      <c r="AT120" s="426">
        <f t="shared" si="25"/>
        <v>0</v>
      </c>
      <c r="AU120" s="426">
        <f t="shared" si="26"/>
        <v>-79684.153048880515</v>
      </c>
      <c r="AV120" s="427">
        <f t="shared" si="27"/>
        <v>-79684.153048880515</v>
      </c>
      <c r="BS120" s="124"/>
      <c r="BV120" s="245"/>
    </row>
    <row r="121" spans="30:74" ht="14.25" customHeight="1">
      <c r="AD121" s="832"/>
      <c r="AE121" s="834"/>
      <c r="AF121" s="423" t="s">
        <v>763</v>
      </c>
      <c r="AG121" s="485">
        <v>0</v>
      </c>
      <c r="AH121" s="428">
        <f t="shared" ref="AH121:AS121" si="28">SUMIFS($H$21:$H$69,$G$21:$G$69,"="&amp;AH102)</f>
        <v>55.121561000291649</v>
      </c>
      <c r="AI121" s="428">
        <f t="shared" si="28"/>
        <v>0</v>
      </c>
      <c r="AJ121" s="428">
        <f t="shared" si="28"/>
        <v>0</v>
      </c>
      <c r="AK121" s="428">
        <f t="shared" si="28"/>
        <v>1.2602969718239256</v>
      </c>
      <c r="AL121" s="428">
        <f t="shared" si="28"/>
        <v>0</v>
      </c>
      <c r="AM121" s="428">
        <f t="shared" si="28"/>
        <v>0</v>
      </c>
      <c r="AN121" s="428">
        <f t="shared" si="28"/>
        <v>0</v>
      </c>
      <c r="AO121" s="428">
        <f t="shared" si="28"/>
        <v>9.1961968093288107</v>
      </c>
      <c r="AP121" s="428">
        <f t="shared" si="28"/>
        <v>25.03076120239043</v>
      </c>
      <c r="AQ121" s="428">
        <f t="shared" si="28"/>
        <v>5.0000000397106579</v>
      </c>
      <c r="AR121" s="428">
        <f t="shared" si="28"/>
        <v>4.3911839764545064</v>
      </c>
      <c r="AS121" s="428">
        <f t="shared" si="28"/>
        <v>0</v>
      </c>
      <c r="AT121" s="429">
        <f>SUM(AH121:AM121)</f>
        <v>56.381857972115576</v>
      </c>
      <c r="AU121" s="429">
        <f>SUM(AN121:AS121)</f>
        <v>43.618142027884403</v>
      </c>
      <c r="AV121" s="430">
        <f>AT121+AU121</f>
        <v>99.999999999999972</v>
      </c>
      <c r="BS121" s="124"/>
      <c r="BV121" s="245"/>
    </row>
    <row r="122" spans="30:74" ht="14.25" customHeight="1">
      <c r="AD122" s="832"/>
      <c r="AE122" s="834"/>
      <c r="AF122" s="423" t="s">
        <v>762</v>
      </c>
      <c r="AG122" s="485">
        <v>0</v>
      </c>
      <c r="AH122" s="428">
        <f t="shared" ref="AH122:AM122" si="29">AH121</f>
        <v>55.121561000291649</v>
      </c>
      <c r="AI122" s="428">
        <f t="shared" si="29"/>
        <v>0</v>
      </c>
      <c r="AJ122" s="428">
        <f t="shared" si="29"/>
        <v>0</v>
      </c>
      <c r="AK122" s="428">
        <f t="shared" si="29"/>
        <v>1.2602969718239256</v>
      </c>
      <c r="AL122" s="428">
        <f t="shared" si="29"/>
        <v>0</v>
      </c>
      <c r="AM122" s="428">
        <f t="shared" si="29"/>
        <v>0</v>
      </c>
      <c r="AN122" s="431">
        <v>0</v>
      </c>
      <c r="AO122" s="428">
        <f>IF(AV114=0,0,IF(OR(K5&lt;&gt;AH146,K5&lt;&gt;AH147),AO104+AO112)/AV114*100)</f>
        <v>0</v>
      </c>
      <c r="AP122" s="428">
        <f>IF(AV114=0,0,AP114/AV114*100)</f>
        <v>25.030761202390433</v>
      </c>
      <c r="AQ122" s="428">
        <f>IF(AV114=0,0,AQ114/AV114*100)</f>
        <v>5.0000000397106579</v>
      </c>
      <c r="AR122" s="431">
        <v>0</v>
      </c>
      <c r="AS122" s="431">
        <v>0</v>
      </c>
      <c r="AT122" s="429">
        <f>SUM(AH122:AM122)</f>
        <v>56.381857972115576</v>
      </c>
      <c r="AU122" s="429">
        <f>SUM(AN122:AS122)</f>
        <v>30.030761242101093</v>
      </c>
      <c r="AV122" s="430">
        <f>AT122+AU122</f>
        <v>86.412619214216676</v>
      </c>
      <c r="BS122" s="124"/>
      <c r="BV122" s="245"/>
    </row>
    <row r="123" spans="30:74" ht="14.25" customHeight="1">
      <c r="AD123" s="832"/>
      <c r="AE123" s="834"/>
      <c r="AF123" s="423" t="s">
        <v>833</v>
      </c>
      <c r="AG123" s="485">
        <v>0</v>
      </c>
      <c r="AH123" s="432">
        <f>Guidelines!$P$120/100*AH122</f>
        <v>0</v>
      </c>
      <c r="AI123" s="432">
        <f>Guidelines!$P$121/100*AI122</f>
        <v>0</v>
      </c>
      <c r="AJ123" s="432">
        <f>Guidelines!$P$122/100*AJ122</f>
        <v>0</v>
      </c>
      <c r="AK123" s="432">
        <f>Guidelines!$P$123/100*AK122</f>
        <v>0</v>
      </c>
      <c r="AL123" s="432">
        <f>Guidelines!$P$124/100*AL122</f>
        <v>0</v>
      </c>
      <c r="AM123" s="432">
        <f>Guidelines!$P$125/100*AM122</f>
        <v>0</v>
      </c>
      <c r="AN123" s="428">
        <f>IF(AN122=0,0,AN122/Guidelines!$M$237)</f>
        <v>0</v>
      </c>
      <c r="AO123" s="428">
        <f>IF(AO122=0,0,AO122/Guidelines!$M$237)</f>
        <v>0</v>
      </c>
      <c r="AP123" s="428">
        <f>IF(AP122=0,0,AP122/Guidelines!$M$237)</f>
        <v>0.83435870674634782</v>
      </c>
      <c r="AQ123" s="428">
        <f>IF(AQ122=0,0,AQ122/Guidelines!$M$237)</f>
        <v>0.16666666799035526</v>
      </c>
      <c r="AR123" s="428">
        <f>IF(AR122=0,0,AR122/Guidelines!$M$237)</f>
        <v>0</v>
      </c>
      <c r="AS123" s="428">
        <f>IF(AS122=0,0,AS122/Guidelines!$M$237)</f>
        <v>0</v>
      </c>
      <c r="AT123" s="429">
        <f>SUM(AH123:AM123)</f>
        <v>0</v>
      </c>
      <c r="AU123" s="429">
        <f>SUM(AN123:AS123)</f>
        <v>1.0010253747367031</v>
      </c>
      <c r="AV123" s="430">
        <f>AT123+AU123</f>
        <v>1.0010253747367031</v>
      </c>
      <c r="BS123" s="124"/>
      <c r="BV123" s="245"/>
    </row>
    <row r="124" spans="30:74" ht="14.25" customHeight="1">
      <c r="AD124" s="832"/>
      <c r="AE124" s="834"/>
      <c r="AF124" s="423" t="s">
        <v>834</v>
      </c>
      <c r="AG124" s="485">
        <v>0</v>
      </c>
      <c r="AH124" s="432">
        <f t="shared" ref="AH124:AM124" si="30">AH122/$AT$122*$AR$145</f>
        <v>0</v>
      </c>
      <c r="AI124" s="432">
        <f t="shared" si="30"/>
        <v>0</v>
      </c>
      <c r="AJ124" s="432">
        <f t="shared" si="30"/>
        <v>0</v>
      </c>
      <c r="AK124" s="432">
        <f t="shared" si="30"/>
        <v>0</v>
      </c>
      <c r="AL124" s="432">
        <f t="shared" si="30"/>
        <v>0</v>
      </c>
      <c r="AM124" s="432">
        <f t="shared" si="30"/>
        <v>0</v>
      </c>
      <c r="AN124" s="432">
        <f t="shared" ref="AN124:AS124" si="31">IF($AU$122=0,0,AN122/$AU$122*$AR$146)</f>
        <v>0</v>
      </c>
      <c r="AO124" s="432">
        <f t="shared" si="31"/>
        <v>0</v>
      </c>
      <c r="AP124" s="432">
        <f t="shared" si="31"/>
        <v>0.83435870674634782</v>
      </c>
      <c r="AQ124" s="432">
        <f t="shared" si="31"/>
        <v>0.16666666799035523</v>
      </c>
      <c r="AR124" s="432">
        <f t="shared" si="31"/>
        <v>0</v>
      </c>
      <c r="AS124" s="432">
        <f t="shared" si="31"/>
        <v>0</v>
      </c>
      <c r="AT124" s="429">
        <f>SUM(AH124:AM124)</f>
        <v>0</v>
      </c>
      <c r="AU124" s="429">
        <f>SUM(AN124:AS124)</f>
        <v>1.0010253747367031</v>
      </c>
      <c r="AV124" s="430">
        <f>AT124+AU124</f>
        <v>1.0010253747367031</v>
      </c>
      <c r="BS124" s="124"/>
      <c r="BV124" s="245"/>
    </row>
    <row r="125" spans="30:74" ht="14.25" customHeight="1">
      <c r="AD125" s="832"/>
      <c r="AE125" s="834"/>
      <c r="AF125" s="423" t="s">
        <v>326</v>
      </c>
      <c r="AG125" s="484">
        <v>0</v>
      </c>
      <c r="AH125" s="424">
        <f>STEC*AH124/100*Guidelines!$M$230*CLI/1000</f>
        <v>0</v>
      </c>
      <c r="AI125" s="424">
        <f>STEC*AI124/100*Guidelines!$M$230*CLI/1000</f>
        <v>0</v>
      </c>
      <c r="AJ125" s="424">
        <f>STEC*AJ124/100*Guidelines!$M$230*CLI/1000</f>
        <v>0</v>
      </c>
      <c r="AK125" s="424">
        <f>STEC*AK124/100*Guidelines!$M$230*CLI/1000</f>
        <v>0</v>
      </c>
      <c r="AL125" s="424">
        <f>STEC*AL124/100*Guidelines!$M$230*CLI/1000</f>
        <v>0</v>
      </c>
      <c r="AM125" s="424">
        <f>STEC*AM124/100*Guidelines!$M$230*CLI/1000</f>
        <v>0</v>
      </c>
      <c r="AN125" s="424">
        <f>STEC*AN124/100*Guidelines!$M$230*CLI/1000</f>
        <v>0</v>
      </c>
      <c r="AO125" s="424">
        <f>STEC*AO124/100*Guidelines!$M$230*CLI/1000</f>
        <v>0</v>
      </c>
      <c r="AP125" s="424">
        <f>STEC*AP124/100*Guidelines!$M$230*CLI/1000</f>
        <v>71857.106741426658</v>
      </c>
      <c r="AQ125" s="424">
        <f>STEC*AQ124/100*Guidelines!$M$230*CLI/1000</f>
        <v>14353.759905883906</v>
      </c>
      <c r="AR125" s="424">
        <f>STEC*AR124/100*Guidelines!$M$230*CLI/1000</f>
        <v>0</v>
      </c>
      <c r="AS125" s="424">
        <f>STEC*AS124/100*Guidelines!$M$230*CLI/1000</f>
        <v>0</v>
      </c>
      <c r="AT125" s="420">
        <f t="shared" si="25"/>
        <v>0</v>
      </c>
      <c r="AU125" s="420">
        <f t="shared" si="26"/>
        <v>86210.86664731057</v>
      </c>
      <c r="AV125" s="419">
        <f t="shared" si="27"/>
        <v>86210.86664731057</v>
      </c>
      <c r="BS125" s="124"/>
      <c r="BV125" s="245"/>
    </row>
    <row r="126" spans="30:74" ht="14.25" customHeight="1">
      <c r="AD126" s="832"/>
      <c r="AE126" s="761" t="s">
        <v>356</v>
      </c>
      <c r="AF126" s="423" t="s">
        <v>539</v>
      </c>
      <c r="AG126" s="484">
        <v>0</v>
      </c>
      <c r="AH126" s="436">
        <v>0</v>
      </c>
      <c r="AI126" s="436">
        <v>0</v>
      </c>
      <c r="AJ126" s="436">
        <v>0</v>
      </c>
      <c r="AK126" s="436">
        <v>0</v>
      </c>
      <c r="AL126" s="436">
        <v>0</v>
      </c>
      <c r="AM126" s="436">
        <v>0</v>
      </c>
      <c r="AN126" s="436">
        <v>0</v>
      </c>
      <c r="AO126" s="436">
        <v>0</v>
      </c>
      <c r="AP126" s="436">
        <v>0</v>
      </c>
      <c r="AQ126" s="436">
        <v>0</v>
      </c>
      <c r="AR126" s="436">
        <v>0</v>
      </c>
      <c r="AS126" s="436">
        <v>0</v>
      </c>
      <c r="AT126" s="420">
        <f t="shared" si="25"/>
        <v>0</v>
      </c>
      <c r="AU126" s="420">
        <f t="shared" si="26"/>
        <v>0</v>
      </c>
      <c r="AV126" s="419">
        <f t="shared" si="27"/>
        <v>0</v>
      </c>
      <c r="BS126" s="124"/>
      <c r="BV126" s="245"/>
    </row>
    <row r="127" spans="30:74" ht="14.25" customHeight="1">
      <c r="AD127" s="832"/>
      <c r="AE127" s="762"/>
      <c r="AF127" s="423" t="s">
        <v>326</v>
      </c>
      <c r="AG127" s="436">
        <v>0</v>
      </c>
      <c r="AH127" s="424">
        <f>IF(AV114=0,0,Guidelines!O120*(Baseline!AH114/Baseline!$AV$114)*STEC/1000*Guidelines!$M$231*CLI)</f>
        <v>0</v>
      </c>
      <c r="AI127" s="424">
        <f>IF(AV114=0,0,Guidelines!O121*(Baseline!AI114/Baseline!$AV$114)*STEC/1000*Guidelines!$M$231*CLI)</f>
        <v>0</v>
      </c>
      <c r="AJ127" s="424">
        <f>IF(AV114=0,0,Guidelines!O122*(Baseline!AJ114/Baseline!$AV$114)*STEC/1000*Guidelines!$M$231*CLI)</f>
        <v>0</v>
      </c>
      <c r="AK127" s="424">
        <f>IF(AV114=0,0,Guidelines!O123*(Baseline!AK114/Baseline!$AV$114)*STEC/1000*Guidelines!$M$231*CLI)</f>
        <v>751.2388883162256</v>
      </c>
      <c r="AL127" s="424">
        <f>IF(AV114=0,0,Guidelines!O124*(Baseline!AL114/Baseline!$AV$114)*STEC/1000*Guidelines!$M$231*CLI)</f>
        <v>0</v>
      </c>
      <c r="AM127" s="424">
        <f>IF(AV114=0,0,Guidelines!O125*(Baseline!AM114/Baseline!$AV$114)*STEC/1000*Guidelines!$M$231*CLI)</f>
        <v>0</v>
      </c>
      <c r="AN127" s="436">
        <v>0</v>
      </c>
      <c r="AO127" s="436">
        <v>0</v>
      </c>
      <c r="AP127" s="436">
        <v>0</v>
      </c>
      <c r="AQ127" s="436">
        <v>0</v>
      </c>
      <c r="AR127" s="436">
        <v>0</v>
      </c>
      <c r="AS127" s="436">
        <v>0</v>
      </c>
      <c r="AT127" s="420">
        <f t="shared" si="25"/>
        <v>751.2388883162256</v>
      </c>
      <c r="AU127" s="420">
        <f t="shared" si="26"/>
        <v>0</v>
      </c>
      <c r="AV127" s="419">
        <f t="shared" si="27"/>
        <v>751.2388883162256</v>
      </c>
      <c r="BS127" s="124"/>
      <c r="BV127" s="245"/>
    </row>
    <row r="128" spans="30:74" ht="14.25" customHeight="1">
      <c r="AD128" s="832"/>
      <c r="AE128" s="761" t="s">
        <v>60</v>
      </c>
      <c r="AF128" s="423" t="s">
        <v>539</v>
      </c>
      <c r="AG128" s="424">
        <f>IF(ISERROR(AG116+AG118+AG120+AG126),0,AG116+AG118+AG120+AG126)</f>
        <v>-9956.4738397832243</v>
      </c>
      <c r="AH128" s="424">
        <f t="shared" ref="AH128:AS128" si="32">AH116+AH118+AH120+AH126</f>
        <v>-6759.8613829301576</v>
      </c>
      <c r="AI128" s="424">
        <f t="shared" si="32"/>
        <v>0</v>
      </c>
      <c r="AJ128" s="424">
        <f t="shared" si="32"/>
        <v>0</v>
      </c>
      <c r="AK128" s="424">
        <f t="shared" si="32"/>
        <v>0</v>
      </c>
      <c r="AL128" s="424">
        <f t="shared" si="32"/>
        <v>0</v>
      </c>
      <c r="AM128" s="424">
        <f t="shared" si="32"/>
        <v>0</v>
      </c>
      <c r="AN128" s="424">
        <f t="shared" si="32"/>
        <v>0</v>
      </c>
      <c r="AO128" s="424">
        <f t="shared" si="32"/>
        <v>-23216</v>
      </c>
      <c r="AP128" s="424">
        <f t="shared" si="32"/>
        <v>-75633.45763989992</v>
      </c>
      <c r="AQ128" s="424">
        <f t="shared" si="32"/>
        <v>-19351.956957873081</v>
      </c>
      <c r="AR128" s="424">
        <f t="shared" si="32"/>
        <v>-26227</v>
      </c>
      <c r="AS128" s="424">
        <f t="shared" si="32"/>
        <v>0</v>
      </c>
      <c r="AT128" s="420">
        <f>IF(ISERROR(SUM(AH128:AM128)),0,SUM(AH128:AM128))</f>
        <v>-6759.8613829301576</v>
      </c>
      <c r="AU128" s="420">
        <f>IF(ISERROR(SUM(AN128:AS128)),0,SUM(AN128:AS128))</f>
        <v>-144428.41459777299</v>
      </c>
      <c r="AV128" s="419">
        <f t="shared" si="27"/>
        <v>-151188.27598070315</v>
      </c>
      <c r="BS128" s="124"/>
      <c r="BV128" s="182"/>
    </row>
    <row r="129" spans="30:74" ht="14.25" customHeight="1">
      <c r="AD129" s="832"/>
      <c r="AE129" s="855"/>
      <c r="AF129" s="423" t="s">
        <v>326</v>
      </c>
      <c r="AG129" s="424">
        <f>IF(ISERROR(AG117+AG119+AG125+AG127),0,AG117+AG119+AG125+AG127)</f>
        <v>31579.632161897469</v>
      </c>
      <c r="AH129" s="424">
        <f t="shared" ref="AH129:AS129" si="33">AH117+AH119+AH125+AH127</f>
        <v>20871.175444848617</v>
      </c>
      <c r="AI129" s="424">
        <f t="shared" si="33"/>
        <v>0</v>
      </c>
      <c r="AJ129" s="424">
        <f t="shared" si="33"/>
        <v>0</v>
      </c>
      <c r="AK129" s="424">
        <f t="shared" si="33"/>
        <v>751.2388883162256</v>
      </c>
      <c r="AL129" s="424">
        <f t="shared" si="33"/>
        <v>0</v>
      </c>
      <c r="AM129" s="424">
        <f t="shared" si="33"/>
        <v>0</v>
      </c>
      <c r="AN129" s="424">
        <f t="shared" si="33"/>
        <v>0</v>
      </c>
      <c r="AO129" s="424">
        <f t="shared" si="33"/>
        <v>28480</v>
      </c>
      <c r="AP129" s="424">
        <f t="shared" si="33"/>
        <v>87531.959340448622</v>
      </c>
      <c r="AQ129" s="424">
        <f t="shared" si="33"/>
        <v>22571.991067684103</v>
      </c>
      <c r="AR129" s="424">
        <f t="shared" si="33"/>
        <v>52530</v>
      </c>
      <c r="AS129" s="424">
        <f t="shared" si="33"/>
        <v>0</v>
      </c>
      <c r="AT129" s="420">
        <f>IF(ISERROR(SUM(AH129:AM129)),0,SUM(AH129:AM129))</f>
        <v>21622.414333164841</v>
      </c>
      <c r="AU129" s="420">
        <f>IF(ISERROR(SUM(AN129:AS129)),0,SUM(AN129:AS129))</f>
        <v>191113.95040813272</v>
      </c>
      <c r="AV129" s="419">
        <f t="shared" si="27"/>
        <v>212736.36474129756</v>
      </c>
      <c r="BS129" s="124"/>
      <c r="BV129" s="615"/>
    </row>
    <row r="130" spans="30:74" ht="14.25" customHeight="1">
      <c r="AD130" s="833"/>
      <c r="AE130" s="762"/>
      <c r="AF130" s="423" t="s">
        <v>764</v>
      </c>
      <c r="AG130" s="481">
        <f t="shared" ref="AG130:AV130" si="34">IF(CLI=0,0,AG129*1000/CLI)</f>
        <v>22.612836791684042</v>
      </c>
      <c r="AH130" s="481">
        <f t="shared" si="34"/>
        <v>14.944964576072749</v>
      </c>
      <c r="AI130" s="481">
        <f t="shared" si="34"/>
        <v>0</v>
      </c>
      <c r="AJ130" s="481">
        <f t="shared" si="34"/>
        <v>0</v>
      </c>
      <c r="AK130" s="481">
        <f t="shared" si="34"/>
        <v>0.53793034339258305</v>
      </c>
      <c r="AL130" s="481">
        <f t="shared" si="34"/>
        <v>0</v>
      </c>
      <c r="AM130" s="481">
        <f t="shared" si="34"/>
        <v>0</v>
      </c>
      <c r="AN130" s="481">
        <f t="shared" si="34"/>
        <v>0</v>
      </c>
      <c r="AO130" s="481">
        <f t="shared" si="34"/>
        <v>20.393321509431598</v>
      </c>
      <c r="AP130" s="481">
        <f t="shared" si="34"/>
        <v>62.677927990880015</v>
      </c>
      <c r="AQ130" s="481">
        <f t="shared" si="34"/>
        <v>16.162846592391155</v>
      </c>
      <c r="AR130" s="481">
        <f t="shared" si="34"/>
        <v>37.614507685759897</v>
      </c>
      <c r="AS130" s="481">
        <f t="shared" si="34"/>
        <v>0</v>
      </c>
      <c r="AT130" s="481">
        <f t="shared" si="34"/>
        <v>15.48289491946533</v>
      </c>
      <c r="AU130" s="481">
        <f t="shared" si="34"/>
        <v>136.84860377846266</v>
      </c>
      <c r="AV130" s="481">
        <f t="shared" si="34"/>
        <v>152.331498697928</v>
      </c>
      <c r="BS130" s="124"/>
      <c r="BV130" s="615"/>
    </row>
    <row r="131" spans="30:74" ht="14.25" customHeight="1">
      <c r="AD131" s="838" t="s">
        <v>540</v>
      </c>
      <c r="AE131" s="828" t="s">
        <v>311</v>
      </c>
      <c r="AF131" s="418" t="str">
        <f>LocCur&amp;"/t"</f>
        <v>USD/t</v>
      </c>
      <c r="AG131" s="481" t="s">
        <v>51</v>
      </c>
      <c r="AH131" s="437">
        <f t="shared" ref="AH131:AS131" si="35">IF(AH$113=0,0,SUMPRODUCT(($E$21:$E$69*$K$21:$K$69)*($G$21:$G$69=AH$102))/AH$113)</f>
        <v>138.00000000000003</v>
      </c>
      <c r="AI131" s="437">
        <f t="shared" si="35"/>
        <v>0</v>
      </c>
      <c r="AJ131" s="437">
        <f t="shared" si="35"/>
        <v>0</v>
      </c>
      <c r="AK131" s="437">
        <f t="shared" si="35"/>
        <v>530</v>
      </c>
      <c r="AL131" s="437">
        <f t="shared" si="35"/>
        <v>0</v>
      </c>
      <c r="AM131" s="437">
        <f t="shared" si="35"/>
        <v>0</v>
      </c>
      <c r="AN131" s="437">
        <f t="shared" si="35"/>
        <v>0</v>
      </c>
      <c r="AO131" s="437">
        <f t="shared" si="35"/>
        <v>35</v>
      </c>
      <c r="AP131" s="437">
        <f t="shared" si="35"/>
        <v>33.877225502095179</v>
      </c>
      <c r="AQ131" s="437">
        <f t="shared" si="35"/>
        <v>-32</v>
      </c>
      <c r="AR131" s="437">
        <f t="shared" si="35"/>
        <v>-1</v>
      </c>
      <c r="AS131" s="437">
        <f t="shared" si="35"/>
        <v>0</v>
      </c>
      <c r="AT131" s="486">
        <f>IF(AT113=0,0,SUMPRODUCT(AH131:AM131,$AH$113:$AM$113)/$AT$113)</f>
        <v>143.60400009478988</v>
      </c>
      <c r="AU131" s="486">
        <f>IF($AU$113=0,0,SUMPRODUCT(AN131:AS131,$AN$113:$AS$113)/$AU$113)</f>
        <v>21.594614510912461</v>
      </c>
      <c r="AV131" s="440">
        <f>IF(AV113=0,0,SUMPRODUCT(AH131:AS131,$AH$113:$AS$113)/$AV$113)</f>
        <v>76.412029929155921</v>
      </c>
      <c r="BS131" s="124"/>
      <c r="BV131" s="615"/>
    </row>
    <row r="132" spans="30:74" ht="14.25" customHeight="1">
      <c r="AD132" s="840"/>
      <c r="AE132" s="829"/>
      <c r="AF132" s="418" t="str">
        <f>LocCur&amp;"/GJ"</f>
        <v>USD/GJ</v>
      </c>
      <c r="AG132" s="481" t="s">
        <v>51</v>
      </c>
      <c r="AH132" s="437">
        <f t="shared" ref="AH132:AS132" si="36">IF(AH$113=0,0,SUMPRODUCT(($E$21:$E$69*$K$21:$K$69)*($G$21:$G$69=AH$102))/SUMPRODUCT(($E$21:$E$69*$M$21:$M$69)*($G$21:$G$69=AH$102)))</f>
        <v>5.4117647058823533</v>
      </c>
      <c r="AI132" s="437">
        <f t="shared" si="36"/>
        <v>0</v>
      </c>
      <c r="AJ132" s="437">
        <f t="shared" si="36"/>
        <v>0</v>
      </c>
      <c r="AK132" s="437">
        <f t="shared" si="36"/>
        <v>13.184079601990048</v>
      </c>
      <c r="AL132" s="437">
        <f t="shared" si="36"/>
        <v>0</v>
      </c>
      <c r="AM132" s="437">
        <f t="shared" si="36"/>
        <v>0</v>
      </c>
      <c r="AN132" s="437">
        <f t="shared" si="36"/>
        <v>0</v>
      </c>
      <c r="AO132" s="437">
        <f t="shared" si="36"/>
        <v>3.1818181818181817</v>
      </c>
      <c r="AP132" s="437">
        <f t="shared" si="36"/>
        <v>1.5427437286813666</v>
      </c>
      <c r="AQ132" s="437">
        <f t="shared" si="36"/>
        <v>-1.8823529411764706</v>
      </c>
      <c r="AR132" s="437">
        <f t="shared" si="36"/>
        <v>-9.5192765349833411E-2</v>
      </c>
      <c r="AS132" s="437">
        <f t="shared" si="36"/>
        <v>0</v>
      </c>
      <c r="AT132" s="439">
        <f>IF(SUMPRODUCT(AH133:AM133,AH113:AM113)=0,0,SUMPRODUCT(AH131:AM131,AH113:AM113)/SUMPRODUCT(AH133:AM133,AH113:AM113))</f>
        <v>5.5854983372300646</v>
      </c>
      <c r="AU132" s="439">
        <f>IF(SUMPRODUCT(AN133:AS133,AN113:AS113)=0,0,SUMPRODUCT(AN131:AS131,AN113:AS113)/SUMPRODUCT(AN133:AS133,AN113:AS113))</f>
        <v>1.330797224627096</v>
      </c>
      <c r="AV132" s="440">
        <f>IF(SUMPRODUCT(AH133:AS133,AH113:AS113)=0,0,SUMPRODUCT(AH131:AS131,AH113:AS113)/SUMPRODUCT(AH133:AS133,AH113:AS113))</f>
        <v>3.7296767630729231</v>
      </c>
      <c r="BS132" s="124"/>
      <c r="BV132" s="615"/>
    </row>
    <row r="133" spans="30:74" ht="14.25" customHeight="1">
      <c r="AD133" s="831" t="s">
        <v>116</v>
      </c>
      <c r="AE133" s="609" t="s">
        <v>12</v>
      </c>
      <c r="AF133" s="423" t="s">
        <v>312</v>
      </c>
      <c r="AG133" s="432">
        <f>Guidelines!D119</f>
        <v>27</v>
      </c>
      <c r="AH133" s="428">
        <f t="shared" ref="AH133:AS133" si="37">IF(AH$113=0,0,SUMPRODUCT(($E$21:$E$69*$M$21:$M$69)*($G$21:$G$69=AH$102))/AH$113)</f>
        <v>25.500000000000004</v>
      </c>
      <c r="AI133" s="428">
        <f t="shared" si="37"/>
        <v>0</v>
      </c>
      <c r="AJ133" s="428">
        <f t="shared" si="37"/>
        <v>0</v>
      </c>
      <c r="AK133" s="428">
        <f t="shared" si="37"/>
        <v>40.200000000000003</v>
      </c>
      <c r="AL133" s="428">
        <f t="shared" si="37"/>
        <v>0</v>
      </c>
      <c r="AM133" s="428">
        <f t="shared" si="37"/>
        <v>0</v>
      </c>
      <c r="AN133" s="428">
        <f t="shared" si="37"/>
        <v>0</v>
      </c>
      <c r="AO133" s="428">
        <f t="shared" si="37"/>
        <v>11</v>
      </c>
      <c r="AP133" s="428">
        <f t="shared" si="37"/>
        <v>21.959075167365061</v>
      </c>
      <c r="AQ133" s="428">
        <f t="shared" si="37"/>
        <v>17</v>
      </c>
      <c r="AR133" s="428">
        <f t="shared" si="37"/>
        <v>10.505000000000001</v>
      </c>
      <c r="AS133" s="428">
        <f t="shared" si="37"/>
        <v>0</v>
      </c>
      <c r="AT133" s="429">
        <f t="shared" ref="AT133:AT140" si="38">IF($AT$113=0,0,SUMPRODUCT(AH133:AM133,$AH$113:$AM$113)/$AT$113)</f>
        <v>25.710150003554624</v>
      </c>
      <c r="AU133" s="429">
        <f t="shared" ref="AU133:AU140" si="39">IF($AU$113=0,0,SUMPRODUCT(AN133:AS133,$AN$113:$AS$113)/$AU$113)</f>
        <v>16.226825628497618</v>
      </c>
      <c r="AV133" s="430">
        <f>IF(AV113=0,0,SUMPRODUCT(AH133:AS133,$AH$113:$AS$113)/$AV$113)</f>
        <v>20.487574335047519</v>
      </c>
      <c r="BS133" s="124"/>
      <c r="BV133" s="615"/>
    </row>
    <row r="134" spans="30:74" ht="14.25" customHeight="1">
      <c r="AD134" s="832"/>
      <c r="AE134" s="609" t="s">
        <v>6</v>
      </c>
      <c r="AF134" s="423" t="s">
        <v>3</v>
      </c>
      <c r="AG134" s="481">
        <f>Guidelines!F119</f>
        <v>1</v>
      </c>
      <c r="AH134" s="437">
        <f t="shared" ref="AH134:AS134" si="40">IF(AH$113=0,0,SUMPRODUCT(($E$21:$E$69*$N$21:$N$69)*($G$21:$G$69=AH$102))/AH$113)</f>
        <v>1.2000000000000002</v>
      </c>
      <c r="AI134" s="437">
        <f t="shared" si="40"/>
        <v>0</v>
      </c>
      <c r="AJ134" s="437">
        <f t="shared" si="40"/>
        <v>0</v>
      </c>
      <c r="AK134" s="437">
        <f t="shared" si="40"/>
        <v>0</v>
      </c>
      <c r="AL134" s="437">
        <f t="shared" si="40"/>
        <v>0</v>
      </c>
      <c r="AM134" s="437">
        <f t="shared" si="40"/>
        <v>0</v>
      </c>
      <c r="AN134" s="437">
        <f t="shared" si="40"/>
        <v>0</v>
      </c>
      <c r="AO134" s="437">
        <f t="shared" si="40"/>
        <v>28</v>
      </c>
      <c r="AP134" s="437">
        <f t="shared" si="40"/>
        <v>6.866027548116258</v>
      </c>
      <c r="AQ134" s="437">
        <f t="shared" si="40"/>
        <v>20</v>
      </c>
      <c r="AR134" s="437">
        <f t="shared" si="40"/>
        <v>66</v>
      </c>
      <c r="AS134" s="437">
        <f t="shared" si="40"/>
        <v>0</v>
      </c>
      <c r="AT134" s="439">
        <f t="shared" si="38"/>
        <v>1.1828448976690107</v>
      </c>
      <c r="AU134" s="439">
        <f t="shared" si="39"/>
        <v>24.071898351779367</v>
      </c>
      <c r="AV134" s="440">
        <f>IF(AV113=0,0,SUMPRODUCT(AH134:AS134,$AH$113:$AS$113)/$AV$113)</f>
        <v>13.788109561926227</v>
      </c>
      <c r="BS134" s="124"/>
      <c r="BV134" s="615"/>
    </row>
    <row r="135" spans="30:74" ht="14.25" customHeight="1">
      <c r="AD135" s="832"/>
      <c r="AE135" s="609" t="s">
        <v>8</v>
      </c>
      <c r="AF135" s="423" t="s">
        <v>3</v>
      </c>
      <c r="AG135" s="481">
        <f>Guidelines!H119</f>
        <v>15</v>
      </c>
      <c r="AH135" s="437">
        <f t="shared" ref="AH135:AS135" si="41">IF(AH$113=0,0,SUMPRODUCT(($E$21:$E$69*$O$21:$O$69)*($G$21:$G$69=AH$102))/AH$113)</f>
        <v>16</v>
      </c>
      <c r="AI135" s="437">
        <f t="shared" si="41"/>
        <v>0</v>
      </c>
      <c r="AJ135" s="437">
        <f t="shared" si="41"/>
        <v>0</v>
      </c>
      <c r="AK135" s="437">
        <f t="shared" si="41"/>
        <v>0</v>
      </c>
      <c r="AL135" s="437">
        <f t="shared" si="41"/>
        <v>0</v>
      </c>
      <c r="AM135" s="437">
        <f t="shared" si="41"/>
        <v>0</v>
      </c>
      <c r="AN135" s="437">
        <f t="shared" si="41"/>
        <v>0</v>
      </c>
      <c r="AO135" s="437">
        <f t="shared" si="41"/>
        <v>10</v>
      </c>
      <c r="AP135" s="437">
        <f t="shared" si="41"/>
        <v>12.708048012551902</v>
      </c>
      <c r="AQ135" s="437">
        <f t="shared" si="41"/>
        <v>14</v>
      </c>
      <c r="AR135" s="437">
        <f t="shared" si="41"/>
        <v>1.75</v>
      </c>
      <c r="AS135" s="437">
        <f t="shared" si="41"/>
        <v>0</v>
      </c>
      <c r="AT135" s="439">
        <f t="shared" si="38"/>
        <v>15.771265302253475</v>
      </c>
      <c r="AU135" s="439">
        <f t="shared" si="39"/>
        <v>10.303104420478958</v>
      </c>
      <c r="AV135" s="440">
        <f>IF(AV113=0,0,SUMPRODUCT(AH135:AS135,$AH$113:$AS$113)/$AV$113)</f>
        <v>12.759886291771585</v>
      </c>
      <c r="BS135" s="124"/>
      <c r="BV135" s="615"/>
    </row>
    <row r="136" spans="30:74" ht="14.25" customHeight="1">
      <c r="AD136" s="832"/>
      <c r="AE136" s="609" t="s">
        <v>7</v>
      </c>
      <c r="AF136" s="423" t="s">
        <v>3</v>
      </c>
      <c r="AG136" s="482">
        <f>Guidelines!L119</f>
        <v>0</v>
      </c>
      <c r="AH136" s="442">
        <f t="shared" ref="AH136:AS136" si="42">IF(AH$113=0,0,SUMPRODUCT(($E$21:$E$69*$P$21:$P$69)*($G$21:$G$69=AH$102))/AH$113)</f>
        <v>0.02</v>
      </c>
      <c r="AI136" s="442">
        <f t="shared" si="42"/>
        <v>0</v>
      </c>
      <c r="AJ136" s="442">
        <f t="shared" si="42"/>
        <v>0</v>
      </c>
      <c r="AK136" s="442">
        <f t="shared" si="42"/>
        <v>0</v>
      </c>
      <c r="AL136" s="442">
        <f t="shared" si="42"/>
        <v>0</v>
      </c>
      <c r="AM136" s="442">
        <f t="shared" si="42"/>
        <v>0</v>
      </c>
      <c r="AN136" s="442">
        <f t="shared" si="42"/>
        <v>0</v>
      </c>
      <c r="AO136" s="442">
        <f t="shared" si="42"/>
        <v>0.11</v>
      </c>
      <c r="AP136" s="442">
        <f t="shared" si="42"/>
        <v>0.37080480125519011</v>
      </c>
      <c r="AQ136" s="442">
        <f t="shared" si="42"/>
        <v>0.3</v>
      </c>
      <c r="AR136" s="442">
        <f t="shared" si="42"/>
        <v>0.2</v>
      </c>
      <c r="AS136" s="442">
        <f t="shared" si="42"/>
        <v>0</v>
      </c>
      <c r="AT136" s="443">
        <f t="shared" si="38"/>
        <v>1.9714081627816845E-2</v>
      </c>
      <c r="AU136" s="443">
        <f t="shared" si="39"/>
        <v>0.25538171182050717</v>
      </c>
      <c r="AV136" s="444">
        <f>IF(AV113=0,0,SUMPRODUCT(AH136:AS136,$AH$113:$AS$113)/$AV$113)</f>
        <v>0.14949895269437</v>
      </c>
      <c r="BS136" s="124"/>
      <c r="BV136" s="615"/>
    </row>
    <row r="137" spans="30:74" ht="14.25" customHeight="1">
      <c r="AD137" s="832"/>
      <c r="AE137" s="609" t="s">
        <v>1</v>
      </c>
      <c r="AF137" s="423" t="s">
        <v>3</v>
      </c>
      <c r="AG137" s="432">
        <f>Guidelines!J119</f>
        <v>0.5</v>
      </c>
      <c r="AH137" s="428">
        <f t="shared" ref="AH137:AS137" si="43">IF(AH$113=0,0,SUMPRODUCT(($E$21:$E$69*$Q$21:$Q$69)*($G$21:$G$69=AH$102))/AH$113)</f>
        <v>0.90000000000000013</v>
      </c>
      <c r="AI137" s="428">
        <f t="shared" si="43"/>
        <v>0</v>
      </c>
      <c r="AJ137" s="428">
        <f t="shared" si="43"/>
        <v>0</v>
      </c>
      <c r="AK137" s="428">
        <f t="shared" si="43"/>
        <v>1.4</v>
      </c>
      <c r="AL137" s="428">
        <f t="shared" si="43"/>
        <v>0</v>
      </c>
      <c r="AM137" s="428">
        <f t="shared" si="43"/>
        <v>0</v>
      </c>
      <c r="AN137" s="428">
        <f t="shared" si="43"/>
        <v>0</v>
      </c>
      <c r="AO137" s="428">
        <f t="shared" si="43"/>
        <v>0.23</v>
      </c>
      <c r="AP137" s="428">
        <f t="shared" si="43"/>
        <v>0.70171916569045034</v>
      </c>
      <c r="AQ137" s="428">
        <f t="shared" si="43"/>
        <v>0.2</v>
      </c>
      <c r="AR137" s="428">
        <f t="shared" si="43"/>
        <v>0.125</v>
      </c>
      <c r="AS137" s="428">
        <f t="shared" si="43"/>
        <v>0</v>
      </c>
      <c r="AT137" s="429">
        <f t="shared" si="38"/>
        <v>0.90714795930457892</v>
      </c>
      <c r="AU137" s="429">
        <f t="shared" si="39"/>
        <v>0.41042597727784041</v>
      </c>
      <c r="AV137" s="430">
        <f>IF(AV113=0,0,SUMPRODUCT(AH137:AS137,$AH$113:$AS$113)/$AV$113)</f>
        <v>0.63359745794572675</v>
      </c>
      <c r="BS137" s="124"/>
      <c r="BV137" s="615"/>
    </row>
    <row r="138" spans="30:74" ht="14.25" customHeight="1">
      <c r="AD138" s="832"/>
      <c r="AE138" s="609" t="s">
        <v>20</v>
      </c>
      <c r="AF138" s="423" t="s">
        <v>3</v>
      </c>
      <c r="AG138" s="432">
        <v>0</v>
      </c>
      <c r="AH138" s="428">
        <f t="shared" ref="AH138:AS138" si="44">IF(AH$113=0,0,SUMPRODUCT(($E$21:$E$69*$R$21:$R$69)*($G$21:$G$69=AH$102))/AH$113)</f>
        <v>0.21</v>
      </c>
      <c r="AI138" s="428">
        <f t="shared" si="44"/>
        <v>0</v>
      </c>
      <c r="AJ138" s="428">
        <f t="shared" si="44"/>
        <v>0</v>
      </c>
      <c r="AK138" s="428">
        <f t="shared" si="44"/>
        <v>0</v>
      </c>
      <c r="AL138" s="428">
        <f t="shared" si="44"/>
        <v>0</v>
      </c>
      <c r="AM138" s="428">
        <f t="shared" si="44"/>
        <v>0</v>
      </c>
      <c r="AN138" s="428">
        <f t="shared" si="44"/>
        <v>0</v>
      </c>
      <c r="AO138" s="428">
        <f t="shared" si="44"/>
        <v>0.52</v>
      </c>
      <c r="AP138" s="428">
        <f t="shared" si="44"/>
        <v>0.11416096025103802</v>
      </c>
      <c r="AQ138" s="428">
        <f t="shared" si="44"/>
        <v>0.15</v>
      </c>
      <c r="AR138" s="428">
        <f t="shared" si="44"/>
        <v>0</v>
      </c>
      <c r="AS138" s="428">
        <f t="shared" si="44"/>
        <v>0</v>
      </c>
      <c r="AT138" s="429">
        <f t="shared" si="38"/>
        <v>0.20699785709207688</v>
      </c>
      <c r="AU138" s="429">
        <f t="shared" si="39"/>
        <v>0.22655168896286978</v>
      </c>
      <c r="AV138" s="430">
        <f>IF(AV113=0,0,SUMPRODUCT(AH138:AS138,$AH$113:$AS$113)/$AV$113)</f>
        <v>0.21776637691863485</v>
      </c>
      <c r="BS138" s="124"/>
      <c r="BV138" s="615"/>
    </row>
    <row r="139" spans="30:74" ht="14.25" customHeight="1">
      <c r="AD139" s="832"/>
      <c r="AE139" s="609" t="s">
        <v>21</v>
      </c>
      <c r="AF139" s="423" t="s">
        <v>3</v>
      </c>
      <c r="AG139" s="432">
        <v>0</v>
      </c>
      <c r="AH139" s="428">
        <f t="shared" ref="AH139:AS139" si="45">IF(AH$113=0,0,SUMPRODUCT(($E$21:$E$69*$S$21:$S$69)*($G$21:$G$69=AH$102))/AH$113)</f>
        <v>0.12000000000000001</v>
      </c>
      <c r="AI139" s="428">
        <f t="shared" si="45"/>
        <v>0</v>
      </c>
      <c r="AJ139" s="428">
        <f t="shared" si="45"/>
        <v>0</v>
      </c>
      <c r="AK139" s="428">
        <f t="shared" si="45"/>
        <v>0</v>
      </c>
      <c r="AL139" s="428">
        <f t="shared" si="45"/>
        <v>0</v>
      </c>
      <c r="AM139" s="428">
        <f t="shared" si="45"/>
        <v>0</v>
      </c>
      <c r="AN139" s="428">
        <f t="shared" si="45"/>
        <v>0</v>
      </c>
      <c r="AO139" s="428">
        <f t="shared" si="45"/>
        <v>0.21</v>
      </c>
      <c r="AP139" s="428">
        <f t="shared" si="45"/>
        <v>0.25416096025103802</v>
      </c>
      <c r="AQ139" s="428">
        <f t="shared" si="45"/>
        <v>0.06</v>
      </c>
      <c r="AR139" s="428">
        <f t="shared" si="45"/>
        <v>0</v>
      </c>
      <c r="AS139" s="428">
        <f t="shared" si="45"/>
        <v>0</v>
      </c>
      <c r="AT139" s="429">
        <f t="shared" si="38"/>
        <v>0.11828448976690108</v>
      </c>
      <c r="AU139" s="429">
        <f t="shared" si="39"/>
        <v>0.17965758333412565</v>
      </c>
      <c r="AV139" s="430">
        <f>IF(AV113=0,0,SUMPRODUCT(AH139:AS139,$AH$113:$AS$113)/$AV$113)</f>
        <v>0.15208335738849607</v>
      </c>
      <c r="BS139" s="124"/>
      <c r="BV139" s="615"/>
    </row>
    <row r="140" spans="30:74" ht="14.25" customHeight="1">
      <c r="AD140" s="833"/>
      <c r="AE140" s="609" t="str">
        <f>T18</f>
        <v>user defined</v>
      </c>
      <c r="AF140" s="423" t="s">
        <v>3</v>
      </c>
      <c r="AG140" s="432" t="s">
        <v>51</v>
      </c>
      <c r="AH140" s="428">
        <f t="shared" ref="AH140:AS140" si="46">IF(AH$113=0,0,SUMPRODUCT(($E$21:$E$69*$T$21:$T$69)*($G$21:$G$69=AH$102))/AH$113)</f>
        <v>0</v>
      </c>
      <c r="AI140" s="428">
        <f t="shared" si="46"/>
        <v>0</v>
      </c>
      <c r="AJ140" s="428">
        <f t="shared" si="46"/>
        <v>0</v>
      </c>
      <c r="AK140" s="428">
        <f t="shared" si="46"/>
        <v>0</v>
      </c>
      <c r="AL140" s="428">
        <f t="shared" si="46"/>
        <v>0</v>
      </c>
      <c r="AM140" s="428">
        <f t="shared" si="46"/>
        <v>0</v>
      </c>
      <c r="AN140" s="428">
        <f t="shared" si="46"/>
        <v>0</v>
      </c>
      <c r="AO140" s="428">
        <f t="shared" si="46"/>
        <v>0</v>
      </c>
      <c r="AP140" s="428">
        <f t="shared" si="46"/>
        <v>0</v>
      </c>
      <c r="AQ140" s="428">
        <f t="shared" si="46"/>
        <v>0</v>
      </c>
      <c r="AR140" s="428">
        <f t="shared" si="46"/>
        <v>0</v>
      </c>
      <c r="AS140" s="428">
        <f t="shared" si="46"/>
        <v>0</v>
      </c>
      <c r="AT140" s="429">
        <f t="shared" si="38"/>
        <v>0</v>
      </c>
      <c r="AU140" s="429">
        <f t="shared" si="39"/>
        <v>0</v>
      </c>
      <c r="AV140" s="430">
        <f>IF(AV113=0,0,SUMPRODUCT(AH140:AS140,$AH$113:$AS$113)/$AV$113)</f>
        <v>0</v>
      </c>
      <c r="BS140" s="124"/>
      <c r="BV140" s="615"/>
    </row>
    <row r="141" spans="30:74" ht="14.25" customHeight="1">
      <c r="AD141" s="612" t="str">
        <f>"Net cash benefit, "&amp;LocCur&amp;"/"&amp;$D$13</f>
        <v>Net cash benefit, USD/year</v>
      </c>
      <c r="AE141" s="613"/>
      <c r="AF141" s="613"/>
      <c r="AG141" s="427" t="s">
        <v>51</v>
      </c>
      <c r="AH141" s="424" t="s">
        <v>51</v>
      </c>
      <c r="AI141" s="424" t="s">
        <v>51</v>
      </c>
      <c r="AJ141" s="424" t="s">
        <v>51</v>
      </c>
      <c r="AK141" s="424" t="s">
        <v>51</v>
      </c>
      <c r="AL141" s="424" t="s">
        <v>51</v>
      </c>
      <c r="AM141" s="424" t="s">
        <v>51</v>
      </c>
      <c r="AN141" s="424">
        <f t="shared" ref="AN141:AS141" si="47">-SUMPRODUCT(($E$21:$E$69*$K$21:$K$69)*($G$21:$G$69=AN$102))</f>
        <v>0</v>
      </c>
      <c r="AO141" s="424">
        <f t="shared" si="47"/>
        <v>-1400000</v>
      </c>
      <c r="AP141" s="424">
        <f t="shared" si="47"/>
        <v>-1847618.3464420582</v>
      </c>
      <c r="AQ141" s="424">
        <f t="shared" si="47"/>
        <v>450314.03626302449</v>
      </c>
      <c r="AR141" s="424">
        <f t="shared" si="47"/>
        <v>20000</v>
      </c>
      <c r="AS141" s="424">
        <f t="shared" si="47"/>
        <v>0</v>
      </c>
      <c r="AT141" s="420">
        <f>SUM(AH141:AM141)</f>
        <v>0</v>
      </c>
      <c r="AU141" s="420">
        <f>SUM(AN141:AS141)</f>
        <v>-2777304.3101790338</v>
      </c>
      <c r="AV141" s="424">
        <f>AT141+AU141</f>
        <v>-2777304.3101790338</v>
      </c>
      <c r="BS141" s="124"/>
      <c r="BV141" s="246"/>
    </row>
    <row r="142" spans="30:74" ht="14.25" customHeight="1">
      <c r="AD142" s="612" t="str">
        <f>"Substitution benefit, "&amp;LocCur&amp;"/"&amp;$D$13</f>
        <v>Substitution benefit, USD/year</v>
      </c>
      <c r="AE142" s="613"/>
      <c r="AF142" s="613"/>
      <c r="AG142" s="427" t="s">
        <v>51</v>
      </c>
      <c r="AH142" s="424" t="s">
        <v>51</v>
      </c>
      <c r="AI142" s="424" t="s">
        <v>51</v>
      </c>
      <c r="AJ142" s="424" t="s">
        <v>51</v>
      </c>
      <c r="AK142" s="424" t="s">
        <v>51</v>
      </c>
      <c r="AL142" s="424" t="s">
        <v>51</v>
      </c>
      <c r="AM142" s="424" t="s">
        <v>51</v>
      </c>
      <c r="AN142" s="424">
        <f t="shared" ref="AN142:AS142" si="48">SUMPRODUCT(($E$21:$E$69*$M$21:$M$69)*($G$21:$G$69=AN$102))*$L$70</f>
        <v>0</v>
      </c>
      <c r="AO142" s="424">
        <f t="shared" si="48"/>
        <v>2457619.2683812282</v>
      </c>
      <c r="AP142" s="424">
        <f t="shared" si="48"/>
        <v>6689295.8370400295</v>
      </c>
      <c r="AQ142" s="424">
        <f t="shared" si="48"/>
        <v>1336215.0347885687</v>
      </c>
      <c r="AR142" s="424">
        <f t="shared" si="48"/>
        <v>1173513.2006520366</v>
      </c>
      <c r="AS142" s="424">
        <f t="shared" si="48"/>
        <v>0</v>
      </c>
      <c r="AT142" s="420">
        <f>SUM(AH142:AM142)</f>
        <v>0</v>
      </c>
      <c r="AU142" s="420">
        <f>SUM(AN142:AS142)</f>
        <v>11656643.340861864</v>
      </c>
      <c r="AV142" s="424">
        <f>AT142+AU142</f>
        <v>11656643.340861864</v>
      </c>
      <c r="BS142" s="124"/>
      <c r="BV142" s="246"/>
    </row>
    <row r="143" spans="30:74" ht="14.25" customHeight="1">
      <c r="AD143" s="612" t="str">
        <f>"CO2 emission credits, "&amp;LocCur&amp;"/"&amp;$D$13</f>
        <v>CO2 emission credits, USD/year</v>
      </c>
      <c r="AE143" s="613"/>
      <c r="AF143" s="613"/>
      <c r="AG143" s="427" t="s">
        <v>51</v>
      </c>
      <c r="AH143" s="424" t="s">
        <v>51</v>
      </c>
      <c r="AI143" s="424" t="s">
        <v>51</v>
      </c>
      <c r="AJ143" s="424" t="s">
        <v>51</v>
      </c>
      <c r="AK143" s="424" t="s">
        <v>51</v>
      </c>
      <c r="AL143" s="424" t="s">
        <v>51</v>
      </c>
      <c r="AM143" s="424" t="s">
        <v>51</v>
      </c>
      <c r="AN143" s="424" t="s">
        <v>51</v>
      </c>
      <c r="AO143" s="424" t="s">
        <v>51</v>
      </c>
      <c r="AP143" s="424" t="s">
        <v>51</v>
      </c>
      <c r="AQ143" s="424" t="s">
        <v>51</v>
      </c>
      <c r="AR143" s="424" t="s">
        <v>51</v>
      </c>
      <c r="AS143" s="424" t="s">
        <v>51</v>
      </c>
      <c r="AT143" s="420" t="s">
        <v>51</v>
      </c>
      <c r="AU143" s="420" t="s">
        <v>51</v>
      </c>
      <c r="AV143" s="424">
        <f>IF(AV114=0,0,D15*(AV146+AV147)*AV150/AV114)</f>
        <v>0</v>
      </c>
      <c r="BS143" s="124"/>
      <c r="BV143" s="246"/>
    </row>
    <row r="144" spans="30:74" ht="14.25" customHeight="1">
      <c r="AD144" s="413"/>
      <c r="AE144" s="413"/>
      <c r="AF144" s="413"/>
      <c r="AG144" s="413"/>
      <c r="AH144" s="413"/>
      <c r="AI144" s="413"/>
      <c r="AJ144" s="413"/>
      <c r="AK144" s="413"/>
      <c r="AL144" s="413"/>
      <c r="AM144" s="413"/>
      <c r="AN144" s="413"/>
      <c r="AO144" s="413"/>
      <c r="AP144" s="413"/>
      <c r="AQ144" s="413"/>
      <c r="AR144" s="413"/>
      <c r="AS144" s="413"/>
      <c r="AT144" s="413"/>
      <c r="AU144" s="413"/>
      <c r="AV144" s="413"/>
      <c r="BS144" s="124"/>
      <c r="BV144" s="246"/>
    </row>
    <row r="145" spans="30:74" ht="14.25" customHeight="1">
      <c r="AD145" s="446" t="str">
        <f>Baseline!AD145</f>
        <v>Fuel category</v>
      </c>
      <c r="AE145" s="446" t="s">
        <v>752</v>
      </c>
      <c r="AF145" s="446" t="str">
        <f>Baseline!AF145</f>
        <v>Kiln system</v>
      </c>
      <c r="AG145" s="446" t="str">
        <f>Baseline!AG145</f>
        <v>Location</v>
      </c>
      <c r="AH145" s="446" t="str">
        <f>Baseline!AH145</f>
        <v>Calciner</v>
      </c>
      <c r="AI145" s="446" t="str">
        <f>Baseline!AI145</f>
        <v>Trpt. equip.</v>
      </c>
      <c r="AJ145" s="446" t="str">
        <f>Baseline!AJ145</f>
        <v>Material</v>
      </c>
      <c r="AK145" s="446" t="str">
        <f>Baseline!AK145</f>
        <v>Timeframe</v>
      </c>
      <c r="AL145" s="446" t="str">
        <f>Baseline!AL145</f>
        <v>Limit</v>
      </c>
      <c r="AM145" s="446" t="str">
        <f>Baseline!AM145</f>
        <v>Yes/No</v>
      </c>
      <c r="AN145" s="446" t="str">
        <f>Baseline!AN145</f>
        <v>TF/AF</v>
      </c>
      <c r="AO145" s="413"/>
      <c r="AP145" s="753" t="s">
        <v>832</v>
      </c>
      <c r="AQ145" s="462" t="s">
        <v>754</v>
      </c>
      <c r="AR145" s="463">
        <f>IF(ISBLANK(H80),H79,H80)</f>
        <v>0</v>
      </c>
      <c r="AS145" s="413"/>
      <c r="AT145" s="852" t="s">
        <v>327</v>
      </c>
      <c r="AU145" s="853"/>
      <c r="AV145" s="854"/>
      <c r="BS145" s="124"/>
      <c r="BV145" s="246"/>
    </row>
    <row r="146" spans="30:74" ht="14.25" customHeight="1">
      <c r="AD146" s="517" t="str">
        <f>Baseline!AD146</f>
        <v>TF (coal)</v>
      </c>
      <c r="AE146" s="448" t="str">
        <f>Guidelines!A253</f>
        <v>Pneumatic 4" (100 mm)</v>
      </c>
      <c r="AF146" s="517" t="str">
        <f>Baseline!AF146</f>
        <v>Calciner</v>
      </c>
      <c r="AG146" s="517" t="str">
        <f>Baseline!AG146</f>
        <v>BZ</v>
      </c>
      <c r="AH146" s="517" t="str">
        <f>Baseline!AH146</f>
        <v>ILC</v>
      </c>
      <c r="AI146" s="517" t="str">
        <f>Baseline!AI146</f>
        <v>Airlock</v>
      </c>
      <c r="AJ146" s="517" t="str">
        <f>Baseline!AJ146</f>
        <v>Solids</v>
      </c>
      <c r="AK146" s="517" t="str">
        <f>Baseline!AK146</f>
        <v>week</v>
      </c>
      <c r="AL146" s="517" t="str">
        <f>Baseline!AL146</f>
        <v>Min</v>
      </c>
      <c r="AM146" s="517" t="str">
        <f>Baseline!AM146</f>
        <v>Yes</v>
      </c>
      <c r="AN146" s="517" t="str">
        <f>Baseline!AN146</f>
        <v>TF</v>
      </c>
      <c r="AO146" s="413"/>
      <c r="AP146" s="754"/>
      <c r="AQ146" s="462" t="s">
        <v>755</v>
      </c>
      <c r="AR146" s="518">
        <f>IF(ISBLANK(H82),H81,H82)</f>
        <v>1.0010253747367031</v>
      </c>
      <c r="AS146" s="413"/>
      <c r="AT146" s="447" t="str">
        <f>"From TFs, t CO2/"&amp;$D$13</f>
        <v>From TFs, t CO2/year</v>
      </c>
      <c r="AU146" s="455"/>
      <c r="AV146" s="427">
        <f>SUMPRODUCT(($E$21:$E$69*$M$21:$M$69*$U$21:$U$69)*($G$21:$G$69&lt;&gt;$AD$152)*($G$21:$G$69&lt;&gt;$AD$153)*($G$21:$G$69&lt;&gt;$AD$154)*($G$21:$G$69&lt;&gt;$AD$155)*($G$21:$G$69&lt;&gt;$AD$156)*($G$21:$G$69&lt;&gt;$AD$157))/1000</f>
        <v>0</v>
      </c>
      <c r="BS146" s="124"/>
      <c r="BV146" s="246"/>
    </row>
    <row r="147" spans="30:74" ht="14.25" customHeight="1">
      <c r="AD147" s="517" t="str">
        <f>Baseline!AD147</f>
        <v>TF (lignite)</v>
      </c>
      <c r="AE147" s="448" t="str">
        <f>Guidelines!A254</f>
        <v>Pneumatic 5" (125 mm)</v>
      </c>
      <c r="AF147" s="517" t="str">
        <f>Baseline!AF147</f>
        <v>Preheater</v>
      </c>
      <c r="AG147" s="517" t="str">
        <f>Baseline!AG147</f>
        <v>ILC</v>
      </c>
      <c r="AH147" s="517" t="str">
        <f>Baseline!AH147</f>
        <v>SLC</v>
      </c>
      <c r="AI147" s="517" t="str">
        <f>Baseline!AI147</f>
        <v>Pneumatic</v>
      </c>
      <c r="AJ147" s="517" t="str">
        <f>Baseline!AJ147</f>
        <v>Liquids</v>
      </c>
      <c r="AK147" s="517" t="str">
        <f>Baseline!AK147</f>
        <v>month</v>
      </c>
      <c r="AL147" s="517" t="str">
        <f>Baseline!AL147</f>
        <v>Max</v>
      </c>
      <c r="AM147" s="517" t="str">
        <f>Baseline!AM147</f>
        <v>No</v>
      </c>
      <c r="AN147" s="517" t="str">
        <f>Baseline!AN147</f>
        <v>AF</v>
      </c>
      <c r="AO147" s="460"/>
      <c r="AP147" s="495" t="str">
        <f>"SACTE TF, "&amp;LocCur&amp;"/t cli"</f>
        <v>SACTE TF, USD/t cli</v>
      </c>
      <c r="AQ147" s="496"/>
      <c r="AR147" s="497">
        <f>IF(CLI=0,0,K70*E70/CLI)</f>
        <v>10.789310972759177</v>
      </c>
      <c r="AS147" s="413"/>
      <c r="AT147" s="449" t="str">
        <f>"From AFs, t CO2/"&amp;$D$13</f>
        <v>From AFs, t CO2/year</v>
      </c>
      <c r="AU147" s="435"/>
      <c r="AV147" s="427">
        <f>SUMPRODUCT(($E$21:$E$69*$M$21:$M$69*$U$21:$U$69)*($G$21:$G$69&lt;&gt;$AD$146)*($G$21:$G$69&lt;&gt;$AD$147)*($G$21:$G$69&lt;&gt;$AD$148)*($G$21:$G$69&lt;&gt;$AD$149)*($G$21:$G$69&lt;&gt;$AD$150)*($G$21:$G$69&lt;&gt;$AD$151))/1000</f>
        <v>0</v>
      </c>
      <c r="BS147" s="124"/>
      <c r="BV147" s="246"/>
    </row>
    <row r="148" spans="30:74" ht="14.25" customHeight="1">
      <c r="AD148" s="517" t="str">
        <f>Baseline!AD148</f>
        <v>TF (petcoke)</v>
      </c>
      <c r="AE148" s="448" t="str">
        <f>Guidelines!A255</f>
        <v>Pneumatic 6" (150 mm)</v>
      </c>
      <c r="AF148" s="517" t="str">
        <f>Baseline!AF148</f>
        <v>LEPOL</v>
      </c>
      <c r="AG148" s="517" t="str">
        <f>Baseline!AG148</f>
        <v>SLC/OLC/MFC</v>
      </c>
      <c r="AH148" s="517" t="str">
        <f>Baseline!AH148</f>
        <v>OLC</v>
      </c>
      <c r="AI148" s="517" t="str">
        <f>Baseline!AI148</f>
        <v>-</v>
      </c>
      <c r="AJ148" s="517" t="str">
        <f>Baseline!AJ148</f>
        <v>Sludges</v>
      </c>
      <c r="AK148" s="517" t="str">
        <f>Baseline!AK148</f>
        <v>year</v>
      </c>
      <c r="AL148" s="517" t="str">
        <f>Baseline!AL148</f>
        <v>-</v>
      </c>
      <c r="AM148" s="450"/>
      <c r="AN148" s="450"/>
      <c r="AO148" s="460"/>
      <c r="AP148" s="498" t="str">
        <f>"ACTE TF, "&amp;LocCur&amp;"/"&amp;D13</f>
        <v>ACTE TF, USD/year</v>
      </c>
      <c r="AQ148" s="499"/>
      <c r="AR148" s="500">
        <f>CLI*TTECpT</f>
        <v>15067657.142661596</v>
      </c>
      <c r="AS148" s="413"/>
      <c r="AT148" s="451" t="s">
        <v>328</v>
      </c>
      <c r="AU148" s="458"/>
      <c r="AV148" s="432">
        <f>IF(SUMPRODUCT(($E$21:$E$69*$M$21:$M$69)*($G$21:$G$69&lt;&gt;$AD$157))=0,0,AV146/SUMPRODUCT(($E$21:$E$69*$M$21:$M$69)*($G$21:$G$69&lt;&gt;$AD$157)))</f>
        <v>0</v>
      </c>
      <c r="BS148" s="124"/>
      <c r="BV148" s="246"/>
    </row>
    <row r="149" spans="30:74" ht="14.25" customHeight="1">
      <c r="AD149" s="517" t="str">
        <f>Baseline!AD149</f>
        <v>TF (liquid)</v>
      </c>
      <c r="AE149" s="448" t="str">
        <f>Guidelines!A256</f>
        <v>Pneumatic 7" (175 mm)</v>
      </c>
      <c r="AF149" s="517" t="str">
        <f>Baseline!AF149</f>
        <v>Long dry</v>
      </c>
      <c r="AG149" s="517" t="str">
        <f>Baseline!AG149</f>
        <v>PCC</v>
      </c>
      <c r="AH149" s="517" t="str">
        <f>Baseline!AH149</f>
        <v>MFC</v>
      </c>
      <c r="AI149" s="502"/>
      <c r="AJ149" s="502"/>
      <c r="AK149" s="502"/>
      <c r="AL149" s="452"/>
      <c r="AM149" s="450"/>
      <c r="AN149" s="450"/>
      <c r="AO149" s="460"/>
      <c r="AP149" s="461" t="s">
        <v>770</v>
      </c>
      <c r="AQ149" s="501"/>
      <c r="AR149" s="473">
        <f>Help!E295</f>
        <v>0.7</v>
      </c>
      <c r="AS149" s="413"/>
      <c r="AT149" s="413"/>
      <c r="AU149" s="413"/>
      <c r="AV149" s="413"/>
      <c r="BS149" s="124"/>
      <c r="BV149" s="246"/>
    </row>
    <row r="150" spans="30:74" ht="14.25" customHeight="1">
      <c r="AD150" s="517" t="str">
        <f>Baseline!AD150</f>
        <v>TF (gas)</v>
      </c>
      <c r="AE150" s="448" t="str">
        <f>Guidelines!A257</f>
        <v>Pneumatic 8" (200 mm)</v>
      </c>
      <c r="AF150" s="517" t="str">
        <f>Baseline!AF150</f>
        <v>Long wet</v>
      </c>
      <c r="AG150" s="517" t="str">
        <f>Baseline!AG150</f>
        <v>SF</v>
      </c>
      <c r="AH150" s="452"/>
      <c r="AI150" s="457"/>
      <c r="AJ150" s="457"/>
      <c r="AK150" s="457"/>
      <c r="AL150" s="457"/>
      <c r="AM150" s="457"/>
      <c r="AN150" s="511"/>
      <c r="AO150" s="457"/>
      <c r="AP150" s="457"/>
      <c r="AQ150" s="503"/>
      <c r="AR150" s="469"/>
      <c r="AS150" s="413"/>
      <c r="AT150" s="453" t="str">
        <f>"Biomass energy, GJ/"&amp;$D$13</f>
        <v>Biomass energy, GJ/year</v>
      </c>
      <c r="AU150" s="464"/>
      <c r="AV150" s="427">
        <f>SUMPRODUCT(($E$21:$E$69*$M$21:$M$69*$V$21:$V$69)*($G$21:$G$69&lt;&gt;$AD$146)*($G$21:$G$69&lt;&gt;$AD$147)*($G$21:$G$69&lt;&gt;$AD$148)*($G$21:$G$69&lt;&gt;$AD$149)*($G$21:$G$69&lt;&gt;$AD$150)*($G$21:$G$69&lt;&gt;$AD$151))/100</f>
        <v>0</v>
      </c>
      <c r="BS150" s="124"/>
      <c r="BV150" s="246"/>
    </row>
    <row r="151" spans="30:74" ht="14.25" customHeight="1">
      <c r="AD151" s="517" t="str">
        <f>Baseline!AD151</f>
        <v>TF (other)</v>
      </c>
      <c r="AE151" s="448" t="str">
        <f>Guidelines!A258</f>
        <v>Flap valve (old)</v>
      </c>
      <c r="AF151" s="453">
        <f>IF(K4=0,0,MATCH(K4,AF146:AF150,0))</f>
        <v>1</v>
      </c>
      <c r="AG151" s="454"/>
      <c r="AH151" s="452"/>
      <c r="AI151" s="457"/>
      <c r="AJ151" s="457"/>
      <c r="AK151" s="457"/>
      <c r="AL151" s="457"/>
      <c r="AM151" s="457"/>
      <c r="AN151" s="450"/>
      <c r="AO151" s="504"/>
      <c r="AP151" s="504"/>
      <c r="AQ151" s="503"/>
      <c r="AR151" s="469"/>
      <c r="AS151" s="413"/>
      <c r="AT151" s="413"/>
      <c r="AU151" s="413"/>
      <c r="AV151" s="413"/>
      <c r="BS151" s="124"/>
      <c r="BV151" s="246"/>
    </row>
    <row r="152" spans="30:74" ht="14.25" customHeight="1">
      <c r="AD152" s="517" t="str">
        <f>Baseline!AD152</f>
        <v>AF (v.fine)</v>
      </c>
      <c r="AE152" s="448" t="str">
        <f>Guidelines!A259</f>
        <v>Flap valve (new)</v>
      </c>
      <c r="AF152" s="460"/>
      <c r="AG152" s="460"/>
      <c r="AH152" s="512"/>
      <c r="AI152" s="457"/>
      <c r="AJ152" s="457"/>
      <c r="AK152" s="457"/>
      <c r="AL152" s="457"/>
      <c r="AM152" s="457"/>
      <c r="AN152" s="450"/>
      <c r="AO152" s="504"/>
      <c r="AP152" s="504"/>
      <c r="AQ152" s="505"/>
      <c r="AR152" s="506"/>
      <c r="AS152" s="413"/>
      <c r="AT152" s="847" t="str">
        <f>"Higher heat, "&amp;LocCur&amp;"/"&amp;D13</f>
        <v>Higher heat, USD/year</v>
      </c>
      <c r="AU152" s="848"/>
      <c r="AV152" s="468">
        <f>-(AHaf+AHbp)/1000*CLI*(L70+AV148*D15)</f>
        <v>-1067466.6522260944</v>
      </c>
      <c r="AW152" s="279"/>
      <c r="AX152" s="280"/>
      <c r="BS152" s="124"/>
      <c r="BV152" s="246"/>
    </row>
    <row r="153" spans="30:74" ht="14.25" customHeight="1">
      <c r="AD153" s="517" t="str">
        <f>Baseline!AD153</f>
        <v>AF (fine)</v>
      </c>
      <c r="AE153" s="448" t="str">
        <f>Guidelines!A260</f>
        <v>Rotary airlock</v>
      </c>
      <c r="AF153" s="460"/>
      <c r="AG153" s="460"/>
      <c r="AH153" s="513"/>
      <c r="AI153" s="457"/>
      <c r="AJ153" s="457"/>
      <c r="AK153" s="457"/>
      <c r="AL153" s="457"/>
      <c r="AM153" s="457"/>
      <c r="AN153" s="450"/>
      <c r="AO153" s="507"/>
      <c r="AP153" s="507"/>
      <c r="AQ153" s="507"/>
      <c r="AR153" s="508"/>
      <c r="AS153" s="413"/>
      <c r="AT153" s="413"/>
      <c r="AU153" s="509"/>
      <c r="AV153" s="510"/>
      <c r="AW153" s="279"/>
      <c r="AX153" s="280"/>
      <c r="BS153" s="124"/>
      <c r="BV153" s="182"/>
    </row>
    <row r="154" spans="30:74" ht="14.25" customHeight="1">
      <c r="AD154" s="517" t="str">
        <f>Baseline!AD154</f>
        <v>AF (coarse)</v>
      </c>
      <c r="AE154" s="448" t="s">
        <v>51</v>
      </c>
      <c r="AF154" s="457"/>
      <c r="AG154" s="457"/>
      <c r="AH154" s="457"/>
      <c r="AI154" s="457"/>
      <c r="AJ154" s="457"/>
      <c r="AK154" s="457"/>
      <c r="AL154" s="457"/>
      <c r="AM154" s="457"/>
      <c r="AN154" s="450"/>
      <c r="AO154" s="413"/>
      <c r="AP154" s="413"/>
      <c r="AQ154" s="413"/>
      <c r="AR154" s="413"/>
      <c r="AS154" s="413"/>
      <c r="AT154" s="413"/>
      <c r="AU154" s="413"/>
      <c r="AV154" s="413"/>
      <c r="BS154" s="124"/>
      <c r="BV154" s="246"/>
    </row>
    <row r="155" spans="30:74" ht="14.25" customHeight="1">
      <c r="AD155" s="517" t="str">
        <f>Baseline!AD155</f>
        <v>AF (lumps)</v>
      </c>
      <c r="AE155" s="514"/>
      <c r="AF155" s="514"/>
      <c r="AG155" s="514"/>
      <c r="AH155" s="514"/>
      <c r="AI155" s="514"/>
      <c r="AJ155" s="514"/>
      <c r="AK155" s="514"/>
      <c r="AL155" s="514"/>
      <c r="AM155" s="514"/>
      <c r="AN155" s="450"/>
      <c r="AO155" s="413"/>
      <c r="AP155" s="413"/>
      <c r="AQ155" s="413"/>
      <c r="AR155" s="413"/>
      <c r="AS155" s="413"/>
      <c r="AT155" s="413"/>
      <c r="AU155" s="413"/>
      <c r="AV155" s="413"/>
      <c r="BS155" s="124"/>
      <c r="BV155" s="246"/>
    </row>
    <row r="156" spans="30:74" ht="14.25" customHeight="1">
      <c r="AD156" s="517" t="str">
        <f>Baseline!AD156</f>
        <v>AF (liquid)</v>
      </c>
      <c r="AE156" s="514"/>
      <c r="AF156" s="514"/>
      <c r="AG156" s="514"/>
      <c r="AH156" s="514"/>
      <c r="AI156" s="514"/>
      <c r="AJ156" s="514"/>
      <c r="AK156" s="514"/>
      <c r="AL156" s="514"/>
      <c r="AM156" s="514"/>
      <c r="AN156" s="450"/>
      <c r="AO156" s="413"/>
      <c r="AP156" s="413"/>
      <c r="AQ156" s="413"/>
      <c r="AR156" s="413"/>
      <c r="AS156" s="413"/>
      <c r="AT156" s="413"/>
      <c r="AU156" s="413"/>
      <c r="AV156" s="413"/>
      <c r="BS156" s="124"/>
      <c r="BV156" s="246"/>
    </row>
    <row r="157" spans="30:74" ht="14.25" customHeight="1">
      <c r="AD157" s="517" t="str">
        <f>Baseline!AD157</f>
        <v>AF (gas)</v>
      </c>
      <c r="AE157" s="514"/>
      <c r="AF157" s="514"/>
      <c r="AG157" s="514"/>
      <c r="AH157" s="514"/>
      <c r="AI157" s="514"/>
      <c r="AJ157" s="514"/>
      <c r="AK157" s="514"/>
      <c r="AL157" s="514"/>
      <c r="AM157" s="514"/>
      <c r="AN157" s="450"/>
      <c r="AO157" s="413"/>
      <c r="AP157" s="413"/>
      <c r="AQ157" s="413"/>
      <c r="AR157" s="413"/>
      <c r="AS157" s="413"/>
      <c r="AT157" s="413"/>
      <c r="AU157" s="413"/>
      <c r="AV157" s="413"/>
      <c r="BS157" s="124"/>
      <c r="BV157" s="246"/>
    </row>
    <row r="158" spans="30:74" ht="14.25" customHeight="1">
      <c r="AD158" s="492"/>
      <c r="AE158" s="491"/>
      <c r="AF158" s="491"/>
      <c r="AG158" s="491"/>
      <c r="AH158" s="491"/>
      <c r="AI158" s="491"/>
      <c r="AJ158" s="493"/>
      <c r="AK158" s="493"/>
      <c r="AL158" s="240"/>
      <c r="AM158" s="240"/>
      <c r="BS158" s="124"/>
      <c r="BV158" s="246"/>
    </row>
    <row r="159" spans="30:74" ht="14.25" customHeight="1">
      <c r="AD159" s="492"/>
      <c r="AE159" s="491"/>
      <c r="AF159" s="491"/>
      <c r="AG159" s="491"/>
      <c r="AH159" s="491"/>
      <c r="AI159" s="491"/>
      <c r="AJ159" s="493"/>
      <c r="AK159" s="493"/>
      <c r="AL159" s="240"/>
      <c r="AM159" s="240"/>
      <c r="BS159" s="124"/>
      <c r="BV159" s="246"/>
    </row>
    <row r="160" spans="30:74" ht="14.25" customHeight="1">
      <c r="AD160" s="492"/>
      <c r="AE160" s="491"/>
      <c r="AF160" s="491"/>
      <c r="AG160" s="491"/>
      <c r="AH160" s="491"/>
      <c r="AI160" s="491"/>
      <c r="AJ160" s="493"/>
      <c r="AK160" s="493"/>
      <c r="AL160" s="240"/>
      <c r="AM160" s="240"/>
      <c r="AU160" s="127"/>
      <c r="AV160" s="127"/>
      <c r="BS160" s="124"/>
      <c r="BV160" s="246"/>
    </row>
    <row r="161" spans="30:74" ht="14.25" customHeight="1">
      <c r="AD161" s="492"/>
      <c r="AE161" s="491"/>
      <c r="AF161" s="491"/>
      <c r="AG161" s="491"/>
      <c r="AH161" s="491"/>
      <c r="AI161" s="491"/>
      <c r="AJ161" s="493"/>
      <c r="AK161" s="493"/>
      <c r="AL161" s="240"/>
      <c r="AM161" s="240"/>
      <c r="AU161" s="127"/>
      <c r="AV161" s="127"/>
      <c r="BB161" s="182"/>
      <c r="BC161" s="182"/>
      <c r="BS161" s="124"/>
      <c r="BV161" s="246"/>
    </row>
    <row r="162" spans="30:74" ht="14.25" customHeight="1">
      <c r="AD162" s="492"/>
      <c r="AE162" s="491"/>
      <c r="AF162" s="491"/>
      <c r="AG162" s="491"/>
      <c r="AH162" s="491"/>
      <c r="AI162" s="491"/>
      <c r="AJ162" s="493"/>
      <c r="AK162" s="493"/>
      <c r="AL162" s="240"/>
      <c r="AM162" s="240"/>
      <c r="AP162" s="123"/>
      <c r="AQ162" s="123"/>
      <c r="AR162" s="127"/>
      <c r="AS162" s="127"/>
      <c r="AT162" s="127"/>
      <c r="BB162" s="182"/>
      <c r="BC162" s="182"/>
      <c r="BS162" s="124"/>
      <c r="BV162" s="246"/>
    </row>
    <row r="163" spans="30:74" ht="14.25" customHeight="1">
      <c r="AD163" s="492"/>
      <c r="AE163" s="491"/>
      <c r="AF163" s="491"/>
      <c r="AG163" s="491"/>
      <c r="AH163" s="491"/>
      <c r="AI163" s="491"/>
      <c r="AJ163" s="493"/>
      <c r="AK163" s="493"/>
      <c r="AL163" s="240"/>
      <c r="AM163" s="240"/>
      <c r="AP163" s="123"/>
      <c r="AQ163" s="123"/>
      <c r="AR163" s="127"/>
      <c r="AS163" s="127"/>
      <c r="AT163" s="127"/>
      <c r="AX163" s="239"/>
      <c r="AY163" s="239"/>
      <c r="AZ163" s="240"/>
      <c r="BA163" s="240"/>
      <c r="BB163" s="240"/>
      <c r="BC163" s="240"/>
      <c r="BD163" s="240"/>
      <c r="BS163" s="124"/>
      <c r="BV163" s="246"/>
    </row>
    <row r="164" spans="30:74" ht="14.25" customHeight="1">
      <c r="AD164" s="492"/>
      <c r="AE164" s="493"/>
      <c r="AF164" s="493"/>
      <c r="AG164" s="493"/>
      <c r="AH164" s="493"/>
      <c r="AI164" s="493"/>
      <c r="AJ164" s="494"/>
      <c r="AK164" s="494"/>
      <c r="AL164" s="240"/>
      <c r="AM164" s="240"/>
      <c r="AP164" s="123"/>
      <c r="AQ164" s="123"/>
      <c r="AR164" s="127"/>
      <c r="AS164" s="127"/>
      <c r="AT164" s="127"/>
      <c r="BS164" s="124"/>
      <c r="BV164" s="246"/>
    </row>
    <row r="165" spans="30:74" ht="14.25" customHeight="1">
      <c r="AD165" s="492"/>
      <c r="AE165" s="493"/>
      <c r="AF165" s="493"/>
      <c r="AG165" s="493"/>
      <c r="AH165" s="493"/>
      <c r="AI165" s="493"/>
      <c r="AJ165" s="494"/>
      <c r="AK165" s="494"/>
      <c r="AL165" s="240"/>
      <c r="AM165" s="240"/>
      <c r="AP165" s="123"/>
      <c r="AQ165" s="123"/>
      <c r="AR165" s="127"/>
      <c r="AS165" s="127"/>
      <c r="AT165" s="127"/>
      <c r="BS165" s="124"/>
      <c r="BV165" s="246"/>
    </row>
    <row r="166" spans="30:74" ht="14.25" customHeight="1">
      <c r="AD166" s="490"/>
      <c r="AE166" s="240"/>
      <c r="AF166" s="240"/>
      <c r="AG166" s="240"/>
      <c r="AH166" s="240"/>
      <c r="AI166" s="493"/>
      <c r="AJ166" s="615"/>
      <c r="AK166" s="494"/>
      <c r="AL166" s="491"/>
      <c r="AM166" s="491"/>
      <c r="AP166" s="123"/>
      <c r="AQ166" s="123"/>
      <c r="AR166" s="127"/>
      <c r="AS166" s="127"/>
      <c r="AT166" s="127"/>
      <c r="BS166" s="124"/>
      <c r="BV166" s="246"/>
    </row>
    <row r="167" spans="30:74" ht="14.25" customHeight="1">
      <c r="AD167" s="490"/>
      <c r="AE167" s="615"/>
      <c r="AF167" s="491"/>
      <c r="AG167" s="491"/>
      <c r="AI167" s="491"/>
      <c r="AJ167" s="240"/>
      <c r="AK167" s="491"/>
      <c r="AL167" s="491"/>
      <c r="AM167" s="240"/>
      <c r="AP167" s="127"/>
      <c r="AQ167" s="127"/>
      <c r="AR167" s="127"/>
      <c r="AS167" s="127"/>
      <c r="AT167" s="127"/>
      <c r="BS167" s="124"/>
      <c r="BV167" s="246"/>
    </row>
    <row r="168" spans="30:74" ht="14.25" customHeight="1">
      <c r="AR168" s="127"/>
      <c r="AS168" s="127"/>
      <c r="AT168" s="127"/>
      <c r="BS168" s="124"/>
      <c r="BV168" s="246"/>
    </row>
    <row r="169" spans="30:74" ht="14.25" customHeight="1">
      <c r="BS169" s="124"/>
      <c r="BV169" s="182"/>
    </row>
    <row r="170" spans="30:74" ht="14.25" customHeight="1">
      <c r="BS170" s="124"/>
      <c r="BV170" s="182"/>
    </row>
    <row r="171" spans="30:74" ht="14.25" customHeight="1">
      <c r="BS171" s="124"/>
      <c r="BV171" s="182"/>
    </row>
    <row r="172" spans="30:74" ht="14.25" customHeight="1">
      <c r="BS172" s="124"/>
      <c r="BV172" s="147"/>
    </row>
    <row r="173" spans="30:74" ht="14.25" customHeight="1">
      <c r="BS173" s="124"/>
      <c r="BV173" s="147"/>
    </row>
    <row r="174" spans="30:74" ht="14.25" customHeight="1">
      <c r="BS174" s="124"/>
      <c r="BV174" s="147"/>
    </row>
    <row r="175" spans="30:74" ht="14.25" customHeight="1">
      <c r="BV175" s="147"/>
    </row>
    <row r="176" spans="30:74" ht="14.25" customHeight="1">
      <c r="BV176" s="182"/>
    </row>
    <row r="177" spans="32:74" ht="14.25" customHeight="1">
      <c r="BV177" s="182"/>
    </row>
    <row r="178" spans="32:74" ht="14.25" customHeight="1">
      <c r="BV178" s="182"/>
    </row>
    <row r="179" spans="32:74" ht="14.25" customHeight="1">
      <c r="BV179" s="182"/>
    </row>
    <row r="180" spans="32:74" ht="14.25" customHeight="1">
      <c r="BC180" s="147"/>
      <c r="BV180" s="182"/>
    </row>
    <row r="181" spans="32:74" ht="14.25" customHeight="1">
      <c r="BC181" s="147"/>
      <c r="BV181" s="182"/>
    </row>
    <row r="182" spans="32:74" ht="14.25" customHeight="1">
      <c r="BC182" s="147"/>
      <c r="BF182" s="147"/>
      <c r="BG182" s="182"/>
      <c r="BH182" s="182"/>
      <c r="BI182" s="182"/>
      <c r="BJ182" s="182"/>
      <c r="BK182" s="182"/>
      <c r="BL182" s="182"/>
      <c r="BM182" s="182"/>
      <c r="BN182" s="182"/>
      <c r="BO182" s="182"/>
      <c r="BP182" s="182"/>
      <c r="BQ182" s="182"/>
      <c r="BR182" s="182"/>
      <c r="BS182" s="183"/>
      <c r="BT182" s="182"/>
      <c r="BU182" s="182"/>
      <c r="BV182" s="182"/>
    </row>
    <row r="183" spans="32:74" ht="14.25" customHeight="1">
      <c r="BC183" s="147"/>
      <c r="BF183" s="182"/>
      <c r="BG183" s="182"/>
      <c r="BH183" s="182"/>
      <c r="BI183" s="182"/>
      <c r="BJ183" s="182"/>
      <c r="BK183" s="182"/>
      <c r="BL183" s="182"/>
      <c r="BM183" s="182"/>
      <c r="BN183" s="182"/>
      <c r="BO183" s="182"/>
      <c r="BP183" s="182"/>
      <c r="BQ183" s="182"/>
      <c r="BR183" s="182"/>
      <c r="BS183" s="183"/>
      <c r="BT183" s="182"/>
      <c r="BU183" s="182"/>
      <c r="BV183" s="182"/>
    </row>
    <row r="184" spans="32:74" ht="14.25" customHeight="1">
      <c r="BC184" s="147"/>
      <c r="BF184" s="182"/>
      <c r="BG184" s="182"/>
      <c r="BH184" s="182"/>
      <c r="BI184" s="182"/>
      <c r="BJ184" s="182"/>
      <c r="BK184" s="182"/>
      <c r="BL184" s="182"/>
      <c r="BM184" s="182"/>
      <c r="BN184" s="182"/>
      <c r="BO184" s="182"/>
      <c r="BP184" s="182"/>
      <c r="BQ184" s="182"/>
      <c r="BR184" s="182"/>
      <c r="BS184" s="183"/>
      <c r="BT184" s="182"/>
      <c r="BU184" s="182"/>
      <c r="BV184" s="182"/>
    </row>
    <row r="185" spans="32:74" ht="14.25" customHeight="1">
      <c r="AF185" s="182"/>
      <c r="AG185" s="182"/>
      <c r="AH185" s="182"/>
      <c r="AI185" s="182"/>
      <c r="BC185" s="147"/>
      <c r="BE185" s="182"/>
      <c r="BF185" s="182"/>
      <c r="BG185" s="182"/>
      <c r="BH185" s="182"/>
      <c r="BI185" s="182"/>
      <c r="BJ185" s="182"/>
      <c r="BK185" s="182"/>
      <c r="BL185" s="182"/>
      <c r="BM185" s="182"/>
      <c r="BN185" s="182"/>
      <c r="BO185" s="182"/>
      <c r="BP185" s="182"/>
      <c r="BQ185" s="182"/>
      <c r="BR185" s="182"/>
      <c r="BS185" s="183"/>
      <c r="BT185" s="182"/>
      <c r="BU185" s="182"/>
      <c r="BV185" s="182"/>
    </row>
    <row r="186" spans="32:74" ht="14.25" customHeight="1">
      <c r="AF186" s="182"/>
      <c r="AG186" s="182"/>
      <c r="AH186" s="182"/>
      <c r="AI186" s="182"/>
      <c r="AJ186" s="147"/>
      <c r="AK186" s="147"/>
      <c r="AL186" s="147"/>
      <c r="AM186" s="147"/>
      <c r="AN186" s="147"/>
      <c r="AO186" s="147"/>
      <c r="AP186" s="147"/>
      <c r="AQ186" s="147"/>
      <c r="AR186" s="147"/>
      <c r="AS186" s="147"/>
      <c r="AT186" s="147"/>
      <c r="AU186" s="147"/>
      <c r="AV186" s="147"/>
      <c r="AW186" s="147"/>
      <c r="BC186" s="147"/>
      <c r="BE186" s="182"/>
      <c r="BF186" s="182"/>
      <c r="BG186" s="182"/>
      <c r="BH186" s="182"/>
      <c r="BI186" s="182"/>
      <c r="BJ186" s="182"/>
      <c r="BK186" s="182"/>
      <c r="BL186" s="182"/>
      <c r="BM186" s="182"/>
      <c r="BN186" s="182"/>
      <c r="BO186" s="182"/>
      <c r="BP186" s="182"/>
      <c r="BQ186" s="182"/>
      <c r="BR186" s="182"/>
      <c r="BS186" s="183"/>
      <c r="BT186" s="182"/>
      <c r="BU186" s="182"/>
      <c r="BV186" s="182"/>
    </row>
    <row r="187" spans="32:74" ht="14.25" customHeight="1">
      <c r="AF187" s="182"/>
      <c r="AG187" s="182"/>
      <c r="AH187" s="182"/>
      <c r="AI187" s="182"/>
      <c r="AJ187" s="182"/>
      <c r="AK187" s="182"/>
      <c r="AL187" s="182"/>
      <c r="AM187" s="182"/>
      <c r="AN187" s="182"/>
      <c r="AO187" s="182"/>
      <c r="AP187" s="182"/>
      <c r="AQ187" s="182"/>
      <c r="AR187" s="182"/>
      <c r="AS187" s="182"/>
      <c r="AT187" s="182"/>
      <c r="AU187" s="182"/>
      <c r="AV187" s="182"/>
      <c r="AW187" s="182"/>
      <c r="BC187" s="147"/>
      <c r="BD187" s="147"/>
      <c r="BE187" s="182"/>
      <c r="BF187" s="182"/>
      <c r="BG187" s="182"/>
      <c r="BH187" s="182"/>
      <c r="BI187" s="182"/>
      <c r="BJ187" s="182"/>
      <c r="BK187" s="182"/>
      <c r="BL187" s="182"/>
      <c r="BM187" s="182"/>
      <c r="BN187" s="182"/>
      <c r="BO187" s="182"/>
      <c r="BP187" s="182"/>
      <c r="BQ187" s="182"/>
      <c r="BR187" s="182"/>
      <c r="BS187" s="183"/>
      <c r="BT187" s="182"/>
      <c r="BU187" s="182"/>
      <c r="BV187" s="182"/>
    </row>
    <row r="188" spans="32:74" ht="14.25" customHeight="1">
      <c r="AF188" s="182"/>
      <c r="AG188" s="182"/>
      <c r="AH188" s="182"/>
      <c r="AI188" s="182"/>
      <c r="AJ188" s="182"/>
      <c r="AK188" s="182"/>
      <c r="AL188" s="182"/>
      <c r="AM188" s="182"/>
      <c r="AN188" s="182"/>
      <c r="AO188" s="182"/>
      <c r="AP188" s="182"/>
      <c r="AQ188" s="182"/>
      <c r="AR188" s="182"/>
      <c r="AS188" s="182"/>
      <c r="AT188" s="182"/>
      <c r="AU188" s="182"/>
      <c r="AV188" s="182"/>
      <c r="AW188" s="182"/>
      <c r="AX188" s="182"/>
      <c r="AY188" s="182"/>
      <c r="AZ188" s="182"/>
      <c r="BA188" s="182"/>
      <c r="BB188" s="182"/>
      <c r="BC188" s="182"/>
      <c r="BD188" s="182"/>
      <c r="BE188" s="182"/>
      <c r="BF188" s="182"/>
      <c r="BG188" s="182"/>
      <c r="BH188" s="182"/>
      <c r="BI188" s="182"/>
      <c r="BJ188" s="182"/>
      <c r="BK188" s="182"/>
      <c r="BL188" s="182"/>
      <c r="BM188" s="182"/>
      <c r="BN188" s="182"/>
      <c r="BO188" s="182"/>
      <c r="BP188" s="182"/>
      <c r="BQ188" s="182"/>
      <c r="BR188" s="182"/>
      <c r="BS188" s="183"/>
      <c r="BT188" s="182"/>
      <c r="BU188" s="182"/>
      <c r="BV188" s="182"/>
    </row>
    <row r="189" spans="32:74" ht="14.25" customHeight="1">
      <c r="AF189" s="182"/>
      <c r="AG189" s="182"/>
      <c r="AH189" s="182"/>
      <c r="AI189" s="182"/>
      <c r="AJ189" s="182"/>
      <c r="AK189" s="182"/>
      <c r="AL189" s="182"/>
      <c r="AM189" s="182"/>
      <c r="AN189" s="182"/>
      <c r="AO189" s="182"/>
      <c r="AP189" s="182"/>
      <c r="AQ189" s="182"/>
      <c r="AR189" s="182"/>
      <c r="AS189" s="182"/>
      <c r="AT189" s="182"/>
      <c r="AU189" s="182"/>
      <c r="AV189" s="182"/>
      <c r="AW189" s="182"/>
      <c r="AX189" s="182"/>
      <c r="AY189" s="182"/>
      <c r="AZ189" s="182"/>
      <c r="BA189" s="182"/>
      <c r="BB189" s="182"/>
      <c r="BC189" s="182"/>
      <c r="BD189" s="182"/>
      <c r="BE189" s="182"/>
      <c r="BF189" s="182"/>
      <c r="BG189" s="182"/>
      <c r="BH189" s="182"/>
      <c r="BI189" s="182"/>
      <c r="BJ189" s="182"/>
      <c r="BK189" s="182"/>
      <c r="BL189" s="182"/>
      <c r="BM189" s="182"/>
      <c r="BN189" s="182"/>
      <c r="BO189" s="182"/>
      <c r="BP189" s="182"/>
      <c r="BQ189" s="182"/>
      <c r="BR189" s="182"/>
      <c r="BS189" s="183"/>
      <c r="BT189" s="182"/>
      <c r="BU189" s="182"/>
      <c r="BV189" s="182"/>
    </row>
    <row r="190" spans="32:74" ht="14.25" customHeight="1">
      <c r="AF190" s="182"/>
      <c r="AG190" s="182"/>
      <c r="AH190" s="182"/>
      <c r="AI190" s="182"/>
      <c r="AJ190" s="182"/>
      <c r="AK190" s="182"/>
      <c r="AL190" s="182"/>
      <c r="AM190" s="182"/>
      <c r="AN190" s="182"/>
      <c r="AO190" s="182"/>
      <c r="AP190" s="182"/>
      <c r="AQ190" s="182"/>
      <c r="AR190" s="182"/>
      <c r="AS190" s="182"/>
      <c r="AT190" s="182"/>
      <c r="AU190" s="182"/>
      <c r="AV190" s="182"/>
      <c r="AW190" s="182"/>
      <c r="AX190" s="182"/>
      <c r="AY190" s="182"/>
      <c r="AZ190" s="182"/>
      <c r="BA190" s="182"/>
      <c r="BB190" s="182"/>
      <c r="BC190" s="182"/>
      <c r="BD190" s="182"/>
      <c r="BE190" s="182"/>
      <c r="BF190" s="182"/>
      <c r="BG190" s="182"/>
      <c r="BH190" s="182"/>
      <c r="BI190" s="182"/>
      <c r="BJ190" s="182"/>
      <c r="BK190" s="182"/>
      <c r="BL190" s="182"/>
      <c r="BM190" s="182"/>
      <c r="BN190" s="182"/>
      <c r="BO190" s="182"/>
      <c r="BP190" s="182"/>
      <c r="BQ190" s="182"/>
      <c r="BR190" s="182"/>
      <c r="BS190" s="183"/>
      <c r="BT190" s="182"/>
      <c r="BU190" s="182"/>
      <c r="BV190" s="182"/>
    </row>
    <row r="191" spans="32:74" ht="14.25" customHeight="1">
      <c r="AF191" s="182"/>
      <c r="AG191" s="182"/>
      <c r="AH191" s="182"/>
      <c r="AI191" s="182"/>
      <c r="AJ191" s="182"/>
      <c r="AK191" s="182"/>
      <c r="AL191" s="182"/>
      <c r="AM191" s="182"/>
      <c r="AN191" s="182"/>
      <c r="AO191" s="182"/>
      <c r="AP191" s="182"/>
      <c r="AQ191" s="182"/>
      <c r="AR191" s="182"/>
      <c r="AS191" s="182"/>
      <c r="AT191" s="182"/>
      <c r="AU191" s="182"/>
      <c r="AV191" s="182"/>
      <c r="AW191" s="182"/>
      <c r="AX191" s="182"/>
      <c r="AY191" s="182"/>
      <c r="AZ191" s="182"/>
      <c r="BA191" s="182"/>
      <c r="BB191" s="182"/>
      <c r="BC191" s="182"/>
      <c r="BD191" s="182"/>
      <c r="BE191" s="182"/>
      <c r="BF191" s="182"/>
      <c r="BG191" s="182"/>
      <c r="BH191" s="182"/>
      <c r="BI191" s="182"/>
      <c r="BJ191" s="182"/>
      <c r="BK191" s="182"/>
      <c r="BL191" s="182"/>
      <c r="BM191" s="182"/>
      <c r="BN191" s="182"/>
      <c r="BO191" s="182"/>
      <c r="BP191" s="182"/>
      <c r="BQ191" s="182"/>
      <c r="BR191" s="182"/>
      <c r="BS191" s="183"/>
      <c r="BT191" s="182"/>
      <c r="BU191" s="182"/>
      <c r="BV191" s="182"/>
    </row>
    <row r="192" spans="32:74" ht="14.25" customHeight="1">
      <c r="AF192" s="182"/>
      <c r="AG192" s="182"/>
      <c r="AH192" s="182"/>
      <c r="AI192" s="182"/>
      <c r="AJ192" s="182"/>
      <c r="AK192" s="182"/>
      <c r="AL192" s="182"/>
      <c r="AM192" s="182"/>
      <c r="AN192" s="182"/>
      <c r="AO192" s="182"/>
      <c r="AP192" s="182"/>
      <c r="AQ192" s="182"/>
      <c r="AR192" s="182"/>
      <c r="AS192" s="182"/>
      <c r="AT192" s="182"/>
      <c r="AU192" s="182"/>
      <c r="AV192" s="182"/>
      <c r="AW192" s="182"/>
      <c r="AX192" s="182"/>
      <c r="AY192" s="182"/>
      <c r="AZ192" s="182"/>
      <c r="BA192" s="182"/>
      <c r="BB192" s="182"/>
      <c r="BC192" s="182"/>
      <c r="BD192" s="182"/>
      <c r="BE192" s="182"/>
      <c r="BF192" s="182"/>
      <c r="BG192" s="182"/>
      <c r="BH192" s="182"/>
      <c r="BI192" s="182"/>
      <c r="BJ192" s="182"/>
      <c r="BK192" s="182"/>
      <c r="BL192" s="182"/>
      <c r="BM192" s="182"/>
      <c r="BN192" s="182"/>
      <c r="BO192" s="182"/>
      <c r="BP192" s="182"/>
      <c r="BQ192" s="182"/>
      <c r="BR192" s="182"/>
      <c r="BS192" s="183"/>
      <c r="BT192" s="182"/>
      <c r="BU192" s="182"/>
      <c r="BV192" s="182"/>
    </row>
    <row r="193" spans="32:74" ht="14.25" customHeight="1">
      <c r="AF193" s="182"/>
      <c r="AG193" s="182"/>
      <c r="AH193" s="182"/>
      <c r="AI193" s="182"/>
      <c r="AJ193" s="182"/>
      <c r="AK193" s="182"/>
      <c r="AL193" s="182"/>
      <c r="AM193" s="182"/>
      <c r="AN193" s="182"/>
      <c r="AO193" s="182"/>
      <c r="AP193" s="182"/>
      <c r="AQ193" s="182"/>
      <c r="AR193" s="182"/>
      <c r="AS193" s="182"/>
      <c r="AT193" s="182"/>
      <c r="AU193" s="182"/>
      <c r="AV193" s="182"/>
      <c r="AW193" s="182"/>
      <c r="AX193" s="182"/>
      <c r="AY193" s="182"/>
      <c r="AZ193" s="182"/>
      <c r="BA193" s="182"/>
      <c r="BB193" s="182"/>
      <c r="BC193" s="182"/>
      <c r="BD193" s="182"/>
      <c r="BE193" s="182"/>
      <c r="BF193" s="182"/>
      <c r="BG193" s="182"/>
      <c r="BH193" s="182"/>
      <c r="BI193" s="182"/>
      <c r="BJ193" s="182"/>
      <c r="BK193" s="182"/>
      <c r="BL193" s="182"/>
      <c r="BM193" s="182"/>
      <c r="BN193" s="182"/>
      <c r="BO193" s="182"/>
      <c r="BP193" s="182"/>
      <c r="BQ193" s="182"/>
      <c r="BS193" s="183"/>
      <c r="BT193" s="182"/>
      <c r="BU193" s="182"/>
      <c r="BV193" s="182"/>
    </row>
    <row r="194" spans="32:74" ht="14.25" customHeight="1">
      <c r="AF194" s="182"/>
      <c r="AG194" s="182"/>
      <c r="AH194" s="182"/>
      <c r="AI194" s="182"/>
      <c r="AJ194" s="182"/>
      <c r="AK194" s="182"/>
      <c r="AL194" s="182"/>
      <c r="AM194" s="182"/>
      <c r="AN194" s="182"/>
      <c r="AO194" s="182"/>
      <c r="AP194" s="182"/>
      <c r="AQ194" s="182"/>
      <c r="AR194" s="182"/>
      <c r="AS194" s="182"/>
      <c r="AT194" s="182"/>
      <c r="AU194" s="182"/>
      <c r="AV194" s="182"/>
      <c r="AW194" s="182"/>
      <c r="AX194" s="182"/>
      <c r="AY194" s="182"/>
      <c r="AZ194" s="182"/>
      <c r="BA194" s="182"/>
      <c r="BB194" s="182"/>
      <c r="BC194" s="182"/>
      <c r="BD194" s="182"/>
      <c r="BE194" s="182"/>
      <c r="BF194" s="182"/>
      <c r="BG194" s="182"/>
      <c r="BH194" s="182"/>
      <c r="BI194" s="182"/>
      <c r="BJ194" s="182"/>
      <c r="BK194" s="182"/>
      <c r="BL194" s="182"/>
      <c r="BM194" s="182"/>
      <c r="BN194" s="182"/>
      <c r="BO194" s="182"/>
      <c r="BP194" s="182"/>
      <c r="BQ194" s="182"/>
      <c r="BS194" s="183"/>
      <c r="BT194" s="182"/>
      <c r="BU194" s="182"/>
      <c r="BV194" s="182"/>
    </row>
    <row r="195" spans="32:74" ht="14.25" customHeight="1">
      <c r="AF195" s="182"/>
      <c r="AG195" s="182"/>
      <c r="AH195" s="182"/>
      <c r="AI195" s="182"/>
      <c r="AJ195" s="182"/>
      <c r="AK195" s="182"/>
      <c r="AL195" s="182"/>
      <c r="AM195" s="182"/>
      <c r="AN195" s="182"/>
      <c r="AO195" s="182"/>
      <c r="AP195" s="182"/>
      <c r="AQ195" s="182"/>
      <c r="AR195" s="182"/>
      <c r="AS195" s="182"/>
      <c r="AT195" s="182"/>
      <c r="AU195" s="182"/>
      <c r="AV195" s="182"/>
      <c r="AW195" s="182"/>
      <c r="AX195" s="182"/>
      <c r="AY195" s="182"/>
      <c r="AZ195" s="182"/>
      <c r="BA195" s="182"/>
      <c r="BB195" s="182"/>
      <c r="BC195" s="182"/>
      <c r="BD195" s="182"/>
      <c r="BE195" s="182"/>
      <c r="BF195" s="182"/>
      <c r="BG195" s="182"/>
      <c r="BH195" s="182"/>
      <c r="BI195" s="182"/>
      <c r="BJ195" s="182"/>
      <c r="BK195" s="182"/>
      <c r="BL195" s="182"/>
      <c r="BM195" s="182"/>
      <c r="BN195" s="182"/>
      <c r="BO195" s="182"/>
      <c r="BP195" s="182"/>
      <c r="BQ195" s="182"/>
      <c r="BS195" s="183"/>
      <c r="BT195" s="182"/>
      <c r="BU195" s="182"/>
      <c r="BV195" s="182"/>
    </row>
    <row r="196" spans="32:74" ht="14.25" customHeight="1">
      <c r="AF196" s="182"/>
      <c r="AG196" s="182"/>
      <c r="AH196" s="182"/>
      <c r="AI196" s="182"/>
      <c r="AJ196" s="182"/>
      <c r="AK196" s="182"/>
      <c r="AL196" s="182"/>
      <c r="AM196" s="182"/>
      <c r="AN196" s="182"/>
      <c r="AO196" s="182"/>
      <c r="AP196" s="182"/>
      <c r="AQ196" s="182"/>
      <c r="AR196" s="182"/>
      <c r="AS196" s="182"/>
      <c r="AT196" s="182"/>
      <c r="AU196" s="182"/>
      <c r="AV196" s="182"/>
      <c r="AW196" s="182"/>
      <c r="AX196" s="182"/>
      <c r="AY196" s="182"/>
      <c r="AZ196" s="182"/>
      <c r="BA196" s="182"/>
      <c r="BB196" s="182"/>
      <c r="BC196" s="182"/>
      <c r="BD196" s="182"/>
      <c r="BE196" s="182"/>
      <c r="BF196" s="182"/>
      <c r="BG196" s="182"/>
      <c r="BH196" s="182"/>
      <c r="BI196" s="182"/>
      <c r="BJ196" s="182"/>
      <c r="BK196" s="182"/>
      <c r="BL196" s="182"/>
      <c r="BM196" s="182"/>
      <c r="BN196" s="182"/>
      <c r="BO196" s="182"/>
      <c r="BP196" s="182"/>
      <c r="BQ196" s="182"/>
      <c r="BS196" s="183"/>
      <c r="BT196" s="182"/>
      <c r="BU196" s="182"/>
      <c r="BV196" s="182"/>
    </row>
    <row r="208" spans="32:74" ht="14.25" customHeight="1">
      <c r="BS208" s="124"/>
    </row>
    <row r="209" spans="71:71" ht="14.25" customHeight="1">
      <c r="BS209" s="124"/>
    </row>
    <row r="210" spans="71:71" ht="14.25" customHeight="1">
      <c r="BS210" s="124"/>
    </row>
    <row r="211" spans="71:71" ht="14.25" customHeight="1">
      <c r="BS211" s="124"/>
    </row>
    <row r="212" spans="71:71" ht="14.25" customHeight="1">
      <c r="BS212" s="124"/>
    </row>
    <row r="213" spans="71:71" ht="14.25" customHeight="1">
      <c r="BS213" s="124"/>
    </row>
    <row r="214" spans="71:71" ht="14.25" customHeight="1">
      <c r="BS214" s="124"/>
    </row>
    <row r="215" spans="71:71" ht="14.25" customHeight="1">
      <c r="BS215" s="124"/>
    </row>
    <row r="216" spans="71:71" ht="14.25" customHeight="1">
      <c r="BS216" s="124"/>
    </row>
    <row r="217" spans="71:71" ht="14.25" customHeight="1">
      <c r="BS217" s="124"/>
    </row>
    <row r="218" spans="71:71" ht="14.25" customHeight="1">
      <c r="BS218" s="124"/>
    </row>
    <row r="219" spans="71:71" ht="14.25" customHeight="1">
      <c r="BS219" s="124"/>
    </row>
    <row r="220" spans="71:71" ht="14.25" customHeight="1">
      <c r="BS220" s="124"/>
    </row>
    <row r="221" spans="71:71" ht="14.25" customHeight="1">
      <c r="BS221" s="124"/>
    </row>
    <row r="222" spans="71:71" ht="14.25" customHeight="1">
      <c r="BS222" s="124"/>
    </row>
    <row r="223" spans="71:71" ht="14.25" customHeight="1">
      <c r="BS223" s="124"/>
    </row>
    <row r="224" spans="71:71" ht="14.25" customHeight="1">
      <c r="BS224" s="124"/>
    </row>
    <row r="225" spans="71:71" ht="14.25" customHeight="1">
      <c r="BS225" s="124"/>
    </row>
    <row r="226" spans="71:71" ht="14.25" customHeight="1">
      <c r="BS226" s="124"/>
    </row>
    <row r="227" spans="71:71" ht="14.25" customHeight="1">
      <c r="BS227" s="124"/>
    </row>
    <row r="228" spans="71:71" ht="14.25" customHeight="1">
      <c r="BS228" s="124"/>
    </row>
    <row r="229" spans="71:71" ht="14.25" customHeight="1">
      <c r="BS229" s="124"/>
    </row>
    <row r="230" spans="71:71" ht="14.25" customHeight="1">
      <c r="BS230" s="124"/>
    </row>
    <row r="231" spans="71:71" ht="14.25" customHeight="1">
      <c r="BS231" s="124"/>
    </row>
    <row r="232" spans="71:71" ht="14.25" customHeight="1">
      <c r="BS232" s="124"/>
    </row>
    <row r="233" spans="71:71" ht="14.25" customHeight="1">
      <c r="BS233" s="124"/>
    </row>
    <row r="234" spans="71:71" ht="14.25" customHeight="1">
      <c r="BS234" s="124"/>
    </row>
    <row r="235" spans="71:71" ht="14.25" customHeight="1">
      <c r="BS235" s="124"/>
    </row>
    <row r="236" spans="71:71" ht="14.25" customHeight="1">
      <c r="BS236" s="124"/>
    </row>
    <row r="237" spans="71:71" ht="14.25" customHeight="1">
      <c r="BS237" s="124"/>
    </row>
    <row r="238" spans="71:71" ht="14.25" customHeight="1">
      <c r="BS238" s="124"/>
    </row>
    <row r="239" spans="71:71" ht="14.25" customHeight="1">
      <c r="BS239" s="124"/>
    </row>
    <row r="240" spans="71:71" ht="14.25" customHeight="1">
      <c r="BS240" s="124"/>
    </row>
    <row r="241" spans="71:71" ht="14.25" customHeight="1">
      <c r="BS241" s="124"/>
    </row>
    <row r="242" spans="71:71" ht="14.25" customHeight="1">
      <c r="BS242" s="124"/>
    </row>
    <row r="243" spans="71:71" ht="14.25" customHeight="1">
      <c r="BS243" s="124"/>
    </row>
    <row r="244" spans="71:71" ht="14.25" customHeight="1">
      <c r="BS244" s="124"/>
    </row>
    <row r="245" spans="71:71" ht="14.25" customHeight="1">
      <c r="BS245" s="124"/>
    </row>
    <row r="246" spans="71:71" ht="14.25" customHeight="1">
      <c r="BS246" s="124"/>
    </row>
    <row r="247" spans="71:71" ht="14.25" customHeight="1">
      <c r="BS247" s="124"/>
    </row>
    <row r="248" spans="71:71" ht="14.25" customHeight="1">
      <c r="BS248" s="124"/>
    </row>
    <row r="249" spans="71:71" ht="14.25" customHeight="1">
      <c r="BS249" s="124"/>
    </row>
    <row r="250" spans="71:71" ht="14.25" customHeight="1">
      <c r="BS250" s="124"/>
    </row>
    <row r="251" spans="71:71" ht="14.25" customHeight="1">
      <c r="BS251" s="124"/>
    </row>
    <row r="252" spans="71:71" ht="14.25" customHeight="1">
      <c r="BS252" s="124"/>
    </row>
    <row r="253" spans="71:71" ht="14.25" customHeight="1">
      <c r="BS253" s="124"/>
    </row>
    <row r="254" spans="71:71" ht="14.25" customHeight="1">
      <c r="BS254" s="124"/>
    </row>
    <row r="255" spans="71:71" ht="14.25" customHeight="1">
      <c r="BS255" s="124"/>
    </row>
    <row r="268" spans="57:74" ht="14.25" customHeight="1">
      <c r="BE268" s="182"/>
      <c r="BF268" s="182"/>
      <c r="BG268" s="182"/>
      <c r="BH268" s="182"/>
      <c r="BI268" s="182"/>
      <c r="BJ268" s="182"/>
      <c r="BK268" s="147"/>
      <c r="BL268" s="147"/>
      <c r="BM268" s="147"/>
      <c r="BN268" s="147"/>
      <c r="BO268" s="147"/>
      <c r="BP268" s="147"/>
      <c r="BQ268" s="147"/>
      <c r="BR268" s="147"/>
      <c r="BS268" s="147"/>
      <c r="BT268" s="182"/>
      <c r="BU268" s="182"/>
      <c r="BV268" s="182"/>
    </row>
    <row r="269" spans="57:74" ht="14.25" customHeight="1">
      <c r="BE269" s="182"/>
      <c r="BF269" s="182"/>
      <c r="BG269" s="182"/>
      <c r="BH269" s="182"/>
      <c r="BI269" s="182"/>
      <c r="BJ269" s="182"/>
      <c r="BK269" s="147"/>
      <c r="BL269" s="147"/>
      <c r="BM269" s="147"/>
      <c r="BN269" s="147"/>
      <c r="BO269" s="147"/>
      <c r="BP269" s="147"/>
      <c r="BQ269" s="147"/>
      <c r="BR269" s="147"/>
      <c r="BS269" s="147"/>
      <c r="BT269" s="182"/>
      <c r="BU269" s="182"/>
      <c r="BV269" s="182"/>
    </row>
    <row r="270" spans="57:74" ht="14.25" customHeight="1">
      <c r="BE270" s="182"/>
      <c r="BF270" s="182"/>
      <c r="BG270" s="182"/>
      <c r="BH270" s="182"/>
      <c r="BI270" s="182"/>
      <c r="BJ270" s="182"/>
      <c r="BK270" s="147"/>
      <c r="BL270" s="147"/>
      <c r="BM270" s="147"/>
      <c r="BN270" s="147"/>
      <c r="BO270" s="147"/>
      <c r="BP270" s="147"/>
      <c r="BQ270" s="147"/>
      <c r="BR270" s="147"/>
      <c r="BS270" s="147"/>
      <c r="BT270" s="182"/>
      <c r="BU270" s="182"/>
      <c r="BV270" s="182"/>
    </row>
    <row r="271" spans="57:74" ht="14.25" customHeight="1">
      <c r="BE271" s="182"/>
      <c r="BF271" s="182"/>
      <c r="BG271" s="182"/>
      <c r="BH271" s="182"/>
      <c r="BI271" s="182"/>
      <c r="BJ271" s="182"/>
      <c r="BK271" s="147"/>
      <c r="BL271" s="147"/>
      <c r="BM271" s="147"/>
      <c r="BN271" s="147"/>
      <c r="BO271" s="147"/>
      <c r="BP271" s="147"/>
      <c r="BQ271" s="147"/>
      <c r="BR271" s="147"/>
      <c r="BS271" s="147"/>
      <c r="BT271" s="182"/>
      <c r="BU271" s="182"/>
      <c r="BV271" s="182"/>
    </row>
    <row r="272" spans="57:74" ht="14.25" customHeight="1">
      <c r="BE272" s="182"/>
      <c r="BF272" s="182"/>
      <c r="BG272" s="182"/>
      <c r="BH272" s="182"/>
      <c r="BI272" s="182"/>
      <c r="BJ272" s="182"/>
      <c r="BK272" s="182"/>
      <c r="BL272" s="182"/>
      <c r="BM272" s="182"/>
      <c r="BN272" s="182"/>
      <c r="BO272" s="182"/>
      <c r="BP272" s="182"/>
      <c r="BQ272" s="182"/>
      <c r="BR272" s="182"/>
      <c r="BS272" s="183"/>
      <c r="BT272" s="182"/>
      <c r="BU272" s="182"/>
      <c r="BV272" s="182"/>
    </row>
    <row r="273" spans="32:74" ht="14.25" customHeight="1">
      <c r="AF273" s="182"/>
      <c r="AG273" s="182"/>
      <c r="AH273" s="182"/>
      <c r="AI273" s="182"/>
      <c r="AJ273" s="182"/>
      <c r="AK273" s="182"/>
      <c r="AL273" s="182"/>
      <c r="AM273" s="182"/>
      <c r="AN273" s="182"/>
      <c r="AO273" s="182"/>
      <c r="AP273" s="182"/>
      <c r="AQ273" s="182"/>
      <c r="AR273" s="182"/>
      <c r="AS273" s="182"/>
      <c r="AT273" s="182"/>
      <c r="AU273" s="182"/>
      <c r="AV273" s="182"/>
      <c r="AW273" s="182"/>
      <c r="AX273" s="182"/>
      <c r="AY273" s="182"/>
      <c r="AZ273" s="182"/>
      <c r="BA273" s="182"/>
      <c r="BB273" s="182"/>
      <c r="BC273" s="182"/>
      <c r="BD273" s="182"/>
      <c r="BE273" s="182"/>
      <c r="BF273" s="182"/>
      <c r="BG273" s="182"/>
      <c r="BH273" s="182"/>
      <c r="BI273" s="182"/>
      <c r="BJ273" s="182"/>
      <c r="BK273" s="182"/>
      <c r="BL273" s="182"/>
      <c r="BM273" s="182"/>
      <c r="BN273" s="182"/>
      <c r="BO273" s="182"/>
      <c r="BP273" s="182"/>
      <c r="BQ273" s="182"/>
      <c r="BR273" s="182"/>
      <c r="BS273" s="183"/>
      <c r="BT273" s="182"/>
      <c r="BU273" s="182"/>
      <c r="BV273" s="182"/>
    </row>
    <row r="274" spans="32:74" ht="14.25" customHeight="1">
      <c r="AF274" s="182"/>
      <c r="AG274" s="182"/>
      <c r="AH274" s="182"/>
      <c r="AI274" s="182"/>
      <c r="AJ274" s="182"/>
      <c r="AK274" s="182"/>
      <c r="AL274" s="182"/>
      <c r="AM274" s="182"/>
      <c r="AN274" s="182"/>
      <c r="AO274" s="182"/>
      <c r="AP274" s="182"/>
      <c r="AQ274" s="182"/>
      <c r="AR274" s="182"/>
      <c r="AS274" s="182"/>
      <c r="AT274" s="182"/>
      <c r="AU274" s="182"/>
      <c r="AV274" s="182"/>
      <c r="AW274" s="182"/>
      <c r="AX274" s="182"/>
      <c r="AY274" s="182"/>
      <c r="AZ274" s="182"/>
      <c r="BA274" s="182"/>
      <c r="BB274" s="182"/>
      <c r="BC274" s="182"/>
      <c r="BD274" s="182"/>
      <c r="BE274" s="182"/>
      <c r="BF274" s="182"/>
      <c r="BG274" s="182"/>
      <c r="BH274" s="182"/>
      <c r="BI274" s="182"/>
      <c r="BJ274" s="182"/>
      <c r="BK274" s="182"/>
      <c r="BL274" s="182"/>
      <c r="BM274" s="182"/>
      <c r="BN274" s="182"/>
      <c r="BO274" s="182"/>
      <c r="BP274" s="182"/>
      <c r="BQ274" s="182"/>
      <c r="BR274" s="182"/>
      <c r="BS274" s="183"/>
      <c r="BT274" s="182"/>
      <c r="BU274" s="182"/>
      <c r="BV274" s="182"/>
    </row>
    <row r="275" spans="32:74" ht="14.25" customHeight="1">
      <c r="AJ275" s="182"/>
      <c r="AK275" s="182"/>
      <c r="AL275" s="182"/>
      <c r="AM275" s="182"/>
      <c r="AN275" s="182"/>
      <c r="AO275" s="182"/>
      <c r="AP275" s="182"/>
      <c r="AQ275" s="182"/>
      <c r="AR275" s="182"/>
      <c r="AS275" s="182"/>
      <c r="AT275" s="182"/>
      <c r="AU275" s="182"/>
      <c r="AV275" s="182"/>
      <c r="AW275" s="182"/>
      <c r="AX275" s="182"/>
      <c r="AY275" s="182"/>
      <c r="AZ275" s="182"/>
      <c r="BA275" s="182"/>
      <c r="BB275" s="182"/>
      <c r="BC275" s="182"/>
      <c r="BD275" s="182"/>
      <c r="BE275" s="182"/>
      <c r="BF275" s="182"/>
      <c r="BG275" s="182"/>
      <c r="BH275" s="182"/>
      <c r="BI275" s="182"/>
      <c r="BJ275" s="182"/>
      <c r="BK275" s="182"/>
      <c r="BL275" s="182"/>
      <c r="BM275" s="182"/>
      <c r="BN275" s="182"/>
      <c r="BO275" s="182"/>
      <c r="BP275" s="182"/>
      <c r="BQ275" s="182"/>
      <c r="BR275" s="182"/>
      <c r="BS275" s="183"/>
      <c r="BT275" s="182"/>
      <c r="BU275" s="182"/>
      <c r="BV275" s="182"/>
    </row>
    <row r="276" spans="32:74" ht="14.25" customHeight="1">
      <c r="AJ276" s="182"/>
      <c r="AK276" s="182"/>
      <c r="AL276" s="182"/>
      <c r="AM276" s="182"/>
      <c r="AN276" s="182"/>
      <c r="AO276" s="182"/>
      <c r="AP276" s="182"/>
      <c r="AQ276" s="182"/>
      <c r="AR276" s="182"/>
      <c r="AS276" s="182"/>
      <c r="AT276" s="182"/>
      <c r="AU276" s="182"/>
      <c r="AV276" s="182"/>
      <c r="AW276" s="182"/>
      <c r="AX276" s="182"/>
      <c r="AY276" s="182"/>
      <c r="AZ276" s="182"/>
      <c r="BA276" s="182"/>
      <c r="BB276" s="182"/>
      <c r="BC276" s="182"/>
      <c r="BD276" s="182"/>
      <c r="BE276" s="182"/>
      <c r="BF276" s="182"/>
      <c r="BG276" s="182"/>
      <c r="BH276" s="182"/>
      <c r="BI276" s="182"/>
      <c r="BJ276" s="182"/>
      <c r="BK276" s="182"/>
      <c r="BL276" s="182"/>
      <c r="BM276" s="182"/>
      <c r="BN276" s="182"/>
      <c r="BO276" s="182"/>
      <c r="BP276" s="182"/>
      <c r="BQ276" s="182"/>
      <c r="BR276" s="182"/>
      <c r="BS276" s="183"/>
      <c r="BT276" s="182"/>
      <c r="BU276" s="182"/>
      <c r="BV276" s="182"/>
    </row>
    <row r="277" spans="32:74" ht="14.25" customHeight="1">
      <c r="BE277" s="182"/>
      <c r="BF277" s="182"/>
      <c r="BG277" s="182"/>
      <c r="BH277" s="182"/>
      <c r="BI277" s="182"/>
      <c r="BJ277" s="182"/>
      <c r="BK277" s="182"/>
      <c r="BL277" s="182"/>
      <c r="BM277" s="182"/>
      <c r="BN277" s="182"/>
      <c r="BO277" s="182"/>
      <c r="BP277" s="182"/>
      <c r="BQ277" s="182"/>
      <c r="BR277" s="182"/>
      <c r="BS277" s="183"/>
      <c r="BT277" s="182"/>
      <c r="BU277" s="182"/>
      <c r="BV277" s="182"/>
    </row>
  </sheetData>
  <mergeCells count="74">
    <mergeCell ref="A1:C1"/>
    <mergeCell ref="D4:E4"/>
    <mergeCell ref="K4:L4"/>
    <mergeCell ref="N4:O6"/>
    <mergeCell ref="D5:E5"/>
    <mergeCell ref="K5:L5"/>
    <mergeCell ref="D6:E6"/>
    <mergeCell ref="N8:O8"/>
    <mergeCell ref="D9:E9"/>
    <mergeCell ref="N9:O13"/>
    <mergeCell ref="D10:E10"/>
    <mergeCell ref="D11:E11"/>
    <mergeCell ref="D12:E12"/>
    <mergeCell ref="D13:E13"/>
    <mergeCell ref="D7:E7"/>
    <mergeCell ref="D8:E8"/>
    <mergeCell ref="K15:L15"/>
    <mergeCell ref="A17:G17"/>
    <mergeCell ref="I17:L17"/>
    <mergeCell ref="M17:T17"/>
    <mergeCell ref="W17:Y17"/>
    <mergeCell ref="A19:C19"/>
    <mergeCell ref="A20:C20"/>
    <mergeCell ref="A73:B73"/>
    <mergeCell ref="F73:G73"/>
    <mergeCell ref="L73:M73"/>
    <mergeCell ref="A18:C18"/>
    <mergeCell ref="D18:E18"/>
    <mergeCell ref="K18:L18"/>
    <mergeCell ref="B88:C88"/>
    <mergeCell ref="Q73:W73"/>
    <mergeCell ref="Q74:Q75"/>
    <mergeCell ref="A75:A79"/>
    <mergeCell ref="F78:G78"/>
    <mergeCell ref="F79:F80"/>
    <mergeCell ref="A80:A81"/>
    <mergeCell ref="F81:F82"/>
    <mergeCell ref="N73:O73"/>
    <mergeCell ref="A84:A85"/>
    <mergeCell ref="B84:C84"/>
    <mergeCell ref="B85:C85"/>
    <mergeCell ref="B86:C86"/>
    <mergeCell ref="B87:C87"/>
    <mergeCell ref="A99:B99"/>
    <mergeCell ref="B89:C89"/>
    <mergeCell ref="B90:C90"/>
    <mergeCell ref="A92:B93"/>
    <mergeCell ref="C92:D92"/>
    <mergeCell ref="L92:N92"/>
    <mergeCell ref="O92:Y92"/>
    <mergeCell ref="A95:B95"/>
    <mergeCell ref="A96:B96"/>
    <mergeCell ref="A97:B98"/>
    <mergeCell ref="F92:G92"/>
    <mergeCell ref="H92:J92"/>
    <mergeCell ref="AD103:AD115"/>
    <mergeCell ref="AE103:AE104"/>
    <mergeCell ref="AE105:AE106"/>
    <mergeCell ref="AE107:AE108"/>
    <mergeCell ref="AE109:AE110"/>
    <mergeCell ref="AE111:AE112"/>
    <mergeCell ref="AE113:AE115"/>
    <mergeCell ref="AT152:AU152"/>
    <mergeCell ref="AD116:AD130"/>
    <mergeCell ref="AE116:AE117"/>
    <mergeCell ref="AE118:AE119"/>
    <mergeCell ref="AE120:AE125"/>
    <mergeCell ref="AE126:AE127"/>
    <mergeCell ref="AE128:AE130"/>
    <mergeCell ref="AD131:AD132"/>
    <mergeCell ref="AE131:AE132"/>
    <mergeCell ref="AD133:AD140"/>
    <mergeCell ref="AP145:AP146"/>
    <mergeCell ref="AT145:AV145"/>
  </mergeCells>
  <conditionalFormatting sqref="C82">
    <cfRule type="cellIs" dxfId="65" priority="27" stopIfTrue="1" operator="notBetween">
      <formula>0.49</formula>
      <formula>-0.49</formula>
    </cfRule>
  </conditionalFormatting>
  <conditionalFormatting sqref="G72 N21:S69 I21 I24 I27 I30 I33 I36:I69 H21:H69 K21:L69">
    <cfRule type="cellIs" dxfId="64" priority="26" stopIfTrue="1" operator="equal">
      <formula>0</formula>
    </cfRule>
  </conditionalFormatting>
  <conditionalFormatting sqref="L33:L69">
    <cfRule type="cellIs" dxfId="63" priority="25" stopIfTrue="1" operator="greaterThan">
      <formula>#REF!</formula>
    </cfRule>
  </conditionalFormatting>
  <conditionalFormatting sqref="W21:Y69">
    <cfRule type="cellIs" dxfId="62" priority="24" stopIfTrue="1" operator="equal">
      <formula>0</formula>
    </cfRule>
  </conditionalFormatting>
  <conditionalFormatting sqref="Z69:AC69 AC25:AC68 Z21:AB68">
    <cfRule type="cellIs" dxfId="61" priority="23" stopIfTrue="1" operator="equal">
      <formula>0</formula>
    </cfRule>
  </conditionalFormatting>
  <conditionalFormatting sqref="M21:M69">
    <cfRule type="cellIs" dxfId="60" priority="22" stopIfTrue="1" operator="equal">
      <formula>0</formula>
    </cfRule>
  </conditionalFormatting>
  <conditionalFormatting sqref="T21:T69">
    <cfRule type="cellIs" dxfId="59" priority="21" stopIfTrue="1" operator="equal">
      <formula>0</formula>
    </cfRule>
  </conditionalFormatting>
  <conditionalFormatting sqref="U21:V69">
    <cfRule type="expression" dxfId="58" priority="28" stopIfTrue="1">
      <formula>$D$15&gt;0</formula>
    </cfRule>
  </conditionalFormatting>
  <conditionalFormatting sqref="H95">
    <cfRule type="colorScale" priority="29">
      <colorScale>
        <cfvo type="num" val="0"/>
        <cfvo type="formula" val="$H$97*$AR$149"/>
        <cfvo type="formula" val="$H$97"/>
        <color rgb="FF63BE7B"/>
        <color rgb="FFFFEB84"/>
        <color rgb="FFF8696B"/>
      </colorScale>
    </cfRule>
  </conditionalFormatting>
  <conditionalFormatting sqref="J95">
    <cfRule type="colorScale" priority="30">
      <colorScale>
        <cfvo type="num" val="0"/>
        <cfvo type="formula" val="$J$97*$AR$149"/>
        <cfvo type="formula" val="$J$97"/>
        <color rgb="FF63BE7B"/>
        <color rgb="FFFFEB84"/>
        <color rgb="FFF8696B"/>
      </colorScale>
    </cfRule>
  </conditionalFormatting>
  <conditionalFormatting sqref="K95">
    <cfRule type="colorScale" priority="31">
      <colorScale>
        <cfvo type="num" val="0"/>
        <cfvo type="formula" val="$K$97*$AR$149"/>
        <cfvo type="formula" val="$K$97"/>
        <color rgb="FF63BE7B"/>
        <color rgb="FFFFEB84"/>
        <color rgb="FFF8696B"/>
      </colorScale>
    </cfRule>
  </conditionalFormatting>
  <conditionalFormatting sqref="L95">
    <cfRule type="colorScale" priority="32">
      <colorScale>
        <cfvo type="num" val="0"/>
        <cfvo type="formula" val="$L$97*$AR$149"/>
        <cfvo type="formula" val="$L$97"/>
        <color rgb="FF63BE7B"/>
        <color rgb="FFFFEB84"/>
        <color rgb="FFF8696B"/>
      </colorScale>
    </cfRule>
  </conditionalFormatting>
  <conditionalFormatting sqref="M95">
    <cfRule type="colorScale" priority="33">
      <colorScale>
        <cfvo type="num" val="0"/>
        <cfvo type="formula" val="$M$97*$AR$149"/>
        <cfvo type="formula" val="$M$97"/>
        <color rgb="FF63BE7B"/>
        <color rgb="FFFFEB84"/>
        <color rgb="FFF8696B"/>
      </colorScale>
    </cfRule>
  </conditionalFormatting>
  <conditionalFormatting sqref="N95">
    <cfRule type="colorScale" priority="34">
      <colorScale>
        <cfvo type="num" val="0"/>
        <cfvo type="formula" val="$N$95*$AR$149"/>
        <cfvo type="formula" val="$N$97"/>
        <color rgb="FF63BE7B"/>
        <color rgb="FFFFEB84"/>
        <color rgb="FFF8696B"/>
      </colorScale>
    </cfRule>
  </conditionalFormatting>
  <conditionalFormatting sqref="I95">
    <cfRule type="colorScale" priority="35">
      <colorScale>
        <cfvo type="formula" val="$I$97"/>
        <cfvo type="formula" val="$I$97+$I$97*(1-$AR$149)"/>
        <cfvo type="num" val="1.2"/>
        <color rgb="FFF8696B"/>
        <color rgb="FFFFEB84"/>
        <color rgb="FF63BE7B"/>
      </colorScale>
    </cfRule>
  </conditionalFormatting>
  <conditionalFormatting sqref="I22">
    <cfRule type="cellIs" dxfId="57" priority="20" stopIfTrue="1" operator="equal">
      <formula>0</formula>
    </cfRule>
  </conditionalFormatting>
  <conditionalFormatting sqref="J22">
    <cfRule type="cellIs" dxfId="56" priority="19" stopIfTrue="1" operator="equal">
      <formula>0</formula>
    </cfRule>
  </conditionalFormatting>
  <conditionalFormatting sqref="I23">
    <cfRule type="cellIs" dxfId="55" priority="18" stopIfTrue="1" operator="equal">
      <formula>0</formula>
    </cfRule>
  </conditionalFormatting>
  <conditionalFormatting sqref="J23">
    <cfRule type="cellIs" dxfId="54" priority="17" stopIfTrue="1" operator="equal">
      <formula>0</formula>
    </cfRule>
  </conditionalFormatting>
  <conditionalFormatting sqref="I25">
    <cfRule type="cellIs" dxfId="53" priority="16" stopIfTrue="1" operator="equal">
      <formula>0</formula>
    </cfRule>
  </conditionalFormatting>
  <conditionalFormatting sqref="J25">
    <cfRule type="cellIs" dxfId="52" priority="15" stopIfTrue="1" operator="equal">
      <formula>0</formula>
    </cfRule>
  </conditionalFormatting>
  <conditionalFormatting sqref="I26">
    <cfRule type="cellIs" dxfId="51" priority="14" stopIfTrue="1" operator="equal">
      <formula>0</formula>
    </cfRule>
  </conditionalFormatting>
  <conditionalFormatting sqref="J26">
    <cfRule type="cellIs" dxfId="50" priority="13" stopIfTrue="1" operator="equal">
      <formula>0</formula>
    </cfRule>
  </conditionalFormatting>
  <conditionalFormatting sqref="I28">
    <cfRule type="cellIs" dxfId="49" priority="12" stopIfTrue="1" operator="equal">
      <formula>0</formula>
    </cfRule>
  </conditionalFormatting>
  <conditionalFormatting sqref="J28">
    <cfRule type="cellIs" dxfId="48" priority="11" stopIfTrue="1" operator="equal">
      <formula>0</formula>
    </cfRule>
  </conditionalFormatting>
  <conditionalFormatting sqref="I29">
    <cfRule type="cellIs" dxfId="47" priority="10" stopIfTrue="1" operator="equal">
      <formula>0</formula>
    </cfRule>
  </conditionalFormatting>
  <conditionalFormatting sqref="J29">
    <cfRule type="cellIs" dxfId="46" priority="9" stopIfTrue="1" operator="equal">
      <formula>0</formula>
    </cfRule>
  </conditionalFormatting>
  <conditionalFormatting sqref="I31">
    <cfRule type="cellIs" dxfId="45" priority="8" stopIfTrue="1" operator="equal">
      <formula>0</formula>
    </cfRule>
  </conditionalFormatting>
  <conditionalFormatting sqref="J31">
    <cfRule type="cellIs" dxfId="44" priority="7" stopIfTrue="1" operator="equal">
      <formula>0</formula>
    </cfRule>
  </conditionalFormatting>
  <conditionalFormatting sqref="I32">
    <cfRule type="cellIs" dxfId="43" priority="6" stopIfTrue="1" operator="equal">
      <formula>0</formula>
    </cfRule>
  </conditionalFormatting>
  <conditionalFormatting sqref="J32">
    <cfRule type="cellIs" dxfId="42" priority="5" stopIfTrue="1" operator="equal">
      <formula>0</formula>
    </cfRule>
  </conditionalFormatting>
  <conditionalFormatting sqref="I34">
    <cfRule type="cellIs" dxfId="41" priority="4" stopIfTrue="1" operator="equal">
      <formula>0</formula>
    </cfRule>
  </conditionalFormatting>
  <conditionalFormatting sqref="J34">
    <cfRule type="cellIs" dxfId="40" priority="3" stopIfTrue="1" operator="equal">
      <formula>0</formula>
    </cfRule>
  </conditionalFormatting>
  <conditionalFormatting sqref="I35">
    <cfRule type="cellIs" dxfId="39" priority="2" stopIfTrue="1" operator="equal">
      <formula>0</formula>
    </cfRule>
  </conditionalFormatting>
  <conditionalFormatting sqref="J35">
    <cfRule type="cellIs" dxfId="38" priority="1" stopIfTrue="1" operator="equal">
      <formula>0</formula>
    </cfRule>
  </conditionalFormatting>
  <conditionalFormatting sqref="G5:L5">
    <cfRule type="expression" dxfId="37" priority="36" stopIfTrue="1">
      <formula>$AF$151&lt;&gt;1</formula>
    </cfRule>
  </conditionalFormatting>
  <conditionalFormatting sqref="C95">
    <cfRule type="colorScale" priority="37">
      <colorScale>
        <cfvo type="num" val="0"/>
        <cfvo type="formula" val="$C$97*$AR$149"/>
        <cfvo type="formula" val="$C$97"/>
        <color rgb="FF63BE7B"/>
        <color rgb="FFFFEB84"/>
        <color rgb="FFF8696B"/>
      </colorScale>
    </cfRule>
  </conditionalFormatting>
  <conditionalFormatting sqref="D95">
    <cfRule type="colorScale" priority="38">
      <colorScale>
        <cfvo type="num" val="0"/>
        <cfvo type="formula" val="$D$97*$AR$149"/>
        <cfvo type="formula" val="$D$97"/>
        <color rgb="FF63BE7B"/>
        <color rgb="FFFFEB84"/>
        <color rgb="FFF8696B"/>
      </colorScale>
    </cfRule>
  </conditionalFormatting>
  <conditionalFormatting sqref="E95">
    <cfRule type="colorScale" priority="39">
      <colorScale>
        <cfvo type="num" val="0"/>
        <cfvo type="formula" val="$E$97*$AR$149"/>
        <cfvo type="formula" val="$E$97"/>
        <color rgb="FF63BE7B"/>
        <color rgb="FFFFEB84"/>
        <color rgb="FFF8696B"/>
      </colorScale>
    </cfRule>
  </conditionalFormatting>
  <conditionalFormatting sqref="F95">
    <cfRule type="colorScale" priority="40">
      <colorScale>
        <cfvo type="num" val="0"/>
        <cfvo type="formula" val="$F$97*$AR$149"/>
        <cfvo type="formula" val="$F$97"/>
        <color rgb="FF63BE7B"/>
        <color rgb="FFFFEB84"/>
        <color rgb="FFF8696B"/>
      </colorScale>
    </cfRule>
  </conditionalFormatting>
  <conditionalFormatting sqref="G95">
    <cfRule type="colorScale" priority="41">
      <colorScale>
        <cfvo type="num" val="0"/>
        <cfvo type="formula" val="$G$97*$AR$149"/>
        <cfvo type="formula" val="$G$97"/>
        <color rgb="FF63BE7B"/>
        <color rgb="FFFFEB84"/>
        <color rgb="FFF8696B"/>
      </colorScale>
    </cfRule>
  </conditionalFormatting>
  <conditionalFormatting sqref="F21:F69">
    <cfRule type="expression" dxfId="36" priority="42" stopIfTrue="1">
      <formula>AND(OR($F21=$AG$146,$F21=$AG$148),OR($G21=$AD$154,$G21=$AD$155))</formula>
    </cfRule>
    <cfRule type="expression" dxfId="35" priority="43" stopIfTrue="1">
      <formula>AND(OR($F21=$AG$146,$F21=$AG$147,$F21=$AG$148,$F21=$AG$149),$G21=$AD$155)</formula>
    </cfRule>
    <cfRule type="expression" dxfId="34" priority="44" stopIfTrue="1">
      <formula>AND($AF$151=2,$F21=$AG$150,$G21=$AD$153)</formula>
    </cfRule>
  </conditionalFormatting>
  <dataValidations disablePrompts="1" count="7">
    <dataValidation type="list" allowBlank="1" showInputMessage="1" showErrorMessage="1" sqref="C98:Y98">
      <formula1>$AL$146:$AL$148</formula1>
    </dataValidation>
    <dataValidation type="list" allowBlank="1" showInputMessage="1" showErrorMessage="1" sqref="B86:C90">
      <formula1>$AE$146:$AE$154</formula1>
    </dataValidation>
    <dataValidation type="decimal" operator="greaterThan" allowBlank="1" showInputMessage="1" showErrorMessage="1" errorTitle="Invalid NCV" error="For water-based fuels where NCV could be &lt;=0, please enter 0.001 to avoid division by 0. Based on the moisture content, FMO calculates and uses corrected NCV for water-based fuels." sqref="M21:M69">
      <formula1>0</formula1>
    </dataValidation>
    <dataValidation type="list" allowBlank="1" showInputMessage="1" showErrorMessage="1" sqref="D13">
      <formula1>$AK$146:$AK$148</formula1>
    </dataValidation>
    <dataValidation type="list" allowBlank="1" showInputMessage="1" showErrorMessage="1" sqref="H74">
      <formula1>$AM$146:$AM$147</formula1>
    </dataValidation>
    <dataValidation type="list" allowBlank="1" showInputMessage="1" showErrorMessage="1" sqref="F21:F69">
      <formula1>$AG$146:$AG$150</formula1>
    </dataValidation>
    <dataValidation type="list" allowBlank="1" showInputMessage="1" showErrorMessage="1" sqref="G21:G69">
      <formula1>$AD$146:$AD$157</formula1>
    </dataValidation>
  </dataValidations>
  <hyperlinks>
    <hyperlink ref="G4" location="Help!KilnSystem" display="Kiln system"/>
    <hyperlink ref="F18:F19" location="Help!D201" display="Firing"/>
    <hyperlink ref="G18" location="Help!FuelCategory" display="Category"/>
    <hyperlink ref="F18" location="Help!FiringLocation" display="Firing"/>
    <hyperlink ref="F19" location="Help!FiringLocation" display="location"/>
    <hyperlink ref="B74" location="Guidelines!StandardFuel" display="std. fuel"/>
    <hyperlink ref="A97:B98" location="Guidelines!GuideValue_PQ" display="HTEC guide value"/>
    <hyperlink ref="Q77" location="Help!TEE" display="TEE, %"/>
    <hyperlink ref="Q78" location="Help!TSR" display="TSR, %"/>
    <hyperlink ref="F75" location="HotMealExtraction" display="Hot meal extraction rate, %"/>
    <hyperlink ref="B77" location="ClRemoval" display="from BP+HME"/>
    <hyperlink ref="F76" location="KilnGasBypass" display="Kiln gas bypass, %"/>
    <hyperlink ref="A14" location="CalenderDays" display="CalenderDays"/>
    <hyperlink ref="Q74" location="SACTE" display="SACTE"/>
    <hyperlink ref="Q76" location="Help!ACTE" display="ACTE"/>
    <hyperlink ref="G5" location="Help!CalcineType" display="Calciner type"/>
    <hyperlink ref="A92:B93" location="Help!ProcessQuality_Constraints" display="Process and quality constraints"/>
    <hyperlink ref="B78" location="Help!False_air_impact" display="false air"/>
    <hyperlink ref="A84:A85" location="Help!False_air_impact" display="Impact from false air"/>
    <hyperlink ref="F78:G78" location="Help!Oxygen_correction" display="Oxygen correction"/>
    <hyperlink ref="Q80" location="Help!SPC" display="support process costs"/>
    <hyperlink ref="Q81" location="Help!Operational_GAV" display="Help!Operational_GAV"/>
    <hyperlink ref="Q83" location="Help!Operational_GAV" display="Help!Operational_GAV"/>
  </hyperlinks>
  <printOptions horizontalCentered="1" verticalCentered="1"/>
  <pageMargins left="0" right="0" top="0" bottom="0" header="0" footer="0"/>
  <pageSetup paperSize="9" scale="68" orientation="landscape"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outlinePr summaryBelow="0" summaryRight="0"/>
    <pageSetUpPr fitToPage="1"/>
  </sheetPr>
  <dimension ref="A1:BV277"/>
  <sheetViews>
    <sheetView showGridLines="0" zoomScale="80" zoomScaleNormal="80" zoomScaleSheetLayoutView="50" workbookViewId="0">
      <selection sqref="A1:C1"/>
    </sheetView>
  </sheetViews>
  <sheetFormatPr defaultColWidth="10.7109375" defaultRowHeight="14.25" customHeight="1" outlineLevelRow="1" outlineLevelCol="1"/>
  <cols>
    <col min="1" max="16" width="10.7109375" style="124" customWidth="1"/>
    <col min="17" max="17" width="10.7109375" style="124" customWidth="1" collapsed="1"/>
    <col min="18" max="22" width="10.7109375" style="124" hidden="1" customWidth="1" outlineLevel="1"/>
    <col min="23" max="25" width="10.7109375" style="124" customWidth="1"/>
    <col min="26" max="28" width="10.7109375" style="124" hidden="1" customWidth="1"/>
    <col min="29" max="29" width="10.7109375" style="124" customWidth="1"/>
    <col min="30" max="30" width="11.7109375" style="124" customWidth="1"/>
    <col min="31" max="70" width="10.7109375" style="124" customWidth="1"/>
    <col min="71" max="71" width="10.7109375" style="125" customWidth="1"/>
    <col min="72" max="16384" width="10.7109375" style="124"/>
  </cols>
  <sheetData>
    <row r="1" spans="1:54" ht="26.25">
      <c r="A1" s="806" t="s">
        <v>354</v>
      </c>
      <c r="B1" s="806"/>
      <c r="C1" s="806"/>
      <c r="D1" s="560"/>
      <c r="E1" s="560"/>
      <c r="G1" s="123"/>
      <c r="AS1" s="125"/>
      <c r="AT1" s="125"/>
      <c r="AU1" s="125"/>
    </row>
    <row r="2" spans="1:54" s="127" customFormat="1" ht="14.25" customHeight="1" outlineLevel="1">
      <c r="A2" s="23" t="str">
        <f ca="1">"File: "&amp;MID(CELL("filename"),SEARCH("[",CELL("filename"))+1, SEARCH("]",CELL("filename"))-SEARCH("[",CELL("filename"))-1)</f>
        <v>File: FMO Case Study Solution.xlsx</v>
      </c>
      <c r="D2" s="126"/>
      <c r="E2" s="126"/>
      <c r="F2" s="126"/>
      <c r="G2" s="128"/>
      <c r="O2" s="549"/>
      <c r="R2" s="129"/>
      <c r="S2" s="129"/>
      <c r="T2" s="129"/>
      <c r="U2" s="129"/>
      <c r="V2" s="129"/>
      <c r="W2" s="129"/>
      <c r="BA2" s="126"/>
    </row>
    <row r="3" spans="1:54" s="127" customFormat="1" ht="14.25" customHeight="1" outlineLevel="1">
      <c r="A3" s="312"/>
      <c r="B3" s="312"/>
      <c r="D3" s="247" t="s">
        <v>827</v>
      </c>
      <c r="E3" s="131" t="str">
        <f>Baseline!$D$3</f>
        <v>Baseline</v>
      </c>
      <c r="K3" s="247" t="str">
        <f>$D$3</f>
        <v>Simulation</v>
      </c>
      <c r="L3" s="131" t="str">
        <f>Baseline!$D$3</f>
        <v>Baseline</v>
      </c>
      <c r="Y3" s="328" t="str">
        <f>$D$3</f>
        <v>Simulation</v>
      </c>
      <c r="AC3" s="358"/>
      <c r="AD3" s="358"/>
      <c r="BA3" s="126"/>
    </row>
    <row r="4" spans="1:54" s="127" customFormat="1" ht="14.25" customHeight="1" outlineLevel="1">
      <c r="A4" s="314" t="s">
        <v>94</v>
      </c>
      <c r="B4" s="315"/>
      <c r="C4" s="315"/>
      <c r="D4" s="869" t="str">
        <f>Baseline!D4</f>
        <v>GEOCEM</v>
      </c>
      <c r="E4" s="870"/>
      <c r="G4" s="316" t="s">
        <v>10</v>
      </c>
      <c r="H4" s="315"/>
      <c r="I4" s="315"/>
      <c r="J4" s="363"/>
      <c r="K4" s="871" t="str">
        <f>Baseline!K4</f>
        <v>Calciner</v>
      </c>
      <c r="L4" s="872"/>
      <c r="N4" s="865" t="s">
        <v>671</v>
      </c>
      <c r="O4" s="866"/>
      <c r="P4" s="342" t="s">
        <v>670</v>
      </c>
      <c r="Q4" s="542"/>
      <c r="R4" s="542"/>
      <c r="S4" s="542"/>
      <c r="T4" s="542"/>
      <c r="U4" s="542"/>
      <c r="V4" s="542"/>
      <c r="W4" s="360"/>
      <c r="X4" s="336"/>
      <c r="Y4" s="332">
        <f>IF(K6=0,0,(Baseline!AR150/((K6*K7/100)-(AV128/D14/K9*100))-1)*100)</f>
        <v>0.27027196099895789</v>
      </c>
      <c r="AC4" s="358"/>
      <c r="AD4" s="358"/>
      <c r="BA4" s="126"/>
    </row>
    <row r="5" spans="1:54" s="127" customFormat="1" ht="14.25" customHeight="1" outlineLevel="1">
      <c r="A5" s="311" t="s">
        <v>675</v>
      </c>
      <c r="B5" s="312"/>
      <c r="C5" s="364"/>
      <c r="D5" s="869">
        <f>Baseline!D5</f>
        <v>1</v>
      </c>
      <c r="E5" s="870"/>
      <c r="G5" s="377" t="s">
        <v>720</v>
      </c>
      <c r="K5" s="871" t="str">
        <f>Baseline!K5</f>
        <v>ILC</v>
      </c>
      <c r="L5" s="872"/>
      <c r="N5" s="865"/>
      <c r="O5" s="866"/>
      <c r="P5" s="342" t="s">
        <v>672</v>
      </c>
      <c r="Q5" s="329"/>
      <c r="R5" s="329"/>
      <c r="S5" s="329"/>
      <c r="T5" s="329"/>
      <c r="U5" s="329"/>
      <c r="V5" s="329"/>
      <c r="W5" s="360"/>
      <c r="X5" s="336"/>
      <c r="Y5" s="332">
        <f>K7+Y4</f>
        <v>95.270271960998954</v>
      </c>
      <c r="AC5" s="358"/>
      <c r="AD5" s="358"/>
      <c r="BA5" s="126"/>
    </row>
    <row r="6" spans="1:54" s="127" customFormat="1" ht="14.25" customHeight="1" outlineLevel="1">
      <c r="A6" s="311" t="s">
        <v>95</v>
      </c>
      <c r="B6" s="312"/>
      <c r="C6" s="312"/>
      <c r="D6" s="869" t="str">
        <f>Baseline!D6</f>
        <v>PPE</v>
      </c>
      <c r="E6" s="870"/>
      <c r="G6" s="311" t="s">
        <v>97</v>
      </c>
      <c r="H6" s="312"/>
      <c r="I6" s="312"/>
      <c r="J6" s="364"/>
      <c r="K6" s="135">
        <v>4500</v>
      </c>
      <c r="L6" s="139">
        <f>Baseline!K6</f>
        <v>4500</v>
      </c>
      <c r="N6" s="865"/>
      <c r="O6" s="866"/>
      <c r="P6" s="342" t="str">
        <f>"Impact on clinker production from TF+AF, t/"&amp;D13</f>
        <v>Impact on clinker production from TF+AF, t/year</v>
      </c>
      <c r="Q6" s="542"/>
      <c r="R6" s="542"/>
      <c r="S6" s="542"/>
      <c r="T6" s="542"/>
      <c r="U6" s="542"/>
      <c r="V6" s="542"/>
      <c r="W6" s="360"/>
      <c r="X6" s="336"/>
      <c r="Y6" s="346">
        <f>IF(Y4/100*K9/100*D14*K6&gt;0,0,Y4/100*K9/100*D14*K6)</f>
        <v>0</v>
      </c>
      <c r="AC6" s="358"/>
      <c r="AD6" s="359"/>
      <c r="AZ6" s="126"/>
      <c r="BA6" s="126"/>
    </row>
    <row r="7" spans="1:54" s="127" customFormat="1" ht="14.25" customHeight="1" outlineLevel="1">
      <c r="A7" s="311" t="s">
        <v>96</v>
      </c>
      <c r="B7" s="312"/>
      <c r="C7" s="312"/>
      <c r="D7" s="869" t="str">
        <f>Baseline!D7</f>
        <v>Process Engineer</v>
      </c>
      <c r="E7" s="870"/>
      <c r="G7" s="311" t="s">
        <v>586</v>
      </c>
      <c r="H7" s="312"/>
      <c r="I7" s="312"/>
      <c r="J7" s="364"/>
      <c r="K7" s="136">
        <v>95</v>
      </c>
      <c r="L7" s="248">
        <f>Baseline!K7</f>
        <v>95</v>
      </c>
      <c r="N7" s="333" t="s">
        <v>673</v>
      </c>
      <c r="O7" s="631"/>
      <c r="P7" s="342"/>
      <c r="Q7" s="542"/>
      <c r="R7" s="542"/>
      <c r="S7" s="542"/>
      <c r="T7" s="542"/>
      <c r="U7" s="542"/>
      <c r="V7" s="542"/>
      <c r="W7" s="360"/>
      <c r="X7" s="336"/>
      <c r="Y7" s="331">
        <f>K9</f>
        <v>89.5</v>
      </c>
      <c r="AC7" s="358"/>
      <c r="AD7" s="359"/>
      <c r="AZ7" s="126"/>
      <c r="BA7" s="126"/>
    </row>
    <row r="8" spans="1:54" s="127" customFormat="1" ht="14.25" customHeight="1" outlineLevel="1">
      <c r="A8" s="311" t="s">
        <v>69</v>
      </c>
      <c r="B8" s="312"/>
      <c r="C8" s="312"/>
      <c r="D8" s="867">
        <f>IF(OR(Baseline!D8="",0),"",Baseline!D8)</f>
        <v>42332</v>
      </c>
      <c r="E8" s="868"/>
      <c r="G8" s="311" t="s">
        <v>98</v>
      </c>
      <c r="H8" s="312"/>
      <c r="I8" s="312"/>
      <c r="J8" s="364"/>
      <c r="K8" s="137">
        <f>K6*K7%</f>
        <v>4275</v>
      </c>
      <c r="L8" s="139">
        <f>L6*L7%</f>
        <v>4275</v>
      </c>
      <c r="N8" s="865" t="s">
        <v>674</v>
      </c>
      <c r="O8" s="866"/>
      <c r="P8" s="342" t="str">
        <f>"Net impact on clinker production from TF+AF, t/"&amp;D13</f>
        <v>Net impact on clinker production from TF+AF, t/year</v>
      </c>
      <c r="Q8" s="542"/>
      <c r="R8" s="542"/>
      <c r="S8" s="542"/>
      <c r="T8" s="542"/>
      <c r="U8" s="542"/>
      <c r="V8" s="542"/>
      <c r="W8" s="360"/>
      <c r="X8" s="336"/>
      <c r="Y8" s="346">
        <f>IF(Y6+(Y7-K9)/100*Y5/100*D14*K6&gt;0,0,Y6+(Y7-K9)/100*Y5/100*D14*K6)</f>
        <v>0</v>
      </c>
      <c r="AC8" s="358"/>
      <c r="AD8" s="359"/>
      <c r="AZ8" s="126"/>
      <c r="BA8" s="126"/>
    </row>
    <row r="9" spans="1:54" s="127" customFormat="1" ht="14.25" customHeight="1" outlineLevel="1">
      <c r="A9" s="311" t="s">
        <v>70</v>
      </c>
      <c r="B9" s="312"/>
      <c r="C9" s="312"/>
      <c r="D9" s="869">
        <f>Baseline!D9</f>
        <v>0</v>
      </c>
      <c r="E9" s="870"/>
      <c r="G9" s="311" t="s">
        <v>587</v>
      </c>
      <c r="H9" s="312"/>
      <c r="I9" s="312"/>
      <c r="J9" s="364"/>
      <c r="K9" s="136">
        <v>89.5</v>
      </c>
      <c r="L9" s="248">
        <f>Baseline!K9</f>
        <v>89.5</v>
      </c>
      <c r="N9" s="819" t="s">
        <v>655</v>
      </c>
      <c r="O9" s="820"/>
      <c r="P9" s="335" t="s">
        <v>613</v>
      </c>
      <c r="Q9" s="335"/>
      <c r="R9" s="335"/>
      <c r="S9" s="335"/>
      <c r="T9" s="335"/>
      <c r="U9" s="335"/>
      <c r="V9" s="335"/>
      <c r="W9" s="361"/>
      <c r="X9" s="337"/>
      <c r="Y9" s="331"/>
      <c r="AC9" s="358"/>
      <c r="AD9" s="358"/>
      <c r="BA9" s="126"/>
      <c r="BB9" s="126"/>
    </row>
    <row r="10" spans="1:54" s="127" customFormat="1" ht="14.25" customHeight="1" outlineLevel="1">
      <c r="A10" s="311" t="str">
        <f>D3&amp;" reference"</f>
        <v>Simulation reference</v>
      </c>
      <c r="B10" s="312"/>
      <c r="C10" s="312"/>
      <c r="D10" s="777" t="s">
        <v>865</v>
      </c>
      <c r="E10" s="778"/>
      <c r="G10" s="311" t="s">
        <v>100</v>
      </c>
      <c r="H10" s="312"/>
      <c r="I10" s="312"/>
      <c r="J10" s="364"/>
      <c r="K10" s="249">
        <f>STEC</f>
        <v>3445.5718981446289</v>
      </c>
      <c r="L10" s="249">
        <f>Baseline!K10</f>
        <v>3300</v>
      </c>
      <c r="N10" s="821"/>
      <c r="O10" s="822"/>
      <c r="P10" s="335" t="s">
        <v>546</v>
      </c>
      <c r="Q10" s="294"/>
      <c r="R10" s="294"/>
      <c r="S10" s="294"/>
      <c r="T10" s="294"/>
      <c r="U10" s="294"/>
      <c r="V10" s="294"/>
      <c r="W10" s="361"/>
      <c r="X10" s="337"/>
      <c r="Y10" s="331"/>
      <c r="AC10" s="358"/>
      <c r="AD10" s="358"/>
    </row>
    <row r="11" spans="1:54" s="127" customFormat="1" ht="14.25" customHeight="1" outlineLevel="1">
      <c r="A11" s="311" t="str">
        <f>Baseline!A11</f>
        <v>Local currency (e.g. INR)</v>
      </c>
      <c r="B11" s="312"/>
      <c r="C11" s="312"/>
      <c r="D11" s="871" t="str">
        <f>Baseline!LocCur</f>
        <v>USD</v>
      </c>
      <c r="E11" s="872"/>
      <c r="G11" s="311" t="str">
        <f>"Clinker production volume, t/"&amp;$D$13</f>
        <v>Clinker production volume, t/year</v>
      </c>
      <c r="H11" s="312"/>
      <c r="I11" s="312"/>
      <c r="J11" s="364"/>
      <c r="K11" s="139">
        <f>K6*K7%*D14*K9%</f>
        <v>1396535.625</v>
      </c>
      <c r="L11" s="139">
        <f>L6*L7%*E14*L9%</f>
        <v>1396535.625</v>
      </c>
      <c r="N11" s="821"/>
      <c r="O11" s="822"/>
      <c r="P11" s="335" t="s">
        <v>546</v>
      </c>
      <c r="Q11" s="294"/>
      <c r="R11" s="294"/>
      <c r="S11" s="294"/>
      <c r="T11" s="294"/>
      <c r="U11" s="294"/>
      <c r="V11" s="294"/>
      <c r="W11" s="361"/>
      <c r="X11" s="337"/>
      <c r="Y11" s="331"/>
      <c r="AC11" s="358"/>
      <c r="AD11" s="358"/>
    </row>
    <row r="12" spans="1:54" s="127" customFormat="1" ht="14.25" customHeight="1" outlineLevel="1">
      <c r="A12" s="311" t="str">
        <f>Baseline!A12</f>
        <v>International currency (e.g. USD)</v>
      </c>
      <c r="B12" s="312"/>
      <c r="C12" s="312"/>
      <c r="D12" s="871" t="str">
        <f>Baseline!IntCur</f>
        <v>CHF</v>
      </c>
      <c r="E12" s="872"/>
      <c r="G12" s="140" t="s">
        <v>102</v>
      </c>
      <c r="H12" s="123"/>
      <c r="I12" s="123"/>
      <c r="J12" s="364"/>
      <c r="K12" s="250">
        <f>IF(CLI=0,0,Baseline!K12-2.5*SUMPRODUCT(Baseline!$E$21:$E$69,Baseline!$Q$21:$Q$69)/Baseline!CLI+2.5*SUMPRODUCT($E$21:$E$69,$Q$21:$Q$69)/'Solids+Liquids (CKD Extraction)'!CLI)</f>
        <v>0.77362411209301563</v>
      </c>
      <c r="L12" s="250">
        <f>Baseline!K12</f>
        <v>0.81</v>
      </c>
      <c r="N12" s="821"/>
      <c r="O12" s="822"/>
      <c r="P12" s="335" t="s">
        <v>546</v>
      </c>
      <c r="Q12" s="294"/>
      <c r="R12" s="294"/>
      <c r="S12" s="294"/>
      <c r="T12" s="294"/>
      <c r="U12" s="294"/>
      <c r="V12" s="294"/>
      <c r="W12" s="361"/>
      <c r="X12" s="337"/>
      <c r="Y12" s="331"/>
      <c r="AD12" s="358"/>
    </row>
    <row r="13" spans="1:54" s="127" customFormat="1" ht="14.25" customHeight="1" outlineLevel="1">
      <c r="A13" s="311" t="s">
        <v>321</v>
      </c>
      <c r="B13" s="312"/>
      <c r="C13" s="312"/>
      <c r="D13" s="871" t="str">
        <f>Baseline!D13</f>
        <v>year</v>
      </c>
      <c r="E13" s="872"/>
      <c r="G13" s="140" t="s">
        <v>103</v>
      </c>
      <c r="H13" s="123"/>
      <c r="I13" s="123"/>
      <c r="J13" s="364"/>
      <c r="K13" s="250">
        <f>IF(CLI=0,0,Baseline!K13-SUMPRODUCT(Baseline!$E$21:$E$69,Baseline!$R$21:$R$69)/Baseline!CLI+SUMPRODUCT($E$21:$E$69,$R$21:$R$69)/'Solids+Liquids (CKD Extraction)'!CLI)</f>
        <v>0.68001850233529038</v>
      </c>
      <c r="L13" s="250">
        <f>Baseline!K13</f>
        <v>0.67</v>
      </c>
      <c r="N13" s="823"/>
      <c r="O13" s="824"/>
      <c r="P13" s="335" t="s">
        <v>546</v>
      </c>
      <c r="Q13" s="294"/>
      <c r="R13" s="294"/>
      <c r="S13" s="294"/>
      <c r="T13" s="294"/>
      <c r="U13" s="294"/>
      <c r="V13" s="294"/>
      <c r="W13" s="361"/>
      <c r="X13" s="337"/>
      <c r="Y13" s="331"/>
      <c r="AC13" s="358"/>
      <c r="AD13" s="358"/>
    </row>
    <row r="14" spans="1:54" s="127" customFormat="1" ht="14.25" customHeight="1" outlineLevel="1">
      <c r="A14" s="377" t="str">
        <f>IF(D13=AK148,"Calender days in an ","Calender days in a ")&amp;D13</f>
        <v>Calender days in an year</v>
      </c>
      <c r="B14" s="312"/>
      <c r="C14" s="312"/>
      <c r="D14" s="625">
        <v>365</v>
      </c>
      <c r="E14" s="249">
        <f>Baseline!D14</f>
        <v>365</v>
      </c>
      <c r="G14" s="140" t="s">
        <v>104</v>
      </c>
      <c r="H14" s="123"/>
      <c r="I14" s="123"/>
      <c r="J14" s="364"/>
      <c r="K14" s="250">
        <f>IF(CLI=0,0,Baseline!K14-SUMPRODUCT(Baseline!$E$21:$E$69,Baseline!$S$21:$S$69)/Baseline!CLI+SUMPRODUCT($E$21:$E$69,$S$21:$S$69)/'Solids+Liquids (CKD Extraction)'!CLI)</f>
        <v>0.25350280237438072</v>
      </c>
      <c r="L14" s="250">
        <f>Baseline!K14</f>
        <v>0.24</v>
      </c>
      <c r="N14" s="333" t="str">
        <f>"Net impact on clinker production from TF+AF with additional measures, t/"&amp;D13</f>
        <v>Net impact on clinker production from TF+AF with additional measures, t/year</v>
      </c>
      <c r="O14" s="342"/>
      <c r="P14" s="215"/>
      <c r="Q14" s="215"/>
      <c r="R14" s="215"/>
      <c r="S14" s="215"/>
      <c r="T14" s="215"/>
      <c r="U14" s="215"/>
      <c r="V14" s="215"/>
      <c r="W14" s="360"/>
      <c r="X14" s="336"/>
      <c r="Y14" s="346">
        <f>IF(Y8+SUM(Y9:Y13)/100*Y7/100*D14*K6&gt;=0,0,Y8+SUM(Y9:Y13)/100*Y7/100*D14*K6)</f>
        <v>0</v>
      </c>
      <c r="AC14" s="358"/>
      <c r="AD14" s="358"/>
    </row>
    <row r="15" spans="1:54" s="127" customFormat="1" ht="14.25" customHeight="1" outlineLevel="1">
      <c r="A15" s="621" t="str">
        <f>"Price of CO2 emission rights, "&amp;LocCur&amp;"/t CO2"</f>
        <v>Price of CO2 emission rights, USD/t CO2</v>
      </c>
      <c r="B15" s="313"/>
      <c r="C15" s="313"/>
      <c r="D15" s="624">
        <v>0</v>
      </c>
      <c r="E15" s="251">
        <f>Baseline!D15</f>
        <v>0</v>
      </c>
      <c r="G15" s="630" t="s">
        <v>99</v>
      </c>
      <c r="H15" s="143"/>
      <c r="I15" s="143"/>
      <c r="J15" s="622"/>
      <c r="K15" s="871">
        <f>Baseline!K15</f>
        <v>50</v>
      </c>
      <c r="L15" s="872"/>
      <c r="AC15" s="358"/>
      <c r="AD15" s="358"/>
    </row>
    <row r="16" spans="1:54" s="127" customFormat="1" ht="14.25" customHeight="1" outlineLevel="1">
      <c r="AC16" s="358"/>
      <c r="AD16" s="358"/>
    </row>
    <row r="17" spans="1:65" s="127" customFormat="1" ht="14.25" customHeight="1">
      <c r="A17" s="790" t="s">
        <v>129</v>
      </c>
      <c r="B17" s="791"/>
      <c r="C17" s="791"/>
      <c r="D17" s="791"/>
      <c r="E17" s="791"/>
      <c r="F17" s="791"/>
      <c r="G17" s="792"/>
      <c r="H17" s="623" t="s">
        <v>486</v>
      </c>
      <c r="I17" s="793" t="s">
        <v>854</v>
      </c>
      <c r="J17" s="794"/>
      <c r="K17" s="794"/>
      <c r="L17" s="795"/>
      <c r="M17" s="787" t="s">
        <v>476</v>
      </c>
      <c r="N17" s="788"/>
      <c r="O17" s="788"/>
      <c r="P17" s="788"/>
      <c r="Q17" s="788"/>
      <c r="R17" s="788"/>
      <c r="S17" s="788"/>
      <c r="T17" s="789"/>
      <c r="U17" s="623" t="s">
        <v>315</v>
      </c>
      <c r="V17" s="623" t="s">
        <v>317</v>
      </c>
      <c r="W17" s="805" t="s">
        <v>489</v>
      </c>
      <c r="X17" s="805"/>
      <c r="Y17" s="805"/>
      <c r="Z17" s="623" t="s">
        <v>322</v>
      </c>
      <c r="AA17" s="623" t="s">
        <v>668</v>
      </c>
      <c r="AB17" s="623" t="s">
        <v>669</v>
      </c>
      <c r="AC17" s="358"/>
      <c r="AD17" s="358"/>
      <c r="AE17" s="147"/>
      <c r="AF17" s="147"/>
      <c r="AG17" s="147"/>
      <c r="AH17" s="632"/>
      <c r="AI17" s="149"/>
      <c r="AJ17" s="149"/>
      <c r="AK17" s="149"/>
      <c r="AL17" s="149"/>
      <c r="AM17" s="149"/>
      <c r="AN17" s="149"/>
      <c r="AO17" s="149"/>
      <c r="AP17" s="149"/>
      <c r="AS17" s="149"/>
      <c r="AT17" s="149"/>
      <c r="AU17" s="149"/>
      <c r="AV17" s="149"/>
      <c r="BE17" s="632"/>
      <c r="BF17" s="632"/>
      <c r="BG17" s="632"/>
      <c r="BH17" s="632"/>
      <c r="BI17" s="149"/>
      <c r="BJ17" s="149"/>
      <c r="BK17" s="149"/>
      <c r="BL17" s="149"/>
      <c r="BM17" s="149"/>
    </row>
    <row r="18" spans="1:65" s="127" customFormat="1" ht="14.25" customHeight="1">
      <c r="A18" s="796" t="s">
        <v>5</v>
      </c>
      <c r="B18" s="797"/>
      <c r="C18" s="798"/>
      <c r="D18" s="790" t="s">
        <v>304</v>
      </c>
      <c r="E18" s="792"/>
      <c r="F18" s="296" t="s">
        <v>300</v>
      </c>
      <c r="G18" s="297" t="s">
        <v>502</v>
      </c>
      <c r="H18" s="629" t="s">
        <v>487</v>
      </c>
      <c r="I18" s="629" t="s">
        <v>852</v>
      </c>
      <c r="J18" s="629" t="s">
        <v>488</v>
      </c>
      <c r="K18" s="799" t="s">
        <v>60</v>
      </c>
      <c r="L18" s="799"/>
      <c r="M18" s="626" t="s">
        <v>12</v>
      </c>
      <c r="N18" s="629" t="s">
        <v>6</v>
      </c>
      <c r="O18" s="629" t="s">
        <v>8</v>
      </c>
      <c r="P18" s="629" t="s">
        <v>7</v>
      </c>
      <c r="Q18" s="629" t="s">
        <v>1</v>
      </c>
      <c r="R18" s="629" t="s">
        <v>20</v>
      </c>
      <c r="S18" s="629" t="s">
        <v>21</v>
      </c>
      <c r="T18" s="629" t="str">
        <f>Baseline!T18</f>
        <v>user defined</v>
      </c>
      <c r="U18" s="629" t="s">
        <v>313</v>
      </c>
      <c r="V18" s="629" t="s">
        <v>316</v>
      </c>
      <c r="W18" s="629"/>
      <c r="X18" s="629"/>
      <c r="Y18" s="629"/>
      <c r="Z18" s="629" t="s">
        <v>426</v>
      </c>
      <c r="AA18" s="629" t="s">
        <v>114</v>
      </c>
      <c r="AB18" s="629" t="s">
        <v>114</v>
      </c>
      <c r="AC18" s="358"/>
      <c r="AD18" s="358"/>
      <c r="AE18" s="147"/>
      <c r="AF18" s="147"/>
      <c r="AG18" s="147"/>
      <c r="AH18" s="632"/>
      <c r="AI18" s="632"/>
      <c r="AJ18" s="632"/>
      <c r="AK18" s="149"/>
      <c r="AL18" s="149"/>
      <c r="AM18" s="149"/>
      <c r="AN18" s="149"/>
      <c r="AO18" s="149"/>
      <c r="AP18" s="149"/>
      <c r="AS18" s="632"/>
      <c r="AT18" s="632"/>
      <c r="AU18" s="632"/>
      <c r="AV18" s="632"/>
      <c r="BE18" s="632"/>
      <c r="BF18" s="632"/>
      <c r="BG18" s="632"/>
      <c r="BH18" s="632"/>
      <c r="BI18" s="632"/>
      <c r="BJ18" s="632"/>
      <c r="BK18" s="632"/>
      <c r="BL18" s="632"/>
      <c r="BM18" s="632"/>
    </row>
    <row r="19" spans="1:65" s="127" customFormat="1" ht="14.25" customHeight="1">
      <c r="A19" s="800"/>
      <c r="B19" s="801"/>
      <c r="C19" s="802"/>
      <c r="D19" s="629" t="s">
        <v>302</v>
      </c>
      <c r="E19" s="629" t="s">
        <v>294</v>
      </c>
      <c r="F19" s="296" t="s">
        <v>301</v>
      </c>
      <c r="G19" s="151" t="s">
        <v>114</v>
      </c>
      <c r="H19" s="629" t="s">
        <v>303</v>
      </c>
      <c r="I19" s="629" t="s">
        <v>305</v>
      </c>
      <c r="J19" s="629" t="s">
        <v>853</v>
      </c>
      <c r="K19" s="629" t="s">
        <v>114</v>
      </c>
      <c r="L19" s="629"/>
      <c r="M19" s="629"/>
      <c r="N19" s="629"/>
      <c r="O19" s="629"/>
      <c r="P19" s="629"/>
      <c r="Q19" s="629"/>
      <c r="R19" s="629"/>
      <c r="S19" s="629"/>
      <c r="T19" s="629"/>
      <c r="U19" s="629" t="s">
        <v>314</v>
      </c>
      <c r="V19" s="629"/>
      <c r="W19" s="629"/>
      <c r="X19" s="629"/>
      <c r="Y19" s="629"/>
      <c r="Z19" s="629" t="s">
        <v>548</v>
      </c>
      <c r="AA19" s="629" t="s">
        <v>114</v>
      </c>
      <c r="AB19" s="629" t="s">
        <v>114</v>
      </c>
      <c r="AE19" s="147"/>
      <c r="AF19" s="147"/>
      <c r="AG19" s="147"/>
      <c r="AH19" s="632"/>
      <c r="AI19" s="632"/>
      <c r="AJ19" s="632"/>
      <c r="AK19" s="149"/>
      <c r="AL19" s="149"/>
      <c r="AM19" s="149"/>
      <c r="AN19" s="149"/>
      <c r="AO19" s="149"/>
      <c r="AP19" s="149"/>
      <c r="AS19" s="632"/>
      <c r="AT19" s="632"/>
      <c r="AU19" s="632"/>
      <c r="AV19" s="632"/>
      <c r="BE19" s="632"/>
      <c r="BF19" s="632"/>
      <c r="BG19" s="632"/>
      <c r="BH19" s="632"/>
      <c r="BI19" s="632"/>
      <c r="BJ19" s="632"/>
      <c r="BK19" s="632"/>
      <c r="BL19" s="632"/>
      <c r="BM19" s="632"/>
    </row>
    <row r="20" spans="1:65" s="127" customFormat="1" ht="14.25" customHeight="1">
      <c r="A20" s="800"/>
      <c r="B20" s="801"/>
      <c r="C20" s="802"/>
      <c r="D20" s="152" t="str">
        <f>"t AF/"&amp;$D$13</f>
        <v>t AF/year</v>
      </c>
      <c r="E20" s="152" t="str">
        <f>"t AF/"&amp;$D$13</f>
        <v>t AF/year</v>
      </c>
      <c r="F20" s="153" t="s">
        <v>51</v>
      </c>
      <c r="G20" s="271" t="s">
        <v>51</v>
      </c>
      <c r="H20" s="152" t="s">
        <v>3</v>
      </c>
      <c r="I20" s="155" t="str">
        <f t="shared" ref="I20:K20" si="0" xml:space="preserve"> LocCur &amp; "/t AF"</f>
        <v>USD/t AF</v>
      </c>
      <c r="J20" s="155" t="str">
        <f t="shared" si="0"/>
        <v>USD/t AF</v>
      </c>
      <c r="K20" s="155" t="str">
        <f t="shared" si="0"/>
        <v>USD/t AF</v>
      </c>
      <c r="L20" s="155" t="str">
        <f xml:space="preserve"> LocCur &amp; "/GJ"</f>
        <v>USD/GJ</v>
      </c>
      <c r="M20" s="155" t="s">
        <v>820</v>
      </c>
      <c r="N20" s="155" t="s">
        <v>3</v>
      </c>
      <c r="O20" s="155" t="s">
        <v>3</v>
      </c>
      <c r="P20" s="155" t="s">
        <v>3</v>
      </c>
      <c r="Q20" s="155" t="s">
        <v>3</v>
      </c>
      <c r="R20" s="155" t="s">
        <v>3</v>
      </c>
      <c r="S20" s="155" t="s">
        <v>3</v>
      </c>
      <c r="T20" s="155" t="s">
        <v>3</v>
      </c>
      <c r="U20" s="155" t="s">
        <v>485</v>
      </c>
      <c r="V20" s="155" t="s">
        <v>64</v>
      </c>
      <c r="W20" s="155" t="str">
        <f xml:space="preserve"> LocCur &amp; "/" &amp; $D$13</f>
        <v>USD/year</v>
      </c>
      <c r="X20" s="155" t="str">
        <f xml:space="preserve"> LocCur &amp; "/GJ"</f>
        <v>USD/GJ</v>
      </c>
      <c r="Y20" s="155" t="str">
        <f xml:space="preserve"> LocCur &amp; "/t AF"</f>
        <v>USD/t AF</v>
      </c>
      <c r="Z20" s="152" t="s">
        <v>312</v>
      </c>
      <c r="AA20" s="152" t="str">
        <f xml:space="preserve"> LocCur &amp; "/t AF"</f>
        <v>USD/t AF</v>
      </c>
      <c r="AB20" s="152" t="str">
        <f xml:space="preserve"> LocCur &amp; "/t AF"</f>
        <v>USD/t AF</v>
      </c>
      <c r="AE20" s="147"/>
      <c r="AF20" s="147"/>
      <c r="AG20" s="147"/>
      <c r="AH20" s="632"/>
      <c r="AI20" s="156"/>
      <c r="AJ20" s="156"/>
      <c r="AK20" s="156"/>
      <c r="AL20" s="156"/>
      <c r="AM20" s="156"/>
      <c r="AN20" s="156"/>
      <c r="AO20" s="156"/>
      <c r="AP20" s="156"/>
      <c r="AS20" s="156"/>
      <c r="AT20" s="156"/>
      <c r="AU20" s="156"/>
      <c r="AV20" s="156"/>
      <c r="BE20" s="632"/>
      <c r="BF20" s="632"/>
      <c r="BG20" s="632"/>
      <c r="BH20" s="632"/>
      <c r="BI20" s="156"/>
      <c r="BJ20" s="156"/>
      <c r="BK20" s="156"/>
      <c r="BL20" s="156"/>
      <c r="BM20" s="156"/>
    </row>
    <row r="21" spans="1:65" s="127" customFormat="1" ht="14.25" customHeight="1">
      <c r="A21" s="157" t="s">
        <v>863</v>
      </c>
      <c r="B21" s="596"/>
      <c r="C21" s="158"/>
      <c r="D21" s="159">
        <v>1500</v>
      </c>
      <c r="E21" s="160">
        <v>1500</v>
      </c>
      <c r="F21" s="161" t="s">
        <v>105</v>
      </c>
      <c r="G21" s="161" t="s">
        <v>509</v>
      </c>
      <c r="H21" s="162">
        <f t="shared" ref="H21:H69" si="1">IF($AV$114=0,0,E21*M21/$AV$114*100)</f>
        <v>1.2531526493640583</v>
      </c>
      <c r="I21" s="163">
        <v>510</v>
      </c>
      <c r="J21" s="164">
        <v>20</v>
      </c>
      <c r="K21" s="165">
        <f>I21+J21</f>
        <v>530</v>
      </c>
      <c r="L21" s="165">
        <f t="shared" ref="L21:L69" si="2">IF(M21=0,0,K21/M21)</f>
        <v>13.184079601990049</v>
      </c>
      <c r="M21" s="278">
        <v>40.200000000000003</v>
      </c>
      <c r="N21" s="136"/>
      <c r="O21" s="136"/>
      <c r="P21" s="166"/>
      <c r="Q21" s="141">
        <v>1.4</v>
      </c>
      <c r="R21" s="141"/>
      <c r="S21" s="141"/>
      <c r="T21" s="141"/>
      <c r="U21" s="167"/>
      <c r="V21" s="167"/>
      <c r="W21" s="168">
        <f>IF(LEFT(G21,2)=$AN$147,IF(L21=0,0,($L$70-L21)*M21*E21+$D$15*($AV$146+$AV$147)/$AV$114*(E21*M21*V21/100)),0)</f>
        <v>0</v>
      </c>
      <c r="X21" s="169">
        <f t="shared" ref="X21:X69" si="3">IF(W21=0,0,W21/(M21*E21))</f>
        <v>0</v>
      </c>
      <c r="Y21" s="169">
        <f t="shared" ref="Y21:Y69" si="4">IF(W21=0,0,W21/E21)</f>
        <v>0</v>
      </c>
      <c r="Z21" s="227">
        <f t="shared" ref="Z21:Z69" si="5">IF(M21&lt;=0.1,-2.45*N21%,0)</f>
        <v>0</v>
      </c>
      <c r="AA21" s="227">
        <f t="shared" ref="AA21:AA69" si="6">IF(LEFT(G21,2)=$AN$147,-K21,0)</f>
        <v>0</v>
      </c>
      <c r="AB21" s="227">
        <f t="shared" ref="AB21:AB69" si="7">IF(LEFT(G21,2)=$AN$147,$L$70*M21,0)</f>
        <v>0</v>
      </c>
      <c r="AD21" s="182"/>
      <c r="AE21" s="147"/>
      <c r="AF21" s="149"/>
      <c r="AG21" s="570"/>
      <c r="AH21" s="156"/>
      <c r="AI21" s="156"/>
      <c r="AJ21" s="156"/>
      <c r="AK21" s="156"/>
      <c r="AL21" s="156"/>
      <c r="AM21" s="156"/>
      <c r="AN21" s="156"/>
      <c r="AO21" s="156"/>
      <c r="AP21" s="156"/>
      <c r="AS21" s="170"/>
      <c r="AT21" s="170"/>
      <c r="AU21" s="170"/>
      <c r="AV21" s="156"/>
      <c r="BE21" s="156"/>
      <c r="BF21" s="156"/>
      <c r="BG21" s="156"/>
      <c r="BH21" s="156"/>
      <c r="BI21" s="156"/>
      <c r="BJ21" s="156"/>
      <c r="BK21" s="156"/>
      <c r="BL21" s="156"/>
      <c r="BM21" s="156"/>
    </row>
    <row r="22" spans="1:65" s="127" customFormat="1" ht="14.25" customHeight="1">
      <c r="A22" s="157" t="s">
        <v>864</v>
      </c>
      <c r="B22" s="596"/>
      <c r="C22" s="158"/>
      <c r="D22" s="159">
        <v>200000</v>
      </c>
      <c r="E22" s="160">
        <v>63734.296938768268</v>
      </c>
      <c r="F22" s="161" t="s">
        <v>105</v>
      </c>
      <c r="G22" s="161" t="s">
        <v>507</v>
      </c>
      <c r="H22" s="162">
        <f t="shared" si="1"/>
        <v>33.775364479874163</v>
      </c>
      <c r="I22" s="163">
        <v>125</v>
      </c>
      <c r="J22" s="163">
        <v>13</v>
      </c>
      <c r="K22" s="165">
        <f t="shared" ref="K22:K69" si="8">I22+J22</f>
        <v>138</v>
      </c>
      <c r="L22" s="165">
        <f t="shared" si="2"/>
        <v>5.4117647058823533</v>
      </c>
      <c r="M22" s="278">
        <v>25.5</v>
      </c>
      <c r="N22" s="136">
        <v>1.2</v>
      </c>
      <c r="O22" s="136">
        <v>16</v>
      </c>
      <c r="P22" s="166">
        <v>0.02</v>
      </c>
      <c r="Q22" s="141">
        <v>0.9</v>
      </c>
      <c r="R22" s="141">
        <v>0.21</v>
      </c>
      <c r="S22" s="141">
        <v>0.12</v>
      </c>
      <c r="T22" s="141"/>
      <c r="U22" s="167"/>
      <c r="V22" s="167"/>
      <c r="W22" s="168">
        <f t="shared" ref="W22:W69" si="9">IF(LEFT(G22,2)=$AN$147,IF(L22=0,0,($L$70-L22)*M22*E22+$D$15*($AV$146+$AV$147)/$AV$114*(E22*M22*V22/100)),0)</f>
        <v>0</v>
      </c>
      <c r="X22" s="169">
        <f t="shared" si="3"/>
        <v>0</v>
      </c>
      <c r="Y22" s="169">
        <f t="shared" si="4"/>
        <v>0</v>
      </c>
      <c r="Z22" s="227">
        <f t="shared" si="5"/>
        <v>0</v>
      </c>
      <c r="AA22" s="227">
        <f t="shared" si="6"/>
        <v>0</v>
      </c>
      <c r="AB22" s="227">
        <f t="shared" si="7"/>
        <v>0</v>
      </c>
      <c r="AD22" s="182"/>
      <c r="AE22" s="147"/>
      <c r="AF22" s="149"/>
      <c r="AG22" s="570"/>
      <c r="AH22" s="156"/>
      <c r="AI22" s="156"/>
      <c r="AJ22" s="156"/>
      <c r="AK22" s="156"/>
      <c r="AL22" s="156"/>
      <c r="AM22" s="156"/>
      <c r="AN22" s="156"/>
      <c r="AO22" s="156"/>
      <c r="AP22" s="156"/>
      <c r="AS22" s="170"/>
      <c r="AT22" s="170"/>
      <c r="AU22" s="170"/>
      <c r="AV22" s="156"/>
      <c r="BE22" s="156"/>
      <c r="BF22" s="156"/>
      <c r="BG22" s="156"/>
      <c r="BH22" s="156"/>
      <c r="BI22" s="156"/>
      <c r="BJ22" s="156"/>
      <c r="BK22" s="156"/>
      <c r="BL22" s="156"/>
      <c r="BM22" s="156"/>
    </row>
    <row r="23" spans="1:65" s="127" customFormat="1" ht="14.25" customHeight="1">
      <c r="A23" s="157" t="s">
        <v>864</v>
      </c>
      <c r="B23" s="596"/>
      <c r="C23" s="158"/>
      <c r="D23" s="159">
        <v>200000</v>
      </c>
      <c r="E23" s="160">
        <v>26424.593103318552</v>
      </c>
      <c r="F23" s="161" t="s">
        <v>308</v>
      </c>
      <c r="G23" s="161" t="s">
        <v>507</v>
      </c>
      <c r="H23" s="162">
        <f t="shared" si="1"/>
        <v>14.003453496229968</v>
      </c>
      <c r="I23" s="163">
        <v>125</v>
      </c>
      <c r="J23" s="163">
        <v>13</v>
      </c>
      <c r="K23" s="165">
        <f t="shared" si="8"/>
        <v>138</v>
      </c>
      <c r="L23" s="165">
        <f t="shared" si="2"/>
        <v>5.4117647058823533</v>
      </c>
      <c r="M23" s="278">
        <v>25.5</v>
      </c>
      <c r="N23" s="136">
        <v>1.2</v>
      </c>
      <c r="O23" s="136">
        <v>16</v>
      </c>
      <c r="P23" s="166">
        <v>0.02</v>
      </c>
      <c r="Q23" s="141">
        <v>0.9</v>
      </c>
      <c r="R23" s="141">
        <v>0.21</v>
      </c>
      <c r="S23" s="141">
        <v>0.12</v>
      </c>
      <c r="T23" s="141"/>
      <c r="U23" s="167"/>
      <c r="V23" s="167"/>
      <c r="W23" s="168">
        <f t="shared" si="9"/>
        <v>0</v>
      </c>
      <c r="X23" s="169">
        <f t="shared" si="3"/>
        <v>0</v>
      </c>
      <c r="Y23" s="169">
        <f t="shared" si="4"/>
        <v>0</v>
      </c>
      <c r="Z23" s="227">
        <f t="shared" si="5"/>
        <v>0</v>
      </c>
      <c r="AA23" s="227">
        <f t="shared" si="6"/>
        <v>0</v>
      </c>
      <c r="AB23" s="227">
        <f t="shared" si="7"/>
        <v>0</v>
      </c>
      <c r="AD23" s="595"/>
      <c r="AE23" s="147"/>
      <c r="AF23" s="149"/>
      <c r="AG23" s="570"/>
      <c r="AH23" s="156"/>
      <c r="AI23" s="156"/>
      <c r="AJ23" s="156"/>
      <c r="AK23" s="156"/>
      <c r="AL23" s="156"/>
      <c r="AM23" s="156"/>
      <c r="AN23" s="156"/>
      <c r="AO23" s="156"/>
      <c r="AP23" s="156"/>
      <c r="AS23" s="170"/>
      <c r="AT23" s="170"/>
      <c r="AU23" s="170"/>
      <c r="AV23" s="156"/>
      <c r="BE23" s="156"/>
      <c r="BF23" s="156"/>
      <c r="BG23" s="156"/>
      <c r="BH23" s="156"/>
      <c r="BI23" s="156"/>
      <c r="BJ23" s="156"/>
      <c r="BK23" s="156"/>
      <c r="BL23" s="156"/>
      <c r="BM23" s="156"/>
    </row>
    <row r="24" spans="1:65" s="127" customFormat="1" ht="14.25" customHeight="1">
      <c r="A24" s="157" t="s">
        <v>867</v>
      </c>
      <c r="B24" s="596"/>
      <c r="C24" s="158"/>
      <c r="D24" s="159">
        <v>10000</v>
      </c>
      <c r="E24" s="160">
        <v>10000</v>
      </c>
      <c r="F24" s="161" t="s">
        <v>308</v>
      </c>
      <c r="G24" s="161" t="s">
        <v>494</v>
      </c>
      <c r="H24" s="162">
        <f t="shared" si="1"/>
        <v>2.0781967651145239E-3</v>
      </c>
      <c r="I24" s="163">
        <v>-70</v>
      </c>
      <c r="J24" s="164">
        <v>3</v>
      </c>
      <c r="K24" s="165">
        <f t="shared" si="8"/>
        <v>-67</v>
      </c>
      <c r="L24" s="165">
        <f t="shared" si="2"/>
        <v>-6700</v>
      </c>
      <c r="M24" s="278">
        <v>0.01</v>
      </c>
      <c r="N24" s="136">
        <v>97</v>
      </c>
      <c r="O24" s="136">
        <v>1.5</v>
      </c>
      <c r="P24" s="166">
        <v>0.1</v>
      </c>
      <c r="Q24" s="141">
        <v>0.05</v>
      </c>
      <c r="R24" s="141"/>
      <c r="S24" s="141"/>
      <c r="T24" s="141"/>
      <c r="U24" s="167"/>
      <c r="V24" s="167"/>
      <c r="W24" s="168">
        <f t="shared" si="9"/>
        <v>670561.04085066426</v>
      </c>
      <c r="X24" s="169">
        <f t="shared" si="3"/>
        <v>6705.6104085066427</v>
      </c>
      <c r="Y24" s="169">
        <f t="shared" si="4"/>
        <v>67.056104085066423</v>
      </c>
      <c r="Z24" s="227">
        <f t="shared" si="5"/>
        <v>-2.3765000000000001</v>
      </c>
      <c r="AA24" s="227">
        <f t="shared" si="6"/>
        <v>67</v>
      </c>
      <c r="AB24" s="227">
        <f t="shared" si="7"/>
        <v>5.6104085066414025E-2</v>
      </c>
      <c r="AD24" s="183"/>
      <c r="AE24" s="147"/>
      <c r="AF24" s="149"/>
      <c r="AG24" s="570"/>
      <c r="AH24" s="156"/>
      <c r="AI24" s="156"/>
      <c r="AJ24" s="156"/>
      <c r="AK24" s="156"/>
      <c r="AL24" s="156"/>
      <c r="AM24" s="156"/>
      <c r="AN24" s="156"/>
      <c r="AO24" s="156"/>
      <c r="AP24" s="156"/>
      <c r="AS24" s="170"/>
      <c r="AT24" s="170"/>
      <c r="AU24" s="170"/>
      <c r="AV24" s="156"/>
      <c r="BE24" s="156"/>
      <c r="BF24" s="156"/>
      <c r="BG24" s="156"/>
      <c r="BH24" s="156"/>
      <c r="BI24" s="156"/>
      <c r="BJ24" s="156"/>
      <c r="BK24" s="156"/>
      <c r="BL24" s="156"/>
      <c r="BM24" s="156"/>
    </row>
    <row r="25" spans="1:65" s="127" customFormat="1" ht="14.25" customHeight="1">
      <c r="A25" s="157" t="s">
        <v>868</v>
      </c>
      <c r="B25" s="596"/>
      <c r="C25" s="158"/>
      <c r="D25" s="159">
        <v>10000</v>
      </c>
      <c r="E25" s="160">
        <v>10000</v>
      </c>
      <c r="F25" s="161" t="s">
        <v>105</v>
      </c>
      <c r="G25" s="161" t="s">
        <v>494</v>
      </c>
      <c r="H25" s="162">
        <f t="shared" si="1"/>
        <v>4.3642132067405006</v>
      </c>
      <c r="I25" s="163">
        <v>60</v>
      </c>
      <c r="J25" s="163">
        <v>5</v>
      </c>
      <c r="K25" s="165">
        <f t="shared" si="8"/>
        <v>65</v>
      </c>
      <c r="L25" s="165">
        <f t="shared" si="2"/>
        <v>3.0952380952380953</v>
      </c>
      <c r="M25" s="278">
        <v>21</v>
      </c>
      <c r="N25" s="136">
        <v>35</v>
      </c>
      <c r="O25" s="136">
        <v>2</v>
      </c>
      <c r="P25" s="166">
        <v>0.3</v>
      </c>
      <c r="Q25" s="141">
        <v>0.2</v>
      </c>
      <c r="R25" s="141"/>
      <c r="S25" s="141"/>
      <c r="T25" s="141"/>
      <c r="U25" s="167"/>
      <c r="V25" s="167"/>
      <c r="W25" s="168">
        <f t="shared" si="9"/>
        <v>528185.78639469447</v>
      </c>
      <c r="X25" s="169">
        <f t="shared" si="3"/>
        <v>2.5151704114033069</v>
      </c>
      <c r="Y25" s="169">
        <f t="shared" si="4"/>
        <v>52.81857863946945</v>
      </c>
      <c r="Z25" s="227">
        <f t="shared" si="5"/>
        <v>0</v>
      </c>
      <c r="AA25" s="227">
        <f t="shared" si="6"/>
        <v>-65</v>
      </c>
      <c r="AB25" s="227">
        <f t="shared" si="7"/>
        <v>117.81857863946945</v>
      </c>
      <c r="AC25" s="170"/>
      <c r="AD25" s="183"/>
      <c r="AE25" s="147"/>
      <c r="AF25" s="149"/>
      <c r="AG25" s="570"/>
      <c r="AH25" s="156"/>
      <c r="AI25" s="156"/>
      <c r="AJ25" s="156"/>
      <c r="AK25" s="156"/>
      <c r="AL25" s="156"/>
      <c r="AM25" s="156"/>
      <c r="AN25" s="156"/>
      <c r="AO25" s="156"/>
      <c r="AP25" s="156"/>
      <c r="AS25" s="170"/>
      <c r="AT25" s="170"/>
      <c r="AU25" s="170"/>
      <c r="AV25" s="156"/>
      <c r="BE25" s="156"/>
      <c r="BF25" s="156"/>
      <c r="BG25" s="156"/>
      <c r="BH25" s="156"/>
      <c r="BI25" s="156"/>
      <c r="BJ25" s="156"/>
      <c r="BK25" s="156"/>
      <c r="BL25" s="156"/>
      <c r="BM25" s="156"/>
    </row>
    <row r="26" spans="1:65" s="127" customFormat="1" ht="14.25" customHeight="1">
      <c r="A26" s="157" t="s">
        <v>869</v>
      </c>
      <c r="B26" s="596"/>
      <c r="C26" s="158"/>
      <c r="D26" s="159">
        <v>10000</v>
      </c>
      <c r="E26" s="160">
        <v>1270.4778178415547</v>
      </c>
      <c r="F26" s="161" t="s">
        <v>105</v>
      </c>
      <c r="G26" s="161" t="s">
        <v>494</v>
      </c>
      <c r="H26" s="162">
        <f t="shared" si="1"/>
        <v>0.60726966497325807</v>
      </c>
      <c r="I26" s="163">
        <v>40</v>
      </c>
      <c r="J26" s="163">
        <v>5</v>
      </c>
      <c r="K26" s="165">
        <f t="shared" si="8"/>
        <v>45</v>
      </c>
      <c r="L26" s="165">
        <f t="shared" si="2"/>
        <v>1.9565217391304348</v>
      </c>
      <c r="M26" s="278">
        <v>23</v>
      </c>
      <c r="N26" s="136">
        <v>25</v>
      </c>
      <c r="O26" s="136">
        <v>4</v>
      </c>
      <c r="P26" s="166">
        <v>1.2</v>
      </c>
      <c r="Q26" s="141">
        <v>0.3</v>
      </c>
      <c r="R26" s="141"/>
      <c r="S26" s="141"/>
      <c r="T26" s="141"/>
      <c r="U26" s="167"/>
      <c r="V26" s="167"/>
      <c r="W26" s="168">
        <f t="shared" si="9"/>
        <v>106770.18800163173</v>
      </c>
      <c r="X26" s="169">
        <f t="shared" si="3"/>
        <v>3.6538867675109681</v>
      </c>
      <c r="Y26" s="169">
        <f t="shared" si="4"/>
        <v>84.039395652752262</v>
      </c>
      <c r="Z26" s="227">
        <f t="shared" si="5"/>
        <v>0</v>
      </c>
      <c r="AA26" s="227">
        <f t="shared" si="6"/>
        <v>-45</v>
      </c>
      <c r="AB26" s="227">
        <f t="shared" si="7"/>
        <v>129.03939565275226</v>
      </c>
      <c r="AC26" s="170"/>
      <c r="AD26" s="183"/>
      <c r="AE26" s="147"/>
      <c r="AF26" s="149"/>
      <c r="AG26" s="570"/>
      <c r="AH26" s="156"/>
      <c r="AI26" s="156"/>
      <c r="AJ26" s="156"/>
      <c r="AK26" s="156"/>
      <c r="AL26" s="156"/>
      <c r="AM26" s="156"/>
      <c r="AN26" s="156"/>
      <c r="AO26" s="156"/>
      <c r="AP26" s="156"/>
      <c r="AS26" s="170"/>
      <c r="AT26" s="170"/>
      <c r="AU26" s="170"/>
      <c r="AV26" s="156"/>
      <c r="BE26" s="156"/>
      <c r="BF26" s="156"/>
      <c r="BG26" s="156"/>
      <c r="BH26" s="156"/>
      <c r="BI26" s="156"/>
      <c r="BJ26" s="156"/>
      <c r="BK26" s="156"/>
      <c r="BL26" s="156"/>
      <c r="BM26" s="156"/>
    </row>
    <row r="27" spans="1:65" s="127" customFormat="1" ht="14.25" customHeight="1">
      <c r="A27" s="157" t="s">
        <v>870</v>
      </c>
      <c r="B27" s="596"/>
      <c r="C27" s="158"/>
      <c r="D27" s="159">
        <v>40000</v>
      </c>
      <c r="E27" s="160">
        <v>40000</v>
      </c>
      <c r="F27" s="161" t="s">
        <v>308</v>
      </c>
      <c r="G27" s="161" t="s">
        <v>499</v>
      </c>
      <c r="H27" s="162">
        <f t="shared" si="1"/>
        <v>9.1440657665039069</v>
      </c>
      <c r="I27" s="163">
        <v>30</v>
      </c>
      <c r="J27" s="164">
        <v>5</v>
      </c>
      <c r="K27" s="165">
        <f t="shared" si="8"/>
        <v>35</v>
      </c>
      <c r="L27" s="165">
        <f t="shared" si="2"/>
        <v>3.1818181818181817</v>
      </c>
      <c r="M27" s="278">
        <v>11</v>
      </c>
      <c r="N27" s="136">
        <v>28</v>
      </c>
      <c r="O27" s="136">
        <v>10</v>
      </c>
      <c r="P27" s="166">
        <v>0.11</v>
      </c>
      <c r="Q27" s="141">
        <v>0.23</v>
      </c>
      <c r="R27" s="141">
        <v>0.52</v>
      </c>
      <c r="S27" s="141">
        <v>0.21</v>
      </c>
      <c r="T27" s="141"/>
      <c r="U27" s="167"/>
      <c r="V27" s="167"/>
      <c r="W27" s="168">
        <f t="shared" si="9"/>
        <v>1068579.7429222171</v>
      </c>
      <c r="X27" s="169">
        <f t="shared" si="3"/>
        <v>2.4285903248232206</v>
      </c>
      <c r="Y27" s="169">
        <f t="shared" si="4"/>
        <v>26.714493573055428</v>
      </c>
      <c r="Z27" s="227">
        <f t="shared" si="5"/>
        <v>0</v>
      </c>
      <c r="AA27" s="227">
        <f t="shared" si="6"/>
        <v>-35</v>
      </c>
      <c r="AB27" s="227">
        <f t="shared" si="7"/>
        <v>61.714493573055421</v>
      </c>
      <c r="AC27" s="170"/>
      <c r="AD27" s="564"/>
      <c r="AE27" s="564"/>
      <c r="AF27" s="149"/>
      <c r="AG27" s="570"/>
      <c r="AH27" s="156"/>
      <c r="AI27" s="156"/>
      <c r="AJ27" s="156"/>
      <c r="AK27" s="156"/>
      <c r="AL27" s="156"/>
      <c r="AM27" s="156"/>
      <c r="AN27" s="156"/>
      <c r="AO27" s="156"/>
      <c r="AP27" s="156"/>
      <c r="AS27" s="170"/>
      <c r="AT27" s="170"/>
      <c r="AU27" s="170"/>
      <c r="AV27" s="156"/>
      <c r="BE27" s="156"/>
      <c r="BF27" s="156"/>
      <c r="BG27" s="156"/>
      <c r="BH27" s="156"/>
      <c r="BI27" s="156"/>
      <c r="BJ27" s="156"/>
      <c r="BK27" s="156"/>
      <c r="BL27" s="156"/>
      <c r="BM27" s="156"/>
    </row>
    <row r="28" spans="1:65" s="127" customFormat="1" ht="14.25" customHeight="1">
      <c r="A28" s="157" t="s">
        <v>214</v>
      </c>
      <c r="B28" s="596"/>
      <c r="C28" s="158"/>
      <c r="D28" s="159">
        <v>25000</v>
      </c>
      <c r="E28" s="160">
        <v>24999.996182754396</v>
      </c>
      <c r="F28" s="161" t="s">
        <v>308</v>
      </c>
      <c r="G28" s="161" t="s">
        <v>500</v>
      </c>
      <c r="H28" s="162">
        <f t="shared" si="1"/>
        <v>15.066924246513935</v>
      </c>
      <c r="I28" s="163">
        <v>50</v>
      </c>
      <c r="J28" s="163">
        <v>5</v>
      </c>
      <c r="K28" s="165">
        <f t="shared" si="8"/>
        <v>55</v>
      </c>
      <c r="L28" s="165">
        <f t="shared" si="2"/>
        <v>1.896551724137931</v>
      </c>
      <c r="M28" s="278">
        <v>29</v>
      </c>
      <c r="N28" s="136">
        <v>0.8</v>
      </c>
      <c r="O28" s="136">
        <v>10</v>
      </c>
      <c r="P28" s="166">
        <v>0.1</v>
      </c>
      <c r="Q28" s="141">
        <v>1.2</v>
      </c>
      <c r="R28" s="141">
        <v>0.06</v>
      </c>
      <c r="S28" s="141">
        <v>0.2</v>
      </c>
      <c r="T28" s="141"/>
      <c r="U28" s="167"/>
      <c r="V28" s="167"/>
      <c r="W28" s="168">
        <f t="shared" si="9"/>
        <v>2692545.7561906157</v>
      </c>
      <c r="X28" s="169">
        <f t="shared" si="3"/>
        <v>3.7138567825034712</v>
      </c>
      <c r="Y28" s="169">
        <f t="shared" si="4"/>
        <v>107.70184669260067</v>
      </c>
      <c r="Z28" s="227">
        <f t="shared" si="5"/>
        <v>0</v>
      </c>
      <c r="AA28" s="227">
        <f t="shared" si="6"/>
        <v>-55</v>
      </c>
      <c r="AB28" s="227">
        <f t="shared" si="7"/>
        <v>162.70184669260067</v>
      </c>
      <c r="AC28" s="170"/>
      <c r="AD28" s="183"/>
      <c r="AE28" s="147"/>
      <c r="AF28" s="149"/>
      <c r="AG28" s="570"/>
      <c r="AH28" s="156"/>
      <c r="AI28" s="156"/>
      <c r="AJ28" s="156"/>
      <c r="AK28" s="156"/>
      <c r="AL28" s="156"/>
      <c r="AM28" s="156"/>
      <c r="AN28" s="156"/>
      <c r="AO28" s="156"/>
      <c r="AP28" s="156"/>
      <c r="AS28" s="170"/>
      <c r="AT28" s="170"/>
      <c r="AU28" s="170"/>
      <c r="AV28" s="156"/>
      <c r="BE28" s="156"/>
      <c r="BF28" s="156"/>
      <c r="BG28" s="156"/>
      <c r="BH28" s="156"/>
      <c r="BI28" s="156"/>
      <c r="BJ28" s="156"/>
      <c r="BK28" s="156"/>
      <c r="BL28" s="156"/>
      <c r="BM28" s="156"/>
    </row>
    <row r="29" spans="1:65" s="127" customFormat="1" ht="14.25" customHeight="1">
      <c r="A29" s="157" t="s">
        <v>873</v>
      </c>
      <c r="B29" s="596"/>
      <c r="C29" s="158"/>
      <c r="D29" s="159">
        <v>20000</v>
      </c>
      <c r="E29" s="160">
        <v>14152.540894771915</v>
      </c>
      <c r="F29" s="161" t="s">
        <v>108</v>
      </c>
      <c r="G29" s="161" t="s">
        <v>501</v>
      </c>
      <c r="H29" s="162">
        <f t="shared" si="1"/>
        <v>4.9999999999632214</v>
      </c>
      <c r="I29" s="163">
        <v>-37</v>
      </c>
      <c r="J29" s="163">
        <v>5</v>
      </c>
      <c r="K29" s="165">
        <f t="shared" si="8"/>
        <v>-32</v>
      </c>
      <c r="L29" s="165">
        <f t="shared" si="2"/>
        <v>-1.8823529411764706</v>
      </c>
      <c r="M29" s="278">
        <v>17</v>
      </c>
      <c r="N29" s="136">
        <v>20</v>
      </c>
      <c r="O29" s="136">
        <v>14</v>
      </c>
      <c r="P29" s="166">
        <v>0.3</v>
      </c>
      <c r="Q29" s="141">
        <v>0.2</v>
      </c>
      <c r="R29" s="141">
        <v>0.15</v>
      </c>
      <c r="S29" s="141">
        <v>0.06</v>
      </c>
      <c r="T29" s="141"/>
      <c r="U29" s="167"/>
      <c r="V29" s="167"/>
      <c r="W29" s="168">
        <f t="shared" si="9"/>
        <v>1802707.4176852189</v>
      </c>
      <c r="X29" s="169">
        <f t="shared" si="3"/>
        <v>7.4927614478178732</v>
      </c>
      <c r="Y29" s="169">
        <f t="shared" si="4"/>
        <v>127.37694461290384</v>
      </c>
      <c r="Z29" s="227">
        <f t="shared" si="5"/>
        <v>0</v>
      </c>
      <c r="AA29" s="227">
        <f t="shared" si="6"/>
        <v>32</v>
      </c>
      <c r="AB29" s="227">
        <f t="shared" si="7"/>
        <v>95.376944612903841</v>
      </c>
      <c r="AC29" s="170"/>
      <c r="AD29" s="183"/>
      <c r="AE29" s="147"/>
      <c r="AF29" s="149"/>
      <c r="AG29" s="570"/>
      <c r="AH29" s="156"/>
      <c r="AI29" s="156"/>
      <c r="AJ29" s="156"/>
      <c r="AK29" s="156"/>
      <c r="AL29" s="156"/>
      <c r="AM29" s="156"/>
      <c r="AN29" s="156"/>
      <c r="AO29" s="156"/>
      <c r="AP29" s="156"/>
      <c r="AS29" s="170"/>
      <c r="AT29" s="170"/>
      <c r="AU29" s="170"/>
      <c r="AV29" s="156"/>
      <c r="BE29" s="156"/>
      <c r="BF29" s="156"/>
      <c r="BG29" s="156"/>
      <c r="BH29" s="156"/>
      <c r="BI29" s="156"/>
      <c r="BJ29" s="156"/>
      <c r="BK29" s="156"/>
      <c r="BL29" s="156"/>
      <c r="BM29" s="156"/>
    </row>
    <row r="30" spans="1:65" s="127" customFormat="1" ht="14.25" customHeight="1">
      <c r="A30" s="157" t="s">
        <v>871</v>
      </c>
      <c r="B30" s="596"/>
      <c r="C30" s="158"/>
      <c r="D30" s="159">
        <v>50000</v>
      </c>
      <c r="E30" s="160">
        <v>506.54225755173519</v>
      </c>
      <c r="F30" s="161" t="s">
        <v>308</v>
      </c>
      <c r="G30" s="161" t="s">
        <v>500</v>
      </c>
      <c r="H30" s="162">
        <f t="shared" si="1"/>
        <v>0.15790417215567365</v>
      </c>
      <c r="I30" s="163">
        <v>35</v>
      </c>
      <c r="J30" s="164">
        <v>8</v>
      </c>
      <c r="K30" s="165">
        <f t="shared" si="8"/>
        <v>43</v>
      </c>
      <c r="L30" s="165">
        <f t="shared" si="2"/>
        <v>2.8666666666666667</v>
      </c>
      <c r="M30" s="278">
        <v>15</v>
      </c>
      <c r="N30" s="136">
        <v>22</v>
      </c>
      <c r="O30" s="136">
        <v>16</v>
      </c>
      <c r="P30" s="166">
        <v>0.8</v>
      </c>
      <c r="Q30" s="141">
        <v>0.3</v>
      </c>
      <c r="R30" s="141">
        <v>0.18</v>
      </c>
      <c r="S30" s="141">
        <v>0.38</v>
      </c>
      <c r="T30" s="141"/>
      <c r="U30" s="167"/>
      <c r="V30" s="167"/>
      <c r="W30" s="168">
        <f t="shared" si="9"/>
        <v>20847.317786399311</v>
      </c>
      <c r="X30" s="169">
        <f t="shared" si="3"/>
        <v>2.7437418399747351</v>
      </c>
      <c r="Y30" s="169">
        <f t="shared" si="4"/>
        <v>41.15612759962103</v>
      </c>
      <c r="Z30" s="227">
        <f t="shared" si="5"/>
        <v>0</v>
      </c>
      <c r="AA30" s="227">
        <f t="shared" si="6"/>
        <v>-43</v>
      </c>
      <c r="AB30" s="227">
        <f t="shared" si="7"/>
        <v>84.15612759962103</v>
      </c>
      <c r="AC30" s="170"/>
      <c r="AD30" s="564"/>
      <c r="AE30" s="564"/>
      <c r="AF30" s="149"/>
      <c r="AG30" s="570"/>
      <c r="AH30" s="156"/>
      <c r="AI30" s="156"/>
      <c r="AJ30" s="156"/>
      <c r="AK30" s="156"/>
      <c r="AL30" s="156"/>
      <c r="AM30" s="156"/>
      <c r="AN30" s="156"/>
      <c r="AO30" s="156"/>
      <c r="AP30" s="156"/>
      <c r="AS30" s="170"/>
      <c r="AT30" s="170"/>
      <c r="AU30" s="170"/>
      <c r="AV30" s="156"/>
      <c r="BE30" s="156"/>
      <c r="BF30" s="156"/>
      <c r="BG30" s="156"/>
      <c r="BH30" s="156"/>
      <c r="BI30" s="156"/>
      <c r="BJ30" s="156"/>
      <c r="BK30" s="156"/>
      <c r="BL30" s="156"/>
      <c r="BM30" s="156"/>
    </row>
    <row r="31" spans="1:65" s="127" customFormat="1" ht="14.25" customHeight="1">
      <c r="A31" s="157" t="s">
        <v>872</v>
      </c>
      <c r="B31" s="596"/>
      <c r="C31" s="158"/>
      <c r="D31" s="159">
        <v>50000</v>
      </c>
      <c r="E31" s="160">
        <v>50000</v>
      </c>
      <c r="F31" s="161" t="s">
        <v>308</v>
      </c>
      <c r="G31" s="161" t="s">
        <v>500</v>
      </c>
      <c r="H31" s="162">
        <f t="shared" si="1"/>
        <v>16.625574120916191</v>
      </c>
      <c r="I31" s="163">
        <v>8</v>
      </c>
      <c r="J31" s="163">
        <v>8</v>
      </c>
      <c r="K31" s="165">
        <f t="shared" si="8"/>
        <v>16</v>
      </c>
      <c r="L31" s="165">
        <f t="shared" si="2"/>
        <v>1</v>
      </c>
      <c r="M31" s="278">
        <v>16</v>
      </c>
      <c r="N31" s="136">
        <v>12</v>
      </c>
      <c r="O31" s="136">
        <v>15</v>
      </c>
      <c r="P31" s="166">
        <v>0.6</v>
      </c>
      <c r="Q31" s="141">
        <v>0.28000000000000003</v>
      </c>
      <c r="R31" s="141">
        <v>0.16</v>
      </c>
      <c r="S31" s="141">
        <v>0.3</v>
      </c>
      <c r="T31" s="141"/>
      <c r="U31" s="167"/>
      <c r="V31" s="167"/>
      <c r="W31" s="168">
        <f t="shared" si="9"/>
        <v>3688326.805313122</v>
      </c>
      <c r="X31" s="169">
        <f t="shared" si="3"/>
        <v>4.6104085066414022</v>
      </c>
      <c r="Y31" s="169">
        <f t="shared" si="4"/>
        <v>73.766536106262436</v>
      </c>
      <c r="Z31" s="227">
        <f t="shared" si="5"/>
        <v>0</v>
      </c>
      <c r="AA31" s="227">
        <f t="shared" si="6"/>
        <v>-16</v>
      </c>
      <c r="AB31" s="227">
        <f t="shared" si="7"/>
        <v>89.766536106262436</v>
      </c>
      <c r="AC31" s="170"/>
      <c r="AD31" s="183"/>
      <c r="AE31" s="147"/>
      <c r="AF31" s="149"/>
      <c r="AG31" s="570"/>
      <c r="AH31" s="156"/>
      <c r="AI31" s="156"/>
      <c r="AJ31" s="156"/>
      <c r="AK31" s="156"/>
      <c r="AL31" s="156"/>
      <c r="AM31" s="156"/>
      <c r="AN31" s="156"/>
      <c r="AO31" s="156"/>
      <c r="AP31" s="156"/>
      <c r="AS31" s="170"/>
      <c r="AT31" s="170"/>
      <c r="AU31" s="170"/>
      <c r="AV31" s="156"/>
      <c r="BE31" s="156"/>
      <c r="BF31" s="156"/>
      <c r="BG31" s="156"/>
      <c r="BH31" s="156"/>
      <c r="BI31" s="156"/>
      <c r="BJ31" s="156"/>
      <c r="BK31" s="156"/>
      <c r="BL31" s="156"/>
      <c r="BM31" s="156"/>
    </row>
    <row r="32" spans="1:65" s="127" customFormat="1" ht="14.25" customHeight="1">
      <c r="A32" s="157"/>
      <c r="B32" s="596"/>
      <c r="C32" s="158"/>
      <c r="D32" s="159"/>
      <c r="E32" s="160"/>
      <c r="F32" s="161"/>
      <c r="G32" s="161"/>
      <c r="H32" s="162">
        <f t="shared" si="1"/>
        <v>0</v>
      </c>
      <c r="I32" s="163"/>
      <c r="J32" s="163"/>
      <c r="K32" s="165">
        <f t="shared" si="8"/>
        <v>0</v>
      </c>
      <c r="L32" s="165">
        <f t="shared" si="2"/>
        <v>0</v>
      </c>
      <c r="M32" s="278"/>
      <c r="N32" s="136"/>
      <c r="O32" s="136"/>
      <c r="P32" s="166"/>
      <c r="Q32" s="141"/>
      <c r="R32" s="141"/>
      <c r="S32" s="141"/>
      <c r="T32" s="141"/>
      <c r="U32" s="167"/>
      <c r="V32" s="167"/>
      <c r="W32" s="168">
        <f t="shared" si="9"/>
        <v>0</v>
      </c>
      <c r="X32" s="169">
        <f t="shared" si="3"/>
        <v>0</v>
      </c>
      <c r="Y32" s="169">
        <f t="shared" si="4"/>
        <v>0</v>
      </c>
      <c r="Z32" s="227">
        <f t="shared" si="5"/>
        <v>0</v>
      </c>
      <c r="AA32" s="227">
        <f t="shared" si="6"/>
        <v>0</v>
      </c>
      <c r="AB32" s="227">
        <f t="shared" si="7"/>
        <v>0</v>
      </c>
      <c r="AC32" s="170"/>
      <c r="AD32" s="183"/>
      <c r="AE32" s="147"/>
      <c r="AF32" s="149"/>
      <c r="AG32" s="570"/>
      <c r="AH32" s="156"/>
      <c r="AI32" s="156"/>
      <c r="AJ32" s="156"/>
      <c r="AK32" s="156"/>
      <c r="AL32" s="156"/>
      <c r="AM32" s="156"/>
      <c r="AN32" s="156"/>
      <c r="AO32" s="156"/>
      <c r="AP32" s="156"/>
      <c r="AS32" s="170"/>
      <c r="AT32" s="170"/>
      <c r="AU32" s="170"/>
      <c r="AV32" s="156"/>
      <c r="BE32" s="156"/>
      <c r="BF32" s="156"/>
      <c r="BG32" s="156"/>
      <c r="BH32" s="156"/>
      <c r="BI32" s="156"/>
      <c r="BJ32" s="156"/>
      <c r="BK32" s="156"/>
      <c r="BL32" s="156"/>
      <c r="BM32" s="156"/>
    </row>
    <row r="33" spans="1:65" s="127" customFormat="1" ht="14.25" customHeight="1">
      <c r="A33" s="157"/>
      <c r="B33" s="596"/>
      <c r="C33" s="158"/>
      <c r="D33" s="159"/>
      <c r="E33" s="160"/>
      <c r="F33" s="161"/>
      <c r="G33" s="161"/>
      <c r="H33" s="162">
        <f t="shared" si="1"/>
        <v>0</v>
      </c>
      <c r="I33" s="163"/>
      <c r="J33" s="164"/>
      <c r="K33" s="165">
        <f t="shared" si="8"/>
        <v>0</v>
      </c>
      <c r="L33" s="165">
        <f t="shared" si="2"/>
        <v>0</v>
      </c>
      <c r="M33" s="278"/>
      <c r="N33" s="136"/>
      <c r="O33" s="136"/>
      <c r="P33" s="166"/>
      <c r="Q33" s="141"/>
      <c r="R33" s="141"/>
      <c r="S33" s="141"/>
      <c r="T33" s="141"/>
      <c r="U33" s="167"/>
      <c r="V33" s="167"/>
      <c r="W33" s="168">
        <f t="shared" si="9"/>
        <v>0</v>
      </c>
      <c r="X33" s="169">
        <f t="shared" si="3"/>
        <v>0</v>
      </c>
      <c r="Y33" s="169">
        <f t="shared" si="4"/>
        <v>0</v>
      </c>
      <c r="Z33" s="227">
        <f t="shared" si="5"/>
        <v>0</v>
      </c>
      <c r="AA33" s="227">
        <f t="shared" si="6"/>
        <v>0</v>
      </c>
      <c r="AB33" s="227">
        <f t="shared" si="7"/>
        <v>0</v>
      </c>
      <c r="AC33" s="170"/>
      <c r="AD33" s="564"/>
      <c r="AE33" s="564"/>
      <c r="AF33" s="149"/>
      <c r="AG33" s="570"/>
      <c r="AH33" s="156"/>
      <c r="AI33" s="156"/>
      <c r="AJ33" s="156"/>
      <c r="AK33" s="156"/>
      <c r="AL33" s="156"/>
      <c r="AM33" s="156"/>
      <c r="AN33" s="156"/>
      <c r="AO33" s="156"/>
      <c r="AP33" s="156"/>
      <c r="AS33" s="170"/>
      <c r="AT33" s="170"/>
      <c r="AU33" s="170"/>
      <c r="AV33" s="156"/>
      <c r="BE33" s="156"/>
      <c r="BF33" s="156"/>
      <c r="BG33" s="156"/>
      <c r="BH33" s="156"/>
      <c r="BI33" s="156"/>
      <c r="BJ33" s="156"/>
      <c r="BK33" s="156"/>
      <c r="BL33" s="156"/>
      <c r="BM33" s="156"/>
    </row>
    <row r="34" spans="1:65" s="127" customFormat="1" ht="14.25" customHeight="1">
      <c r="A34" s="157"/>
      <c r="B34" s="596"/>
      <c r="C34" s="158"/>
      <c r="D34" s="159"/>
      <c r="E34" s="160"/>
      <c r="F34" s="161"/>
      <c r="G34" s="161"/>
      <c r="H34" s="162">
        <f t="shared" si="1"/>
        <v>0</v>
      </c>
      <c r="I34" s="163"/>
      <c r="J34" s="163"/>
      <c r="K34" s="165">
        <f t="shared" si="8"/>
        <v>0</v>
      </c>
      <c r="L34" s="165">
        <f t="shared" si="2"/>
        <v>0</v>
      </c>
      <c r="M34" s="278"/>
      <c r="N34" s="136"/>
      <c r="O34" s="136"/>
      <c r="P34" s="166"/>
      <c r="Q34" s="141"/>
      <c r="R34" s="141"/>
      <c r="S34" s="141"/>
      <c r="T34" s="141"/>
      <c r="U34" s="167"/>
      <c r="V34" s="167"/>
      <c r="W34" s="168">
        <f t="shared" si="9"/>
        <v>0</v>
      </c>
      <c r="X34" s="169">
        <f t="shared" si="3"/>
        <v>0</v>
      </c>
      <c r="Y34" s="169">
        <f t="shared" si="4"/>
        <v>0</v>
      </c>
      <c r="Z34" s="227">
        <f t="shared" si="5"/>
        <v>0</v>
      </c>
      <c r="AA34" s="227">
        <f t="shared" si="6"/>
        <v>0</v>
      </c>
      <c r="AB34" s="227">
        <f t="shared" si="7"/>
        <v>0</v>
      </c>
      <c r="AC34" s="170"/>
      <c r="AD34" s="183"/>
      <c r="AE34" s="147"/>
      <c r="AF34" s="149"/>
      <c r="AG34" s="570"/>
      <c r="AH34" s="156"/>
      <c r="AI34" s="156"/>
      <c r="AJ34" s="156"/>
      <c r="AK34" s="156"/>
      <c r="AL34" s="156"/>
      <c r="AM34" s="156"/>
      <c r="AN34" s="156"/>
      <c r="AO34" s="156"/>
      <c r="AP34" s="156"/>
      <c r="AS34" s="170"/>
      <c r="AT34" s="170"/>
      <c r="AU34" s="170"/>
      <c r="AV34" s="156"/>
      <c r="BE34" s="156"/>
      <c r="BF34" s="156"/>
      <c r="BG34" s="156"/>
      <c r="BH34" s="156"/>
      <c r="BI34" s="156"/>
      <c r="BJ34" s="156"/>
      <c r="BK34" s="156"/>
      <c r="BL34" s="156"/>
      <c r="BM34" s="156"/>
    </row>
    <row r="35" spans="1:65" s="127" customFormat="1" ht="14.25" hidden="1" customHeight="1">
      <c r="A35" s="157"/>
      <c r="B35" s="596"/>
      <c r="C35" s="158"/>
      <c r="D35" s="159"/>
      <c r="E35" s="160"/>
      <c r="F35" s="161"/>
      <c r="G35" s="161"/>
      <c r="H35" s="162">
        <f t="shared" si="1"/>
        <v>0</v>
      </c>
      <c r="I35" s="163"/>
      <c r="J35" s="163"/>
      <c r="K35" s="165">
        <f t="shared" si="8"/>
        <v>0</v>
      </c>
      <c r="L35" s="165">
        <f t="shared" si="2"/>
        <v>0</v>
      </c>
      <c r="M35" s="278"/>
      <c r="N35" s="136"/>
      <c r="O35" s="136"/>
      <c r="P35" s="166"/>
      <c r="Q35" s="141"/>
      <c r="R35" s="141"/>
      <c r="S35" s="141"/>
      <c r="T35" s="141"/>
      <c r="U35" s="167"/>
      <c r="V35" s="167"/>
      <c r="W35" s="168">
        <f t="shared" si="9"/>
        <v>0</v>
      </c>
      <c r="X35" s="169">
        <f t="shared" si="3"/>
        <v>0</v>
      </c>
      <c r="Y35" s="169">
        <f t="shared" si="4"/>
        <v>0</v>
      </c>
      <c r="Z35" s="227">
        <f t="shared" si="5"/>
        <v>0</v>
      </c>
      <c r="AA35" s="227">
        <f t="shared" si="6"/>
        <v>0</v>
      </c>
      <c r="AB35" s="227">
        <f t="shared" si="7"/>
        <v>0</v>
      </c>
      <c r="AC35" s="170"/>
      <c r="AD35" s="183"/>
      <c r="AE35" s="147"/>
      <c r="AF35" s="149"/>
      <c r="AG35" s="570"/>
      <c r="AH35" s="156"/>
      <c r="AI35" s="156"/>
      <c r="AJ35" s="156"/>
      <c r="AK35" s="156"/>
      <c r="AL35" s="156"/>
      <c r="AM35" s="156"/>
      <c r="AN35" s="156"/>
      <c r="AO35" s="156"/>
      <c r="AP35" s="156"/>
      <c r="AS35" s="170"/>
      <c r="AT35" s="170"/>
      <c r="AU35" s="170"/>
      <c r="AV35" s="156"/>
      <c r="BE35" s="156"/>
      <c r="BF35" s="156"/>
      <c r="BG35" s="156"/>
      <c r="BH35" s="156"/>
      <c r="BI35" s="156"/>
      <c r="BJ35" s="156"/>
      <c r="BK35" s="156"/>
      <c r="BL35" s="156"/>
      <c r="BM35" s="156"/>
    </row>
    <row r="36" spans="1:65" s="127" customFormat="1" ht="14.25" hidden="1" customHeight="1">
      <c r="A36" s="157"/>
      <c r="B36" s="596"/>
      <c r="C36" s="158"/>
      <c r="D36" s="159"/>
      <c r="E36" s="160"/>
      <c r="F36" s="161"/>
      <c r="G36" s="161"/>
      <c r="H36" s="162">
        <f t="shared" si="1"/>
        <v>0</v>
      </c>
      <c r="I36" s="163"/>
      <c r="J36" s="164"/>
      <c r="K36" s="165">
        <f t="shared" si="8"/>
        <v>0</v>
      </c>
      <c r="L36" s="165">
        <f t="shared" si="2"/>
        <v>0</v>
      </c>
      <c r="M36" s="278"/>
      <c r="N36" s="136"/>
      <c r="O36" s="136"/>
      <c r="P36" s="166"/>
      <c r="Q36" s="141"/>
      <c r="R36" s="141"/>
      <c r="S36" s="141"/>
      <c r="T36" s="141"/>
      <c r="U36" s="167"/>
      <c r="V36" s="167"/>
      <c r="W36" s="168">
        <f t="shared" si="9"/>
        <v>0</v>
      </c>
      <c r="X36" s="169">
        <f t="shared" si="3"/>
        <v>0</v>
      </c>
      <c r="Y36" s="169">
        <f t="shared" si="4"/>
        <v>0</v>
      </c>
      <c r="Z36" s="227">
        <f t="shared" si="5"/>
        <v>0</v>
      </c>
      <c r="AA36" s="227">
        <f t="shared" si="6"/>
        <v>0</v>
      </c>
      <c r="AB36" s="227">
        <f t="shared" si="7"/>
        <v>0</v>
      </c>
      <c r="AC36" s="170"/>
      <c r="AD36" s="564"/>
      <c r="AE36" s="564"/>
      <c r="AF36" s="149"/>
      <c r="AG36" s="149"/>
      <c r="AH36" s="170"/>
      <c r="AI36" s="156"/>
      <c r="AJ36" s="156"/>
      <c r="AK36" s="156"/>
      <c r="AL36" s="156"/>
      <c r="AM36" s="156"/>
      <c r="AN36" s="156"/>
      <c r="AO36" s="156"/>
      <c r="AP36" s="156"/>
      <c r="AS36" s="170"/>
      <c r="AT36" s="170"/>
      <c r="AU36" s="170"/>
      <c r="AV36" s="156"/>
      <c r="BE36" s="156"/>
      <c r="BF36" s="156"/>
      <c r="BG36" s="156"/>
      <c r="BH36" s="156"/>
      <c r="BI36" s="156"/>
      <c r="BJ36" s="156"/>
      <c r="BK36" s="156"/>
      <c r="BL36" s="156"/>
      <c r="BM36" s="156"/>
    </row>
    <row r="37" spans="1:65" s="127" customFormat="1" ht="14.25" hidden="1" customHeight="1">
      <c r="A37" s="157"/>
      <c r="B37" s="596"/>
      <c r="C37" s="158"/>
      <c r="D37" s="159"/>
      <c r="E37" s="160"/>
      <c r="F37" s="161"/>
      <c r="G37" s="161"/>
      <c r="H37" s="162">
        <f t="shared" si="1"/>
        <v>0</v>
      </c>
      <c r="I37" s="163"/>
      <c r="J37" s="164"/>
      <c r="K37" s="165">
        <f t="shared" si="8"/>
        <v>0</v>
      </c>
      <c r="L37" s="165">
        <f t="shared" si="2"/>
        <v>0</v>
      </c>
      <c r="M37" s="278"/>
      <c r="N37" s="136"/>
      <c r="O37" s="136"/>
      <c r="P37" s="166"/>
      <c r="Q37" s="141"/>
      <c r="R37" s="141"/>
      <c r="S37" s="141"/>
      <c r="T37" s="141"/>
      <c r="U37" s="167"/>
      <c r="V37" s="167"/>
      <c r="W37" s="168">
        <f t="shared" si="9"/>
        <v>0</v>
      </c>
      <c r="X37" s="169">
        <f t="shared" si="3"/>
        <v>0</v>
      </c>
      <c r="Y37" s="169">
        <f t="shared" si="4"/>
        <v>0</v>
      </c>
      <c r="Z37" s="227">
        <f t="shared" si="5"/>
        <v>0</v>
      </c>
      <c r="AA37" s="227">
        <f t="shared" si="6"/>
        <v>0</v>
      </c>
      <c r="AB37" s="227">
        <f t="shared" si="7"/>
        <v>0</v>
      </c>
      <c r="AC37" s="170"/>
      <c r="AD37" s="183"/>
      <c r="AE37" s="147"/>
      <c r="AF37" s="149"/>
      <c r="AG37" s="149"/>
      <c r="AH37" s="156"/>
      <c r="AI37" s="156"/>
      <c r="AJ37" s="156"/>
      <c r="AK37" s="156"/>
      <c r="AL37" s="156"/>
      <c r="AM37" s="156"/>
      <c r="AN37" s="156"/>
      <c r="AO37" s="156"/>
      <c r="AP37" s="156"/>
      <c r="AS37" s="170"/>
      <c r="AT37" s="170"/>
      <c r="AU37" s="170"/>
      <c r="AV37" s="156"/>
      <c r="BE37" s="156"/>
      <c r="BF37" s="156"/>
      <c r="BG37" s="156"/>
      <c r="BH37" s="156"/>
      <c r="BI37" s="156"/>
      <c r="BJ37" s="156"/>
      <c r="BK37" s="156"/>
      <c r="BL37" s="156"/>
      <c r="BM37" s="156"/>
    </row>
    <row r="38" spans="1:65" s="127" customFormat="1" ht="14.25" hidden="1" customHeight="1">
      <c r="A38" s="157"/>
      <c r="B38" s="596"/>
      <c r="C38" s="158"/>
      <c r="D38" s="159"/>
      <c r="E38" s="160"/>
      <c r="F38" s="161"/>
      <c r="G38" s="161"/>
      <c r="H38" s="162">
        <f t="shared" si="1"/>
        <v>0</v>
      </c>
      <c r="I38" s="163"/>
      <c r="J38" s="164"/>
      <c r="K38" s="165">
        <f t="shared" si="8"/>
        <v>0</v>
      </c>
      <c r="L38" s="165">
        <f t="shared" si="2"/>
        <v>0</v>
      </c>
      <c r="M38" s="278"/>
      <c r="N38" s="136"/>
      <c r="O38" s="136"/>
      <c r="P38" s="166"/>
      <c r="Q38" s="141"/>
      <c r="R38" s="141"/>
      <c r="S38" s="141"/>
      <c r="T38" s="141"/>
      <c r="U38" s="167"/>
      <c r="V38" s="167"/>
      <c r="W38" s="168">
        <f t="shared" si="9"/>
        <v>0</v>
      </c>
      <c r="X38" s="169">
        <f t="shared" si="3"/>
        <v>0</v>
      </c>
      <c r="Y38" s="169">
        <f t="shared" si="4"/>
        <v>0</v>
      </c>
      <c r="Z38" s="227">
        <f t="shared" si="5"/>
        <v>0</v>
      </c>
      <c r="AA38" s="227">
        <f t="shared" si="6"/>
        <v>0</v>
      </c>
      <c r="AB38" s="227">
        <f t="shared" si="7"/>
        <v>0</v>
      </c>
      <c r="AC38" s="170"/>
      <c r="AD38" s="182"/>
      <c r="AE38" s="147"/>
      <c r="AF38" s="149"/>
      <c r="AG38" s="149"/>
      <c r="AH38" s="156"/>
      <c r="AI38" s="156"/>
      <c r="AJ38" s="156"/>
      <c r="AK38" s="156"/>
      <c r="AL38" s="156"/>
      <c r="AM38" s="156"/>
      <c r="AN38" s="156"/>
      <c r="AO38" s="156"/>
      <c r="AP38" s="156"/>
      <c r="AS38" s="170"/>
      <c r="AT38" s="170"/>
      <c r="AU38" s="170"/>
      <c r="AV38" s="156"/>
      <c r="BE38" s="156"/>
      <c r="BF38" s="156"/>
      <c r="BG38" s="156"/>
      <c r="BH38" s="156"/>
      <c r="BI38" s="156"/>
      <c r="BJ38" s="156"/>
      <c r="BK38" s="156"/>
      <c r="BL38" s="156"/>
      <c r="BM38" s="156"/>
    </row>
    <row r="39" spans="1:65" s="127" customFormat="1" ht="14.25" hidden="1" customHeight="1">
      <c r="A39" s="157"/>
      <c r="B39" s="596"/>
      <c r="C39" s="158"/>
      <c r="D39" s="159"/>
      <c r="E39" s="160"/>
      <c r="F39" s="161"/>
      <c r="G39" s="161"/>
      <c r="H39" s="162">
        <f t="shared" si="1"/>
        <v>0</v>
      </c>
      <c r="I39" s="163"/>
      <c r="J39" s="164"/>
      <c r="K39" s="165">
        <f t="shared" si="8"/>
        <v>0</v>
      </c>
      <c r="L39" s="165">
        <f t="shared" si="2"/>
        <v>0</v>
      </c>
      <c r="M39" s="278"/>
      <c r="N39" s="136"/>
      <c r="O39" s="136"/>
      <c r="P39" s="166"/>
      <c r="Q39" s="141"/>
      <c r="R39" s="141"/>
      <c r="S39" s="141"/>
      <c r="T39" s="141"/>
      <c r="U39" s="167"/>
      <c r="V39" s="167"/>
      <c r="W39" s="168">
        <f t="shared" si="9"/>
        <v>0</v>
      </c>
      <c r="X39" s="169">
        <f t="shared" si="3"/>
        <v>0</v>
      </c>
      <c r="Y39" s="169">
        <f t="shared" si="4"/>
        <v>0</v>
      </c>
      <c r="Z39" s="227">
        <f t="shared" si="5"/>
        <v>0</v>
      </c>
      <c r="AA39" s="227">
        <f t="shared" si="6"/>
        <v>0</v>
      </c>
      <c r="AB39" s="227">
        <f t="shared" si="7"/>
        <v>0</v>
      </c>
      <c r="AC39" s="170"/>
      <c r="AD39" s="182"/>
      <c r="AE39" s="147"/>
      <c r="AF39" s="149"/>
      <c r="AG39" s="149"/>
      <c r="AH39" s="156"/>
      <c r="AI39" s="156"/>
      <c r="AJ39" s="156"/>
      <c r="AK39" s="156"/>
      <c r="AL39" s="156"/>
      <c r="AM39" s="156"/>
      <c r="AN39" s="156"/>
      <c r="AO39" s="156"/>
      <c r="AP39" s="156"/>
      <c r="AS39" s="170"/>
      <c r="AT39" s="170"/>
      <c r="AU39" s="170"/>
      <c r="AV39" s="156"/>
      <c r="BE39" s="156"/>
      <c r="BF39" s="156"/>
      <c r="BG39" s="156"/>
      <c r="BH39" s="156"/>
      <c r="BI39" s="156"/>
      <c r="BJ39" s="156"/>
      <c r="BK39" s="156"/>
      <c r="BL39" s="156"/>
      <c r="BM39" s="156"/>
    </row>
    <row r="40" spans="1:65" s="127" customFormat="1" ht="14.25" hidden="1" customHeight="1">
      <c r="A40" s="157"/>
      <c r="B40" s="596"/>
      <c r="C40" s="158"/>
      <c r="D40" s="159"/>
      <c r="E40" s="160"/>
      <c r="F40" s="161"/>
      <c r="G40" s="161"/>
      <c r="H40" s="162">
        <f t="shared" si="1"/>
        <v>0</v>
      </c>
      <c r="I40" s="163"/>
      <c r="J40" s="164"/>
      <c r="K40" s="165">
        <f t="shared" si="8"/>
        <v>0</v>
      </c>
      <c r="L40" s="165">
        <f t="shared" si="2"/>
        <v>0</v>
      </c>
      <c r="M40" s="278"/>
      <c r="N40" s="136"/>
      <c r="O40" s="136"/>
      <c r="P40" s="166"/>
      <c r="Q40" s="141"/>
      <c r="R40" s="141"/>
      <c r="S40" s="141"/>
      <c r="T40" s="141"/>
      <c r="U40" s="167"/>
      <c r="V40" s="167"/>
      <c r="W40" s="168">
        <f t="shared" si="9"/>
        <v>0</v>
      </c>
      <c r="X40" s="169">
        <f t="shared" si="3"/>
        <v>0</v>
      </c>
      <c r="Y40" s="169">
        <f t="shared" si="4"/>
        <v>0</v>
      </c>
      <c r="Z40" s="227">
        <f t="shared" si="5"/>
        <v>0</v>
      </c>
      <c r="AA40" s="227">
        <f t="shared" si="6"/>
        <v>0</v>
      </c>
      <c r="AB40" s="227">
        <f t="shared" si="7"/>
        <v>0</v>
      </c>
      <c r="AC40" s="170"/>
      <c r="AD40" s="182"/>
      <c r="AE40" s="147"/>
      <c r="AF40" s="149"/>
      <c r="AG40" s="149"/>
      <c r="AH40" s="193"/>
      <c r="AI40" s="156"/>
      <c r="AJ40" s="156"/>
      <c r="AK40" s="156"/>
      <c r="AL40" s="156"/>
      <c r="AM40" s="156"/>
      <c r="AN40" s="156"/>
      <c r="AO40" s="156"/>
      <c r="AP40" s="156"/>
      <c r="AS40" s="170"/>
      <c r="AT40" s="170"/>
      <c r="AU40" s="170"/>
      <c r="AV40" s="156"/>
      <c r="BE40" s="156"/>
      <c r="BF40" s="156"/>
      <c r="BG40" s="156"/>
      <c r="BH40" s="156"/>
      <c r="BI40" s="156"/>
      <c r="BJ40" s="156"/>
      <c r="BK40" s="156"/>
      <c r="BL40" s="156"/>
      <c r="BM40" s="156"/>
    </row>
    <row r="41" spans="1:65" s="127" customFormat="1" ht="14.25" hidden="1" customHeight="1">
      <c r="A41" s="157"/>
      <c r="B41" s="596"/>
      <c r="C41" s="158"/>
      <c r="D41" s="159"/>
      <c r="E41" s="160"/>
      <c r="F41" s="161"/>
      <c r="G41" s="161"/>
      <c r="H41" s="162">
        <f t="shared" si="1"/>
        <v>0</v>
      </c>
      <c r="I41" s="163"/>
      <c r="J41" s="164"/>
      <c r="K41" s="165">
        <f t="shared" si="8"/>
        <v>0</v>
      </c>
      <c r="L41" s="165">
        <f t="shared" si="2"/>
        <v>0</v>
      </c>
      <c r="M41" s="278"/>
      <c r="N41" s="136"/>
      <c r="O41" s="136"/>
      <c r="P41" s="166"/>
      <c r="Q41" s="141"/>
      <c r="R41" s="141"/>
      <c r="S41" s="141"/>
      <c r="T41" s="141"/>
      <c r="U41" s="167"/>
      <c r="V41" s="167"/>
      <c r="W41" s="168">
        <f t="shared" si="9"/>
        <v>0</v>
      </c>
      <c r="X41" s="169">
        <f t="shared" si="3"/>
        <v>0</v>
      </c>
      <c r="Y41" s="169">
        <f t="shared" si="4"/>
        <v>0</v>
      </c>
      <c r="Z41" s="227">
        <f t="shared" si="5"/>
        <v>0</v>
      </c>
      <c r="AA41" s="227">
        <f t="shared" si="6"/>
        <v>0</v>
      </c>
      <c r="AB41" s="227">
        <f t="shared" si="7"/>
        <v>0</v>
      </c>
      <c r="AC41" s="170"/>
      <c r="AD41" s="182"/>
      <c r="AE41" s="147"/>
      <c r="AF41" s="149"/>
      <c r="AG41" s="149"/>
      <c r="AH41" s="156"/>
      <c r="AI41" s="156"/>
      <c r="AJ41" s="156"/>
      <c r="AK41" s="156"/>
      <c r="AL41" s="156"/>
      <c r="AM41" s="156"/>
      <c r="AN41" s="156"/>
      <c r="AO41" s="156"/>
      <c r="AP41" s="156"/>
      <c r="AS41" s="170"/>
      <c r="AT41" s="170"/>
      <c r="AU41" s="170"/>
      <c r="AV41" s="156"/>
      <c r="BE41" s="156"/>
      <c r="BF41" s="156"/>
      <c r="BG41" s="156"/>
      <c r="BH41" s="156"/>
      <c r="BI41" s="156"/>
      <c r="BJ41" s="156"/>
      <c r="BK41" s="156"/>
      <c r="BL41" s="156"/>
      <c r="BM41" s="156"/>
    </row>
    <row r="42" spans="1:65" s="127" customFormat="1" ht="14.25" hidden="1" customHeight="1">
      <c r="A42" s="157"/>
      <c r="B42" s="596"/>
      <c r="C42" s="158"/>
      <c r="D42" s="571"/>
      <c r="E42" s="160"/>
      <c r="F42" s="161"/>
      <c r="G42" s="161"/>
      <c r="H42" s="162">
        <f t="shared" si="1"/>
        <v>0</v>
      </c>
      <c r="I42" s="163"/>
      <c r="J42" s="164"/>
      <c r="K42" s="165">
        <f t="shared" si="8"/>
        <v>0</v>
      </c>
      <c r="L42" s="165">
        <f t="shared" si="2"/>
        <v>0</v>
      </c>
      <c r="M42" s="278"/>
      <c r="N42" s="136"/>
      <c r="O42" s="136"/>
      <c r="P42" s="166"/>
      <c r="Q42" s="141"/>
      <c r="R42" s="141"/>
      <c r="S42" s="141"/>
      <c r="T42" s="141"/>
      <c r="U42" s="167"/>
      <c r="V42" s="167"/>
      <c r="W42" s="168">
        <f t="shared" si="9"/>
        <v>0</v>
      </c>
      <c r="X42" s="169">
        <f t="shared" si="3"/>
        <v>0</v>
      </c>
      <c r="Y42" s="169">
        <f t="shared" si="4"/>
        <v>0</v>
      </c>
      <c r="Z42" s="227">
        <f t="shared" si="5"/>
        <v>0</v>
      </c>
      <c r="AA42" s="227">
        <f t="shared" si="6"/>
        <v>0</v>
      </c>
      <c r="AB42" s="227">
        <f t="shared" si="7"/>
        <v>0</v>
      </c>
      <c r="AC42" s="170"/>
      <c r="AD42" s="182"/>
      <c r="AE42" s="147"/>
      <c r="AF42" s="149"/>
      <c r="AG42" s="149"/>
      <c r="AH42" s="156"/>
      <c r="AI42" s="156"/>
      <c r="AJ42" s="156"/>
      <c r="AK42" s="156"/>
      <c r="AL42" s="156"/>
      <c r="AM42" s="156"/>
      <c r="AN42" s="156"/>
      <c r="AO42" s="156"/>
      <c r="AP42" s="156"/>
      <c r="AS42" s="170"/>
      <c r="AT42" s="170"/>
      <c r="AU42" s="170"/>
      <c r="AV42" s="156"/>
      <c r="BE42" s="156"/>
      <c r="BF42" s="156"/>
      <c r="BG42" s="156"/>
      <c r="BH42" s="156"/>
      <c r="BI42" s="156"/>
      <c r="BJ42" s="156"/>
      <c r="BK42" s="156"/>
      <c r="BL42" s="156"/>
      <c r="BM42" s="156"/>
    </row>
    <row r="43" spans="1:65" s="127" customFormat="1" ht="14.25" hidden="1" customHeight="1">
      <c r="A43" s="157"/>
      <c r="B43" s="596"/>
      <c r="C43" s="158"/>
      <c r="D43" s="159"/>
      <c r="E43" s="160"/>
      <c r="F43" s="161"/>
      <c r="G43" s="161"/>
      <c r="H43" s="162">
        <f t="shared" si="1"/>
        <v>0</v>
      </c>
      <c r="I43" s="163"/>
      <c r="J43" s="164"/>
      <c r="K43" s="165">
        <f t="shared" si="8"/>
        <v>0</v>
      </c>
      <c r="L43" s="165">
        <f t="shared" si="2"/>
        <v>0</v>
      </c>
      <c r="M43" s="278"/>
      <c r="N43" s="136"/>
      <c r="O43" s="136"/>
      <c r="P43" s="166"/>
      <c r="Q43" s="141"/>
      <c r="R43" s="141"/>
      <c r="S43" s="141"/>
      <c r="T43" s="141"/>
      <c r="U43" s="167"/>
      <c r="V43" s="167"/>
      <c r="W43" s="168">
        <f t="shared" si="9"/>
        <v>0</v>
      </c>
      <c r="X43" s="169">
        <f t="shared" si="3"/>
        <v>0</v>
      </c>
      <c r="Y43" s="169">
        <f t="shared" si="4"/>
        <v>0</v>
      </c>
      <c r="Z43" s="227">
        <f t="shared" si="5"/>
        <v>0</v>
      </c>
      <c r="AA43" s="227">
        <f t="shared" si="6"/>
        <v>0</v>
      </c>
      <c r="AB43" s="227">
        <f t="shared" si="7"/>
        <v>0</v>
      </c>
      <c r="AC43" s="170"/>
      <c r="AD43" s="182"/>
      <c r="AE43" s="147"/>
      <c r="AF43" s="149"/>
      <c r="AG43" s="149"/>
      <c r="AH43" s="156"/>
      <c r="AI43" s="156"/>
      <c r="AJ43" s="156"/>
      <c r="AK43" s="156"/>
      <c r="AL43" s="156"/>
      <c r="AM43" s="156"/>
      <c r="AN43" s="156"/>
      <c r="AO43" s="156"/>
      <c r="AP43" s="156"/>
      <c r="AS43" s="170"/>
      <c r="AT43" s="170"/>
      <c r="AU43" s="170"/>
      <c r="AV43" s="156"/>
      <c r="BE43" s="156"/>
      <c r="BF43" s="156"/>
      <c r="BG43" s="156"/>
      <c r="BH43" s="156"/>
      <c r="BI43" s="156"/>
      <c r="BJ43" s="156"/>
      <c r="BK43" s="156"/>
      <c r="BL43" s="156"/>
      <c r="BM43" s="156"/>
    </row>
    <row r="44" spans="1:65" s="127" customFormat="1" ht="14.25" hidden="1" customHeight="1">
      <c r="A44" s="157"/>
      <c r="B44" s="596"/>
      <c r="C44" s="158"/>
      <c r="D44" s="159"/>
      <c r="E44" s="160"/>
      <c r="F44" s="161"/>
      <c r="G44" s="161"/>
      <c r="H44" s="162">
        <f t="shared" si="1"/>
        <v>0</v>
      </c>
      <c r="I44" s="163"/>
      <c r="J44" s="164"/>
      <c r="K44" s="165">
        <f t="shared" si="8"/>
        <v>0</v>
      </c>
      <c r="L44" s="165">
        <f t="shared" si="2"/>
        <v>0</v>
      </c>
      <c r="M44" s="278"/>
      <c r="N44" s="136"/>
      <c r="O44" s="136"/>
      <c r="P44" s="166"/>
      <c r="Q44" s="141"/>
      <c r="R44" s="141"/>
      <c r="S44" s="141"/>
      <c r="T44" s="141"/>
      <c r="U44" s="167"/>
      <c r="V44" s="167"/>
      <c r="W44" s="168">
        <f t="shared" si="9"/>
        <v>0</v>
      </c>
      <c r="X44" s="169">
        <f t="shared" si="3"/>
        <v>0</v>
      </c>
      <c r="Y44" s="169">
        <f t="shared" si="4"/>
        <v>0</v>
      </c>
      <c r="Z44" s="227">
        <f t="shared" si="5"/>
        <v>0</v>
      </c>
      <c r="AA44" s="227">
        <f t="shared" si="6"/>
        <v>0</v>
      </c>
      <c r="AB44" s="227">
        <f t="shared" si="7"/>
        <v>0</v>
      </c>
      <c r="AC44" s="170"/>
      <c r="AD44" s="182"/>
      <c r="AE44" s="147"/>
      <c r="AF44" s="149"/>
      <c r="AG44" s="149"/>
      <c r="AH44" s="156"/>
      <c r="AI44" s="156"/>
      <c r="AJ44" s="156"/>
      <c r="AK44" s="156"/>
      <c r="AL44" s="156"/>
      <c r="AM44" s="156"/>
      <c r="AN44" s="156"/>
      <c r="AO44" s="156"/>
      <c r="AP44" s="156"/>
      <c r="AS44" s="170"/>
      <c r="AT44" s="170"/>
      <c r="AU44" s="170"/>
      <c r="AV44" s="156"/>
      <c r="BE44" s="156"/>
      <c r="BF44" s="156"/>
      <c r="BG44" s="156"/>
      <c r="BH44" s="156"/>
      <c r="BI44" s="156"/>
      <c r="BJ44" s="156"/>
      <c r="BK44" s="156"/>
      <c r="BL44" s="156"/>
      <c r="BM44" s="156"/>
    </row>
    <row r="45" spans="1:65" s="127" customFormat="1" ht="14.25" hidden="1" customHeight="1">
      <c r="A45" s="157"/>
      <c r="B45" s="596"/>
      <c r="C45" s="158"/>
      <c r="D45" s="159"/>
      <c r="E45" s="160"/>
      <c r="F45" s="161"/>
      <c r="G45" s="161"/>
      <c r="H45" s="162">
        <f t="shared" si="1"/>
        <v>0</v>
      </c>
      <c r="I45" s="163"/>
      <c r="J45" s="164"/>
      <c r="K45" s="165">
        <f t="shared" si="8"/>
        <v>0</v>
      </c>
      <c r="L45" s="165">
        <f t="shared" si="2"/>
        <v>0</v>
      </c>
      <c r="M45" s="278"/>
      <c r="N45" s="136"/>
      <c r="O45" s="136"/>
      <c r="P45" s="166"/>
      <c r="Q45" s="141"/>
      <c r="R45" s="141"/>
      <c r="S45" s="141"/>
      <c r="T45" s="141"/>
      <c r="U45" s="167"/>
      <c r="V45" s="167"/>
      <c r="W45" s="168">
        <f t="shared" si="9"/>
        <v>0</v>
      </c>
      <c r="X45" s="169">
        <f t="shared" si="3"/>
        <v>0</v>
      </c>
      <c r="Y45" s="169">
        <f t="shared" si="4"/>
        <v>0</v>
      </c>
      <c r="Z45" s="227">
        <f t="shared" si="5"/>
        <v>0</v>
      </c>
      <c r="AA45" s="227">
        <f t="shared" si="6"/>
        <v>0</v>
      </c>
      <c r="AB45" s="227">
        <f t="shared" si="7"/>
        <v>0</v>
      </c>
      <c r="AC45" s="170"/>
      <c r="AD45" s="182"/>
      <c r="AE45" s="147"/>
      <c r="AF45" s="149"/>
      <c r="AG45" s="149"/>
      <c r="AH45" s="156"/>
      <c r="AI45" s="156"/>
      <c r="AJ45" s="156"/>
      <c r="AK45" s="156"/>
      <c r="AL45" s="156"/>
      <c r="AM45" s="156"/>
      <c r="AN45" s="156"/>
      <c r="AO45" s="156"/>
      <c r="AP45" s="156"/>
      <c r="AS45" s="170"/>
      <c r="AT45" s="170"/>
      <c r="AU45" s="170"/>
      <c r="AV45" s="156"/>
      <c r="BE45" s="156"/>
      <c r="BF45" s="156"/>
      <c r="BG45" s="156"/>
      <c r="BH45" s="156"/>
      <c r="BI45" s="156"/>
      <c r="BJ45" s="156"/>
      <c r="BK45" s="156"/>
      <c r="BL45" s="156"/>
      <c r="BM45" s="156"/>
    </row>
    <row r="46" spans="1:65" s="127" customFormat="1" ht="14.25" hidden="1" customHeight="1">
      <c r="A46" s="157"/>
      <c r="B46" s="596"/>
      <c r="C46" s="158"/>
      <c r="D46" s="159"/>
      <c r="E46" s="160"/>
      <c r="F46" s="161"/>
      <c r="G46" s="161"/>
      <c r="H46" s="162">
        <f t="shared" si="1"/>
        <v>0</v>
      </c>
      <c r="I46" s="163"/>
      <c r="J46" s="164"/>
      <c r="K46" s="165">
        <f t="shared" si="8"/>
        <v>0</v>
      </c>
      <c r="L46" s="165">
        <f t="shared" si="2"/>
        <v>0</v>
      </c>
      <c r="M46" s="278"/>
      <c r="N46" s="136"/>
      <c r="O46" s="136"/>
      <c r="P46" s="166"/>
      <c r="Q46" s="141"/>
      <c r="R46" s="141"/>
      <c r="S46" s="141"/>
      <c r="T46" s="141"/>
      <c r="U46" s="167"/>
      <c r="V46" s="167"/>
      <c r="W46" s="168">
        <f t="shared" si="9"/>
        <v>0</v>
      </c>
      <c r="X46" s="169">
        <f t="shared" si="3"/>
        <v>0</v>
      </c>
      <c r="Y46" s="169">
        <f t="shared" si="4"/>
        <v>0</v>
      </c>
      <c r="Z46" s="227">
        <f t="shared" si="5"/>
        <v>0</v>
      </c>
      <c r="AA46" s="227">
        <f t="shared" si="6"/>
        <v>0</v>
      </c>
      <c r="AB46" s="227">
        <f t="shared" si="7"/>
        <v>0</v>
      </c>
      <c r="AC46" s="170"/>
      <c r="AD46" s="182"/>
      <c r="AE46" s="147"/>
      <c r="AF46" s="149"/>
      <c r="AG46" s="149"/>
      <c r="AH46" s="156"/>
      <c r="AI46" s="156"/>
      <c r="AJ46" s="156"/>
      <c r="AK46" s="156"/>
      <c r="AL46" s="156"/>
      <c r="AM46" s="156"/>
      <c r="AN46" s="156"/>
      <c r="AO46" s="156"/>
      <c r="AP46" s="156"/>
      <c r="AS46" s="170"/>
      <c r="AT46" s="170"/>
      <c r="AU46" s="170"/>
      <c r="AV46" s="156"/>
      <c r="BE46" s="156"/>
      <c r="BF46" s="156"/>
      <c r="BG46" s="156"/>
      <c r="BH46" s="156"/>
      <c r="BI46" s="156"/>
      <c r="BJ46" s="156"/>
      <c r="BK46" s="156"/>
      <c r="BL46" s="156"/>
      <c r="BM46" s="156"/>
    </row>
    <row r="47" spans="1:65" s="127" customFormat="1" ht="14.25" hidden="1" customHeight="1">
      <c r="A47" s="157"/>
      <c r="B47" s="596"/>
      <c r="C47" s="158"/>
      <c r="D47" s="159"/>
      <c r="E47" s="160"/>
      <c r="F47" s="161"/>
      <c r="G47" s="161"/>
      <c r="H47" s="162">
        <f t="shared" si="1"/>
        <v>0</v>
      </c>
      <c r="I47" s="163"/>
      <c r="J47" s="164"/>
      <c r="K47" s="165">
        <f t="shared" si="8"/>
        <v>0</v>
      </c>
      <c r="L47" s="165">
        <f t="shared" si="2"/>
        <v>0</v>
      </c>
      <c r="M47" s="278"/>
      <c r="N47" s="136"/>
      <c r="O47" s="136"/>
      <c r="P47" s="166"/>
      <c r="Q47" s="141"/>
      <c r="R47" s="141"/>
      <c r="S47" s="141"/>
      <c r="T47" s="141"/>
      <c r="U47" s="167"/>
      <c r="V47" s="167"/>
      <c r="W47" s="168">
        <f t="shared" si="9"/>
        <v>0</v>
      </c>
      <c r="X47" s="169">
        <f t="shared" si="3"/>
        <v>0</v>
      </c>
      <c r="Y47" s="169">
        <f t="shared" si="4"/>
        <v>0</v>
      </c>
      <c r="Z47" s="227">
        <f t="shared" si="5"/>
        <v>0</v>
      </c>
      <c r="AA47" s="227">
        <f t="shared" si="6"/>
        <v>0</v>
      </c>
      <c r="AB47" s="227">
        <f t="shared" si="7"/>
        <v>0</v>
      </c>
      <c r="AC47" s="170"/>
      <c r="AD47" s="182"/>
      <c r="AE47" s="147"/>
      <c r="AF47" s="149"/>
      <c r="AG47" s="149"/>
      <c r="AH47" s="156"/>
      <c r="AI47" s="156"/>
      <c r="AJ47" s="156"/>
      <c r="AK47" s="156"/>
      <c r="AL47" s="156"/>
      <c r="AM47" s="156"/>
      <c r="AN47" s="156"/>
      <c r="AO47" s="156"/>
      <c r="AP47" s="156"/>
      <c r="AS47" s="170"/>
      <c r="AT47" s="170"/>
      <c r="AU47" s="170"/>
      <c r="AV47" s="156"/>
      <c r="BE47" s="156"/>
      <c r="BF47" s="156"/>
      <c r="BG47" s="156"/>
      <c r="BH47" s="156"/>
      <c r="BI47" s="156"/>
      <c r="BJ47" s="156"/>
      <c r="BK47" s="156"/>
      <c r="BL47" s="156"/>
      <c r="BM47" s="156"/>
    </row>
    <row r="48" spans="1:65" s="127" customFormat="1" ht="14.25" hidden="1" customHeight="1">
      <c r="A48" s="157"/>
      <c r="B48" s="596"/>
      <c r="C48" s="158"/>
      <c r="D48" s="159"/>
      <c r="E48" s="160"/>
      <c r="F48" s="161"/>
      <c r="G48" s="161"/>
      <c r="H48" s="162">
        <f t="shared" si="1"/>
        <v>0</v>
      </c>
      <c r="I48" s="163"/>
      <c r="J48" s="164"/>
      <c r="K48" s="165">
        <f t="shared" si="8"/>
        <v>0</v>
      </c>
      <c r="L48" s="165">
        <f t="shared" si="2"/>
        <v>0</v>
      </c>
      <c r="M48" s="278"/>
      <c r="N48" s="136"/>
      <c r="O48" s="136"/>
      <c r="P48" s="166"/>
      <c r="Q48" s="141"/>
      <c r="R48" s="141"/>
      <c r="S48" s="141"/>
      <c r="T48" s="141"/>
      <c r="U48" s="167"/>
      <c r="V48" s="167"/>
      <c r="W48" s="168">
        <f t="shared" si="9"/>
        <v>0</v>
      </c>
      <c r="X48" s="169">
        <f t="shared" si="3"/>
        <v>0</v>
      </c>
      <c r="Y48" s="169">
        <f t="shared" si="4"/>
        <v>0</v>
      </c>
      <c r="Z48" s="227">
        <f t="shared" si="5"/>
        <v>0</v>
      </c>
      <c r="AA48" s="227">
        <f t="shared" si="6"/>
        <v>0</v>
      </c>
      <c r="AB48" s="227">
        <f t="shared" si="7"/>
        <v>0</v>
      </c>
      <c r="AC48" s="170"/>
      <c r="AD48" s="182"/>
      <c r="AE48" s="147"/>
      <c r="AF48" s="149"/>
      <c r="AG48" s="149"/>
      <c r="AH48" s="156"/>
      <c r="AI48" s="156"/>
      <c r="AJ48" s="156"/>
      <c r="AK48" s="156"/>
      <c r="AL48" s="156"/>
      <c r="AM48" s="156"/>
      <c r="AN48" s="156"/>
      <c r="AO48" s="156"/>
      <c r="AP48" s="156"/>
      <c r="AS48" s="170"/>
      <c r="AT48" s="170"/>
      <c r="AU48" s="170"/>
      <c r="AV48" s="156"/>
      <c r="BE48" s="156"/>
      <c r="BF48" s="156"/>
      <c r="BG48" s="156"/>
      <c r="BH48" s="156"/>
      <c r="BI48" s="156"/>
      <c r="BJ48" s="156"/>
      <c r="BK48" s="156"/>
      <c r="BL48" s="156"/>
      <c r="BM48" s="156"/>
    </row>
    <row r="49" spans="1:65" s="127" customFormat="1" ht="14.25" hidden="1" customHeight="1">
      <c r="A49" s="157"/>
      <c r="B49" s="596"/>
      <c r="C49" s="158"/>
      <c r="D49" s="159"/>
      <c r="E49" s="160"/>
      <c r="F49" s="161"/>
      <c r="G49" s="161"/>
      <c r="H49" s="162">
        <f t="shared" si="1"/>
        <v>0</v>
      </c>
      <c r="I49" s="163"/>
      <c r="J49" s="164"/>
      <c r="K49" s="165">
        <f t="shared" si="8"/>
        <v>0</v>
      </c>
      <c r="L49" s="165">
        <f t="shared" si="2"/>
        <v>0</v>
      </c>
      <c r="M49" s="278"/>
      <c r="N49" s="136"/>
      <c r="O49" s="136"/>
      <c r="P49" s="166"/>
      <c r="Q49" s="141"/>
      <c r="R49" s="141"/>
      <c r="S49" s="141"/>
      <c r="T49" s="141"/>
      <c r="U49" s="167"/>
      <c r="V49" s="167"/>
      <c r="W49" s="168">
        <f t="shared" si="9"/>
        <v>0</v>
      </c>
      <c r="X49" s="169">
        <f t="shared" si="3"/>
        <v>0</v>
      </c>
      <c r="Y49" s="169">
        <f t="shared" si="4"/>
        <v>0</v>
      </c>
      <c r="Z49" s="227">
        <f t="shared" si="5"/>
        <v>0</v>
      </c>
      <c r="AA49" s="227">
        <f t="shared" si="6"/>
        <v>0</v>
      </c>
      <c r="AB49" s="227">
        <f t="shared" si="7"/>
        <v>0</v>
      </c>
      <c r="AC49" s="170"/>
      <c r="AD49" s="182"/>
      <c r="AE49" s="147"/>
      <c r="AF49" s="149"/>
      <c r="AG49" s="149"/>
      <c r="AH49" s="156"/>
      <c r="AI49" s="156"/>
      <c r="AJ49" s="156"/>
      <c r="AK49" s="156"/>
      <c r="AL49" s="156"/>
      <c r="AM49" s="156"/>
      <c r="AN49" s="156"/>
      <c r="AO49" s="156"/>
      <c r="AP49" s="156"/>
      <c r="AS49" s="170"/>
      <c r="AT49" s="170"/>
      <c r="AU49" s="170"/>
      <c r="AV49" s="156"/>
      <c r="BE49" s="156"/>
      <c r="BF49" s="156"/>
      <c r="BG49" s="156"/>
      <c r="BH49" s="156"/>
      <c r="BI49" s="156"/>
      <c r="BJ49" s="156"/>
      <c r="BK49" s="156"/>
      <c r="BL49" s="156"/>
      <c r="BM49" s="156"/>
    </row>
    <row r="50" spans="1:65" s="127" customFormat="1" ht="14.25" hidden="1" customHeight="1">
      <c r="A50" s="157"/>
      <c r="B50" s="596"/>
      <c r="C50" s="158"/>
      <c r="D50" s="159"/>
      <c r="E50" s="160"/>
      <c r="F50" s="161"/>
      <c r="G50" s="161"/>
      <c r="H50" s="162">
        <f t="shared" si="1"/>
        <v>0</v>
      </c>
      <c r="I50" s="163"/>
      <c r="J50" s="164"/>
      <c r="K50" s="165">
        <f t="shared" si="8"/>
        <v>0</v>
      </c>
      <c r="L50" s="165">
        <f t="shared" si="2"/>
        <v>0</v>
      </c>
      <c r="M50" s="278"/>
      <c r="N50" s="136"/>
      <c r="O50" s="136"/>
      <c r="P50" s="166"/>
      <c r="Q50" s="141"/>
      <c r="R50" s="141"/>
      <c r="S50" s="141"/>
      <c r="T50" s="141"/>
      <c r="U50" s="167"/>
      <c r="V50" s="167"/>
      <c r="W50" s="168">
        <f t="shared" si="9"/>
        <v>0</v>
      </c>
      <c r="X50" s="169">
        <f t="shared" si="3"/>
        <v>0</v>
      </c>
      <c r="Y50" s="169">
        <f t="shared" si="4"/>
        <v>0</v>
      </c>
      <c r="Z50" s="227">
        <f t="shared" si="5"/>
        <v>0</v>
      </c>
      <c r="AA50" s="227">
        <f t="shared" si="6"/>
        <v>0</v>
      </c>
      <c r="AB50" s="227">
        <f t="shared" si="7"/>
        <v>0</v>
      </c>
      <c r="AC50" s="170"/>
      <c r="AD50" s="182"/>
      <c r="AE50" s="147"/>
      <c r="AF50" s="149"/>
      <c r="AG50" s="149"/>
      <c r="AH50" s="156"/>
      <c r="AI50" s="156"/>
      <c r="AJ50" s="156"/>
      <c r="AK50" s="156"/>
      <c r="AL50" s="156"/>
      <c r="AM50" s="156"/>
      <c r="AN50" s="156"/>
      <c r="AO50" s="156"/>
      <c r="AP50" s="156"/>
      <c r="AS50" s="170"/>
      <c r="AT50" s="170"/>
      <c r="AU50" s="170"/>
      <c r="AV50" s="156"/>
      <c r="BE50" s="156"/>
      <c r="BF50" s="156"/>
      <c r="BG50" s="156"/>
      <c r="BH50" s="156"/>
      <c r="BI50" s="156"/>
      <c r="BJ50" s="156"/>
      <c r="BK50" s="156"/>
      <c r="BL50" s="156"/>
      <c r="BM50" s="156"/>
    </row>
    <row r="51" spans="1:65" s="127" customFormat="1" ht="14.25" hidden="1" customHeight="1">
      <c r="A51" s="157"/>
      <c r="B51" s="596"/>
      <c r="C51" s="158"/>
      <c r="D51" s="159"/>
      <c r="E51" s="160"/>
      <c r="F51" s="161"/>
      <c r="G51" s="161"/>
      <c r="H51" s="162">
        <f t="shared" si="1"/>
        <v>0</v>
      </c>
      <c r="I51" s="163"/>
      <c r="J51" s="164"/>
      <c r="K51" s="165">
        <f t="shared" si="8"/>
        <v>0</v>
      </c>
      <c r="L51" s="165">
        <f t="shared" si="2"/>
        <v>0</v>
      </c>
      <c r="M51" s="278"/>
      <c r="N51" s="136"/>
      <c r="O51" s="136"/>
      <c r="P51" s="166"/>
      <c r="Q51" s="141"/>
      <c r="R51" s="141"/>
      <c r="S51" s="141"/>
      <c r="T51" s="141"/>
      <c r="U51" s="167"/>
      <c r="V51" s="167"/>
      <c r="W51" s="168">
        <f t="shared" si="9"/>
        <v>0</v>
      </c>
      <c r="X51" s="169">
        <f t="shared" si="3"/>
        <v>0</v>
      </c>
      <c r="Y51" s="169">
        <f t="shared" si="4"/>
        <v>0</v>
      </c>
      <c r="Z51" s="227">
        <f t="shared" si="5"/>
        <v>0</v>
      </c>
      <c r="AA51" s="227">
        <f t="shared" si="6"/>
        <v>0</v>
      </c>
      <c r="AB51" s="227">
        <f t="shared" si="7"/>
        <v>0</v>
      </c>
      <c r="AC51" s="170"/>
      <c r="AD51" s="182"/>
      <c r="AE51" s="147"/>
      <c r="AF51" s="149"/>
      <c r="AG51" s="149"/>
      <c r="AH51" s="156"/>
      <c r="AI51" s="156"/>
      <c r="AJ51" s="156"/>
      <c r="AK51" s="156"/>
      <c r="AL51" s="156"/>
      <c r="AM51" s="156"/>
      <c r="AN51" s="156"/>
      <c r="AO51" s="156"/>
      <c r="AP51" s="156"/>
      <c r="AS51" s="170"/>
      <c r="AT51" s="170"/>
      <c r="AU51" s="170"/>
      <c r="AV51" s="156"/>
      <c r="BE51" s="156"/>
      <c r="BF51" s="156"/>
      <c r="BG51" s="156"/>
      <c r="BH51" s="156"/>
      <c r="BI51" s="156"/>
      <c r="BJ51" s="156"/>
      <c r="BK51" s="156"/>
      <c r="BL51" s="156"/>
      <c r="BM51" s="156"/>
    </row>
    <row r="52" spans="1:65" s="127" customFormat="1" ht="14.25" hidden="1" customHeight="1">
      <c r="A52" s="157"/>
      <c r="B52" s="596"/>
      <c r="C52" s="158"/>
      <c r="D52" s="159"/>
      <c r="E52" s="160"/>
      <c r="F52" s="161"/>
      <c r="G52" s="161"/>
      <c r="H52" s="162">
        <f t="shared" si="1"/>
        <v>0</v>
      </c>
      <c r="I52" s="163"/>
      <c r="J52" s="164"/>
      <c r="K52" s="165">
        <f t="shared" si="8"/>
        <v>0</v>
      </c>
      <c r="L52" s="165">
        <f t="shared" si="2"/>
        <v>0</v>
      </c>
      <c r="M52" s="278"/>
      <c r="N52" s="136"/>
      <c r="O52" s="136"/>
      <c r="P52" s="166"/>
      <c r="Q52" s="141"/>
      <c r="R52" s="141"/>
      <c r="S52" s="141"/>
      <c r="T52" s="141"/>
      <c r="U52" s="167"/>
      <c r="V52" s="167"/>
      <c r="W52" s="168">
        <f t="shared" si="9"/>
        <v>0</v>
      </c>
      <c r="X52" s="169">
        <f t="shared" si="3"/>
        <v>0</v>
      </c>
      <c r="Y52" s="169">
        <f t="shared" si="4"/>
        <v>0</v>
      </c>
      <c r="Z52" s="227">
        <f t="shared" si="5"/>
        <v>0</v>
      </c>
      <c r="AA52" s="227">
        <f t="shared" si="6"/>
        <v>0</v>
      </c>
      <c r="AB52" s="227">
        <f t="shared" si="7"/>
        <v>0</v>
      </c>
      <c r="AC52" s="170"/>
      <c r="AD52" s="182"/>
      <c r="AE52" s="147"/>
      <c r="AF52" s="149"/>
      <c r="AG52" s="149"/>
      <c r="AH52" s="156"/>
      <c r="AI52" s="156"/>
      <c r="AJ52" s="156"/>
      <c r="AK52" s="156"/>
      <c r="AL52" s="156"/>
      <c r="AM52" s="156"/>
      <c r="AN52" s="156"/>
      <c r="AO52" s="156"/>
      <c r="AP52" s="156"/>
      <c r="AS52" s="170"/>
      <c r="AT52" s="170"/>
      <c r="AU52" s="170"/>
      <c r="AV52" s="156"/>
      <c r="BE52" s="156"/>
      <c r="BF52" s="156"/>
      <c r="BG52" s="156"/>
      <c r="BH52" s="156"/>
      <c r="BI52" s="156"/>
      <c r="BJ52" s="156"/>
      <c r="BK52" s="156"/>
      <c r="BL52" s="156"/>
      <c r="BM52" s="156"/>
    </row>
    <row r="53" spans="1:65" s="127" customFormat="1" ht="14.25" hidden="1" customHeight="1">
      <c r="A53" s="157"/>
      <c r="B53" s="596"/>
      <c r="C53" s="158"/>
      <c r="D53" s="159"/>
      <c r="E53" s="160"/>
      <c r="F53" s="565"/>
      <c r="G53" s="161"/>
      <c r="H53" s="162">
        <f t="shared" si="1"/>
        <v>0</v>
      </c>
      <c r="I53" s="163"/>
      <c r="J53" s="164"/>
      <c r="K53" s="165">
        <f t="shared" si="8"/>
        <v>0</v>
      </c>
      <c r="L53" s="165">
        <f t="shared" si="2"/>
        <v>0</v>
      </c>
      <c r="M53" s="278"/>
      <c r="N53" s="136"/>
      <c r="O53" s="136"/>
      <c r="P53" s="166"/>
      <c r="Q53" s="141"/>
      <c r="R53" s="141"/>
      <c r="S53" s="141"/>
      <c r="T53" s="141"/>
      <c r="U53" s="167"/>
      <c r="V53" s="167"/>
      <c r="W53" s="168">
        <f t="shared" si="9"/>
        <v>0</v>
      </c>
      <c r="X53" s="169">
        <f t="shared" si="3"/>
        <v>0</v>
      </c>
      <c r="Y53" s="169">
        <f t="shared" si="4"/>
        <v>0</v>
      </c>
      <c r="Z53" s="227">
        <f t="shared" si="5"/>
        <v>0</v>
      </c>
      <c r="AA53" s="227">
        <f t="shared" si="6"/>
        <v>0</v>
      </c>
      <c r="AB53" s="227">
        <f t="shared" si="7"/>
        <v>0</v>
      </c>
      <c r="AC53" s="170"/>
      <c r="AD53" s="182"/>
      <c r="AE53" s="147"/>
      <c r="AF53" s="149"/>
      <c r="AG53" s="149"/>
      <c r="AH53" s="156"/>
      <c r="AI53" s="156"/>
      <c r="AJ53" s="156"/>
      <c r="AK53" s="156"/>
      <c r="AL53" s="156"/>
      <c r="AM53" s="156"/>
      <c r="AN53" s="156"/>
      <c r="AO53" s="156"/>
      <c r="AP53" s="156"/>
      <c r="AS53" s="170"/>
      <c r="AT53" s="170"/>
      <c r="AU53" s="170"/>
      <c r="AV53" s="156"/>
      <c r="BE53" s="156"/>
      <c r="BF53" s="156"/>
      <c r="BG53" s="156"/>
      <c r="BH53" s="156"/>
      <c r="BI53" s="156"/>
      <c r="BJ53" s="156"/>
      <c r="BK53" s="156"/>
      <c r="BL53" s="156"/>
      <c r="BM53" s="156"/>
    </row>
    <row r="54" spans="1:65" s="127" customFormat="1" ht="14.25" hidden="1" customHeight="1">
      <c r="A54" s="157"/>
      <c r="B54" s="596"/>
      <c r="C54" s="158"/>
      <c r="D54" s="159"/>
      <c r="E54" s="160"/>
      <c r="F54" s="565"/>
      <c r="G54" s="161"/>
      <c r="H54" s="162">
        <f t="shared" si="1"/>
        <v>0</v>
      </c>
      <c r="I54" s="163"/>
      <c r="J54" s="164"/>
      <c r="K54" s="165">
        <f t="shared" si="8"/>
        <v>0</v>
      </c>
      <c r="L54" s="165">
        <f t="shared" si="2"/>
        <v>0</v>
      </c>
      <c r="M54" s="278"/>
      <c r="N54" s="136"/>
      <c r="O54" s="136"/>
      <c r="P54" s="166"/>
      <c r="Q54" s="141"/>
      <c r="R54" s="141"/>
      <c r="S54" s="141"/>
      <c r="T54" s="141"/>
      <c r="U54" s="167"/>
      <c r="V54" s="167"/>
      <c r="W54" s="168">
        <f t="shared" si="9"/>
        <v>0</v>
      </c>
      <c r="X54" s="169">
        <f t="shared" si="3"/>
        <v>0</v>
      </c>
      <c r="Y54" s="169">
        <f t="shared" si="4"/>
        <v>0</v>
      </c>
      <c r="Z54" s="227">
        <f t="shared" si="5"/>
        <v>0</v>
      </c>
      <c r="AA54" s="227">
        <f t="shared" si="6"/>
        <v>0</v>
      </c>
      <c r="AB54" s="227">
        <f t="shared" si="7"/>
        <v>0</v>
      </c>
      <c r="AC54" s="170"/>
      <c r="AD54" s="182"/>
      <c r="AE54" s="147"/>
      <c r="AF54" s="149"/>
      <c r="AG54" s="149"/>
      <c r="AH54" s="156"/>
      <c r="AI54" s="156"/>
      <c r="AJ54" s="156"/>
      <c r="AK54" s="156"/>
      <c r="AL54" s="156"/>
      <c r="AM54" s="156"/>
      <c r="AN54" s="156"/>
      <c r="AO54" s="156"/>
      <c r="AP54" s="156"/>
      <c r="AS54" s="170"/>
      <c r="AT54" s="170"/>
      <c r="AU54" s="170"/>
      <c r="AV54" s="156"/>
      <c r="BE54" s="156"/>
      <c r="BF54" s="156"/>
      <c r="BG54" s="156"/>
      <c r="BH54" s="156"/>
      <c r="BI54" s="156"/>
      <c r="BJ54" s="156"/>
      <c r="BK54" s="156"/>
      <c r="BL54" s="156"/>
      <c r="BM54" s="156"/>
    </row>
    <row r="55" spans="1:65" s="127" customFormat="1" ht="14.25" hidden="1" customHeight="1">
      <c r="A55" s="157"/>
      <c r="B55" s="596"/>
      <c r="C55" s="158"/>
      <c r="D55" s="159"/>
      <c r="E55" s="160"/>
      <c r="F55" s="565"/>
      <c r="G55" s="161"/>
      <c r="H55" s="162">
        <f t="shared" si="1"/>
        <v>0</v>
      </c>
      <c r="I55" s="163"/>
      <c r="J55" s="164"/>
      <c r="K55" s="165">
        <f t="shared" si="8"/>
        <v>0</v>
      </c>
      <c r="L55" s="165">
        <f t="shared" si="2"/>
        <v>0</v>
      </c>
      <c r="M55" s="278"/>
      <c r="N55" s="136"/>
      <c r="O55" s="136"/>
      <c r="P55" s="166"/>
      <c r="Q55" s="141"/>
      <c r="R55" s="141"/>
      <c r="S55" s="141"/>
      <c r="T55" s="141"/>
      <c r="U55" s="167"/>
      <c r="V55" s="167"/>
      <c r="W55" s="168">
        <f t="shared" si="9"/>
        <v>0</v>
      </c>
      <c r="X55" s="169">
        <f t="shared" si="3"/>
        <v>0</v>
      </c>
      <c r="Y55" s="169">
        <f t="shared" si="4"/>
        <v>0</v>
      </c>
      <c r="Z55" s="227">
        <f t="shared" si="5"/>
        <v>0</v>
      </c>
      <c r="AA55" s="227">
        <f t="shared" si="6"/>
        <v>0</v>
      </c>
      <c r="AB55" s="227">
        <f t="shared" si="7"/>
        <v>0</v>
      </c>
      <c r="AC55" s="170"/>
      <c r="AD55" s="182"/>
      <c r="AE55" s="147"/>
      <c r="AF55" s="149"/>
      <c r="AG55" s="149"/>
      <c r="AH55" s="156"/>
      <c r="AI55" s="156"/>
      <c r="AJ55" s="156"/>
      <c r="AK55" s="156"/>
      <c r="AL55" s="156"/>
      <c r="AM55" s="156"/>
      <c r="AN55" s="156"/>
      <c r="AO55" s="156"/>
      <c r="AP55" s="156"/>
      <c r="AS55" s="170"/>
      <c r="AT55" s="170"/>
      <c r="AU55" s="170"/>
      <c r="AV55" s="156"/>
      <c r="BE55" s="156"/>
      <c r="BF55" s="156"/>
      <c r="BG55" s="156"/>
      <c r="BH55" s="156"/>
      <c r="BI55" s="156"/>
      <c r="BJ55" s="156"/>
      <c r="BK55" s="156"/>
      <c r="BL55" s="156"/>
      <c r="BM55" s="156"/>
    </row>
    <row r="56" spans="1:65" s="127" customFormat="1" ht="14.25" hidden="1" customHeight="1">
      <c r="A56" s="157"/>
      <c r="B56" s="596"/>
      <c r="C56" s="158"/>
      <c r="D56" s="159"/>
      <c r="E56" s="160"/>
      <c r="F56" s="565"/>
      <c r="G56" s="161"/>
      <c r="H56" s="162">
        <f t="shared" si="1"/>
        <v>0</v>
      </c>
      <c r="I56" s="163"/>
      <c r="J56" s="164"/>
      <c r="K56" s="165">
        <f t="shared" si="8"/>
        <v>0</v>
      </c>
      <c r="L56" s="165">
        <f t="shared" si="2"/>
        <v>0</v>
      </c>
      <c r="M56" s="278"/>
      <c r="N56" s="136"/>
      <c r="O56" s="136"/>
      <c r="P56" s="166"/>
      <c r="Q56" s="141"/>
      <c r="R56" s="141"/>
      <c r="S56" s="141"/>
      <c r="T56" s="141"/>
      <c r="U56" s="167"/>
      <c r="V56" s="167"/>
      <c r="W56" s="168">
        <f t="shared" si="9"/>
        <v>0</v>
      </c>
      <c r="X56" s="169">
        <f t="shared" si="3"/>
        <v>0</v>
      </c>
      <c r="Y56" s="169">
        <f t="shared" si="4"/>
        <v>0</v>
      </c>
      <c r="Z56" s="227">
        <f t="shared" si="5"/>
        <v>0</v>
      </c>
      <c r="AA56" s="227">
        <f t="shared" si="6"/>
        <v>0</v>
      </c>
      <c r="AB56" s="227">
        <f t="shared" si="7"/>
        <v>0</v>
      </c>
      <c r="AC56" s="170"/>
      <c r="AD56" s="182"/>
      <c r="AE56" s="147"/>
      <c r="AF56" s="149"/>
      <c r="AG56" s="149"/>
      <c r="AH56" s="156"/>
      <c r="AI56" s="156"/>
      <c r="AJ56" s="156"/>
      <c r="AK56" s="156"/>
      <c r="AL56" s="156"/>
      <c r="AM56" s="156"/>
      <c r="AN56" s="156"/>
      <c r="AO56" s="156"/>
      <c r="AP56" s="156"/>
      <c r="AS56" s="170"/>
      <c r="AT56" s="170"/>
      <c r="AU56" s="170"/>
      <c r="AV56" s="156"/>
      <c r="BE56" s="156"/>
      <c r="BF56" s="156"/>
      <c r="BG56" s="156"/>
      <c r="BH56" s="156"/>
      <c r="BI56" s="156"/>
      <c r="BJ56" s="156"/>
      <c r="BK56" s="156"/>
      <c r="BL56" s="156"/>
      <c r="BM56" s="156"/>
    </row>
    <row r="57" spans="1:65" s="127" customFormat="1" ht="14.25" hidden="1" customHeight="1">
      <c r="A57" s="157"/>
      <c r="B57" s="596"/>
      <c r="C57" s="158"/>
      <c r="D57" s="159"/>
      <c r="E57" s="160"/>
      <c r="F57" s="565"/>
      <c r="G57" s="161"/>
      <c r="H57" s="162">
        <f t="shared" si="1"/>
        <v>0</v>
      </c>
      <c r="I57" s="163"/>
      <c r="J57" s="164"/>
      <c r="K57" s="165">
        <f t="shared" si="8"/>
        <v>0</v>
      </c>
      <c r="L57" s="165">
        <f t="shared" si="2"/>
        <v>0</v>
      </c>
      <c r="M57" s="278"/>
      <c r="N57" s="136"/>
      <c r="O57" s="136"/>
      <c r="P57" s="166"/>
      <c r="Q57" s="141"/>
      <c r="R57" s="141"/>
      <c r="S57" s="141"/>
      <c r="T57" s="141"/>
      <c r="U57" s="167"/>
      <c r="V57" s="167"/>
      <c r="W57" s="168">
        <f t="shared" si="9"/>
        <v>0</v>
      </c>
      <c r="X57" s="169">
        <f t="shared" si="3"/>
        <v>0</v>
      </c>
      <c r="Y57" s="169">
        <f t="shared" si="4"/>
        <v>0</v>
      </c>
      <c r="Z57" s="227">
        <f t="shared" si="5"/>
        <v>0</v>
      </c>
      <c r="AA57" s="227">
        <f t="shared" si="6"/>
        <v>0</v>
      </c>
      <c r="AB57" s="227">
        <f t="shared" si="7"/>
        <v>0</v>
      </c>
      <c r="AC57" s="170"/>
      <c r="AD57" s="182"/>
      <c r="AE57" s="147"/>
      <c r="AF57" s="149"/>
      <c r="AG57" s="149"/>
      <c r="AH57" s="156"/>
      <c r="AI57" s="156"/>
      <c r="AJ57" s="156"/>
      <c r="AK57" s="156"/>
      <c r="AL57" s="156"/>
      <c r="AM57" s="156"/>
      <c r="AN57" s="156"/>
      <c r="AO57" s="156"/>
      <c r="AP57" s="156"/>
      <c r="AS57" s="170"/>
      <c r="AT57" s="170"/>
      <c r="AU57" s="170"/>
      <c r="AV57" s="156"/>
      <c r="BE57" s="156"/>
      <c r="BF57" s="156"/>
      <c r="BG57" s="156"/>
      <c r="BH57" s="156"/>
      <c r="BI57" s="156"/>
      <c r="BJ57" s="156"/>
      <c r="BK57" s="156"/>
      <c r="BL57" s="156"/>
      <c r="BM57" s="156"/>
    </row>
    <row r="58" spans="1:65" s="127" customFormat="1" ht="14.25" hidden="1" customHeight="1">
      <c r="A58" s="157"/>
      <c r="B58" s="596"/>
      <c r="C58" s="158"/>
      <c r="D58" s="159"/>
      <c r="E58" s="160"/>
      <c r="F58" s="565"/>
      <c r="G58" s="161"/>
      <c r="H58" s="162">
        <f t="shared" si="1"/>
        <v>0</v>
      </c>
      <c r="I58" s="163"/>
      <c r="J58" s="164"/>
      <c r="K58" s="165">
        <f t="shared" si="8"/>
        <v>0</v>
      </c>
      <c r="L58" s="165">
        <f t="shared" si="2"/>
        <v>0</v>
      </c>
      <c r="M58" s="278"/>
      <c r="N58" s="136"/>
      <c r="O58" s="136"/>
      <c r="P58" s="166"/>
      <c r="Q58" s="141"/>
      <c r="R58" s="141"/>
      <c r="S58" s="141"/>
      <c r="T58" s="141"/>
      <c r="U58" s="167"/>
      <c r="V58" s="167"/>
      <c r="W58" s="168">
        <f t="shared" si="9"/>
        <v>0</v>
      </c>
      <c r="X58" s="169">
        <f t="shared" si="3"/>
        <v>0</v>
      </c>
      <c r="Y58" s="169">
        <f t="shared" si="4"/>
        <v>0</v>
      </c>
      <c r="Z58" s="227">
        <f t="shared" si="5"/>
        <v>0</v>
      </c>
      <c r="AA58" s="227">
        <f t="shared" si="6"/>
        <v>0</v>
      </c>
      <c r="AB58" s="227">
        <f t="shared" si="7"/>
        <v>0</v>
      </c>
      <c r="AC58" s="170"/>
      <c r="AD58" s="182"/>
      <c r="AE58" s="147"/>
      <c r="AF58" s="149"/>
      <c r="AG58" s="149"/>
      <c r="AH58" s="156"/>
      <c r="AI58" s="156"/>
      <c r="AJ58" s="156"/>
      <c r="AK58" s="156"/>
      <c r="AL58" s="156"/>
      <c r="AM58" s="156"/>
      <c r="AN58" s="156"/>
      <c r="AO58" s="156"/>
      <c r="AP58" s="156"/>
      <c r="AS58" s="170"/>
      <c r="AT58" s="170"/>
      <c r="AU58" s="170"/>
      <c r="AV58" s="156"/>
      <c r="BE58" s="156"/>
      <c r="BF58" s="156"/>
      <c r="BG58" s="156"/>
      <c r="BH58" s="156"/>
      <c r="BI58" s="156"/>
      <c r="BJ58" s="156"/>
      <c r="BK58" s="156"/>
      <c r="BL58" s="156"/>
      <c r="BM58" s="156"/>
    </row>
    <row r="59" spans="1:65" s="127" customFormat="1" ht="14.25" hidden="1" customHeight="1">
      <c r="A59" s="157"/>
      <c r="B59" s="596"/>
      <c r="C59" s="158"/>
      <c r="D59" s="159"/>
      <c r="E59" s="160"/>
      <c r="F59" s="565"/>
      <c r="G59" s="161"/>
      <c r="H59" s="162">
        <f t="shared" si="1"/>
        <v>0</v>
      </c>
      <c r="I59" s="163"/>
      <c r="J59" s="164"/>
      <c r="K59" s="165">
        <f t="shared" si="8"/>
        <v>0</v>
      </c>
      <c r="L59" s="165">
        <f t="shared" si="2"/>
        <v>0</v>
      </c>
      <c r="M59" s="278"/>
      <c r="N59" s="136"/>
      <c r="O59" s="136"/>
      <c r="P59" s="166"/>
      <c r="Q59" s="141"/>
      <c r="R59" s="141"/>
      <c r="S59" s="141"/>
      <c r="T59" s="141"/>
      <c r="U59" s="167"/>
      <c r="V59" s="167"/>
      <c r="W59" s="168">
        <f t="shared" si="9"/>
        <v>0</v>
      </c>
      <c r="X59" s="169">
        <f t="shared" si="3"/>
        <v>0</v>
      </c>
      <c r="Y59" s="169">
        <f t="shared" si="4"/>
        <v>0</v>
      </c>
      <c r="Z59" s="227">
        <f t="shared" si="5"/>
        <v>0</v>
      </c>
      <c r="AA59" s="227">
        <f t="shared" si="6"/>
        <v>0</v>
      </c>
      <c r="AB59" s="227">
        <f t="shared" si="7"/>
        <v>0</v>
      </c>
      <c r="AC59" s="170"/>
      <c r="AD59" s="182"/>
      <c r="AE59" s="147"/>
      <c r="AF59" s="149"/>
      <c r="AG59" s="149"/>
      <c r="AH59" s="156"/>
      <c r="AI59" s="156"/>
      <c r="AJ59" s="156"/>
      <c r="AK59" s="156"/>
      <c r="AL59" s="156"/>
      <c r="AM59" s="156"/>
      <c r="AN59" s="156"/>
      <c r="AO59" s="156"/>
      <c r="AP59" s="156"/>
      <c r="AS59" s="170"/>
      <c r="AT59" s="170"/>
      <c r="AU59" s="170"/>
      <c r="AV59" s="156"/>
      <c r="BE59" s="156"/>
      <c r="BF59" s="156"/>
      <c r="BG59" s="156"/>
      <c r="BH59" s="156"/>
      <c r="BI59" s="156"/>
      <c r="BJ59" s="156"/>
      <c r="BK59" s="156"/>
      <c r="BL59" s="156"/>
      <c r="BM59" s="156"/>
    </row>
    <row r="60" spans="1:65" s="127" customFormat="1" ht="14.25" hidden="1" customHeight="1">
      <c r="A60" s="157"/>
      <c r="B60" s="596"/>
      <c r="C60" s="158"/>
      <c r="D60" s="159"/>
      <c r="E60" s="160"/>
      <c r="F60" s="161"/>
      <c r="G60" s="161"/>
      <c r="H60" s="162">
        <f t="shared" si="1"/>
        <v>0</v>
      </c>
      <c r="I60" s="163"/>
      <c r="J60" s="164"/>
      <c r="K60" s="165">
        <f t="shared" si="8"/>
        <v>0</v>
      </c>
      <c r="L60" s="165">
        <f t="shared" si="2"/>
        <v>0</v>
      </c>
      <c r="M60" s="278"/>
      <c r="N60" s="136"/>
      <c r="O60" s="136"/>
      <c r="P60" s="166"/>
      <c r="Q60" s="141"/>
      <c r="R60" s="141"/>
      <c r="S60" s="141"/>
      <c r="T60" s="141"/>
      <c r="U60" s="167"/>
      <c r="V60" s="167"/>
      <c r="W60" s="168">
        <f t="shared" si="9"/>
        <v>0</v>
      </c>
      <c r="X60" s="169">
        <f t="shared" si="3"/>
        <v>0</v>
      </c>
      <c r="Y60" s="169">
        <f t="shared" si="4"/>
        <v>0</v>
      </c>
      <c r="Z60" s="227">
        <f t="shared" si="5"/>
        <v>0</v>
      </c>
      <c r="AA60" s="227">
        <f t="shared" si="6"/>
        <v>0</v>
      </c>
      <c r="AB60" s="227">
        <f t="shared" si="7"/>
        <v>0</v>
      </c>
      <c r="AC60" s="170"/>
      <c r="AD60" s="182"/>
      <c r="AE60" s="147"/>
      <c r="AF60" s="149"/>
      <c r="AG60" s="149"/>
      <c r="AH60" s="156"/>
      <c r="AI60" s="156"/>
      <c r="AJ60" s="156"/>
      <c r="AK60" s="156"/>
      <c r="AL60" s="156"/>
      <c r="AM60" s="156"/>
      <c r="AN60" s="156"/>
      <c r="AO60" s="156"/>
      <c r="AP60" s="156"/>
      <c r="AS60" s="170"/>
      <c r="AT60" s="170"/>
      <c r="AU60" s="170"/>
      <c r="AV60" s="156"/>
      <c r="BE60" s="156"/>
      <c r="BF60" s="156"/>
      <c r="BG60" s="156"/>
      <c r="BH60" s="156"/>
      <c r="BI60" s="156"/>
      <c r="BJ60" s="156"/>
      <c r="BK60" s="156"/>
      <c r="BL60" s="156"/>
      <c r="BM60" s="156"/>
    </row>
    <row r="61" spans="1:65" s="127" customFormat="1" ht="14.25" hidden="1" customHeight="1">
      <c r="A61" s="157"/>
      <c r="B61" s="596"/>
      <c r="C61" s="158"/>
      <c r="D61" s="159"/>
      <c r="E61" s="160"/>
      <c r="F61" s="161"/>
      <c r="G61" s="161"/>
      <c r="H61" s="162">
        <f t="shared" si="1"/>
        <v>0</v>
      </c>
      <c r="I61" s="163"/>
      <c r="J61" s="164"/>
      <c r="K61" s="165">
        <f t="shared" si="8"/>
        <v>0</v>
      </c>
      <c r="L61" s="165">
        <f t="shared" si="2"/>
        <v>0</v>
      </c>
      <c r="M61" s="278"/>
      <c r="N61" s="136"/>
      <c r="O61" s="136"/>
      <c r="P61" s="166"/>
      <c r="Q61" s="141"/>
      <c r="R61" s="141"/>
      <c r="S61" s="141"/>
      <c r="T61" s="141"/>
      <c r="U61" s="167"/>
      <c r="V61" s="167"/>
      <c r="W61" s="168">
        <f t="shared" si="9"/>
        <v>0</v>
      </c>
      <c r="X61" s="169">
        <f t="shared" si="3"/>
        <v>0</v>
      </c>
      <c r="Y61" s="169">
        <f t="shared" si="4"/>
        <v>0</v>
      </c>
      <c r="Z61" s="227">
        <f t="shared" si="5"/>
        <v>0</v>
      </c>
      <c r="AA61" s="227">
        <f t="shared" si="6"/>
        <v>0</v>
      </c>
      <c r="AB61" s="227">
        <f t="shared" si="7"/>
        <v>0</v>
      </c>
      <c r="AC61" s="170"/>
      <c r="AD61" s="182"/>
      <c r="AE61" s="147"/>
      <c r="AF61" s="149"/>
      <c r="AG61" s="149"/>
      <c r="AH61" s="156"/>
      <c r="AI61" s="156"/>
      <c r="AJ61" s="156"/>
      <c r="AK61" s="156"/>
      <c r="AL61" s="156"/>
      <c r="AM61" s="156"/>
      <c r="AN61" s="156"/>
      <c r="AO61" s="156"/>
      <c r="AP61" s="156"/>
      <c r="AS61" s="170"/>
      <c r="AT61" s="170"/>
      <c r="AU61" s="170"/>
      <c r="AV61" s="156"/>
      <c r="BE61" s="156"/>
      <c r="BF61" s="156"/>
      <c r="BG61" s="156"/>
      <c r="BH61" s="156"/>
      <c r="BI61" s="156"/>
      <c r="BJ61" s="156"/>
      <c r="BK61" s="156"/>
      <c r="BL61" s="156"/>
      <c r="BM61" s="156"/>
    </row>
    <row r="62" spans="1:65" s="127" customFormat="1" ht="14.25" hidden="1" customHeight="1">
      <c r="A62" s="157"/>
      <c r="B62" s="596"/>
      <c r="C62" s="158"/>
      <c r="D62" s="571"/>
      <c r="E62" s="160"/>
      <c r="F62" s="161"/>
      <c r="G62" s="161"/>
      <c r="H62" s="162">
        <f t="shared" si="1"/>
        <v>0</v>
      </c>
      <c r="I62" s="163"/>
      <c r="J62" s="164"/>
      <c r="K62" s="165">
        <f t="shared" si="8"/>
        <v>0</v>
      </c>
      <c r="L62" s="165">
        <f t="shared" si="2"/>
        <v>0</v>
      </c>
      <c r="M62" s="278"/>
      <c r="N62" s="136"/>
      <c r="O62" s="136"/>
      <c r="P62" s="166"/>
      <c r="Q62" s="141"/>
      <c r="R62" s="141"/>
      <c r="S62" s="141"/>
      <c r="T62" s="141"/>
      <c r="U62" s="167"/>
      <c r="V62" s="167"/>
      <c r="W62" s="168">
        <f t="shared" si="9"/>
        <v>0</v>
      </c>
      <c r="X62" s="169">
        <f t="shared" si="3"/>
        <v>0</v>
      </c>
      <c r="Y62" s="169">
        <f t="shared" si="4"/>
        <v>0</v>
      </c>
      <c r="Z62" s="227">
        <f t="shared" si="5"/>
        <v>0</v>
      </c>
      <c r="AA62" s="227">
        <f t="shared" si="6"/>
        <v>0</v>
      </c>
      <c r="AB62" s="227">
        <f t="shared" si="7"/>
        <v>0</v>
      </c>
      <c r="AC62" s="170"/>
      <c r="AD62" s="182"/>
      <c r="AE62" s="147"/>
      <c r="AF62" s="149"/>
      <c r="AG62" s="149"/>
      <c r="AH62" s="156"/>
      <c r="AI62" s="156"/>
      <c r="AJ62" s="156"/>
      <c r="AK62" s="156"/>
      <c r="AL62" s="156"/>
      <c r="AM62" s="156"/>
      <c r="AN62" s="156"/>
      <c r="AO62" s="156"/>
      <c r="AP62" s="156"/>
      <c r="AS62" s="170"/>
      <c r="AT62" s="170"/>
      <c r="AU62" s="170"/>
      <c r="AV62" s="156"/>
      <c r="BE62" s="156"/>
      <c r="BF62" s="156"/>
      <c r="BG62" s="156"/>
      <c r="BH62" s="156"/>
      <c r="BI62" s="156"/>
      <c r="BJ62" s="156"/>
      <c r="BK62" s="156"/>
      <c r="BL62" s="156"/>
      <c r="BM62" s="156"/>
    </row>
    <row r="63" spans="1:65" s="127" customFormat="1" ht="14.25" hidden="1" customHeight="1">
      <c r="A63" s="157"/>
      <c r="B63" s="596"/>
      <c r="C63" s="158"/>
      <c r="D63" s="159"/>
      <c r="E63" s="160"/>
      <c r="F63" s="161"/>
      <c r="G63" s="161"/>
      <c r="H63" s="162">
        <f t="shared" si="1"/>
        <v>0</v>
      </c>
      <c r="I63" s="163"/>
      <c r="J63" s="164"/>
      <c r="K63" s="165">
        <f t="shared" si="8"/>
        <v>0</v>
      </c>
      <c r="L63" s="165">
        <f t="shared" si="2"/>
        <v>0</v>
      </c>
      <c r="M63" s="278"/>
      <c r="N63" s="136"/>
      <c r="O63" s="136"/>
      <c r="P63" s="166"/>
      <c r="Q63" s="141"/>
      <c r="R63" s="141"/>
      <c r="S63" s="141"/>
      <c r="T63" s="141"/>
      <c r="U63" s="167"/>
      <c r="V63" s="167"/>
      <c r="W63" s="168">
        <f t="shared" si="9"/>
        <v>0</v>
      </c>
      <c r="X63" s="169">
        <f t="shared" si="3"/>
        <v>0</v>
      </c>
      <c r="Y63" s="169">
        <f t="shared" si="4"/>
        <v>0</v>
      </c>
      <c r="Z63" s="227">
        <f t="shared" si="5"/>
        <v>0</v>
      </c>
      <c r="AA63" s="227">
        <f t="shared" si="6"/>
        <v>0</v>
      </c>
      <c r="AB63" s="227">
        <f t="shared" si="7"/>
        <v>0</v>
      </c>
      <c r="AC63" s="170"/>
      <c r="AD63" s="182"/>
      <c r="AE63" s="147"/>
      <c r="AF63" s="149"/>
      <c r="AG63" s="149"/>
      <c r="AH63" s="156"/>
      <c r="AI63" s="156"/>
      <c r="AJ63" s="156"/>
      <c r="AK63" s="156"/>
      <c r="AL63" s="156"/>
      <c r="AM63" s="156"/>
      <c r="AN63" s="156"/>
      <c r="AO63" s="156"/>
      <c r="AP63" s="156"/>
      <c r="AS63" s="170"/>
      <c r="AT63" s="170"/>
      <c r="AU63" s="170"/>
      <c r="AV63" s="156"/>
      <c r="BE63" s="156"/>
      <c r="BF63" s="156"/>
      <c r="BG63" s="156"/>
      <c r="BH63" s="156"/>
      <c r="BI63" s="156"/>
      <c r="BJ63" s="156"/>
      <c r="BK63" s="156"/>
      <c r="BL63" s="156"/>
      <c r="BM63" s="156"/>
    </row>
    <row r="64" spans="1:65" s="127" customFormat="1" ht="14.25" hidden="1" customHeight="1">
      <c r="A64" s="157"/>
      <c r="B64" s="596"/>
      <c r="C64" s="158"/>
      <c r="D64" s="159"/>
      <c r="E64" s="160"/>
      <c r="F64" s="161"/>
      <c r="G64" s="161"/>
      <c r="H64" s="162">
        <f t="shared" si="1"/>
        <v>0</v>
      </c>
      <c r="I64" s="163"/>
      <c r="J64" s="164"/>
      <c r="K64" s="165">
        <f t="shared" si="8"/>
        <v>0</v>
      </c>
      <c r="L64" s="165">
        <f t="shared" si="2"/>
        <v>0</v>
      </c>
      <c r="M64" s="278"/>
      <c r="N64" s="136"/>
      <c r="O64" s="136"/>
      <c r="P64" s="166"/>
      <c r="Q64" s="141"/>
      <c r="R64" s="141"/>
      <c r="S64" s="141"/>
      <c r="T64" s="141"/>
      <c r="U64" s="167"/>
      <c r="V64" s="167"/>
      <c r="W64" s="168">
        <f t="shared" si="9"/>
        <v>0</v>
      </c>
      <c r="X64" s="169">
        <f t="shared" si="3"/>
        <v>0</v>
      </c>
      <c r="Y64" s="169">
        <f t="shared" si="4"/>
        <v>0</v>
      </c>
      <c r="Z64" s="227">
        <f t="shared" si="5"/>
        <v>0</v>
      </c>
      <c r="AA64" s="227">
        <f t="shared" si="6"/>
        <v>0</v>
      </c>
      <c r="AB64" s="227">
        <f t="shared" si="7"/>
        <v>0</v>
      </c>
      <c r="AC64" s="170"/>
      <c r="AD64" s="182"/>
      <c r="AE64" s="147"/>
      <c r="AF64" s="149"/>
      <c r="AG64" s="149"/>
      <c r="AH64" s="156"/>
      <c r="AI64" s="156"/>
      <c r="AJ64" s="156"/>
      <c r="AK64" s="156"/>
      <c r="AL64" s="156"/>
      <c r="AM64" s="156"/>
      <c r="AN64" s="156"/>
      <c r="AO64" s="156"/>
      <c r="AP64" s="156"/>
      <c r="AS64" s="170"/>
      <c r="AT64" s="170"/>
      <c r="AU64" s="170"/>
      <c r="AV64" s="156"/>
      <c r="BE64" s="156"/>
      <c r="BF64" s="156"/>
      <c r="BG64" s="156"/>
      <c r="BH64" s="156"/>
      <c r="BI64" s="156"/>
      <c r="BJ64" s="156"/>
      <c r="BK64" s="156"/>
      <c r="BL64" s="156"/>
      <c r="BM64" s="156"/>
    </row>
    <row r="65" spans="1:73" s="127" customFormat="1" ht="14.25" hidden="1" customHeight="1">
      <c r="A65" s="157"/>
      <c r="B65" s="596"/>
      <c r="C65" s="158"/>
      <c r="D65" s="159"/>
      <c r="E65" s="160"/>
      <c r="F65" s="161"/>
      <c r="G65" s="161"/>
      <c r="H65" s="162">
        <f t="shared" si="1"/>
        <v>0</v>
      </c>
      <c r="I65" s="163"/>
      <c r="J65" s="164"/>
      <c r="K65" s="165">
        <f t="shared" si="8"/>
        <v>0</v>
      </c>
      <c r="L65" s="165">
        <f t="shared" si="2"/>
        <v>0</v>
      </c>
      <c r="M65" s="278"/>
      <c r="N65" s="136"/>
      <c r="O65" s="136"/>
      <c r="P65" s="166"/>
      <c r="Q65" s="141"/>
      <c r="R65" s="141"/>
      <c r="S65" s="141"/>
      <c r="T65" s="141"/>
      <c r="U65" s="167"/>
      <c r="V65" s="167"/>
      <c r="W65" s="168">
        <f t="shared" si="9"/>
        <v>0</v>
      </c>
      <c r="X65" s="169">
        <f t="shared" si="3"/>
        <v>0</v>
      </c>
      <c r="Y65" s="169">
        <f t="shared" si="4"/>
        <v>0</v>
      </c>
      <c r="Z65" s="227">
        <f t="shared" si="5"/>
        <v>0</v>
      </c>
      <c r="AA65" s="227">
        <f t="shared" si="6"/>
        <v>0</v>
      </c>
      <c r="AB65" s="227">
        <f t="shared" si="7"/>
        <v>0</v>
      </c>
      <c r="AC65" s="170"/>
      <c r="AD65" s="182"/>
      <c r="AE65" s="147"/>
      <c r="AF65" s="149"/>
      <c r="AG65" s="149"/>
      <c r="AH65" s="156"/>
      <c r="AI65" s="156"/>
      <c r="AJ65" s="156"/>
      <c r="AK65" s="156"/>
      <c r="AL65" s="156"/>
      <c r="AM65" s="156"/>
      <c r="AN65" s="156"/>
      <c r="AO65" s="156"/>
      <c r="AP65" s="156"/>
      <c r="AS65" s="170"/>
      <c r="AT65" s="170"/>
      <c r="AU65" s="170"/>
      <c r="AV65" s="156"/>
      <c r="BE65" s="156"/>
      <c r="BF65" s="156"/>
      <c r="BG65" s="156"/>
      <c r="BH65" s="156"/>
      <c r="BI65" s="156"/>
      <c r="BJ65" s="156"/>
      <c r="BK65" s="156"/>
      <c r="BL65" s="156"/>
      <c r="BM65" s="156"/>
    </row>
    <row r="66" spans="1:73" s="127" customFormat="1" ht="14.25" hidden="1" customHeight="1">
      <c r="A66" s="157"/>
      <c r="B66" s="596"/>
      <c r="C66" s="158"/>
      <c r="D66" s="159"/>
      <c r="E66" s="160"/>
      <c r="F66" s="161"/>
      <c r="G66" s="161"/>
      <c r="H66" s="162">
        <f t="shared" si="1"/>
        <v>0</v>
      </c>
      <c r="I66" s="163"/>
      <c r="J66" s="164"/>
      <c r="K66" s="165">
        <f t="shared" si="8"/>
        <v>0</v>
      </c>
      <c r="L66" s="165">
        <f t="shared" si="2"/>
        <v>0</v>
      </c>
      <c r="M66" s="278"/>
      <c r="N66" s="136"/>
      <c r="O66" s="136"/>
      <c r="P66" s="166"/>
      <c r="Q66" s="141"/>
      <c r="R66" s="141"/>
      <c r="S66" s="141"/>
      <c r="T66" s="141"/>
      <c r="U66" s="167"/>
      <c r="V66" s="167"/>
      <c r="W66" s="168">
        <f t="shared" si="9"/>
        <v>0</v>
      </c>
      <c r="X66" s="169">
        <f t="shared" si="3"/>
        <v>0</v>
      </c>
      <c r="Y66" s="169">
        <f t="shared" si="4"/>
        <v>0</v>
      </c>
      <c r="Z66" s="227">
        <f t="shared" si="5"/>
        <v>0</v>
      </c>
      <c r="AA66" s="227">
        <f t="shared" si="6"/>
        <v>0</v>
      </c>
      <c r="AB66" s="227">
        <f t="shared" si="7"/>
        <v>0</v>
      </c>
      <c r="AC66" s="170"/>
      <c r="AD66" s="182"/>
      <c r="AE66" s="147"/>
      <c r="AF66" s="149"/>
      <c r="AG66" s="149"/>
      <c r="AH66" s="156"/>
      <c r="AI66" s="156"/>
      <c r="AJ66" s="156"/>
      <c r="AK66" s="156"/>
      <c r="AL66" s="156"/>
      <c r="AM66" s="156"/>
      <c r="AN66" s="156"/>
      <c r="AO66" s="156"/>
      <c r="AP66" s="156"/>
      <c r="AS66" s="170"/>
      <c r="AT66" s="170"/>
      <c r="AU66" s="170"/>
      <c r="AV66" s="156"/>
      <c r="BE66" s="156"/>
      <c r="BF66" s="156"/>
      <c r="BG66" s="156"/>
      <c r="BH66" s="156"/>
      <c r="BI66" s="156"/>
      <c r="BJ66" s="156"/>
      <c r="BK66" s="156"/>
      <c r="BL66" s="156"/>
      <c r="BM66" s="156"/>
    </row>
    <row r="67" spans="1:73" s="127" customFormat="1" ht="14.25" hidden="1" customHeight="1">
      <c r="A67" s="157"/>
      <c r="B67" s="596"/>
      <c r="C67" s="158"/>
      <c r="D67" s="159"/>
      <c r="E67" s="160"/>
      <c r="F67" s="161"/>
      <c r="G67" s="161"/>
      <c r="H67" s="162">
        <f t="shared" si="1"/>
        <v>0</v>
      </c>
      <c r="I67" s="163"/>
      <c r="J67" s="164"/>
      <c r="K67" s="165">
        <f t="shared" si="8"/>
        <v>0</v>
      </c>
      <c r="L67" s="165">
        <f t="shared" si="2"/>
        <v>0</v>
      </c>
      <c r="M67" s="278"/>
      <c r="N67" s="136"/>
      <c r="O67" s="136"/>
      <c r="P67" s="166"/>
      <c r="Q67" s="141"/>
      <c r="R67" s="141"/>
      <c r="S67" s="141"/>
      <c r="T67" s="141"/>
      <c r="U67" s="167"/>
      <c r="V67" s="167"/>
      <c r="W67" s="168">
        <f t="shared" si="9"/>
        <v>0</v>
      </c>
      <c r="X67" s="169">
        <f t="shared" si="3"/>
        <v>0</v>
      </c>
      <c r="Y67" s="169">
        <f t="shared" si="4"/>
        <v>0</v>
      </c>
      <c r="Z67" s="227">
        <f t="shared" si="5"/>
        <v>0</v>
      </c>
      <c r="AA67" s="227">
        <f t="shared" si="6"/>
        <v>0</v>
      </c>
      <c r="AB67" s="227">
        <f t="shared" si="7"/>
        <v>0</v>
      </c>
      <c r="AC67" s="170"/>
      <c r="AD67" s="182"/>
      <c r="AE67" s="147"/>
      <c r="AF67" s="149"/>
      <c r="AG67" s="149"/>
      <c r="AH67" s="156"/>
      <c r="AI67" s="156"/>
      <c r="AJ67" s="156"/>
      <c r="AK67" s="156"/>
      <c r="AL67" s="156"/>
      <c r="AM67" s="156"/>
      <c r="AN67" s="156"/>
      <c r="AO67" s="156"/>
      <c r="AP67" s="156"/>
      <c r="AS67" s="170"/>
      <c r="AT67" s="170"/>
      <c r="AU67" s="170"/>
      <c r="AV67" s="156"/>
      <c r="BE67" s="156"/>
      <c r="BF67" s="156"/>
      <c r="BG67" s="156"/>
      <c r="BH67" s="156"/>
      <c r="BI67" s="156"/>
      <c r="BJ67" s="156"/>
      <c r="BK67" s="156"/>
      <c r="BL67" s="156"/>
      <c r="BM67" s="156"/>
    </row>
    <row r="68" spans="1:73" s="127" customFormat="1" ht="14.25" hidden="1" customHeight="1">
      <c r="A68" s="157"/>
      <c r="B68" s="596"/>
      <c r="C68" s="158"/>
      <c r="D68" s="159"/>
      <c r="E68" s="160"/>
      <c r="F68" s="161"/>
      <c r="G68" s="161"/>
      <c r="H68" s="162">
        <f t="shared" si="1"/>
        <v>0</v>
      </c>
      <c r="I68" s="163"/>
      <c r="J68" s="164"/>
      <c r="K68" s="165">
        <f t="shared" si="8"/>
        <v>0</v>
      </c>
      <c r="L68" s="165">
        <f t="shared" si="2"/>
        <v>0</v>
      </c>
      <c r="M68" s="278"/>
      <c r="N68" s="136"/>
      <c r="O68" s="136"/>
      <c r="P68" s="166"/>
      <c r="Q68" s="141"/>
      <c r="R68" s="141"/>
      <c r="S68" s="141"/>
      <c r="T68" s="141"/>
      <c r="U68" s="167"/>
      <c r="V68" s="167"/>
      <c r="W68" s="168">
        <f t="shared" si="9"/>
        <v>0</v>
      </c>
      <c r="X68" s="169">
        <f t="shared" si="3"/>
        <v>0</v>
      </c>
      <c r="Y68" s="169">
        <f t="shared" si="4"/>
        <v>0</v>
      </c>
      <c r="Z68" s="227">
        <f t="shared" si="5"/>
        <v>0</v>
      </c>
      <c r="AA68" s="227">
        <f t="shared" si="6"/>
        <v>0</v>
      </c>
      <c r="AB68" s="227">
        <f t="shared" si="7"/>
        <v>0</v>
      </c>
      <c r="AC68" s="170"/>
      <c r="AD68" s="182"/>
      <c r="AE68" s="147"/>
      <c r="AF68" s="149"/>
      <c r="AG68" s="149"/>
      <c r="AH68" s="156"/>
      <c r="AI68" s="156"/>
      <c r="AJ68" s="156"/>
      <c r="AK68" s="156"/>
      <c r="AL68" s="156"/>
      <c r="AM68" s="156"/>
      <c r="AN68" s="156"/>
      <c r="AO68" s="156"/>
      <c r="AP68" s="156"/>
      <c r="AS68" s="170"/>
      <c r="AT68" s="170"/>
      <c r="AU68" s="170"/>
      <c r="AV68" s="156"/>
      <c r="BE68" s="156"/>
      <c r="BF68" s="156"/>
      <c r="BG68" s="156"/>
      <c r="BH68" s="156"/>
      <c r="BI68" s="156"/>
      <c r="BJ68" s="156"/>
      <c r="BK68" s="156"/>
      <c r="BL68" s="156"/>
      <c r="BM68" s="156"/>
    </row>
    <row r="69" spans="1:73" s="127" customFormat="1" ht="14.25" customHeight="1">
      <c r="A69" s="157"/>
      <c r="B69" s="596"/>
      <c r="C69" s="158"/>
      <c r="D69" s="159"/>
      <c r="E69" s="160"/>
      <c r="F69" s="161"/>
      <c r="G69" s="161"/>
      <c r="H69" s="162">
        <f t="shared" si="1"/>
        <v>0</v>
      </c>
      <c r="I69" s="163"/>
      <c r="J69" s="164"/>
      <c r="K69" s="165">
        <f t="shared" si="8"/>
        <v>0</v>
      </c>
      <c r="L69" s="165">
        <f t="shared" si="2"/>
        <v>0</v>
      </c>
      <c r="M69" s="278"/>
      <c r="N69" s="136"/>
      <c r="O69" s="136"/>
      <c r="P69" s="166"/>
      <c r="Q69" s="141"/>
      <c r="R69" s="141"/>
      <c r="S69" s="141"/>
      <c r="T69" s="141"/>
      <c r="U69" s="167"/>
      <c r="V69" s="167"/>
      <c r="W69" s="168">
        <f t="shared" si="9"/>
        <v>0</v>
      </c>
      <c r="X69" s="169">
        <f t="shared" si="3"/>
        <v>0</v>
      </c>
      <c r="Y69" s="169">
        <f t="shared" si="4"/>
        <v>0</v>
      </c>
      <c r="Z69" s="227">
        <f t="shared" si="5"/>
        <v>0</v>
      </c>
      <c r="AA69" s="227">
        <f t="shared" si="6"/>
        <v>0</v>
      </c>
      <c r="AB69" s="227">
        <f t="shared" si="7"/>
        <v>0</v>
      </c>
      <c r="AC69" s="170"/>
      <c r="AD69" s="182"/>
      <c r="AE69" s="147"/>
      <c r="AF69" s="149"/>
      <c r="AG69" s="149"/>
      <c r="AH69" s="156"/>
      <c r="AI69" s="156"/>
      <c r="AJ69" s="156"/>
      <c r="AK69" s="156"/>
      <c r="AL69" s="156"/>
      <c r="AM69" s="156"/>
      <c r="AN69" s="156"/>
      <c r="AO69" s="156"/>
      <c r="AP69" s="156"/>
      <c r="AS69" s="170"/>
      <c r="AT69" s="170"/>
      <c r="AU69" s="170"/>
      <c r="AV69" s="156"/>
      <c r="BE69" s="156"/>
      <c r="BF69" s="156"/>
      <c r="BG69" s="156"/>
      <c r="BH69" s="156"/>
      <c r="BI69" s="156"/>
      <c r="BJ69" s="156"/>
      <c r="BK69" s="156"/>
      <c r="BL69" s="156"/>
      <c r="BM69" s="156"/>
    </row>
    <row r="70" spans="1:73" s="127" customFormat="1" ht="14.25" customHeight="1">
      <c r="A70" s="171" t="s">
        <v>337</v>
      </c>
      <c r="B70" s="597"/>
      <c r="C70" s="172"/>
      <c r="D70" s="173"/>
      <c r="E70" s="174">
        <f>AT113</f>
        <v>91658.890042086816</v>
      </c>
      <c r="F70" s="175"/>
      <c r="G70" s="176"/>
      <c r="H70" s="178">
        <f>IF(AV114=0,0,AT114/AV114*100)</f>
        <v>49.031970625468198</v>
      </c>
      <c r="I70" s="568"/>
      <c r="J70" s="177"/>
      <c r="K70" s="178">
        <f>AT131</f>
        <v>144.41508968448133</v>
      </c>
      <c r="L70" s="178">
        <f>AT132</f>
        <v>5.6104085066414022</v>
      </c>
      <c r="M70" s="181">
        <f>AT133</f>
        <v>25.740565863168055</v>
      </c>
      <c r="N70" s="178">
        <f>AT134</f>
        <v>1.1803619703536286</v>
      </c>
      <c r="O70" s="178">
        <f>AT135</f>
        <v>15.738159604715047</v>
      </c>
      <c r="P70" s="180">
        <f>AT136</f>
        <v>1.9672699505893811E-2</v>
      </c>
      <c r="Q70" s="181">
        <f>AT137</f>
        <v>0.9081825123526549</v>
      </c>
      <c r="R70" s="181">
        <f>AT138</f>
        <v>0.20656334481188499</v>
      </c>
      <c r="S70" s="181">
        <f>AT139</f>
        <v>0.11803619703536285</v>
      </c>
      <c r="T70" s="181">
        <f>AT140</f>
        <v>0</v>
      </c>
      <c r="U70" s="179"/>
      <c r="V70" s="177"/>
      <c r="W70" s="174" t="s">
        <v>51</v>
      </c>
      <c r="X70" s="174" t="s">
        <v>51</v>
      </c>
      <c r="Y70" s="174" t="s">
        <v>51</v>
      </c>
      <c r="AC70" s="147"/>
      <c r="AE70" s="147"/>
      <c r="AF70" s="147"/>
      <c r="AG70" s="147"/>
      <c r="AH70" s="156"/>
      <c r="AI70" s="156"/>
      <c r="AJ70" s="156"/>
      <c r="AK70" s="156"/>
      <c r="AL70" s="156"/>
      <c r="AM70" s="156"/>
      <c r="AN70" s="156"/>
      <c r="AO70" s="156"/>
      <c r="AP70" s="156"/>
      <c r="AQ70" s="182"/>
      <c r="AR70" s="182"/>
      <c r="AS70" s="183"/>
      <c r="AT70" s="183"/>
      <c r="AU70" s="183"/>
      <c r="AV70" s="147"/>
      <c r="BE70" s="156"/>
      <c r="BF70" s="156"/>
      <c r="BG70" s="156"/>
      <c r="BH70" s="156"/>
      <c r="BI70" s="156"/>
      <c r="BJ70" s="156"/>
      <c r="BK70" s="156"/>
      <c r="BL70" s="156"/>
      <c r="BM70" s="156"/>
    </row>
    <row r="71" spans="1:73" s="127" customFormat="1" ht="14.25" customHeight="1">
      <c r="A71" s="171" t="s">
        <v>338</v>
      </c>
      <c r="B71" s="597"/>
      <c r="C71" s="172"/>
      <c r="D71" s="184"/>
      <c r="E71" s="174">
        <f>AU113</f>
        <v>150929.55715291959</v>
      </c>
      <c r="F71" s="185"/>
      <c r="G71" s="147"/>
      <c r="H71" s="178">
        <f>IF(AV114=0,0,AU114/AV114*100)</f>
        <v>50.96802937453181</v>
      </c>
      <c r="I71" s="566"/>
      <c r="J71" s="186"/>
      <c r="K71" s="178">
        <f>AU131</f>
        <v>21.076529742105922</v>
      </c>
      <c r="L71" s="178">
        <f>AU132</f>
        <v>1.2970664487134351</v>
      </c>
      <c r="M71" s="181">
        <f>AU133</f>
        <v>16.249383185427245</v>
      </c>
      <c r="N71" s="178">
        <f>AU134</f>
        <v>22.434019908527379</v>
      </c>
      <c r="O71" s="178">
        <f>AU135</f>
        <v>10.907884133513461</v>
      </c>
      <c r="P71" s="180">
        <f>AU136</f>
        <v>0.31190424170172315</v>
      </c>
      <c r="Q71" s="181">
        <f>AU137</f>
        <v>0.39133229259418861</v>
      </c>
      <c r="R71" s="181">
        <f>AU138</f>
        <v>0.2154253886705412</v>
      </c>
      <c r="S71" s="181">
        <f>AU139</f>
        <v>0.195068734736146</v>
      </c>
      <c r="T71" s="181">
        <f>AU140</f>
        <v>0</v>
      </c>
      <c r="U71" s="187"/>
      <c r="V71" s="186"/>
      <c r="W71" s="174">
        <f>SUM(W21:W69)</f>
        <v>10578524.055144563</v>
      </c>
      <c r="X71" s="178">
        <f>IF(AU114=0,0,W71/AU114)</f>
        <v>4.3133420579279669</v>
      </c>
      <c r="Y71" s="178">
        <f>IF(E71=0,0,W71/E71)</f>
        <v>70.089147909090855</v>
      </c>
      <c r="Z71" s="188"/>
      <c r="AC71" s="147"/>
      <c r="AD71" s="147"/>
      <c r="AE71" s="147"/>
      <c r="AF71" s="147"/>
      <c r="AG71" s="147"/>
      <c r="AH71" s="156"/>
      <c r="AI71" s="156"/>
      <c r="AJ71" s="156"/>
      <c r="AK71" s="156"/>
      <c r="AL71" s="156"/>
      <c r="AM71" s="156"/>
      <c r="AN71" s="156"/>
      <c r="AO71" s="156"/>
      <c r="AP71" s="156"/>
      <c r="AQ71" s="182"/>
      <c r="AR71" s="182"/>
      <c r="AS71" s="183"/>
      <c r="AT71" s="183"/>
      <c r="AU71" s="183"/>
      <c r="AV71" s="147"/>
      <c r="BE71" s="156"/>
      <c r="BF71" s="156"/>
      <c r="BG71" s="156"/>
      <c r="BH71" s="156"/>
      <c r="BI71" s="156"/>
      <c r="BJ71" s="156"/>
      <c r="BK71" s="156"/>
      <c r="BL71" s="156"/>
      <c r="BM71" s="156"/>
    </row>
    <row r="72" spans="1:73" s="127" customFormat="1" ht="14.25" customHeight="1">
      <c r="D72" s="313"/>
      <c r="E72" s="312"/>
      <c r="G72" s="189"/>
      <c r="W72" s="190"/>
      <c r="X72" s="191"/>
      <c r="AC72" s="147"/>
      <c r="AD72" s="147"/>
      <c r="AE72" s="147"/>
      <c r="AF72" s="147"/>
      <c r="AG72" s="147"/>
      <c r="AH72" s="156"/>
      <c r="AI72" s="156"/>
      <c r="AJ72" s="156"/>
      <c r="AK72" s="156"/>
      <c r="AL72" s="156"/>
      <c r="AM72" s="156"/>
      <c r="AN72" s="156"/>
      <c r="AO72" s="156"/>
      <c r="AP72" s="156"/>
      <c r="AQ72" s="182"/>
      <c r="AR72" s="182"/>
      <c r="AS72" s="183"/>
      <c r="AT72" s="183"/>
      <c r="AU72" s="183"/>
      <c r="AV72" s="147"/>
      <c r="BE72" s="156"/>
      <c r="BF72" s="156"/>
      <c r="BG72" s="156"/>
      <c r="BH72" s="156"/>
      <c r="BI72" s="156"/>
      <c r="BJ72" s="156"/>
      <c r="BK72" s="156"/>
      <c r="BL72" s="156"/>
      <c r="BM72" s="156"/>
    </row>
    <row r="73" spans="1:73" s="127" customFormat="1" ht="14.25" customHeight="1">
      <c r="A73" s="779" t="s">
        <v>804</v>
      </c>
      <c r="B73" s="830"/>
      <c r="C73" s="247" t="str">
        <f>$D$3</f>
        <v>Simulation</v>
      </c>
      <c r="D73" s="131" t="str">
        <f>Baseline!$D$3</f>
        <v>Baseline</v>
      </c>
      <c r="E73" s="311"/>
      <c r="F73" s="779" t="s">
        <v>678</v>
      </c>
      <c r="G73" s="830"/>
      <c r="H73" s="247" t="str">
        <f>$D$3</f>
        <v>Simulation</v>
      </c>
      <c r="I73" s="131" t="str">
        <f>Baseline!$D$3</f>
        <v>Baseline</v>
      </c>
      <c r="K73" s="270" t="s">
        <v>332</v>
      </c>
      <c r="L73" s="863" t="str">
        <f>D3</f>
        <v>Simulation</v>
      </c>
      <c r="M73" s="864"/>
      <c r="N73" s="873" t="str">
        <f>Baseline!$D$3</f>
        <v>Baseline</v>
      </c>
      <c r="O73" s="810"/>
      <c r="Q73" s="860" t="s">
        <v>547</v>
      </c>
      <c r="R73" s="861"/>
      <c r="S73" s="861"/>
      <c r="T73" s="861"/>
      <c r="U73" s="861"/>
      <c r="V73" s="861"/>
      <c r="W73" s="862"/>
      <c r="X73" s="247" t="str">
        <f>$D$3</f>
        <v>Simulation</v>
      </c>
      <c r="Y73" s="131" t="str">
        <f>Baseline!$D$3</f>
        <v>Baseline</v>
      </c>
      <c r="AC73" s="147"/>
      <c r="AD73" s="147"/>
      <c r="AE73" s="147"/>
      <c r="AF73" s="147"/>
      <c r="AG73" s="147"/>
      <c r="AH73" s="156"/>
      <c r="AI73" s="193"/>
      <c r="AJ73" s="170"/>
      <c r="AK73" s="170"/>
      <c r="AL73" s="170"/>
      <c r="AM73" s="170"/>
      <c r="AN73" s="170"/>
      <c r="AO73" s="170"/>
      <c r="AP73" s="193"/>
      <c r="AQ73" s="145"/>
      <c r="AR73" s="145"/>
      <c r="AS73" s="183"/>
      <c r="AT73" s="183"/>
      <c r="AU73" s="183"/>
      <c r="AV73" s="147"/>
      <c r="BE73" s="156"/>
      <c r="BF73" s="156"/>
      <c r="BG73" s="156"/>
      <c r="BH73" s="156"/>
      <c r="BI73" s="194"/>
      <c r="BJ73" s="156"/>
      <c r="BK73" s="194"/>
      <c r="BL73" s="195"/>
      <c r="BM73" s="156"/>
    </row>
    <row r="74" spans="1:73" s="127" customFormat="1" ht="14.25" customHeight="1">
      <c r="A74" s="619" t="s">
        <v>801</v>
      </c>
      <c r="B74" s="521" t="s">
        <v>550</v>
      </c>
      <c r="C74" s="197">
        <f>C80-SUM(C75:C79)</f>
        <v>3296.3211127374148</v>
      </c>
      <c r="D74" s="198">
        <f>Baseline!STECsf</f>
        <v>3296.3211127374148</v>
      </c>
      <c r="F74" s="199" t="s">
        <v>336</v>
      </c>
      <c r="G74" s="288"/>
      <c r="H74" s="160" t="s">
        <v>289</v>
      </c>
      <c r="I74" s="198" t="str">
        <f>Baseline!H74</f>
        <v>No</v>
      </c>
      <c r="K74" s="271"/>
      <c r="L74" s="616" t="s">
        <v>110</v>
      </c>
      <c r="M74" s="616" t="s">
        <v>333</v>
      </c>
      <c r="N74" s="271" t="s">
        <v>110</v>
      </c>
      <c r="O74" s="271" t="s">
        <v>333</v>
      </c>
      <c r="Q74" s="769" t="s">
        <v>689</v>
      </c>
      <c r="R74" s="293"/>
      <c r="S74" s="293"/>
      <c r="T74" s="293"/>
      <c r="U74" s="293"/>
      <c r="V74" s="293"/>
      <c r="W74" s="622" t="str">
        <f>LocCur&amp;"/t cli"</f>
        <v>USD/t cli</v>
      </c>
      <c r="X74" s="201">
        <f>IF(K11=0,0,SUMPRODUCT(K21:K69,E21:E69)/K11)</f>
        <v>11.756232946871203</v>
      </c>
      <c r="Y74" s="165">
        <f>Baseline!TECpT</f>
        <v>18.194375814795272</v>
      </c>
      <c r="AD74" s="358"/>
      <c r="AJ74" s="156"/>
      <c r="AK74" s="156"/>
      <c r="AL74" s="156"/>
      <c r="AM74" s="156"/>
      <c r="AN74" s="156"/>
      <c r="AO74" s="156"/>
      <c r="AP74" s="156"/>
      <c r="AQ74" s="182" t="s">
        <v>114</v>
      </c>
      <c r="AR74" s="182"/>
      <c r="AS74" s="183"/>
      <c r="AT74" s="183"/>
      <c r="AU74" s="183"/>
      <c r="AV74" s="149"/>
      <c r="BE74" s="156"/>
      <c r="BF74" s="156"/>
      <c r="BG74" s="156"/>
      <c r="BH74" s="156"/>
      <c r="BI74" s="147"/>
      <c r="BJ74" s="156"/>
      <c r="BK74" s="203"/>
      <c r="BL74" s="147"/>
      <c r="BM74" s="156"/>
    </row>
    <row r="75" spans="1:73" s="127" customFormat="1" ht="14.25" customHeight="1">
      <c r="A75" s="827" t="s">
        <v>802</v>
      </c>
      <c r="B75" s="288" t="s">
        <v>754</v>
      </c>
      <c r="C75" s="197">
        <f>AT130-AG130</f>
        <v>-9.0438411803890677</v>
      </c>
      <c r="D75" s="198">
        <f>Baseline!C75</f>
        <v>3.678887262585409</v>
      </c>
      <c r="F75" s="372" t="s">
        <v>692</v>
      </c>
      <c r="G75" s="288"/>
      <c r="H75" s="374">
        <v>0</v>
      </c>
      <c r="I75" s="375">
        <f>Baseline!H75</f>
        <v>0</v>
      </c>
      <c r="K75" s="205" t="str">
        <f>AG146</f>
        <v>BZ</v>
      </c>
      <c r="L75" s="206">
        <f>IF($AV$114=0,0,AU104/$AV$114*100)</f>
        <v>4.9714828717137589</v>
      </c>
      <c r="M75" s="206">
        <f>SUMIFS($H$21:$H$69,$F$21:$F$69,"="&amp;K75)</f>
        <v>40.000000000951985</v>
      </c>
      <c r="N75" s="248">
        <f>Baseline!L75</f>
        <v>0</v>
      </c>
      <c r="O75" s="248">
        <f>Baseline!M75</f>
        <v>39.999791691823681</v>
      </c>
      <c r="Q75" s="771"/>
      <c r="R75" s="389"/>
      <c r="S75" s="389"/>
      <c r="T75" s="389"/>
      <c r="U75" s="389"/>
      <c r="V75" s="389"/>
      <c r="W75" s="288" t="str">
        <f>LocCur&amp;"/GJ"</f>
        <v>USD/GJ</v>
      </c>
      <c r="X75" s="207">
        <f>IF(SUMPRODUCT(E21:E69,M21:M69)=0,0,SUMPRODUCT(E21:E69,K21:K69)/SUMPRODUCT(E21:E69,M21:M69))</f>
        <v>3.4119830595326412</v>
      </c>
      <c r="Y75" s="207">
        <f>Baseline!TECpG</f>
        <v>5.5134604512280578</v>
      </c>
      <c r="AD75" s="358"/>
      <c r="AJ75" s="124"/>
      <c r="AK75" s="124"/>
      <c r="AL75" s="124"/>
      <c r="AM75" s="124"/>
      <c r="AN75" s="124"/>
      <c r="AO75" s="124"/>
      <c r="AP75" s="124"/>
      <c r="AQ75" s="182"/>
      <c r="AR75" s="182"/>
      <c r="AS75" s="183"/>
      <c r="AT75" s="183"/>
      <c r="AU75" s="183"/>
      <c r="AV75" s="149"/>
      <c r="BE75" s="156"/>
      <c r="BF75" s="156"/>
      <c r="BG75" s="156"/>
      <c r="BH75" s="156"/>
      <c r="BI75" s="124"/>
      <c r="BJ75" s="124"/>
      <c r="BK75" s="124"/>
      <c r="BL75" s="124"/>
      <c r="BM75" s="124"/>
    </row>
    <row r="76" spans="1:73" s="127" customFormat="1" ht="14.25" customHeight="1">
      <c r="A76" s="803"/>
      <c r="B76" s="288" t="s">
        <v>755</v>
      </c>
      <c r="C76" s="197">
        <f>AU130</f>
        <v>158.29462658761435</v>
      </c>
      <c r="D76" s="198">
        <f>Baseline!C76</f>
        <v>0</v>
      </c>
      <c r="F76" s="372" t="s">
        <v>693</v>
      </c>
      <c r="G76" s="288"/>
      <c r="H76" s="374">
        <v>0</v>
      </c>
      <c r="I76" s="375">
        <f>Baseline!H76</f>
        <v>0</v>
      </c>
      <c r="K76" s="205" t="str">
        <f>AG147</f>
        <v>ILC</v>
      </c>
      <c r="L76" s="206">
        <f>IF($AV$114=0,0,AU106/$AV$114*100)</f>
        <v>40.996546502854819</v>
      </c>
      <c r="M76" s="206">
        <f>SUMIFS($H$21:$H$69,$F$21:$F$69,"="&amp;K76)</f>
        <v>54.999999999084793</v>
      </c>
      <c r="N76" s="248">
        <f>Baseline!L76</f>
        <v>0</v>
      </c>
      <c r="O76" s="248">
        <f>Baseline!M76</f>
        <v>60.000208308176326</v>
      </c>
      <c r="Q76" s="370" t="s">
        <v>722</v>
      </c>
      <c r="W76" s="288" t="str">
        <f>LocCur&amp;"/"&amp;D13</f>
        <v>USD/year</v>
      </c>
      <c r="X76" s="242">
        <f>CLI*TECpT</f>
        <v>16417998.126104366</v>
      </c>
      <c r="Y76" s="242">
        <f>Baseline!X76</f>
        <v>25409094</v>
      </c>
      <c r="AJ76" s="182"/>
      <c r="AK76" s="124"/>
      <c r="AL76" s="124"/>
      <c r="AM76" s="124"/>
      <c r="AN76" s="124"/>
      <c r="AO76" s="124"/>
      <c r="AP76" s="124"/>
      <c r="AQ76" s="183"/>
      <c r="AR76" s="183"/>
      <c r="AS76" s="183"/>
      <c r="AT76" s="183"/>
      <c r="AU76" s="183"/>
      <c r="AV76" s="147"/>
      <c r="BE76" s="147"/>
      <c r="BF76" s="147"/>
      <c r="BG76" s="147"/>
      <c r="BH76" s="147"/>
      <c r="BI76" s="182"/>
      <c r="BJ76" s="182"/>
      <c r="BK76" s="147"/>
      <c r="BL76" s="147"/>
      <c r="BM76" s="147"/>
    </row>
    <row r="77" spans="1:73" s="127" customFormat="1" ht="14.25" customHeight="1">
      <c r="A77" s="803"/>
      <c r="B77" s="521" t="s">
        <v>756</v>
      </c>
      <c r="C77" s="197">
        <f>H75*Guidelines!$M$233+H76*Guidelines!$M$234</f>
        <v>0</v>
      </c>
      <c r="D77" s="198">
        <f>Baseline!C77</f>
        <v>0</v>
      </c>
      <c r="K77" s="205" t="str">
        <f>AG148</f>
        <v>SLC/OLC/MFC</v>
      </c>
      <c r="L77" s="206">
        <f>IF($AV$114=0,0,AU108/$AV$114*100)</f>
        <v>0</v>
      </c>
      <c r="M77" s="206">
        <f>SUMIFS($H$21:$H$69,$F$21:$F$69,"="&amp;K77)</f>
        <v>0</v>
      </c>
      <c r="N77" s="248">
        <f>Baseline!L77</f>
        <v>0</v>
      </c>
      <c r="O77" s="248">
        <f>Baseline!M77</f>
        <v>0</v>
      </c>
      <c r="Q77" s="522" t="s">
        <v>111</v>
      </c>
      <c r="R77" s="211"/>
      <c r="S77" s="211"/>
      <c r="T77" s="211"/>
      <c r="U77" s="211"/>
      <c r="V77" s="211"/>
      <c r="W77" s="288"/>
      <c r="X77" s="201">
        <f>IF(SUMPRODUCT(AH113:AM113,AH131:AM131)=0,0,(1-(SUMPRODUCT(K21:K69,E21:E69)*(1-X78/100)/SUMPRODUCT(AH113:AM113,AH131:AM131)))*100)</f>
        <v>39.184766038094075</v>
      </c>
      <c r="Y77" s="165">
        <f>Baseline!TEE</f>
        <v>0</v>
      </c>
      <c r="AJ77" s="182"/>
      <c r="AK77" s="124"/>
      <c r="AL77" s="124"/>
      <c r="AM77" s="124"/>
      <c r="AN77" s="124"/>
      <c r="AO77" s="124"/>
      <c r="AP77" s="124"/>
      <c r="AQ77" s="124"/>
      <c r="AR77" s="124"/>
      <c r="AS77" s="183"/>
      <c r="AT77" s="183"/>
      <c r="AU77" s="183"/>
      <c r="AV77" s="124"/>
      <c r="BE77" s="147"/>
      <c r="BF77" s="147"/>
      <c r="BG77" s="147"/>
      <c r="BH77" s="147"/>
      <c r="BI77" s="182"/>
      <c r="BJ77" s="182"/>
      <c r="BK77" s="124"/>
      <c r="BL77" s="124"/>
      <c r="BM77" s="147"/>
    </row>
    <row r="78" spans="1:73" s="127" customFormat="1" ht="14.25" customHeight="1">
      <c r="A78" s="803"/>
      <c r="B78" s="521" t="s">
        <v>753</v>
      </c>
      <c r="C78" s="197">
        <f>SUM(E86:E90)</f>
        <v>0</v>
      </c>
      <c r="D78" s="198">
        <f>Baseline!C78</f>
        <v>0</v>
      </c>
      <c r="F78" s="815" t="s">
        <v>679</v>
      </c>
      <c r="G78" s="817"/>
      <c r="H78" s="247" t="str">
        <f>$D$3</f>
        <v>Simulation</v>
      </c>
      <c r="I78" s="131" t="str">
        <f>Baseline!$D$3</f>
        <v>Baseline</v>
      </c>
      <c r="K78" s="205" t="str">
        <f>AG149</f>
        <v>PCC</v>
      </c>
      <c r="L78" s="206">
        <f>IF($AV$114=0,0,AU110/$AV$114*100)</f>
        <v>0</v>
      </c>
      <c r="M78" s="206">
        <f>SUMIFS($H$21:$H$69,$F$21:$F$69,"="&amp;K78)</f>
        <v>0</v>
      </c>
      <c r="N78" s="248">
        <f>Baseline!L78</f>
        <v>0</v>
      </c>
      <c r="O78" s="248">
        <f>Baseline!M78</f>
        <v>0</v>
      </c>
      <c r="Q78" s="522" t="s">
        <v>110</v>
      </c>
      <c r="R78" s="211"/>
      <c r="S78" s="211"/>
      <c r="T78" s="211"/>
      <c r="U78" s="211"/>
      <c r="V78" s="211"/>
      <c r="W78" s="288"/>
      <c r="X78" s="201">
        <f>H71</f>
        <v>50.96802937453181</v>
      </c>
      <c r="Y78" s="165">
        <f>Baseline!TSR</f>
        <v>0</v>
      </c>
      <c r="AJ78" s="147"/>
      <c r="AK78" s="147"/>
      <c r="AL78" s="147"/>
      <c r="AM78" s="147"/>
      <c r="AN78" s="147"/>
      <c r="AO78" s="147"/>
      <c r="AP78" s="147"/>
      <c r="AQ78" s="147"/>
      <c r="AR78" s="147"/>
      <c r="AS78" s="147"/>
      <c r="AT78" s="147"/>
      <c r="AU78" s="147"/>
      <c r="AV78" s="147"/>
      <c r="AW78" s="147"/>
      <c r="AX78" s="147"/>
      <c r="AY78" s="147"/>
      <c r="AZ78" s="147"/>
      <c r="BA78" s="147"/>
      <c r="BB78" s="147"/>
      <c r="BC78" s="147"/>
      <c r="BD78" s="147"/>
      <c r="BE78" s="147"/>
      <c r="BF78" s="147"/>
      <c r="BG78" s="147"/>
      <c r="BH78" s="147"/>
      <c r="BI78" s="182"/>
      <c r="BJ78" s="182"/>
      <c r="BK78" s="145"/>
      <c r="BL78" s="182"/>
      <c r="BM78" s="182"/>
      <c r="BN78" s="182"/>
      <c r="BO78" s="182"/>
      <c r="BP78" s="182"/>
      <c r="BQ78" s="182"/>
      <c r="BR78" s="182"/>
      <c r="BS78" s="183"/>
      <c r="BT78" s="124"/>
      <c r="BU78" s="124"/>
    </row>
    <row r="79" spans="1:73" s="127" customFormat="1" ht="14.25" customHeight="1">
      <c r="A79" s="804"/>
      <c r="B79" s="288" t="s">
        <v>677</v>
      </c>
      <c r="C79" s="369">
        <v>0</v>
      </c>
      <c r="D79" s="198">
        <f>Baseline!C79</f>
        <v>0</v>
      </c>
      <c r="F79" s="751" t="s">
        <v>754</v>
      </c>
      <c r="G79" s="288" t="s">
        <v>306</v>
      </c>
      <c r="H79" s="210">
        <f>AT123</f>
        <v>0</v>
      </c>
      <c r="I79" s="252">
        <f>Baseline!H79</f>
        <v>0</v>
      </c>
      <c r="K79" s="205" t="str">
        <f>AG150</f>
        <v>SF</v>
      </c>
      <c r="L79" s="206">
        <f>IF($AV$114=0,0,AU112/$AV$114*100)</f>
        <v>4.9999999999632214</v>
      </c>
      <c r="M79" s="206">
        <f>SUMIFS($H$21:$H$69,$F$21:$F$69,"="&amp;K79)</f>
        <v>4.9999999999632214</v>
      </c>
      <c r="N79" s="248">
        <f>Baseline!L79</f>
        <v>0</v>
      </c>
      <c r="O79" s="248">
        <f>Baseline!M79</f>
        <v>0</v>
      </c>
      <c r="Q79" s="287" t="s">
        <v>259</v>
      </c>
      <c r="R79" s="211"/>
      <c r="S79" s="211"/>
      <c r="T79" s="211"/>
      <c r="U79" s="211"/>
      <c r="V79" s="211"/>
      <c r="W79" s="288"/>
      <c r="X79" s="213">
        <f>IF(X78=0,0,X77/X78)</f>
        <v>0.76881069405587599</v>
      </c>
      <c r="Y79" s="214" t="str">
        <f>IF(Y78=0,"-",Y77/Y78)</f>
        <v>-</v>
      </c>
      <c r="Z79" s="218"/>
      <c r="BF79" s="124"/>
      <c r="BG79" s="182"/>
      <c r="BH79" s="182"/>
      <c r="BI79" s="182"/>
      <c r="BJ79" s="182"/>
      <c r="BK79" s="145"/>
      <c r="BL79" s="182"/>
      <c r="BM79" s="182"/>
      <c r="BN79" s="182"/>
      <c r="BO79" s="182"/>
      <c r="BP79" s="182"/>
      <c r="BQ79" s="182"/>
      <c r="BR79" s="182"/>
      <c r="BS79" s="183"/>
      <c r="BT79" s="124"/>
      <c r="BU79" s="124"/>
    </row>
    <row r="80" spans="1:73" s="127" customFormat="1" ht="14.25" customHeight="1">
      <c r="A80" s="803" t="s">
        <v>803</v>
      </c>
      <c r="B80" s="288" t="s">
        <v>490</v>
      </c>
      <c r="C80" s="197">
        <f>Baseline!C80-SUM(Baseline!C75:C79)+SUM('Solids+Liquids (CKD Extraction)'!C75:C79)</f>
        <v>3445.5718981446398</v>
      </c>
      <c r="D80" s="198">
        <f>Baseline!C80</f>
        <v>3300</v>
      </c>
      <c r="F80" s="752"/>
      <c r="G80" s="288" t="s">
        <v>310</v>
      </c>
      <c r="H80" s="212"/>
      <c r="I80" s="252">
        <f>Baseline!H80</f>
        <v>0</v>
      </c>
      <c r="K80" s="205" t="s">
        <v>60</v>
      </c>
      <c r="L80" s="206">
        <f>SUM(L75:L79)</f>
        <v>50.968029374531802</v>
      </c>
      <c r="M80" s="206">
        <f>SUM(M75:M79)</f>
        <v>100</v>
      </c>
      <c r="N80" s="206">
        <f>SUM(N75:N79)</f>
        <v>0</v>
      </c>
      <c r="O80" s="206">
        <f>SUM(O75:O79)</f>
        <v>100</v>
      </c>
      <c r="Q80" s="593" t="str">
        <f>"SPCs, "&amp;LocCur&amp;"/a"</f>
        <v>SPCs, USD/a</v>
      </c>
      <c r="R80" s="211"/>
      <c r="S80" s="211"/>
      <c r="T80" s="211"/>
      <c r="U80" s="211"/>
      <c r="V80" s="211"/>
      <c r="W80" s="288"/>
      <c r="X80" s="594">
        <v>-500000</v>
      </c>
      <c r="Y80" s="284">
        <f>Baseline!X80</f>
        <v>0</v>
      </c>
      <c r="Z80" s="218"/>
      <c r="BF80" s="124"/>
      <c r="BG80" s="182"/>
      <c r="BH80" s="182"/>
      <c r="BI80" s="182"/>
      <c r="BJ80" s="182"/>
      <c r="BK80" s="145"/>
      <c r="BL80" s="182"/>
      <c r="BM80" s="182"/>
      <c r="BN80" s="182"/>
      <c r="BO80" s="182"/>
      <c r="BP80" s="182"/>
      <c r="BQ80" s="182"/>
      <c r="BR80" s="182"/>
      <c r="BS80" s="183"/>
      <c r="BT80" s="124"/>
      <c r="BU80" s="124"/>
    </row>
    <row r="81" spans="1:73" s="127" customFormat="1" ht="14.25" customHeight="1">
      <c r="A81" s="804"/>
      <c r="B81" s="288" t="s">
        <v>549</v>
      </c>
      <c r="C81" s="198">
        <f>IF(K11=0,,(SUMPRODUCT(M21:M69,E21:E69))*1000/K11)</f>
        <v>3445.5718981446289</v>
      </c>
      <c r="D81" s="198">
        <f>Baseline!C81</f>
        <v>3299.9920786123876</v>
      </c>
      <c r="E81" s="219"/>
      <c r="F81" s="751" t="s">
        <v>755</v>
      </c>
      <c r="G81" s="288" t="s">
        <v>306</v>
      </c>
      <c r="H81" s="210">
        <f>AU123</f>
        <v>1.2283467513183006</v>
      </c>
      <c r="I81" s="252">
        <f>Baseline!H81</f>
        <v>0</v>
      </c>
      <c r="Q81" s="522" t="str">
        <f>IF(SPC=0,"Op. GAV AF, ","GAV AF, ")&amp;LocCur&amp;"/a"</f>
        <v>GAV AF, USD/a</v>
      </c>
      <c r="R81" s="211"/>
      <c r="S81" s="211"/>
      <c r="T81" s="211"/>
      <c r="U81" s="211"/>
      <c r="V81" s="211"/>
      <c r="W81" s="288"/>
      <c r="X81" s="198">
        <f>IF(AV114=0,0,SUMPRODUCT(AH113:AM113,AH131:AM131)/(1-X78/100)-SUMPRODUCT(AH113:AM113,AH131:AM131)-SUMPRODUCT(AN113:AS113,AN131:AS131)+$D$15*(AV146+AV147)/AV114*AV150)+X80</f>
        <v>10078524.055144567</v>
      </c>
      <c r="Y81" s="284">
        <f>Baseline!X81</f>
        <v>0</v>
      </c>
      <c r="AD81" s="544"/>
      <c r="AF81" s="124"/>
      <c r="AG81" s="124"/>
      <c r="AH81" s="182"/>
      <c r="AI81" s="182"/>
      <c r="BF81" s="124"/>
      <c r="BG81" s="182"/>
      <c r="BH81" s="182"/>
      <c r="BI81" s="182"/>
      <c r="BJ81" s="182"/>
      <c r="BK81" s="182"/>
      <c r="BL81" s="182"/>
      <c r="BM81" s="182"/>
      <c r="BN81" s="182"/>
      <c r="BO81" s="182"/>
      <c r="BP81" s="182"/>
      <c r="BQ81" s="182"/>
      <c r="BR81" s="182"/>
      <c r="BS81" s="183"/>
      <c r="BT81" s="124"/>
      <c r="BU81" s="124"/>
    </row>
    <row r="82" spans="1:73" s="127" customFormat="1" ht="14.25" customHeight="1">
      <c r="A82" s="287" t="s">
        <v>335</v>
      </c>
      <c r="B82" s="215"/>
      <c r="C82" s="197">
        <f>C81-C80</f>
        <v>-1.0913936421275139E-11</v>
      </c>
      <c r="D82" s="198">
        <f>Baseline!C82</f>
        <v>-7.9213876124413218E-3</v>
      </c>
      <c r="E82" s="219"/>
      <c r="F82" s="752"/>
      <c r="G82" s="288" t="s">
        <v>310</v>
      </c>
      <c r="H82" s="212"/>
      <c r="I82" s="252">
        <f>Baseline!H82</f>
        <v>0</v>
      </c>
      <c r="L82" s="569"/>
      <c r="Q82" s="287" t="str">
        <f>LocCur&amp;":"&amp;IntCur&amp;" exchange rate"</f>
        <v>USD:CHF exchange rate</v>
      </c>
      <c r="R82" s="551"/>
      <c r="S82" s="551"/>
      <c r="T82" s="551"/>
      <c r="U82" s="551"/>
      <c r="V82" s="551"/>
      <c r="W82" s="288"/>
      <c r="X82" s="552">
        <v>1.05</v>
      </c>
      <c r="Y82" s="554">
        <f>Baseline!X82</f>
        <v>1.05</v>
      </c>
      <c r="AD82" s="544"/>
      <c r="AF82" s="124"/>
      <c r="AG82" s="124"/>
      <c r="AH82" s="182"/>
      <c r="AI82" s="182"/>
      <c r="BF82" s="124"/>
      <c r="BG82" s="182"/>
      <c r="BH82" s="182"/>
      <c r="BI82" s="182"/>
      <c r="BJ82" s="182"/>
      <c r="BK82" s="182"/>
      <c r="BL82" s="182"/>
      <c r="BM82" s="182"/>
      <c r="BN82" s="182"/>
      <c r="BO82" s="182"/>
      <c r="BP82" s="182"/>
      <c r="BQ82" s="182"/>
      <c r="BR82" s="182"/>
      <c r="BS82" s="183"/>
      <c r="BT82" s="124"/>
      <c r="BU82" s="124"/>
    </row>
    <row r="83" spans="1:73" s="127" customFormat="1" ht="14.25" customHeight="1" collapsed="1">
      <c r="E83" s="219"/>
      <c r="Q83" s="522" t="str">
        <f>IF(SPC=0,"Op. GAV AF, ","GAV AF, ")&amp;IntCur&amp;"/a"</f>
        <v>GAV AF, CHF/a</v>
      </c>
      <c r="R83" s="551"/>
      <c r="S83" s="551"/>
      <c r="T83" s="551"/>
      <c r="U83" s="551"/>
      <c r="V83" s="551"/>
      <c r="W83" s="288"/>
      <c r="X83" s="198">
        <f>IF(X82=0,0,X81/X82)</f>
        <v>9598594.3382329214</v>
      </c>
      <c r="Y83" s="198">
        <f>IF(Y82=0,0,Y81/Y82)</f>
        <v>0</v>
      </c>
      <c r="AF83" s="124"/>
      <c r="AG83" s="124"/>
      <c r="AH83" s="182"/>
      <c r="AI83" s="182"/>
      <c r="BF83" s="124"/>
      <c r="BG83" s="182"/>
      <c r="BH83" s="182"/>
      <c r="BI83" s="182"/>
      <c r="BJ83" s="182"/>
      <c r="BK83" s="182"/>
      <c r="BL83" s="182"/>
      <c r="BM83" s="182"/>
      <c r="BN83" s="182"/>
      <c r="BO83" s="182"/>
      <c r="BP83" s="182"/>
      <c r="BQ83" s="182"/>
      <c r="BR83" s="182"/>
      <c r="BS83" s="183"/>
      <c r="BT83" s="124"/>
      <c r="BU83" s="124"/>
    </row>
    <row r="84" spans="1:73" s="127" customFormat="1" ht="14.25" hidden="1" customHeight="1" outlineLevel="1">
      <c r="A84" s="767" t="s">
        <v>759</v>
      </c>
      <c r="B84" s="757" t="s">
        <v>815</v>
      </c>
      <c r="C84" s="758"/>
      <c r="D84" s="270" t="s">
        <v>735</v>
      </c>
      <c r="E84" s="270" t="s">
        <v>736</v>
      </c>
      <c r="AF84" s="124"/>
      <c r="AG84" s="124"/>
      <c r="AH84" s="182"/>
      <c r="AI84" s="182"/>
      <c r="BF84" s="124"/>
      <c r="BG84" s="182"/>
      <c r="BH84" s="182"/>
      <c r="BI84" s="182"/>
      <c r="BJ84" s="182"/>
      <c r="BK84" s="182"/>
      <c r="BL84" s="182"/>
      <c r="BM84" s="182"/>
      <c r="BN84" s="182"/>
      <c r="BO84" s="182"/>
      <c r="BP84" s="182"/>
      <c r="BQ84" s="182"/>
      <c r="BR84" s="182"/>
      <c r="BS84" s="183"/>
      <c r="BT84" s="124"/>
      <c r="BU84" s="124"/>
    </row>
    <row r="85" spans="1:73" s="127" customFormat="1" ht="14.25" hidden="1" customHeight="1" outlineLevel="1">
      <c r="A85" s="768"/>
      <c r="B85" s="759" t="s">
        <v>747</v>
      </c>
      <c r="C85" s="760"/>
      <c r="D85" s="271" t="s">
        <v>734</v>
      </c>
      <c r="E85" s="271" t="s">
        <v>358</v>
      </c>
      <c r="AF85" s="124"/>
      <c r="AG85" s="124"/>
      <c r="AH85" s="182"/>
      <c r="AI85" s="182"/>
      <c r="BF85" s="124"/>
      <c r="BG85" s="182"/>
      <c r="BH85" s="182"/>
      <c r="BI85" s="182"/>
      <c r="BJ85" s="182"/>
      <c r="BK85" s="182"/>
      <c r="BL85" s="182"/>
      <c r="BM85" s="182"/>
      <c r="BN85" s="182"/>
      <c r="BO85" s="182"/>
      <c r="BP85" s="182"/>
      <c r="BQ85" s="182"/>
      <c r="BR85" s="182"/>
      <c r="BS85" s="183"/>
      <c r="BT85" s="124"/>
      <c r="BU85" s="124"/>
    </row>
    <row r="86" spans="1:73" s="127" customFormat="1" ht="14.25" hidden="1" customHeight="1" outlineLevel="1">
      <c r="A86" s="205" t="s">
        <v>737</v>
      </c>
      <c r="B86" s="755"/>
      <c r="C86" s="756"/>
      <c r="D86" s="397"/>
      <c r="E86" s="398">
        <f>IF(OR(B86=$AE$154,B86=0),0,VLOOKUP(B86,Guidelines!$A$253:$H$260,6,FALSE)*D86*$K$9*$D$14*24*Guidelines!$M$232/CLI/100)</f>
        <v>0</v>
      </c>
      <c r="AF86" s="124"/>
      <c r="AG86" s="124"/>
      <c r="AH86" s="182"/>
      <c r="AI86" s="182"/>
      <c r="BF86" s="124"/>
      <c r="BG86" s="182"/>
      <c r="BH86" s="182"/>
      <c r="BI86" s="182"/>
      <c r="BJ86" s="182"/>
      <c r="BK86" s="182"/>
      <c r="BL86" s="182"/>
      <c r="BM86" s="182"/>
      <c r="BN86" s="182"/>
      <c r="BO86" s="182"/>
      <c r="BP86" s="182"/>
      <c r="BQ86" s="182"/>
      <c r="BR86" s="182"/>
      <c r="BS86" s="183"/>
      <c r="BT86" s="124"/>
      <c r="BU86" s="124"/>
    </row>
    <row r="87" spans="1:73" s="127" customFormat="1" ht="14.25" hidden="1" customHeight="1" outlineLevel="1">
      <c r="A87" s="205" t="s">
        <v>738</v>
      </c>
      <c r="B87" s="755"/>
      <c r="C87" s="756"/>
      <c r="D87" s="397"/>
      <c r="E87" s="398">
        <f>IF(OR(B87=$AE$154,B87=0),0,VLOOKUP(B87,Guidelines!$A$253:$H$260,6,FALSE)*D87*$K$9*$D$14*24*Guidelines!$M$232/CLI/100)</f>
        <v>0</v>
      </c>
      <c r="AF87" s="124"/>
      <c r="AG87" s="124"/>
      <c r="AH87" s="182"/>
      <c r="AI87" s="182"/>
      <c r="BF87" s="124"/>
      <c r="BG87" s="182"/>
      <c r="BH87" s="182"/>
      <c r="BI87" s="182"/>
      <c r="BJ87" s="182"/>
      <c r="BK87" s="182"/>
      <c r="BL87" s="182"/>
      <c r="BM87" s="182"/>
      <c r="BN87" s="182"/>
      <c r="BO87" s="182"/>
      <c r="BP87" s="182"/>
      <c r="BQ87" s="182"/>
      <c r="BR87" s="182"/>
      <c r="BS87" s="183"/>
      <c r="BT87" s="124"/>
      <c r="BU87" s="124"/>
    </row>
    <row r="88" spans="1:73" s="127" customFormat="1" ht="14.25" hidden="1" customHeight="1" outlineLevel="1">
      <c r="A88" s="205" t="s">
        <v>739</v>
      </c>
      <c r="B88" s="755"/>
      <c r="C88" s="756"/>
      <c r="D88" s="397"/>
      <c r="E88" s="398">
        <f>IF(OR(B88=$AE$154,B88=0),0,VLOOKUP(B88,Guidelines!$A$253:$H$260,6,FALSE)*D88*$K$9*$D$14*24*Guidelines!$M$232/CLI/100)</f>
        <v>0</v>
      </c>
      <c r="AF88" s="124"/>
      <c r="AG88" s="124"/>
      <c r="AH88" s="182"/>
      <c r="AI88" s="182"/>
      <c r="BF88" s="124"/>
      <c r="BG88" s="182"/>
      <c r="BH88" s="182"/>
      <c r="BI88" s="182"/>
      <c r="BJ88" s="182"/>
      <c r="BK88" s="182"/>
      <c r="BL88" s="182"/>
      <c r="BM88" s="182"/>
      <c r="BN88" s="182"/>
      <c r="BO88" s="182"/>
      <c r="BP88" s="182"/>
      <c r="BQ88" s="182"/>
      <c r="BR88" s="182"/>
      <c r="BS88" s="183"/>
      <c r="BT88" s="124"/>
      <c r="BU88" s="124"/>
    </row>
    <row r="89" spans="1:73" s="127" customFormat="1" ht="14.25" hidden="1" customHeight="1" outlineLevel="1">
      <c r="A89" s="205" t="s">
        <v>745</v>
      </c>
      <c r="B89" s="755"/>
      <c r="C89" s="756"/>
      <c r="D89" s="397"/>
      <c r="E89" s="398">
        <f>IF(OR(B89=$AE$154,B89=0),0,VLOOKUP(B89,Guidelines!$A$253:$H$260,6,FALSE)*D89*$K$9*$D$14*24*Guidelines!$M$232/CLI/100)</f>
        <v>0</v>
      </c>
      <c r="AF89" s="124"/>
      <c r="AG89" s="124"/>
      <c r="AH89" s="182"/>
      <c r="AI89" s="182"/>
      <c r="BF89" s="124"/>
      <c r="BG89" s="182"/>
      <c r="BH89" s="182"/>
      <c r="BI89" s="182"/>
      <c r="BJ89" s="182"/>
      <c r="BK89" s="182"/>
      <c r="BL89" s="182"/>
      <c r="BM89" s="182"/>
      <c r="BN89" s="182"/>
      <c r="BO89" s="182"/>
      <c r="BP89" s="182"/>
      <c r="BQ89" s="182"/>
      <c r="BR89" s="182"/>
      <c r="BS89" s="183"/>
      <c r="BT89" s="124"/>
      <c r="BU89" s="124"/>
    </row>
    <row r="90" spans="1:73" s="127" customFormat="1" ht="14.25" hidden="1" customHeight="1" outlineLevel="1">
      <c r="A90" s="205" t="s">
        <v>746</v>
      </c>
      <c r="B90" s="755"/>
      <c r="C90" s="756"/>
      <c r="D90" s="397"/>
      <c r="E90" s="398">
        <f>IF(OR(B90=$AE$154,B90=0),0,VLOOKUP(B90,Guidelines!$A$253:$H$260,6,FALSE)*D90*$K$9*$D$14*24*Guidelines!$M$232/CLI/100)</f>
        <v>0</v>
      </c>
      <c r="AF90" s="124"/>
      <c r="AG90" s="124"/>
      <c r="AH90" s="182"/>
      <c r="AI90" s="182"/>
      <c r="BF90" s="124"/>
      <c r="BG90" s="182"/>
      <c r="BH90" s="182"/>
      <c r="BI90" s="182"/>
      <c r="BJ90" s="182"/>
      <c r="BK90" s="182"/>
      <c r="BL90" s="182"/>
      <c r="BM90" s="182"/>
      <c r="BN90" s="182"/>
      <c r="BO90" s="182"/>
      <c r="BP90" s="182"/>
      <c r="BQ90" s="182"/>
      <c r="BR90" s="182"/>
      <c r="BS90" s="183"/>
      <c r="BT90" s="124"/>
      <c r="BU90" s="124"/>
    </row>
    <row r="91" spans="1:73" s="127" customFormat="1" ht="14.25" customHeight="1">
      <c r="E91" s="219"/>
      <c r="AF91" s="124"/>
      <c r="AG91" s="124"/>
      <c r="AH91" s="182"/>
      <c r="AI91" s="182"/>
      <c r="BF91" s="124"/>
      <c r="BG91" s="182"/>
      <c r="BH91" s="182"/>
      <c r="BI91" s="182"/>
      <c r="BJ91" s="182"/>
      <c r="BK91" s="182"/>
      <c r="BL91" s="182"/>
      <c r="BM91" s="182"/>
      <c r="BN91" s="182"/>
      <c r="BO91" s="182"/>
      <c r="BP91" s="182"/>
      <c r="BQ91" s="182"/>
      <c r="BR91" s="182"/>
      <c r="BS91" s="183"/>
      <c r="BT91" s="124"/>
      <c r="BU91" s="124"/>
    </row>
    <row r="92" spans="1:73" s="127" customFormat="1" ht="14.25" customHeight="1">
      <c r="A92" s="763" t="s">
        <v>581</v>
      </c>
      <c r="B92" s="764"/>
      <c r="C92" s="775" t="s">
        <v>491</v>
      </c>
      <c r="D92" s="776"/>
      <c r="E92" s="265" t="s">
        <v>541</v>
      </c>
      <c r="F92" s="825" t="s">
        <v>261</v>
      </c>
      <c r="G92" s="826"/>
      <c r="H92" s="825" t="s">
        <v>101</v>
      </c>
      <c r="I92" s="842"/>
      <c r="J92" s="826"/>
      <c r="K92" s="220" t="s">
        <v>60</v>
      </c>
      <c r="L92" s="825" t="s">
        <v>109</v>
      </c>
      <c r="M92" s="842"/>
      <c r="N92" s="826"/>
      <c r="O92" s="825" t="s">
        <v>544</v>
      </c>
      <c r="P92" s="842"/>
      <c r="Q92" s="842"/>
      <c r="R92" s="842"/>
      <c r="S92" s="842"/>
      <c r="T92" s="842"/>
      <c r="U92" s="842"/>
      <c r="V92" s="842"/>
      <c r="W92" s="842"/>
      <c r="X92" s="842"/>
      <c r="Y92" s="826"/>
      <c r="BN92" s="182"/>
      <c r="BO92" s="182"/>
      <c r="BP92" s="182"/>
      <c r="BQ92" s="182"/>
      <c r="BR92" s="182"/>
      <c r="BS92" s="183"/>
      <c r="BT92" s="124"/>
      <c r="BU92" s="124"/>
    </row>
    <row r="93" spans="1:73" s="127" customFormat="1" ht="14.25" customHeight="1">
      <c r="A93" s="765"/>
      <c r="B93" s="766"/>
      <c r="C93" s="222" t="s">
        <v>771</v>
      </c>
      <c r="D93" s="222" t="s">
        <v>772</v>
      </c>
      <c r="E93" s="222" t="s">
        <v>114</v>
      </c>
      <c r="F93" s="222" t="s">
        <v>262</v>
      </c>
      <c r="G93" s="222" t="s">
        <v>60</v>
      </c>
      <c r="H93" s="222" t="s">
        <v>23</v>
      </c>
      <c r="I93" s="222" t="s">
        <v>340</v>
      </c>
      <c r="J93" s="222" t="s">
        <v>330</v>
      </c>
      <c r="K93" s="222" t="s">
        <v>260</v>
      </c>
      <c r="L93" s="222" t="s">
        <v>6</v>
      </c>
      <c r="M93" s="222" t="s">
        <v>8</v>
      </c>
      <c r="N93" s="283" t="s">
        <v>12</v>
      </c>
      <c r="O93" s="283"/>
      <c r="P93" s="283"/>
      <c r="Q93" s="283"/>
      <c r="R93" s="283"/>
      <c r="S93" s="283"/>
      <c r="T93" s="283"/>
      <c r="U93" s="283"/>
      <c r="V93" s="283"/>
      <c r="W93" s="283"/>
      <c r="X93" s="283"/>
      <c r="Y93" s="283"/>
      <c r="BN93" s="182"/>
      <c r="BO93" s="182"/>
      <c r="BP93" s="182"/>
      <c r="BQ93" s="182"/>
      <c r="BR93" s="182"/>
      <c r="BS93" s="183"/>
      <c r="BT93" s="182"/>
      <c r="BU93" s="182"/>
    </row>
    <row r="94" spans="1:73" s="127" customFormat="1" ht="14.25" customHeight="1">
      <c r="A94" s="627"/>
      <c r="B94" s="628"/>
      <c r="C94" s="283" t="s">
        <v>22</v>
      </c>
      <c r="D94" s="283" t="s">
        <v>22</v>
      </c>
      <c r="E94" s="283" t="s">
        <v>22</v>
      </c>
      <c r="F94" s="283" t="s">
        <v>26</v>
      </c>
      <c r="G94" s="283" t="s">
        <v>26</v>
      </c>
      <c r="H94" s="283" t="s">
        <v>3</v>
      </c>
      <c r="I94" s="283" t="s">
        <v>51</v>
      </c>
      <c r="J94" s="283" t="s">
        <v>3</v>
      </c>
      <c r="K94" s="283" t="s">
        <v>4</v>
      </c>
      <c r="L94" s="283" t="s">
        <v>3</v>
      </c>
      <c r="M94" s="283" t="s">
        <v>26</v>
      </c>
      <c r="N94" s="283" t="s">
        <v>312</v>
      </c>
      <c r="O94" s="283"/>
      <c r="P94" s="283"/>
      <c r="Q94" s="283"/>
      <c r="R94" s="283"/>
      <c r="S94" s="283"/>
      <c r="T94" s="283"/>
      <c r="U94" s="283"/>
      <c r="V94" s="283"/>
      <c r="W94" s="283"/>
      <c r="X94" s="283"/>
      <c r="Y94" s="283"/>
      <c r="BO94" s="182"/>
      <c r="BP94" s="182"/>
      <c r="BQ94" s="182"/>
      <c r="BR94" s="182"/>
      <c r="BS94" s="183"/>
      <c r="BT94" s="182"/>
      <c r="BU94" s="182"/>
    </row>
    <row r="95" spans="1:73" s="127" customFormat="1" ht="14.25" customHeight="1">
      <c r="A95" s="858" t="str">
        <f>$D$3</f>
        <v>Simulation</v>
      </c>
      <c r="B95" s="859"/>
      <c r="C95" s="226">
        <f>IF(AV114=0,0,AO104/AV114*100)</f>
        <v>0</v>
      </c>
      <c r="D95" s="226">
        <f>IF(AV114=0,0,(AO114+AP114-AO104-AP104)/AV114*100)</f>
        <v>40.994468306089701</v>
      </c>
      <c r="E95" s="226">
        <f>IF(AV114=0,0,AQ112/AV114*100)</f>
        <v>4.9999999999632214</v>
      </c>
      <c r="F95" s="226">
        <f>IF(K11=0,0,SUMPRODUCT(($E$21:$E$69*$O$21:$O$69)*(G21:G69=AD155))/$K$11)</f>
        <v>0.14187648992255877</v>
      </c>
      <c r="G95" s="226">
        <f>IF(K11=0,0,SUMPRODUCT($E$21:$E$69*$O$21:$O$69)/$K$11)</f>
        <v>2.2118049171999705</v>
      </c>
      <c r="H95" s="227">
        <f>IF(K12=0,,K12)</f>
        <v>0.77362411209301563</v>
      </c>
      <c r="I95" s="227">
        <f>IF(K12=0,0,(K13/94+K14/62)/(K12/80))</f>
        <v>1.1709039660532585</v>
      </c>
      <c r="J95" s="227">
        <f>K14+0.658*K13</f>
        <v>0.70095497691100173</v>
      </c>
      <c r="K95" s="139">
        <f>IF(K11=0,0,(SUMPRODUCT(P21:P69,E21:E69))*10000/K11+$K$15)</f>
        <v>400.00000000000011</v>
      </c>
      <c r="L95" s="226">
        <f>IF(K11=0,0,SUMPRODUCT(($E$21:$E$69*$N$21:$N$69)*($F$21:$F$69=$AG$146))/$K$11)</f>
        <v>0.32812847275024631</v>
      </c>
      <c r="M95" s="226">
        <f>IF(K11=0,0,SUMPRODUCT(($E$21:$E$69*$O$21:$O$69)*($F$21:$F$69=$AG$146))/$K$11)</f>
        <v>0.74815897538715381</v>
      </c>
      <c r="N95" s="227">
        <f>IF(SUMIF(F21:F69,AG146,E21:E69)=0,0,SUMPRODUCT((E21:E69*M21:M69)*(F21:F69=AG146))/SUMIF(F21:F69,AG146,E21:E69))</f>
        <v>25.158502431675394</v>
      </c>
      <c r="O95" s="226"/>
      <c r="P95" s="226"/>
      <c r="Q95" s="226"/>
      <c r="R95" s="226"/>
      <c r="S95" s="226"/>
      <c r="T95" s="226"/>
      <c r="U95" s="226"/>
      <c r="V95" s="226"/>
      <c r="W95" s="226"/>
      <c r="X95" s="226"/>
      <c r="Y95" s="226"/>
      <c r="BO95" s="182"/>
      <c r="BP95" s="182"/>
      <c r="BQ95" s="182"/>
      <c r="BR95" s="182"/>
      <c r="BS95" s="183"/>
      <c r="BT95" s="182"/>
      <c r="BU95" s="182"/>
    </row>
    <row r="96" spans="1:73" s="127" customFormat="1" ht="14.25" customHeight="1">
      <c r="A96" s="856" t="str">
        <f>Baseline!$D$3</f>
        <v>Baseline</v>
      </c>
      <c r="B96" s="857"/>
      <c r="C96" s="226">
        <f>Baseline!C95</f>
        <v>0</v>
      </c>
      <c r="D96" s="226">
        <f>Baseline!D95</f>
        <v>0</v>
      </c>
      <c r="E96" s="226">
        <f>Baseline!E95</f>
        <v>0</v>
      </c>
      <c r="F96" s="226">
        <f>Baseline!ASHc</f>
        <v>0</v>
      </c>
      <c r="G96" s="226">
        <f>Baseline!G95</f>
        <v>2.0434910137004203</v>
      </c>
      <c r="H96" s="227">
        <f>Baseline!H95</f>
        <v>0.81</v>
      </c>
      <c r="I96" s="227">
        <f>Baseline!I95</f>
        <v>1.0862841793978835</v>
      </c>
      <c r="J96" s="227">
        <f>Baseline!J95</f>
        <v>0.68086000000000002</v>
      </c>
      <c r="K96" s="139">
        <f>Baseline!Cl</f>
        <v>75.543637671255254</v>
      </c>
      <c r="L96" s="226">
        <f>Baseline!L95</f>
        <v>6.0085255612437383E-2</v>
      </c>
      <c r="M96" s="226">
        <f>Baseline!M95</f>
        <v>0.80113674149916514</v>
      </c>
      <c r="N96" s="250">
        <f>Baseline!N95</f>
        <v>25.80871111360009</v>
      </c>
      <c r="O96" s="226">
        <f>Baseline!O95</f>
        <v>0</v>
      </c>
      <c r="P96" s="226">
        <f>Baseline!P95</f>
        <v>0</v>
      </c>
      <c r="Q96" s="226">
        <f>Baseline!Q95</f>
        <v>0</v>
      </c>
      <c r="R96" s="226"/>
      <c r="S96" s="226"/>
      <c r="T96" s="226"/>
      <c r="U96" s="226"/>
      <c r="V96" s="226"/>
      <c r="W96" s="226">
        <f>Baseline!W95</f>
        <v>0</v>
      </c>
      <c r="X96" s="226">
        <f>Baseline!X95</f>
        <v>0</v>
      </c>
      <c r="Y96" s="226">
        <f>Baseline!Y95</f>
        <v>0</v>
      </c>
      <c r="BO96" s="182"/>
      <c r="BP96" s="182"/>
      <c r="BQ96" s="182"/>
      <c r="BR96" s="182"/>
      <c r="BS96" s="183"/>
      <c r="BT96" s="182"/>
      <c r="BU96" s="182"/>
    </row>
    <row r="97" spans="1:74" s="127" customFormat="1" ht="14.25" customHeight="1">
      <c r="A97" s="769" t="s">
        <v>292</v>
      </c>
      <c r="B97" s="770"/>
      <c r="C97" s="226">
        <f>IF(ISBLANK(C99),Guidelines!$M$242,C99)</f>
        <v>12</v>
      </c>
      <c r="D97" s="226">
        <f>IF(ISBLANK(D99),Guidelines!$M$243,D99)</f>
        <v>45</v>
      </c>
      <c r="E97" s="226">
        <f>IF(ISBLANK(E99),Guidelines!$M$244,E99)</f>
        <v>5</v>
      </c>
      <c r="F97" s="226" t="str">
        <f>IF(ISBLANK(F99),"-",F99)</f>
        <v>-</v>
      </c>
      <c r="G97" s="226" t="str">
        <f>IF(ISBLANK(G99),"-",G99)</f>
        <v>-</v>
      </c>
      <c r="H97" s="227">
        <f>IF(ISBLANK(H99),Guidelines!$M$247,H99)</f>
        <v>2</v>
      </c>
      <c r="I97" s="227">
        <f>IF(ISBLANK(I99),Guidelines!$M$246,I99)</f>
        <v>0.4</v>
      </c>
      <c r="J97" s="227">
        <f>IF(ISBLANK(J99),Guidelines!$M$248,J99)</f>
        <v>1.2</v>
      </c>
      <c r="K97" s="139">
        <f>IF(ISBLANK(K99),IF(H74=AM146,Guidelines!$M$245+100+(H75*150)+(H76*100),Guidelines!$M$245+(H75*150)+(H76*100)),K99)</f>
        <v>400</v>
      </c>
      <c r="L97" s="226">
        <f>IF(ISBLANK(L99),Guidelines!$M$235,L99)</f>
        <v>2</v>
      </c>
      <c r="M97" s="226">
        <f>IF(ISBLANK(M99),Guidelines!$M$236,M99)</f>
        <v>3</v>
      </c>
      <c r="N97" s="250" t="s">
        <v>51</v>
      </c>
      <c r="O97" s="226" t="s">
        <v>51</v>
      </c>
      <c r="P97" s="226" t="s">
        <v>51</v>
      </c>
      <c r="Q97" s="226" t="s">
        <v>51</v>
      </c>
      <c r="R97" s="226" t="s">
        <v>51</v>
      </c>
      <c r="S97" s="226" t="s">
        <v>51</v>
      </c>
      <c r="T97" s="226"/>
      <c r="U97" s="226" t="s">
        <v>51</v>
      </c>
      <c r="V97" s="226" t="s">
        <v>51</v>
      </c>
      <c r="W97" s="226" t="s">
        <v>51</v>
      </c>
      <c r="X97" s="226" t="s">
        <v>51</v>
      </c>
      <c r="Y97" s="226" t="s">
        <v>51</v>
      </c>
      <c r="BO97" s="182"/>
      <c r="BP97" s="182"/>
      <c r="BQ97" s="182"/>
      <c r="BR97" s="182"/>
      <c r="BS97" s="183"/>
      <c r="BT97" s="182"/>
      <c r="BU97" s="182"/>
    </row>
    <row r="98" spans="1:74" s="127" customFormat="1" ht="14.25" customHeight="1">
      <c r="A98" s="771"/>
      <c r="B98" s="772"/>
      <c r="C98" s="231" t="s">
        <v>265</v>
      </c>
      <c r="D98" s="231" t="s">
        <v>265</v>
      </c>
      <c r="E98" s="231" t="s">
        <v>265</v>
      </c>
      <c r="F98" s="231" t="s">
        <v>265</v>
      </c>
      <c r="G98" s="231" t="s">
        <v>265</v>
      </c>
      <c r="H98" s="231" t="s">
        <v>265</v>
      </c>
      <c r="I98" s="231" t="s">
        <v>264</v>
      </c>
      <c r="J98" s="231" t="s">
        <v>265</v>
      </c>
      <c r="K98" s="231" t="s">
        <v>265</v>
      </c>
      <c r="L98" s="231" t="s">
        <v>265</v>
      </c>
      <c r="M98" s="231" t="s">
        <v>265</v>
      </c>
      <c r="N98" s="402" t="s">
        <v>51</v>
      </c>
      <c r="O98" s="231" t="s">
        <v>51</v>
      </c>
      <c r="P98" s="231" t="s">
        <v>51</v>
      </c>
      <c r="Q98" s="231" t="s">
        <v>51</v>
      </c>
      <c r="R98" s="231" t="s">
        <v>51</v>
      </c>
      <c r="S98" s="231" t="s">
        <v>51</v>
      </c>
      <c r="T98" s="231"/>
      <c r="U98" s="231" t="s">
        <v>51</v>
      </c>
      <c r="V98" s="231" t="s">
        <v>51</v>
      </c>
      <c r="W98" s="231" t="s">
        <v>51</v>
      </c>
      <c r="X98" s="231" t="s">
        <v>51</v>
      </c>
      <c r="Y98" s="231" t="s">
        <v>51</v>
      </c>
      <c r="BO98" s="182"/>
      <c r="BP98" s="182"/>
      <c r="BQ98" s="182"/>
      <c r="BR98" s="182"/>
      <c r="BS98" s="183"/>
      <c r="BT98" s="182"/>
      <c r="BU98" s="182"/>
    </row>
    <row r="99" spans="1:74" s="127" customFormat="1" ht="14.25" customHeight="1">
      <c r="A99" s="843" t="s">
        <v>293</v>
      </c>
      <c r="B99" s="844"/>
      <c r="C99" s="232"/>
      <c r="D99" s="232">
        <v>45</v>
      </c>
      <c r="E99" s="232"/>
      <c r="F99" s="232"/>
      <c r="G99" s="232"/>
      <c r="H99" s="233"/>
      <c r="I99" s="233"/>
      <c r="J99" s="233"/>
      <c r="K99" s="234"/>
      <c r="L99" s="232"/>
      <c r="M99" s="232"/>
      <c r="N99" s="403"/>
      <c r="O99" s="232"/>
      <c r="P99" s="232"/>
      <c r="Q99" s="235"/>
      <c r="R99" s="235"/>
      <c r="S99" s="235"/>
      <c r="T99" s="235"/>
      <c r="U99" s="235"/>
      <c r="V99" s="235"/>
      <c r="W99" s="232"/>
      <c r="X99" s="232"/>
      <c r="Y99" s="232"/>
    </row>
    <row r="100" spans="1:74" s="127" customFormat="1" ht="14.25" customHeight="1">
      <c r="A100" s="236"/>
      <c r="B100" s="236"/>
      <c r="C100" s="237"/>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BI100" s="124"/>
      <c r="BJ100" s="124"/>
      <c r="BK100" s="124"/>
      <c r="BL100" s="124"/>
      <c r="BM100" s="124"/>
      <c r="BN100" s="124"/>
      <c r="BO100" s="124"/>
      <c r="BP100" s="124"/>
      <c r="BQ100" s="124"/>
      <c r="BR100" s="124"/>
      <c r="BS100" s="125"/>
      <c r="BT100" s="124"/>
      <c r="BU100" s="124"/>
    </row>
    <row r="101" spans="1:74" ht="14.25" customHeight="1">
      <c r="B101" s="238"/>
      <c r="C101" s="520"/>
      <c r="D101" s="519"/>
      <c r="E101" s="519"/>
      <c r="F101" s="519"/>
      <c r="G101" s="519"/>
      <c r="H101" s="519"/>
      <c r="I101" s="519"/>
      <c r="J101" s="519"/>
      <c r="K101" s="519"/>
      <c r="L101" s="519"/>
      <c r="M101" s="519"/>
      <c r="N101" s="519"/>
      <c r="BS101" s="124"/>
      <c r="BV101" s="182"/>
    </row>
    <row r="102" spans="1:74" ht="14.25" customHeight="1">
      <c r="AD102" s="413"/>
      <c r="AE102" s="413"/>
      <c r="AF102" s="412"/>
      <c r="AG102" s="416" t="s">
        <v>359</v>
      </c>
      <c r="AH102" s="416" t="str">
        <f>AD146</f>
        <v>TF (coal)</v>
      </c>
      <c r="AI102" s="416" t="str">
        <f>AD147</f>
        <v>TF (lignite)</v>
      </c>
      <c r="AJ102" s="416" t="str">
        <f>AD148</f>
        <v>TF (petcoke)</v>
      </c>
      <c r="AK102" s="416" t="str">
        <f>AD149</f>
        <v>TF (liquid)</v>
      </c>
      <c r="AL102" s="416" t="str">
        <f>AD150</f>
        <v>TF (gas)</v>
      </c>
      <c r="AM102" s="416" t="str">
        <f>AD151</f>
        <v>TF (other)</v>
      </c>
      <c r="AN102" s="416" t="str">
        <f>AD152</f>
        <v>AF (v.fine)</v>
      </c>
      <c r="AO102" s="416" t="str">
        <f>AD153</f>
        <v>AF (fine)</v>
      </c>
      <c r="AP102" s="416" t="str">
        <f>AD154</f>
        <v>AF (coarse)</v>
      </c>
      <c r="AQ102" s="416" t="str">
        <f>AD155</f>
        <v>AF (lumps)</v>
      </c>
      <c r="AR102" s="416" t="str">
        <f>AD156</f>
        <v>AF (liquid)</v>
      </c>
      <c r="AS102" s="416" t="str">
        <f>AD157</f>
        <v>AF (gas)</v>
      </c>
      <c r="AT102" s="417" t="s">
        <v>536</v>
      </c>
      <c r="AU102" s="417" t="s">
        <v>537</v>
      </c>
      <c r="AV102" s="416" t="s">
        <v>538</v>
      </c>
    </row>
    <row r="103" spans="1:74" ht="14.25" customHeight="1">
      <c r="G103" s="539"/>
      <c r="AD103" s="838" t="str">
        <f>"Inputs"&amp;CHAR(10)&amp;"Volume (t/"&amp;D13&amp;"), Heat (GJ/"&amp;D13&amp;")"</f>
        <v>Inputs
Volume (t/year), Heat (GJ/year)</v>
      </c>
      <c r="AE103" s="835" t="str">
        <f>$AG$146</f>
        <v>BZ</v>
      </c>
      <c r="AF103" s="418" t="s">
        <v>325</v>
      </c>
      <c r="AG103" s="427" t="s">
        <v>51</v>
      </c>
      <c r="AH103" s="419">
        <f t="shared" ref="AH103:AS103" si="10">SUMIFS($E$21:$E$69,$F$21:$F$69,"="&amp;$AE103,$G$21:$G$69,"="&amp;AH$102)</f>
        <v>63734.296938768268</v>
      </c>
      <c r="AI103" s="419">
        <f t="shared" si="10"/>
        <v>0</v>
      </c>
      <c r="AJ103" s="419">
        <f t="shared" si="10"/>
        <v>0</v>
      </c>
      <c r="AK103" s="419">
        <f t="shared" si="10"/>
        <v>1500</v>
      </c>
      <c r="AL103" s="419">
        <f t="shared" si="10"/>
        <v>0</v>
      </c>
      <c r="AM103" s="419">
        <f t="shared" si="10"/>
        <v>0</v>
      </c>
      <c r="AN103" s="419">
        <f t="shared" si="10"/>
        <v>0</v>
      </c>
      <c r="AO103" s="419">
        <f t="shared" si="10"/>
        <v>0</v>
      </c>
      <c r="AP103" s="419">
        <f t="shared" si="10"/>
        <v>0</v>
      </c>
      <c r="AQ103" s="419">
        <f t="shared" si="10"/>
        <v>0</v>
      </c>
      <c r="AR103" s="419">
        <f t="shared" si="10"/>
        <v>11270.477817841554</v>
      </c>
      <c r="AS103" s="419">
        <f t="shared" si="10"/>
        <v>0</v>
      </c>
      <c r="AT103" s="420">
        <f>SUM(AH103:AM103)</f>
        <v>65234.296938768268</v>
      </c>
      <c r="AU103" s="420">
        <f>SUM(AN103:AS103)</f>
        <v>11270.477817841554</v>
      </c>
      <c r="AV103" s="419">
        <f>AT103+AU103</f>
        <v>76504.774756609826</v>
      </c>
    </row>
    <row r="104" spans="1:74" ht="14.25" customHeight="1">
      <c r="AD104" s="839"/>
      <c r="AE104" s="835"/>
      <c r="AF104" s="418" t="s">
        <v>326</v>
      </c>
      <c r="AG104" s="427" t="s">
        <v>51</v>
      </c>
      <c r="AH104" s="419">
        <f t="shared" ref="AH104:AS104" si="11">SUMPRODUCT(($E$21:$E$69*$M$21:$M$69)*($F$21:$F$69=$AE103)*($G$21:$G$69=AH$102))</f>
        <v>1625224.5719385908</v>
      </c>
      <c r="AI104" s="419">
        <f t="shared" si="11"/>
        <v>0</v>
      </c>
      <c r="AJ104" s="419">
        <f t="shared" si="11"/>
        <v>0</v>
      </c>
      <c r="AK104" s="419">
        <f t="shared" si="11"/>
        <v>60300.000000000007</v>
      </c>
      <c r="AL104" s="419">
        <f t="shared" si="11"/>
        <v>0</v>
      </c>
      <c r="AM104" s="419">
        <f t="shared" si="11"/>
        <v>0</v>
      </c>
      <c r="AN104" s="419">
        <f t="shared" si="11"/>
        <v>0</v>
      </c>
      <c r="AO104" s="419">
        <f t="shared" si="11"/>
        <v>0</v>
      </c>
      <c r="AP104" s="419">
        <f t="shared" si="11"/>
        <v>0</v>
      </c>
      <c r="AQ104" s="419">
        <f t="shared" si="11"/>
        <v>0</v>
      </c>
      <c r="AR104" s="419">
        <f t="shared" si="11"/>
        <v>239220.98981035576</v>
      </c>
      <c r="AS104" s="419">
        <f t="shared" si="11"/>
        <v>0</v>
      </c>
      <c r="AT104" s="420">
        <f>SUM(AH104:AM104)</f>
        <v>1685524.5719385908</v>
      </c>
      <c r="AU104" s="420">
        <f>SUM(AN104:AS104)</f>
        <v>239220.98981035576</v>
      </c>
      <c r="AV104" s="419">
        <f>AT104+AU104</f>
        <v>1924745.5617489466</v>
      </c>
    </row>
    <row r="105" spans="1:74" ht="14.25" customHeight="1">
      <c r="AD105" s="839"/>
      <c r="AE105" s="835" t="str">
        <f>$AG$147</f>
        <v>ILC</v>
      </c>
      <c r="AF105" s="418" t="s">
        <v>325</v>
      </c>
      <c r="AG105" s="427" t="s">
        <v>51</v>
      </c>
      <c r="AH105" s="419">
        <f t="shared" ref="AH105:AS105" si="12">SUMIFS($E$21:$E$69,$F$21:$F$69,"="&amp;$AE105,$G$21:$G$69,"="&amp;AH$102)</f>
        <v>26424.593103318552</v>
      </c>
      <c r="AI105" s="419">
        <f t="shared" si="12"/>
        <v>0</v>
      </c>
      <c r="AJ105" s="419">
        <f t="shared" si="12"/>
        <v>0</v>
      </c>
      <c r="AK105" s="419">
        <f t="shared" si="12"/>
        <v>0</v>
      </c>
      <c r="AL105" s="419">
        <f t="shared" si="12"/>
        <v>0</v>
      </c>
      <c r="AM105" s="419">
        <f t="shared" si="12"/>
        <v>0</v>
      </c>
      <c r="AN105" s="419">
        <f t="shared" si="12"/>
        <v>0</v>
      </c>
      <c r="AO105" s="419">
        <f t="shared" si="12"/>
        <v>40000</v>
      </c>
      <c r="AP105" s="419">
        <f t="shared" si="12"/>
        <v>75506.538440306133</v>
      </c>
      <c r="AQ105" s="419">
        <f t="shared" si="12"/>
        <v>0</v>
      </c>
      <c r="AR105" s="419">
        <f t="shared" si="12"/>
        <v>10000</v>
      </c>
      <c r="AS105" s="419">
        <f t="shared" si="12"/>
        <v>0</v>
      </c>
      <c r="AT105" s="420">
        <f t="shared" ref="AT105:AT114" si="13">SUM(AH105:AM105)</f>
        <v>26424.593103318552</v>
      </c>
      <c r="AU105" s="420">
        <f t="shared" ref="AU105:AU114" si="14">SUM(AN105:AS105)</f>
        <v>125506.53844030613</v>
      </c>
      <c r="AV105" s="419">
        <f t="shared" ref="AV105:AV114" si="15">AT105+AU105</f>
        <v>151931.13154362468</v>
      </c>
    </row>
    <row r="106" spans="1:74" ht="14.25" customHeight="1">
      <c r="AD106" s="839"/>
      <c r="AE106" s="835"/>
      <c r="AF106" s="418" t="s">
        <v>326</v>
      </c>
      <c r="AG106" s="427" t="s">
        <v>51</v>
      </c>
      <c r="AH106" s="419">
        <f t="shared" ref="AH106:AS106" si="16">SUMPRODUCT(($E$21:$E$69*$M$21:$M$69)*($F$21:$F$69=$AE105)*($G$21:$G$69=AH$102))</f>
        <v>673827.1241346231</v>
      </c>
      <c r="AI106" s="419">
        <f t="shared" si="16"/>
        <v>0</v>
      </c>
      <c r="AJ106" s="419">
        <f t="shared" si="16"/>
        <v>0</v>
      </c>
      <c r="AK106" s="419">
        <f t="shared" si="16"/>
        <v>0</v>
      </c>
      <c r="AL106" s="419">
        <f t="shared" si="16"/>
        <v>0</v>
      </c>
      <c r="AM106" s="419">
        <f t="shared" si="16"/>
        <v>0</v>
      </c>
      <c r="AN106" s="419">
        <f t="shared" si="16"/>
        <v>0</v>
      </c>
      <c r="AO106" s="419">
        <f t="shared" si="16"/>
        <v>440000</v>
      </c>
      <c r="AP106" s="419">
        <f t="shared" si="16"/>
        <v>1532598.0231631533</v>
      </c>
      <c r="AQ106" s="419">
        <f t="shared" si="16"/>
        <v>0</v>
      </c>
      <c r="AR106" s="419">
        <f t="shared" si="16"/>
        <v>100</v>
      </c>
      <c r="AS106" s="419">
        <f t="shared" si="16"/>
        <v>0</v>
      </c>
      <c r="AT106" s="420">
        <f t="shared" si="13"/>
        <v>673827.1241346231</v>
      </c>
      <c r="AU106" s="420">
        <f t="shared" si="14"/>
        <v>1972698.0231631533</v>
      </c>
      <c r="AV106" s="419">
        <f t="shared" si="15"/>
        <v>2646525.1472977763</v>
      </c>
    </row>
    <row r="107" spans="1:74" ht="14.25" customHeight="1">
      <c r="AD107" s="839"/>
      <c r="AE107" s="836" t="str">
        <f>$AG$148</f>
        <v>SLC/OLC/MFC</v>
      </c>
      <c r="AF107" s="418" t="s">
        <v>325</v>
      </c>
      <c r="AG107" s="427" t="s">
        <v>51</v>
      </c>
      <c r="AH107" s="419">
        <f t="shared" ref="AH107:AS107" si="17">SUMIFS($E$21:$E$69,$F$21:$F$69,"="&amp;$AE107,$G$21:$G$69,"="&amp;AH$102)</f>
        <v>0</v>
      </c>
      <c r="AI107" s="419">
        <f t="shared" si="17"/>
        <v>0</v>
      </c>
      <c r="AJ107" s="419">
        <f t="shared" si="17"/>
        <v>0</v>
      </c>
      <c r="AK107" s="419">
        <f t="shared" si="17"/>
        <v>0</v>
      </c>
      <c r="AL107" s="419">
        <f t="shared" si="17"/>
        <v>0</v>
      </c>
      <c r="AM107" s="419">
        <f t="shared" si="17"/>
        <v>0</v>
      </c>
      <c r="AN107" s="419">
        <f t="shared" si="17"/>
        <v>0</v>
      </c>
      <c r="AO107" s="419">
        <f t="shared" si="17"/>
        <v>0</v>
      </c>
      <c r="AP107" s="419">
        <f t="shared" si="17"/>
        <v>0</v>
      </c>
      <c r="AQ107" s="419">
        <f t="shared" si="17"/>
        <v>0</v>
      </c>
      <c r="AR107" s="419">
        <f t="shared" si="17"/>
        <v>0</v>
      </c>
      <c r="AS107" s="419">
        <f t="shared" si="17"/>
        <v>0</v>
      </c>
      <c r="AT107" s="420">
        <f t="shared" si="13"/>
        <v>0</v>
      </c>
      <c r="AU107" s="420">
        <f t="shared" si="14"/>
        <v>0</v>
      </c>
      <c r="AV107" s="419">
        <f t="shared" si="15"/>
        <v>0</v>
      </c>
    </row>
    <row r="108" spans="1:74" ht="14.25" customHeight="1">
      <c r="AD108" s="839"/>
      <c r="AE108" s="837"/>
      <c r="AF108" s="418" t="s">
        <v>326</v>
      </c>
      <c r="AG108" s="427" t="s">
        <v>51</v>
      </c>
      <c r="AH108" s="419">
        <f t="shared" ref="AH108:AS108" si="18">SUMPRODUCT(($E$21:$E$69*$M$21:$M$69)*($F$21:$F$69=$AE107)*($G$21:$G$69=AH$102))</f>
        <v>0</v>
      </c>
      <c r="AI108" s="419">
        <f t="shared" si="18"/>
        <v>0</v>
      </c>
      <c r="AJ108" s="419">
        <f t="shared" si="18"/>
        <v>0</v>
      </c>
      <c r="AK108" s="419">
        <f t="shared" si="18"/>
        <v>0</v>
      </c>
      <c r="AL108" s="419">
        <f t="shared" si="18"/>
        <v>0</v>
      </c>
      <c r="AM108" s="419">
        <f t="shared" si="18"/>
        <v>0</v>
      </c>
      <c r="AN108" s="419">
        <f t="shared" si="18"/>
        <v>0</v>
      </c>
      <c r="AO108" s="419">
        <f t="shared" si="18"/>
        <v>0</v>
      </c>
      <c r="AP108" s="419">
        <f t="shared" si="18"/>
        <v>0</v>
      </c>
      <c r="AQ108" s="419">
        <f t="shared" si="18"/>
        <v>0</v>
      </c>
      <c r="AR108" s="419">
        <f t="shared" si="18"/>
        <v>0</v>
      </c>
      <c r="AS108" s="419">
        <f t="shared" si="18"/>
        <v>0</v>
      </c>
      <c r="AT108" s="420">
        <f t="shared" si="13"/>
        <v>0</v>
      </c>
      <c r="AU108" s="420">
        <f t="shared" si="14"/>
        <v>0</v>
      </c>
      <c r="AV108" s="419">
        <f t="shared" si="15"/>
        <v>0</v>
      </c>
    </row>
    <row r="109" spans="1:74" ht="14.25" customHeight="1">
      <c r="AD109" s="839"/>
      <c r="AE109" s="835" t="str">
        <f>$AG$149</f>
        <v>PCC</v>
      </c>
      <c r="AF109" s="418" t="s">
        <v>325</v>
      </c>
      <c r="AG109" s="427" t="s">
        <v>51</v>
      </c>
      <c r="AH109" s="419">
        <f t="shared" ref="AH109:AS109" si="19">SUMIFS($E$21:$E$69,$F$21:$F$69,"="&amp;$AE109,$G$21:$G$69,"="&amp;AH$102)</f>
        <v>0</v>
      </c>
      <c r="AI109" s="419">
        <f t="shared" si="19"/>
        <v>0</v>
      </c>
      <c r="AJ109" s="419">
        <f t="shared" si="19"/>
        <v>0</v>
      </c>
      <c r="AK109" s="419">
        <f t="shared" si="19"/>
        <v>0</v>
      </c>
      <c r="AL109" s="419">
        <f t="shared" si="19"/>
        <v>0</v>
      </c>
      <c r="AM109" s="419">
        <f t="shared" si="19"/>
        <v>0</v>
      </c>
      <c r="AN109" s="419">
        <f t="shared" si="19"/>
        <v>0</v>
      </c>
      <c r="AO109" s="419">
        <f t="shared" si="19"/>
        <v>0</v>
      </c>
      <c r="AP109" s="419">
        <f t="shared" si="19"/>
        <v>0</v>
      </c>
      <c r="AQ109" s="419">
        <f t="shared" si="19"/>
        <v>0</v>
      </c>
      <c r="AR109" s="419">
        <f t="shared" si="19"/>
        <v>0</v>
      </c>
      <c r="AS109" s="419">
        <f t="shared" si="19"/>
        <v>0</v>
      </c>
      <c r="AT109" s="420">
        <f t="shared" si="13"/>
        <v>0</v>
      </c>
      <c r="AU109" s="420">
        <f t="shared" si="14"/>
        <v>0</v>
      </c>
      <c r="AV109" s="419">
        <f t="shared" si="15"/>
        <v>0</v>
      </c>
      <c r="BE109" s="241"/>
      <c r="BF109" s="241"/>
      <c r="BG109" s="125"/>
      <c r="BH109" s="125"/>
      <c r="BI109" s="125"/>
      <c r="BJ109" s="125"/>
      <c r="BK109" s="125"/>
      <c r="BL109" s="125"/>
      <c r="BM109" s="125"/>
    </row>
    <row r="110" spans="1:74" ht="14.25" customHeight="1">
      <c r="AD110" s="839"/>
      <c r="AE110" s="835"/>
      <c r="AF110" s="418" t="s">
        <v>326</v>
      </c>
      <c r="AG110" s="427" t="s">
        <v>51</v>
      </c>
      <c r="AH110" s="419">
        <f t="shared" ref="AH110:AS110" si="20">SUMPRODUCT(($E$21:$E$69*$M$21:$M$69)*($F$21:$F$69=$AE109)*($G$21:$G$69=AH$102))</f>
        <v>0</v>
      </c>
      <c r="AI110" s="419">
        <f t="shared" si="20"/>
        <v>0</v>
      </c>
      <c r="AJ110" s="419">
        <f t="shared" si="20"/>
        <v>0</v>
      </c>
      <c r="AK110" s="419">
        <f t="shared" si="20"/>
        <v>0</v>
      </c>
      <c r="AL110" s="419">
        <f t="shared" si="20"/>
        <v>0</v>
      </c>
      <c r="AM110" s="419">
        <f t="shared" si="20"/>
        <v>0</v>
      </c>
      <c r="AN110" s="419">
        <f t="shared" si="20"/>
        <v>0</v>
      </c>
      <c r="AO110" s="419">
        <f t="shared" si="20"/>
        <v>0</v>
      </c>
      <c r="AP110" s="419">
        <f t="shared" si="20"/>
        <v>0</v>
      </c>
      <c r="AQ110" s="419">
        <f t="shared" si="20"/>
        <v>0</v>
      </c>
      <c r="AR110" s="419">
        <f t="shared" si="20"/>
        <v>0</v>
      </c>
      <c r="AS110" s="419">
        <f t="shared" si="20"/>
        <v>0</v>
      </c>
      <c r="AT110" s="420">
        <f t="shared" si="13"/>
        <v>0</v>
      </c>
      <c r="AU110" s="420">
        <f t="shared" si="14"/>
        <v>0</v>
      </c>
      <c r="AV110" s="419">
        <f t="shared" si="15"/>
        <v>0</v>
      </c>
      <c r="BE110" s="241"/>
      <c r="BF110" s="241"/>
      <c r="BG110" s="125"/>
      <c r="BH110" s="125"/>
      <c r="BI110" s="125"/>
      <c r="BJ110" s="125"/>
      <c r="BK110" s="125"/>
      <c r="BL110" s="125"/>
      <c r="BM110" s="125"/>
    </row>
    <row r="111" spans="1:74" ht="14.25" customHeight="1">
      <c r="AD111" s="839"/>
      <c r="AE111" s="835" t="str">
        <f>$AG$150</f>
        <v>SF</v>
      </c>
      <c r="AF111" s="418" t="s">
        <v>325</v>
      </c>
      <c r="AG111" s="427" t="s">
        <v>51</v>
      </c>
      <c r="AH111" s="419">
        <f t="shared" ref="AH111:AS111" si="21">SUMIFS($E$21:$E$69,$F$21:$F$69,"="&amp;$AE111,$G$21:$G$69,"="&amp;AH$102)</f>
        <v>0</v>
      </c>
      <c r="AI111" s="419">
        <f t="shared" si="21"/>
        <v>0</v>
      </c>
      <c r="AJ111" s="419">
        <f t="shared" si="21"/>
        <v>0</v>
      </c>
      <c r="AK111" s="419">
        <f t="shared" si="21"/>
        <v>0</v>
      </c>
      <c r="AL111" s="419">
        <f t="shared" si="21"/>
        <v>0</v>
      </c>
      <c r="AM111" s="419">
        <f t="shared" si="21"/>
        <v>0</v>
      </c>
      <c r="AN111" s="419">
        <f t="shared" si="21"/>
        <v>0</v>
      </c>
      <c r="AO111" s="419">
        <f t="shared" si="21"/>
        <v>0</v>
      </c>
      <c r="AP111" s="419">
        <f t="shared" si="21"/>
        <v>0</v>
      </c>
      <c r="AQ111" s="419">
        <f t="shared" si="21"/>
        <v>14152.540894771915</v>
      </c>
      <c r="AR111" s="419">
        <f t="shared" si="21"/>
        <v>0</v>
      </c>
      <c r="AS111" s="419">
        <f t="shared" si="21"/>
        <v>0</v>
      </c>
      <c r="AT111" s="420">
        <f t="shared" si="13"/>
        <v>0</v>
      </c>
      <c r="AU111" s="420">
        <f t="shared" si="14"/>
        <v>14152.540894771915</v>
      </c>
      <c r="AV111" s="419">
        <f t="shared" si="15"/>
        <v>14152.540894771915</v>
      </c>
      <c r="BE111" s="241"/>
      <c r="BF111" s="241"/>
      <c r="BG111" s="125"/>
      <c r="BH111" s="125"/>
      <c r="BI111" s="125"/>
      <c r="BJ111" s="125"/>
      <c r="BK111" s="125"/>
      <c r="BL111" s="125"/>
      <c r="BM111" s="125"/>
    </row>
    <row r="112" spans="1:74" ht="14.25" customHeight="1">
      <c r="AD112" s="839"/>
      <c r="AE112" s="835"/>
      <c r="AF112" s="418" t="s">
        <v>326</v>
      </c>
      <c r="AG112" s="427" t="s">
        <v>51</v>
      </c>
      <c r="AH112" s="419">
        <f t="shared" ref="AH112:AS112" si="22">SUMPRODUCT(($E$21:$E$69*$M$21:$M$69)*($F$21:$F$69=$AE111)*($G$21:$G$69=AH$102))</f>
        <v>0</v>
      </c>
      <c r="AI112" s="419">
        <f t="shared" si="22"/>
        <v>0</v>
      </c>
      <c r="AJ112" s="419">
        <f t="shared" si="22"/>
        <v>0</v>
      </c>
      <c r="AK112" s="419">
        <f t="shared" si="22"/>
        <v>0</v>
      </c>
      <c r="AL112" s="419">
        <f t="shared" si="22"/>
        <v>0</v>
      </c>
      <c r="AM112" s="419">
        <f t="shared" si="22"/>
        <v>0</v>
      </c>
      <c r="AN112" s="419">
        <f t="shared" si="22"/>
        <v>0</v>
      </c>
      <c r="AO112" s="419">
        <f t="shared" si="22"/>
        <v>0</v>
      </c>
      <c r="AP112" s="419">
        <f t="shared" si="22"/>
        <v>0</v>
      </c>
      <c r="AQ112" s="419">
        <f t="shared" si="22"/>
        <v>240593.19521112257</v>
      </c>
      <c r="AR112" s="419">
        <f t="shared" si="22"/>
        <v>0</v>
      </c>
      <c r="AS112" s="419">
        <f t="shared" si="22"/>
        <v>0</v>
      </c>
      <c r="AT112" s="420">
        <f t="shared" si="13"/>
        <v>0</v>
      </c>
      <c r="AU112" s="420">
        <f t="shared" si="14"/>
        <v>240593.19521112257</v>
      </c>
      <c r="AV112" s="419">
        <f t="shared" si="15"/>
        <v>240593.19521112257</v>
      </c>
      <c r="BE112" s="241"/>
      <c r="BF112" s="241"/>
      <c r="BG112" s="125"/>
      <c r="BH112" s="125"/>
      <c r="BI112" s="125"/>
      <c r="BJ112" s="125"/>
      <c r="BK112" s="125"/>
      <c r="BL112" s="125"/>
      <c r="BM112" s="125"/>
    </row>
    <row r="113" spans="30:74" ht="14.25" customHeight="1">
      <c r="AD113" s="839"/>
      <c r="AE113" s="836" t="s">
        <v>60</v>
      </c>
      <c r="AF113" s="418" t="s">
        <v>325</v>
      </c>
      <c r="AG113" s="427">
        <f>AG114/Guidelines!D119</f>
        <v>169327.78641522172</v>
      </c>
      <c r="AH113" s="419">
        <f>AH103+AH105+AH107+AH109+AH111</f>
        <v>90158.890042086816</v>
      </c>
      <c r="AI113" s="419">
        <f t="shared" ref="AI113:AS114" si="23">AI103+AI105+AI107+AI109+AI111</f>
        <v>0</v>
      </c>
      <c r="AJ113" s="419">
        <f t="shared" si="23"/>
        <v>0</v>
      </c>
      <c r="AK113" s="419">
        <f t="shared" si="23"/>
        <v>1500</v>
      </c>
      <c r="AL113" s="419">
        <f t="shared" si="23"/>
        <v>0</v>
      </c>
      <c r="AM113" s="419">
        <f t="shared" si="23"/>
        <v>0</v>
      </c>
      <c r="AN113" s="419">
        <f t="shared" si="23"/>
        <v>0</v>
      </c>
      <c r="AO113" s="419">
        <f t="shared" si="23"/>
        <v>40000</v>
      </c>
      <c r="AP113" s="419">
        <f t="shared" si="23"/>
        <v>75506.538440306133</v>
      </c>
      <c r="AQ113" s="419">
        <f t="shared" si="23"/>
        <v>14152.540894771915</v>
      </c>
      <c r="AR113" s="419">
        <f t="shared" si="23"/>
        <v>21270.477817841554</v>
      </c>
      <c r="AS113" s="419">
        <f t="shared" si="23"/>
        <v>0</v>
      </c>
      <c r="AT113" s="420">
        <f t="shared" si="13"/>
        <v>91658.890042086816</v>
      </c>
      <c r="AU113" s="420">
        <f t="shared" si="14"/>
        <v>150929.55715291959</v>
      </c>
      <c r="AV113" s="419">
        <f t="shared" si="15"/>
        <v>242588.44719500642</v>
      </c>
      <c r="BG113" s="182"/>
      <c r="BH113" s="244"/>
    </row>
    <row r="114" spans="30:74" ht="14.25" customHeight="1">
      <c r="AD114" s="839"/>
      <c r="AE114" s="841"/>
      <c r="AF114" s="418" t="s">
        <v>326</v>
      </c>
      <c r="AG114" s="427">
        <f>AV114-AV129</f>
        <v>4571850.2332109865</v>
      </c>
      <c r="AH114" s="419">
        <f>AH104+AH106+AH108+AH110+AH112</f>
        <v>2299051.6960732141</v>
      </c>
      <c r="AI114" s="419">
        <f t="shared" si="23"/>
        <v>0</v>
      </c>
      <c r="AJ114" s="419">
        <f t="shared" si="23"/>
        <v>0</v>
      </c>
      <c r="AK114" s="419">
        <f t="shared" si="23"/>
        <v>60300.000000000007</v>
      </c>
      <c r="AL114" s="419">
        <f t="shared" si="23"/>
        <v>0</v>
      </c>
      <c r="AM114" s="419">
        <f t="shared" si="23"/>
        <v>0</v>
      </c>
      <c r="AN114" s="419">
        <f t="shared" si="23"/>
        <v>0</v>
      </c>
      <c r="AO114" s="419">
        <f t="shared" si="23"/>
        <v>440000</v>
      </c>
      <c r="AP114" s="419">
        <f t="shared" si="23"/>
        <v>1532598.0231631533</v>
      </c>
      <c r="AQ114" s="419">
        <f t="shared" si="23"/>
        <v>240593.19521112257</v>
      </c>
      <c r="AR114" s="419">
        <f t="shared" si="23"/>
        <v>239320.98981035576</v>
      </c>
      <c r="AS114" s="419">
        <f t="shared" si="23"/>
        <v>0</v>
      </c>
      <c r="AT114" s="420">
        <f t="shared" si="13"/>
        <v>2359351.6960732141</v>
      </c>
      <c r="AU114" s="420">
        <f t="shared" si="14"/>
        <v>2452512.208184632</v>
      </c>
      <c r="AV114" s="419">
        <f t="shared" si="15"/>
        <v>4811863.9042578461</v>
      </c>
      <c r="BG114" s="182"/>
      <c r="BH114" s="244"/>
    </row>
    <row r="115" spans="30:74" ht="14.25" customHeight="1">
      <c r="AD115" s="840"/>
      <c r="AE115" s="837"/>
      <c r="AF115" s="418" t="s">
        <v>764</v>
      </c>
      <c r="AG115" s="427">
        <f t="shared" ref="AG115:AV115" si="24">IF(CLI=0,0,AG114*1000/CLI)</f>
        <v>3273.7082759424675</v>
      </c>
      <c r="AH115" s="427">
        <f t="shared" si="24"/>
        <v>1646.2535254503186</v>
      </c>
      <c r="AI115" s="427">
        <f t="shared" si="24"/>
        <v>0</v>
      </c>
      <c r="AJ115" s="427">
        <f t="shared" si="24"/>
        <v>0</v>
      </c>
      <c r="AK115" s="427">
        <f t="shared" si="24"/>
        <v>43.17827552734289</v>
      </c>
      <c r="AL115" s="427">
        <f t="shared" si="24"/>
        <v>0</v>
      </c>
      <c r="AM115" s="427">
        <f t="shared" si="24"/>
        <v>0</v>
      </c>
      <c r="AN115" s="427">
        <f t="shared" si="24"/>
        <v>0</v>
      </c>
      <c r="AO115" s="427">
        <f t="shared" si="24"/>
        <v>315.06536039852188</v>
      </c>
      <c r="AP115" s="427">
        <f t="shared" si="24"/>
        <v>1097.4285193499115</v>
      </c>
      <c r="AQ115" s="427">
        <f t="shared" si="24"/>
        <v>172.27859490596424</v>
      </c>
      <c r="AR115" s="427">
        <f t="shared" si="24"/>
        <v>171.36762251256982</v>
      </c>
      <c r="AS115" s="427">
        <f t="shared" si="24"/>
        <v>0</v>
      </c>
      <c r="AT115" s="427">
        <f t="shared" si="24"/>
        <v>1689.4318009776614</v>
      </c>
      <c r="AU115" s="427">
        <f t="shared" si="24"/>
        <v>1756.1400971669675</v>
      </c>
      <c r="AV115" s="427">
        <f t="shared" si="24"/>
        <v>3445.5718981446289</v>
      </c>
      <c r="BG115" s="182"/>
      <c r="BH115" s="244"/>
    </row>
    <row r="116" spans="30:74" ht="14.25" customHeight="1">
      <c r="AD116" s="831" t="str">
        <f>"Impacts"&amp;CHAR(10)&amp;"Production (t/"&amp;D13&amp;"), Heat (GJ/"&amp;D13&amp;")"</f>
        <v>Impacts
Production (t/year), Heat (GJ/year)</v>
      </c>
      <c r="AE116" s="834" t="s">
        <v>6</v>
      </c>
      <c r="AF116" s="423" t="s">
        <v>539</v>
      </c>
      <c r="AG116" s="427">
        <f>-(AG113*Guidelines!F119/100)*Guidelines!M225</f>
        <v>-3352.6901710213901</v>
      </c>
      <c r="AH116" s="424">
        <f>-SUMPRODUCT(($E$21:$E$69*$N$21:$N$69)*Guidelines!$M$225/100*($G$21:$G$69=AH$102))</f>
        <v>-2142.1752273999828</v>
      </c>
      <c r="AI116" s="424">
        <f>-SUMPRODUCT(($E$21:$E$69*$N$21:$N$69)*Guidelines!$M$225/100*($G$21:$G$69=AI$102))</f>
        <v>0</v>
      </c>
      <c r="AJ116" s="424">
        <f>-SUMPRODUCT(($E$21:$E$69*$N$21:$N$69)*Guidelines!$M$225/100*($G$21:$G$69=AJ$102))</f>
        <v>0</v>
      </c>
      <c r="AK116" s="424">
        <f>-SUMPRODUCT(($E$21:$E$69*$N$21:$N$69)*Guidelines!$M$225/100*($G$21:$G$69=AK$102))</f>
        <v>0</v>
      </c>
      <c r="AL116" s="424">
        <f>-SUMPRODUCT(($E$21:$E$69*$N$21:$N$69)*Guidelines!$M$225/100*($G$21:$G$69=AL$102))</f>
        <v>0</v>
      </c>
      <c r="AM116" s="424">
        <f>-SUMPRODUCT(($E$21:$E$69*$N$21:$N$69)*Guidelines!$M$225/100*($G$21:$G$69=AM$102))</f>
        <v>0</v>
      </c>
      <c r="AN116" s="424">
        <f>-SUMPRODUCT(($E$21:$E$69*$N$21:$N$69)*Guidelines!$M$225/100*($G$21:$G$69=AN$102))</f>
        <v>0</v>
      </c>
      <c r="AO116" s="424">
        <f>-SUMPRODUCT(($E$21:$E$69*$N$21:$N$69)*Guidelines!$M$225/100*($G$21:$G$69=AO$102))</f>
        <v>-22176</v>
      </c>
      <c r="AP116" s="424">
        <f>-SUMPRODUCT(($E$21:$E$69*$N$21:$N$69)*Guidelines!$M$225/100*($G$21:$G$69=AP$102))</f>
        <v>-12496.649746924366</v>
      </c>
      <c r="AQ116" s="424">
        <f>-SUMPRODUCT(($E$21:$E$69*$N$21:$N$69)*Guidelines!$M$225/100*($G$21:$G$69=AQ$102))</f>
        <v>-5604.4061943296783</v>
      </c>
      <c r="AR116" s="424">
        <f>-SUMPRODUCT(($E$21:$E$69*$N$21:$N$69)*Guidelines!$M$225/100*($G$21:$G$69=AR$102))</f>
        <v>-26764.886519831569</v>
      </c>
      <c r="AS116" s="424">
        <f>-SUMPRODUCT(($E$21:$E$69*$N$21:$N$69)*Guidelines!$M$225/100*($G$21:$G$69=AS$102))</f>
        <v>0</v>
      </c>
      <c r="AT116" s="420">
        <f>SUM(AH116:AM116)</f>
        <v>-2142.1752273999828</v>
      </c>
      <c r="AU116" s="420">
        <f>SUM(AN116:AS116)</f>
        <v>-67041.942461085608</v>
      </c>
      <c r="AV116" s="419">
        <f>AT116+AU116</f>
        <v>-69184.117688485596</v>
      </c>
      <c r="BE116" s="182"/>
      <c r="BF116" s="182"/>
      <c r="BG116" s="182"/>
      <c r="BH116" s="182"/>
    </row>
    <row r="117" spans="30:74" ht="14.25" customHeight="1">
      <c r="AD117" s="832"/>
      <c r="AE117" s="834"/>
      <c r="AF117" s="423" t="s">
        <v>326</v>
      </c>
      <c r="AG117" s="427">
        <f>(AG113*Guidelines!F119/100)*Guidelines!M228</f>
        <v>3640.5474079272672</v>
      </c>
      <c r="AH117" s="424">
        <f>SUMPRODUCT(($E$21:$E$69*$N$21:$N$69)*Guidelines!$M$228/100*($G$21:$G$69=AH$102))-SUMPRODUCT(($E$21:$E$69*$Z$21:$Z$69)*($G$21:$G$69=AH$102))</f>
        <v>2326.0993630858397</v>
      </c>
      <c r="AI117" s="424">
        <f>SUMPRODUCT(($E$21:$E$69*$N$21:$N$69)*Guidelines!$M$228/100*($G$21:$G$69=AI$102))-SUMPRODUCT(($E$21:$E$69*$Z$21:$Z$69)*($G$21:$G$69=AI$102))</f>
        <v>0</v>
      </c>
      <c r="AJ117" s="424">
        <f>SUMPRODUCT(($E$21:$E$69*$N$21:$N$69)*Guidelines!$M$228/100*($G$21:$G$69=AJ$102))-SUMPRODUCT(($E$21:$E$69*$Z$21:$Z$69)*($G$21:$G$69=AJ$102))</f>
        <v>0</v>
      </c>
      <c r="AK117" s="424">
        <f>SUMPRODUCT(($E$21:$E$69*$N$21:$N$69)*Guidelines!$M$228/100*($G$21:$G$69=AK$102))-SUMPRODUCT(($E$21:$E$69*$Z$21:$Z$69)*($G$21:$G$69=AK$102))</f>
        <v>0</v>
      </c>
      <c r="AL117" s="424">
        <f>SUMPRODUCT(($E$21:$E$69*$N$21:$N$69)*Guidelines!$M$228/100*($G$21:$G$69=AL$102))-SUMPRODUCT(($E$21:$E$69*$Z$21:$Z$69)*($G$21:$G$69=AL$102))</f>
        <v>0</v>
      </c>
      <c r="AM117" s="424">
        <f>SUMPRODUCT(($E$21:$E$69*$N$21:$N$69)*Guidelines!$M$228/100*($G$21:$G$69=AM$102))-SUMPRODUCT(($E$21:$E$69*$Z$21:$Z$69)*($G$21:$G$69=AM$102))</f>
        <v>0</v>
      </c>
      <c r="AN117" s="424">
        <f>SUMPRODUCT(($E$21:$E$69*$N$21:$N$69)*Guidelines!$M$228/100*($G$21:$G$69=AN$102))-SUMPRODUCT(($E$21:$E$69*$Z$21:$Z$69)*($G$21:$G$69=AN$102))</f>
        <v>0</v>
      </c>
      <c r="AO117" s="424">
        <f>SUMPRODUCT(($E$21:$E$69*$N$21:$N$69)*Guidelines!$M$228/100*($G$21:$G$69=AO$102))-SUMPRODUCT(($E$21:$E$69*$Z$21:$Z$69)*($G$21:$G$69=AO$102))</f>
        <v>24080</v>
      </c>
      <c r="AP117" s="424">
        <f>SUMPRODUCT(($E$21:$E$69*$N$21:$N$69)*Guidelines!$M$228/100*($G$21:$G$69=AP$102))-SUMPRODUCT(($E$21:$E$69*$Z$21:$Z$69)*($G$21:$G$69=AP$102))</f>
        <v>13569.594422165346</v>
      </c>
      <c r="AQ117" s="424">
        <f>SUMPRODUCT(($E$21:$E$69*$N$21:$N$69)*Guidelines!$M$228/100*($G$21:$G$69=AQ$102))-SUMPRODUCT(($E$21:$E$69*$Z$21:$Z$69)*($G$21:$G$69=AQ$102))</f>
        <v>6085.592584751922</v>
      </c>
      <c r="AR117" s="424">
        <f>SUMPRODUCT(($E$21:$E$69*$N$21:$N$69)*Guidelines!$M$228/100*($G$21:$G$69=AR$102))-SUMPRODUCT(($E$21:$E$69*$Z$21:$Z$69)*($G$21:$G$69=AR$102))</f>
        <v>52827.881827089834</v>
      </c>
      <c r="AS117" s="424">
        <f>SUMPRODUCT(($E$21:$E$69*$N$21:$N$69)*Guidelines!$M$228/100*($G$21:$G$69=AS$102))-SUMPRODUCT(($E$21:$E$69*$Z$21:$Z$69)*($G$21:$G$69=AS$102))</f>
        <v>0</v>
      </c>
      <c r="AT117" s="420">
        <f t="shared" ref="AT117:AT127" si="25">SUM(AH117:AM117)</f>
        <v>2326.0993630858397</v>
      </c>
      <c r="AU117" s="420">
        <f t="shared" ref="AU117:AU127" si="26">SUM(AN117:AS117)</f>
        <v>96563.068834007106</v>
      </c>
      <c r="AV117" s="419">
        <f t="shared" ref="AV117:AV129" si="27">AT117+AU117</f>
        <v>98889.168197092949</v>
      </c>
      <c r="BE117" s="182"/>
      <c r="BF117" s="182"/>
      <c r="BG117" s="182"/>
      <c r="BH117" s="182"/>
    </row>
    <row r="118" spans="30:74" ht="14.25" customHeight="1">
      <c r="AD118" s="832"/>
      <c r="AE118" s="834" t="s">
        <v>8</v>
      </c>
      <c r="AF118" s="423" t="s">
        <v>539</v>
      </c>
      <c r="AG118" s="427">
        <f>-(AG113*Guidelines!H119/100)*Guidelines!M226</f>
        <v>-6603.7836701936476</v>
      </c>
      <c r="AH118" s="424">
        <f>-SUMPRODUCT(($E$21:$E$69*$O$21:$O$69)*Guidelines!$M$226/100*($G$21:$G$69=AH$102))</f>
        <v>-3750.6098257508115</v>
      </c>
      <c r="AI118" s="424">
        <f>-SUMPRODUCT(($E$21:$E$69*$O$21:$O$69)*Guidelines!$M$226/100*($G$21:$G$69=AI$102))</f>
        <v>0</v>
      </c>
      <c r="AJ118" s="424">
        <f>-SUMPRODUCT(($E$21:$E$69*$O$21:$O$69)*Guidelines!$M$226/100*($G$21:$G$69=AJ$102))</f>
        <v>0</v>
      </c>
      <c r="AK118" s="424">
        <f>-SUMPRODUCT(($E$21:$E$69*$O$21:$O$69)*Guidelines!$M$226/100*($G$21:$G$69=AK$102))</f>
        <v>0</v>
      </c>
      <c r="AL118" s="424">
        <f>-SUMPRODUCT(($E$21:$E$69*$O$21:$O$69)*Guidelines!$M$226/100*($G$21:$G$69=AL$102))</f>
        <v>0</v>
      </c>
      <c r="AM118" s="424">
        <f>-SUMPRODUCT(($E$21:$E$69*$O$21:$O$69)*Guidelines!$M$226/100*($G$21:$G$69=AM$102))</f>
        <v>0</v>
      </c>
      <c r="AN118" s="424">
        <f>-SUMPRODUCT(($E$21:$E$69*$O$21:$O$69)*Guidelines!$M$226/100*($G$21:$G$69=AN$102))</f>
        <v>0</v>
      </c>
      <c r="AO118" s="424">
        <f>-SUMPRODUCT(($E$21:$E$69*$O$21:$O$69)*Guidelines!$M$226/100*($G$21:$G$69=AO$102))</f>
        <v>-1040</v>
      </c>
      <c r="AP118" s="424">
        <f>-SUMPRODUCT(($E$21:$E$69*$O$21:$O$69)*Guidelines!$M$226/100*($G$21:$G$69=AP$102))</f>
        <v>-2621.0720586657662</v>
      </c>
      <c r="AQ118" s="424">
        <f>-SUMPRODUCT(($E$21:$E$69*$O$21:$O$69)*Guidelines!$M$226/100*($G$21:$G$69=AQ$102))</f>
        <v>-515.15248856969777</v>
      </c>
      <c r="AR118" s="424">
        <f>-SUMPRODUCT(($E$21:$E$69*$O$21:$O$69)*Guidelines!$M$226/100*($G$21:$G$69=AR$102))</f>
        <v>-104.21296930555216</v>
      </c>
      <c r="AS118" s="424">
        <f>-SUMPRODUCT(($E$21:$E$69*$O$21:$O$69)*Guidelines!$M$226/100*($G$21:$G$69=AS$102))</f>
        <v>0</v>
      </c>
      <c r="AT118" s="420">
        <f t="shared" si="25"/>
        <v>-3750.6098257508115</v>
      </c>
      <c r="AU118" s="420">
        <f t="shared" si="26"/>
        <v>-4280.4375165410165</v>
      </c>
      <c r="AV118" s="419">
        <f t="shared" si="27"/>
        <v>-8031.0473422918276</v>
      </c>
      <c r="BS118" s="124"/>
      <c r="BV118" s="245"/>
    </row>
    <row r="119" spans="30:74" ht="14.25" customHeight="1">
      <c r="AD119" s="832"/>
      <c r="AE119" s="834"/>
      <c r="AF119" s="423" t="s">
        <v>326</v>
      </c>
      <c r="AG119" s="427">
        <f>(AG113*Guidelines!H119/100)*Guidelines!M229</f>
        <v>27939.084758511588</v>
      </c>
      <c r="AH119" s="424">
        <f>SUMPRODUCT(($E$21:$E$69*$O$21:$O$69)*Guidelines!$M$229/100*($G$21:$G$69=AH$102))</f>
        <v>15867.964647407283</v>
      </c>
      <c r="AI119" s="424">
        <f>SUMPRODUCT(($E$21:$E$69*$O$21:$O$69)*Guidelines!$M$229/100*($G$21:$G$69=AI$102))</f>
        <v>0</v>
      </c>
      <c r="AJ119" s="424">
        <f>SUMPRODUCT(($E$21:$E$69*$O$21:$O$69)*Guidelines!$M$229/100*($G$21:$G$69=AJ$102))</f>
        <v>0</v>
      </c>
      <c r="AK119" s="424">
        <f>SUMPRODUCT(($E$21:$E$69*$O$21:$O$69)*Guidelines!$M$229/100*($G$21:$G$69=AK$102))</f>
        <v>0</v>
      </c>
      <c r="AL119" s="424">
        <f>SUMPRODUCT(($E$21:$E$69*$O$21:$O$69)*Guidelines!$M$229/100*($G$21:$G$69=AL$102))</f>
        <v>0</v>
      </c>
      <c r="AM119" s="424">
        <f>SUMPRODUCT(($E$21:$E$69*$O$21:$O$69)*Guidelines!$M$229/100*($G$21:$G$69=AM$102))</f>
        <v>0</v>
      </c>
      <c r="AN119" s="424">
        <f>SUMPRODUCT(($E$21:$E$69*$O$21:$O$69)*Guidelines!$M$229/100*($G$21:$G$69=AN$102))</f>
        <v>0</v>
      </c>
      <c r="AO119" s="424">
        <f>SUMPRODUCT(($E$21:$E$69*$O$21:$O$69)*Guidelines!$M$229/100*($G$21:$G$69=AO$102))</f>
        <v>4400.0000000000009</v>
      </c>
      <c r="AP119" s="424">
        <f>SUMPRODUCT(($E$21:$E$69*$O$21:$O$69)*Guidelines!$M$229/100*($G$21:$G$69=AP$102))</f>
        <v>11089.15101743209</v>
      </c>
      <c r="AQ119" s="424">
        <f>SUMPRODUCT(($E$21:$E$69*$O$21:$O$69)*Guidelines!$M$229/100*($G$21:$G$69=AQ$102))</f>
        <v>2179.4912977948752</v>
      </c>
      <c r="AR119" s="424">
        <f>SUMPRODUCT(($E$21:$E$69*$O$21:$O$69)*Guidelines!$M$229/100*($G$21:$G$69=AR$102))</f>
        <v>440.90102398502842</v>
      </c>
      <c r="AS119" s="424">
        <f>SUMPRODUCT(($E$21:$E$69*$O$21:$O$69)*Guidelines!$M$229/100*($G$21:$G$69=AS$102))</f>
        <v>0</v>
      </c>
      <c r="AT119" s="420">
        <f t="shared" si="25"/>
        <v>15867.964647407283</v>
      </c>
      <c r="AU119" s="420">
        <f t="shared" si="26"/>
        <v>18109.543339211992</v>
      </c>
      <c r="AV119" s="419">
        <f t="shared" si="27"/>
        <v>33977.507986619275</v>
      </c>
      <c r="BS119" s="124"/>
      <c r="BV119" s="245"/>
    </row>
    <row r="120" spans="30:74" ht="14.25" customHeight="1">
      <c r="AD120" s="832"/>
      <c r="AE120" s="834" t="s">
        <v>66</v>
      </c>
      <c r="AF120" s="423" t="s">
        <v>539</v>
      </c>
      <c r="AG120" s="484">
        <v>0</v>
      </c>
      <c r="AH120" s="424">
        <f>-Guidelines!$M$227/100*CLI*AH124</f>
        <v>0</v>
      </c>
      <c r="AI120" s="424">
        <f>-Guidelines!$M$227/100*CLI*AI124</f>
        <v>0</v>
      </c>
      <c r="AJ120" s="424">
        <f>-Guidelines!$M$227/100*CLI*AJ124</f>
        <v>0</v>
      </c>
      <c r="AK120" s="424">
        <f>-Guidelines!$M$227/100*CLI*AK124</f>
        <v>0</v>
      </c>
      <c r="AL120" s="424">
        <f>-Guidelines!$M$227/100*CLI*AL124</f>
        <v>0</v>
      </c>
      <c r="AM120" s="424">
        <f>-Guidelines!$M$227/100*CLI*AM124</f>
        <v>0</v>
      </c>
      <c r="AN120" s="424">
        <f>-Guidelines!$M$227/100*CLI*AN124</f>
        <v>0</v>
      </c>
      <c r="AO120" s="424">
        <f>-Guidelines!$M$227/100*CLI*AO124</f>
        <v>0</v>
      </c>
      <c r="AP120" s="424">
        <f>-Guidelines!$M$227/100*CLI*AP124</f>
        <v>-84512.421452531882</v>
      </c>
      <c r="AQ120" s="424">
        <f>-Guidelines!$M$227/100*CLI*AQ124</f>
        <v>-13267.088437402412</v>
      </c>
      <c r="AR120" s="424">
        <f>-Guidelines!$M$227/100*CLI*AR124</f>
        <v>0</v>
      </c>
      <c r="AS120" s="424">
        <f>-Guidelines!$M$227/100*CLI*AS124</f>
        <v>0</v>
      </c>
      <c r="AT120" s="426">
        <f t="shared" si="25"/>
        <v>0</v>
      </c>
      <c r="AU120" s="426">
        <f t="shared" si="26"/>
        <v>-97779.509889934299</v>
      </c>
      <c r="AV120" s="427">
        <f t="shared" si="27"/>
        <v>-97779.509889934299</v>
      </c>
      <c r="BS120" s="124"/>
      <c r="BV120" s="245"/>
    </row>
    <row r="121" spans="30:74" ht="14.25" customHeight="1">
      <c r="AD121" s="832"/>
      <c r="AE121" s="834"/>
      <c r="AF121" s="423" t="s">
        <v>763</v>
      </c>
      <c r="AG121" s="485">
        <v>0</v>
      </c>
      <c r="AH121" s="428">
        <f t="shared" ref="AH121:AS121" si="28">SUMIFS($H$21:$H$69,$G$21:$G$69,"="&amp;AH102)</f>
        <v>47.778817976104129</v>
      </c>
      <c r="AI121" s="428">
        <f t="shared" si="28"/>
        <v>0</v>
      </c>
      <c r="AJ121" s="428">
        <f t="shared" si="28"/>
        <v>0</v>
      </c>
      <c r="AK121" s="428">
        <f t="shared" si="28"/>
        <v>1.2531526493640583</v>
      </c>
      <c r="AL121" s="428">
        <f t="shared" si="28"/>
        <v>0</v>
      </c>
      <c r="AM121" s="428">
        <f t="shared" si="28"/>
        <v>0</v>
      </c>
      <c r="AN121" s="428">
        <f t="shared" si="28"/>
        <v>0</v>
      </c>
      <c r="AO121" s="428">
        <f t="shared" si="28"/>
        <v>9.1440657665039069</v>
      </c>
      <c r="AP121" s="428">
        <f t="shared" si="28"/>
        <v>31.850402539585801</v>
      </c>
      <c r="AQ121" s="428">
        <f t="shared" si="28"/>
        <v>4.9999999999632214</v>
      </c>
      <c r="AR121" s="428">
        <f t="shared" si="28"/>
        <v>4.9735610684788734</v>
      </c>
      <c r="AS121" s="428">
        <f t="shared" si="28"/>
        <v>0</v>
      </c>
      <c r="AT121" s="429">
        <f>SUM(AH121:AM121)</f>
        <v>49.03197062546819</v>
      </c>
      <c r="AU121" s="429">
        <f>SUM(AN121:AS121)</f>
        <v>50.968029374531802</v>
      </c>
      <c r="AV121" s="430">
        <f>AT121+AU121</f>
        <v>100</v>
      </c>
      <c r="BS121" s="124"/>
      <c r="BV121" s="245"/>
    </row>
    <row r="122" spans="30:74" ht="14.25" customHeight="1">
      <c r="AD122" s="832"/>
      <c r="AE122" s="834"/>
      <c r="AF122" s="423" t="s">
        <v>762</v>
      </c>
      <c r="AG122" s="485">
        <v>0</v>
      </c>
      <c r="AH122" s="428">
        <f t="shared" ref="AH122:AM122" si="29">AH121</f>
        <v>47.778817976104129</v>
      </c>
      <c r="AI122" s="428">
        <f t="shared" si="29"/>
        <v>0</v>
      </c>
      <c r="AJ122" s="428">
        <f t="shared" si="29"/>
        <v>0</v>
      </c>
      <c r="AK122" s="428">
        <f t="shared" si="29"/>
        <v>1.2531526493640583</v>
      </c>
      <c r="AL122" s="428">
        <f t="shared" si="29"/>
        <v>0</v>
      </c>
      <c r="AM122" s="428">
        <f t="shared" si="29"/>
        <v>0</v>
      </c>
      <c r="AN122" s="431">
        <v>0</v>
      </c>
      <c r="AO122" s="428">
        <f>IF(AV114=0,0,IF(OR(K5&lt;&gt;AH146,K5&lt;&gt;AH147),AO104+AO112)/AV114*100)</f>
        <v>0</v>
      </c>
      <c r="AP122" s="428">
        <f>IF(AV114=0,0,AP114/AV114*100)</f>
        <v>31.850402539585797</v>
      </c>
      <c r="AQ122" s="428">
        <f>IF(AV114=0,0,AQ114/AV114*100)</f>
        <v>4.9999999999632214</v>
      </c>
      <c r="AR122" s="431">
        <v>0</v>
      </c>
      <c r="AS122" s="431">
        <v>0</v>
      </c>
      <c r="AT122" s="429">
        <f>SUM(AH122:AM122)</f>
        <v>49.03197062546819</v>
      </c>
      <c r="AU122" s="429">
        <f>SUM(AN122:AS122)</f>
        <v>36.850402539549016</v>
      </c>
      <c r="AV122" s="430">
        <f>AT122+AU122</f>
        <v>85.882373165017214</v>
      </c>
      <c r="BS122" s="124"/>
      <c r="BV122" s="245"/>
    </row>
    <row r="123" spans="30:74" ht="14.25" customHeight="1">
      <c r="AD123" s="832"/>
      <c r="AE123" s="834"/>
      <c r="AF123" s="423" t="s">
        <v>833</v>
      </c>
      <c r="AG123" s="485">
        <v>0</v>
      </c>
      <c r="AH123" s="432">
        <f>Guidelines!$P$120/100*AH122</f>
        <v>0</v>
      </c>
      <c r="AI123" s="432">
        <f>Guidelines!$P$121/100*AI122</f>
        <v>0</v>
      </c>
      <c r="AJ123" s="432">
        <f>Guidelines!$P$122/100*AJ122</f>
        <v>0</v>
      </c>
      <c r="AK123" s="432">
        <f>Guidelines!$P$123/100*AK122</f>
        <v>0</v>
      </c>
      <c r="AL123" s="432">
        <f>Guidelines!$P$124/100*AL122</f>
        <v>0</v>
      </c>
      <c r="AM123" s="432">
        <f>Guidelines!$P$125/100*AM122</f>
        <v>0</v>
      </c>
      <c r="AN123" s="428">
        <f>IF(AN122=0,0,AN122/Guidelines!$M$237)</f>
        <v>0</v>
      </c>
      <c r="AO123" s="428">
        <f>IF(AO122=0,0,AO122/Guidelines!$M$237)</f>
        <v>0</v>
      </c>
      <c r="AP123" s="428">
        <f>IF(AP122=0,0,AP122/Guidelines!$M$237)</f>
        <v>1.06168008465286</v>
      </c>
      <c r="AQ123" s="428">
        <f>IF(AQ122=0,0,AQ122/Guidelines!$M$237)</f>
        <v>0.16666666666544072</v>
      </c>
      <c r="AR123" s="428">
        <f>IF(AR122=0,0,AR122/Guidelines!$M$237)</f>
        <v>0</v>
      </c>
      <c r="AS123" s="428">
        <f>IF(AS122=0,0,AS122/Guidelines!$M$237)</f>
        <v>0</v>
      </c>
      <c r="AT123" s="429">
        <f>SUM(AH123:AM123)</f>
        <v>0</v>
      </c>
      <c r="AU123" s="429">
        <f>SUM(AN123:AS123)</f>
        <v>1.2283467513183006</v>
      </c>
      <c r="AV123" s="430">
        <f>AT123+AU123</f>
        <v>1.2283467513183006</v>
      </c>
      <c r="BS123" s="124"/>
      <c r="BV123" s="245"/>
    </row>
    <row r="124" spans="30:74" ht="14.25" customHeight="1">
      <c r="AD124" s="832"/>
      <c r="AE124" s="834"/>
      <c r="AF124" s="423" t="s">
        <v>834</v>
      </c>
      <c r="AG124" s="485">
        <v>0</v>
      </c>
      <c r="AH124" s="432">
        <f t="shared" ref="AH124:AM124" si="30">AH122/$AT$122*$AR$145</f>
        <v>0</v>
      </c>
      <c r="AI124" s="432">
        <f t="shared" si="30"/>
        <v>0</v>
      </c>
      <c r="AJ124" s="432">
        <f t="shared" si="30"/>
        <v>0</v>
      </c>
      <c r="AK124" s="432">
        <f t="shared" si="30"/>
        <v>0</v>
      </c>
      <c r="AL124" s="432">
        <f t="shared" si="30"/>
        <v>0</v>
      </c>
      <c r="AM124" s="432">
        <f t="shared" si="30"/>
        <v>0</v>
      </c>
      <c r="AN124" s="432">
        <f t="shared" ref="AN124:AS124" si="31">IF($AU$122=0,0,AN122/$AU$122*$AR$146)</f>
        <v>0</v>
      </c>
      <c r="AO124" s="432">
        <f t="shared" si="31"/>
        <v>0</v>
      </c>
      <c r="AP124" s="432">
        <f t="shared" si="31"/>
        <v>1.06168008465286</v>
      </c>
      <c r="AQ124" s="432">
        <f t="shared" si="31"/>
        <v>0.16666666666544072</v>
      </c>
      <c r="AR124" s="432">
        <f t="shared" si="31"/>
        <v>0</v>
      </c>
      <c r="AS124" s="432">
        <f t="shared" si="31"/>
        <v>0</v>
      </c>
      <c r="AT124" s="429">
        <f>SUM(AH124:AM124)</f>
        <v>0</v>
      </c>
      <c r="AU124" s="429">
        <f>SUM(AN124:AS124)</f>
        <v>1.2283467513183006</v>
      </c>
      <c r="AV124" s="430">
        <f>AT124+AU124</f>
        <v>1.2283467513183006</v>
      </c>
      <c r="BS124" s="124"/>
      <c r="BV124" s="245"/>
    </row>
    <row r="125" spans="30:74" ht="14.25" customHeight="1">
      <c r="AD125" s="832"/>
      <c r="AE125" s="834"/>
      <c r="AF125" s="423" t="s">
        <v>326</v>
      </c>
      <c r="AG125" s="484">
        <v>0</v>
      </c>
      <c r="AH125" s="424">
        <f>STEC*AH124/100*Guidelines!$M$230*CLI/1000</f>
        <v>0</v>
      </c>
      <c r="AI125" s="424">
        <f>STEC*AI124/100*Guidelines!$M$230*CLI/1000</f>
        <v>0</v>
      </c>
      <c r="AJ125" s="424">
        <f>STEC*AJ124/100*Guidelines!$M$230*CLI/1000</f>
        <v>0</v>
      </c>
      <c r="AK125" s="424">
        <f>STEC*AK124/100*Guidelines!$M$230*CLI/1000</f>
        <v>0</v>
      </c>
      <c r="AL125" s="424">
        <f>STEC*AL124/100*Guidelines!$M$230*CLI/1000</f>
        <v>0</v>
      </c>
      <c r="AM125" s="424">
        <f>STEC*AM124/100*Guidelines!$M$230*CLI/1000</f>
        <v>0</v>
      </c>
      <c r="AN125" s="424">
        <f>STEC*AN124/100*Guidelines!$M$230*CLI/1000</f>
        <v>0</v>
      </c>
      <c r="AO125" s="424">
        <f>STEC*AO124/100*Guidelines!$M$230*CLI/1000</f>
        <v>0</v>
      </c>
      <c r="AP125" s="424">
        <f>STEC*AP124/100*Guidelines!$M$230*CLI/1000</f>
        <v>91955.881389789211</v>
      </c>
      <c r="AQ125" s="424">
        <f>STEC*AQ124/100*Guidelines!$M$230*CLI/1000</f>
        <v>14435.591712667356</v>
      </c>
      <c r="AR125" s="424">
        <f>STEC*AR124/100*Guidelines!$M$230*CLI/1000</f>
        <v>0</v>
      </c>
      <c r="AS125" s="424">
        <f>STEC*AS124/100*Guidelines!$M$230*CLI/1000</f>
        <v>0</v>
      </c>
      <c r="AT125" s="420">
        <f t="shared" si="25"/>
        <v>0</v>
      </c>
      <c r="AU125" s="420">
        <f t="shared" si="26"/>
        <v>106391.47310245657</v>
      </c>
      <c r="AV125" s="419">
        <f t="shared" si="27"/>
        <v>106391.47310245657</v>
      </c>
      <c r="BS125" s="124"/>
      <c r="BV125" s="245"/>
    </row>
    <row r="126" spans="30:74" ht="14.25" customHeight="1">
      <c r="AD126" s="832"/>
      <c r="AE126" s="761" t="s">
        <v>356</v>
      </c>
      <c r="AF126" s="423" t="s">
        <v>539</v>
      </c>
      <c r="AG126" s="484">
        <v>0</v>
      </c>
      <c r="AH126" s="436">
        <v>0</v>
      </c>
      <c r="AI126" s="436">
        <v>0</v>
      </c>
      <c r="AJ126" s="436">
        <v>0</v>
      </c>
      <c r="AK126" s="436">
        <v>0</v>
      </c>
      <c r="AL126" s="436">
        <v>0</v>
      </c>
      <c r="AM126" s="436">
        <v>0</v>
      </c>
      <c r="AN126" s="436">
        <v>0</v>
      </c>
      <c r="AO126" s="436">
        <v>0</v>
      </c>
      <c r="AP126" s="436">
        <v>0</v>
      </c>
      <c r="AQ126" s="436">
        <v>0</v>
      </c>
      <c r="AR126" s="436">
        <v>0</v>
      </c>
      <c r="AS126" s="436">
        <v>0</v>
      </c>
      <c r="AT126" s="420">
        <f t="shared" si="25"/>
        <v>0</v>
      </c>
      <c r="AU126" s="420">
        <f t="shared" si="26"/>
        <v>0</v>
      </c>
      <c r="AV126" s="419">
        <f t="shared" si="27"/>
        <v>0</v>
      </c>
      <c r="BS126" s="124"/>
      <c r="BV126" s="245"/>
    </row>
    <row r="127" spans="30:74" ht="14.25" customHeight="1">
      <c r="AD127" s="832"/>
      <c r="AE127" s="762"/>
      <c r="AF127" s="423" t="s">
        <v>326</v>
      </c>
      <c r="AG127" s="436">
        <v>0</v>
      </c>
      <c r="AH127" s="424">
        <f>IF(AV114=0,0,Guidelines!O120*(Baseline!AH114/Baseline!$AV$114)*STEC/1000*Guidelines!$M$231*CLI)</f>
        <v>0</v>
      </c>
      <c r="AI127" s="424">
        <f>IF(AV114=0,0,Guidelines!O121*(Baseline!AI114/Baseline!$AV$114)*STEC/1000*Guidelines!$M$231*CLI)</f>
        <v>0</v>
      </c>
      <c r="AJ127" s="424">
        <f>IF(AV114=0,0,Guidelines!O122*(Baseline!AJ114/Baseline!$AV$114)*STEC/1000*Guidelines!$M$231*CLI)</f>
        <v>0</v>
      </c>
      <c r="AK127" s="424">
        <f>IF(AV114=0,0,Guidelines!O123*(Baseline!AK114/Baseline!$AV$114)*STEC/1000*Guidelines!$M$231*CLI)</f>
        <v>755.52176069035102</v>
      </c>
      <c r="AL127" s="424">
        <f>IF(AV114=0,0,Guidelines!O124*(Baseline!AL114/Baseline!$AV$114)*STEC/1000*Guidelines!$M$231*CLI)</f>
        <v>0</v>
      </c>
      <c r="AM127" s="424">
        <f>IF(AV114=0,0,Guidelines!O125*(Baseline!AM114/Baseline!$AV$114)*STEC/1000*Guidelines!$M$231*CLI)</f>
        <v>0</v>
      </c>
      <c r="AN127" s="436">
        <v>0</v>
      </c>
      <c r="AO127" s="436">
        <v>0</v>
      </c>
      <c r="AP127" s="436">
        <v>0</v>
      </c>
      <c r="AQ127" s="436">
        <v>0</v>
      </c>
      <c r="AR127" s="436">
        <v>0</v>
      </c>
      <c r="AS127" s="436">
        <v>0</v>
      </c>
      <c r="AT127" s="420">
        <f t="shared" si="25"/>
        <v>755.52176069035102</v>
      </c>
      <c r="AU127" s="420">
        <f t="shared" si="26"/>
        <v>0</v>
      </c>
      <c r="AV127" s="419">
        <f t="shared" si="27"/>
        <v>755.52176069035102</v>
      </c>
      <c r="BS127" s="124"/>
      <c r="BV127" s="245"/>
    </row>
    <row r="128" spans="30:74" ht="14.25" customHeight="1">
      <c r="AD128" s="832"/>
      <c r="AE128" s="761" t="s">
        <v>60</v>
      </c>
      <c r="AF128" s="423" t="s">
        <v>539</v>
      </c>
      <c r="AG128" s="424">
        <f>IF(ISERROR(AG116+AG118+AG120+AG126),0,AG116+AG118+AG120+AG126)</f>
        <v>-9956.4738412150382</v>
      </c>
      <c r="AH128" s="424">
        <f t="shared" ref="AH128:AS128" si="32">AH116+AH118+AH120+AH126</f>
        <v>-5892.7850531507938</v>
      </c>
      <c r="AI128" s="424">
        <f t="shared" si="32"/>
        <v>0</v>
      </c>
      <c r="AJ128" s="424">
        <f t="shared" si="32"/>
        <v>0</v>
      </c>
      <c r="AK128" s="424">
        <f t="shared" si="32"/>
        <v>0</v>
      </c>
      <c r="AL128" s="424">
        <f t="shared" si="32"/>
        <v>0</v>
      </c>
      <c r="AM128" s="424">
        <f t="shared" si="32"/>
        <v>0</v>
      </c>
      <c r="AN128" s="424">
        <f t="shared" si="32"/>
        <v>0</v>
      </c>
      <c r="AO128" s="424">
        <f t="shared" si="32"/>
        <v>-23216</v>
      </c>
      <c r="AP128" s="424">
        <f t="shared" si="32"/>
        <v>-99630.143258122014</v>
      </c>
      <c r="AQ128" s="424">
        <f t="shared" si="32"/>
        <v>-19386.647120301786</v>
      </c>
      <c r="AR128" s="424">
        <f t="shared" si="32"/>
        <v>-26869.099489137119</v>
      </c>
      <c r="AS128" s="424">
        <f t="shared" si="32"/>
        <v>0</v>
      </c>
      <c r="AT128" s="420">
        <f>IF(ISERROR(SUM(AH128:AM128)),0,SUM(AH128:AM128))</f>
        <v>-5892.7850531507938</v>
      </c>
      <c r="AU128" s="420">
        <f>IF(ISERROR(SUM(AN128:AS128)),0,SUM(AN128:AS128))</f>
        <v>-169101.88986756094</v>
      </c>
      <c r="AV128" s="419">
        <f t="shared" si="27"/>
        <v>-174994.67492071172</v>
      </c>
      <c r="BS128" s="124"/>
      <c r="BV128" s="182"/>
    </row>
    <row r="129" spans="30:74" ht="14.25" customHeight="1">
      <c r="AD129" s="832"/>
      <c r="AE129" s="855"/>
      <c r="AF129" s="423" t="s">
        <v>326</v>
      </c>
      <c r="AG129" s="424">
        <f>IF(ISERROR(AG117+AG119+AG125+AG127),0,AG117+AG119+AG125+AG127)</f>
        <v>31579.632166438856</v>
      </c>
      <c r="AH129" s="424">
        <f t="shared" ref="AH129:AS129" si="33">AH117+AH119+AH125+AH127</f>
        <v>18194.064010493123</v>
      </c>
      <c r="AI129" s="424">
        <f t="shared" si="33"/>
        <v>0</v>
      </c>
      <c r="AJ129" s="424">
        <f t="shared" si="33"/>
        <v>0</v>
      </c>
      <c r="AK129" s="424">
        <f t="shared" si="33"/>
        <v>755.52176069035102</v>
      </c>
      <c r="AL129" s="424">
        <f t="shared" si="33"/>
        <v>0</v>
      </c>
      <c r="AM129" s="424">
        <f t="shared" si="33"/>
        <v>0</v>
      </c>
      <c r="AN129" s="424">
        <f t="shared" si="33"/>
        <v>0</v>
      </c>
      <c r="AO129" s="424">
        <f t="shared" si="33"/>
        <v>28480</v>
      </c>
      <c r="AP129" s="424">
        <f t="shared" si="33"/>
        <v>116614.62682938665</v>
      </c>
      <c r="AQ129" s="424">
        <f t="shared" si="33"/>
        <v>22700.675595214154</v>
      </c>
      <c r="AR129" s="424">
        <f t="shared" si="33"/>
        <v>53268.782851074859</v>
      </c>
      <c r="AS129" s="424">
        <f t="shared" si="33"/>
        <v>0</v>
      </c>
      <c r="AT129" s="420">
        <f>IF(ISERROR(SUM(AH129:AM129)),0,SUM(AH129:AM129))</f>
        <v>18949.585771183472</v>
      </c>
      <c r="AU129" s="420">
        <f>IF(ISERROR(SUM(AN129:AS129)),0,SUM(AN129:AS129))</f>
        <v>221064.08527567564</v>
      </c>
      <c r="AV129" s="419">
        <f t="shared" si="27"/>
        <v>240013.67104685912</v>
      </c>
      <c r="BS129" s="124"/>
      <c r="BV129" s="632"/>
    </row>
    <row r="130" spans="30:74" ht="14.25" customHeight="1">
      <c r="AD130" s="833"/>
      <c r="AE130" s="762"/>
      <c r="AF130" s="423" t="s">
        <v>764</v>
      </c>
      <c r="AG130" s="481">
        <f t="shared" ref="AG130:AV130" si="34">IF(CLI=0,0,AG129*1000/CLI)</f>
        <v>22.612836794935937</v>
      </c>
      <c r="AH130" s="481">
        <f t="shared" si="34"/>
        <v>13.027998487681344</v>
      </c>
      <c r="AI130" s="481">
        <f t="shared" si="34"/>
        <v>0</v>
      </c>
      <c r="AJ130" s="481">
        <f t="shared" si="34"/>
        <v>0</v>
      </c>
      <c r="AK130" s="481">
        <f t="shared" si="34"/>
        <v>0.54099712686552559</v>
      </c>
      <c r="AL130" s="481">
        <f t="shared" si="34"/>
        <v>0</v>
      </c>
      <c r="AM130" s="481">
        <f t="shared" si="34"/>
        <v>0</v>
      </c>
      <c r="AN130" s="481">
        <f t="shared" si="34"/>
        <v>0</v>
      </c>
      <c r="AO130" s="481">
        <f t="shared" si="34"/>
        <v>20.393321509431598</v>
      </c>
      <c r="AP130" s="481">
        <f t="shared" si="34"/>
        <v>83.50279415849964</v>
      </c>
      <c r="AQ130" s="481">
        <f t="shared" si="34"/>
        <v>16.254992131127448</v>
      </c>
      <c r="AR130" s="481">
        <f t="shared" si="34"/>
        <v>38.143518788555689</v>
      </c>
      <c r="AS130" s="481">
        <f t="shared" si="34"/>
        <v>0</v>
      </c>
      <c r="AT130" s="481">
        <f t="shared" si="34"/>
        <v>13.56899561454687</v>
      </c>
      <c r="AU130" s="481">
        <f t="shared" si="34"/>
        <v>158.29462658761435</v>
      </c>
      <c r="AV130" s="481">
        <f t="shared" si="34"/>
        <v>171.86362220216122</v>
      </c>
      <c r="BS130" s="124"/>
      <c r="BV130" s="632"/>
    </row>
    <row r="131" spans="30:74" ht="14.25" customHeight="1">
      <c r="AD131" s="838" t="s">
        <v>540</v>
      </c>
      <c r="AE131" s="828" t="s">
        <v>311</v>
      </c>
      <c r="AF131" s="418" t="str">
        <f>LocCur&amp;"/t"</f>
        <v>USD/t</v>
      </c>
      <c r="AG131" s="481" t="s">
        <v>51</v>
      </c>
      <c r="AH131" s="437">
        <f t="shared" ref="AH131:AS131" si="35">IF(AH$113=0,0,SUMPRODUCT(($E$21:$E$69*$K$21:$K$69)*($G$21:$G$69=AH$102))/AH$113)</f>
        <v>138</v>
      </c>
      <c r="AI131" s="437">
        <f t="shared" si="35"/>
        <v>0</v>
      </c>
      <c r="AJ131" s="437">
        <f t="shared" si="35"/>
        <v>0</v>
      </c>
      <c r="AK131" s="437">
        <f t="shared" si="35"/>
        <v>530</v>
      </c>
      <c r="AL131" s="437">
        <f t="shared" si="35"/>
        <v>0</v>
      </c>
      <c r="AM131" s="437">
        <f t="shared" si="35"/>
        <v>0</v>
      </c>
      <c r="AN131" s="437">
        <f t="shared" si="35"/>
        <v>0</v>
      </c>
      <c r="AO131" s="437">
        <f t="shared" si="35"/>
        <v>35</v>
      </c>
      <c r="AP131" s="437">
        <f t="shared" si="35"/>
        <v>29.093918917537785</v>
      </c>
      <c r="AQ131" s="437">
        <f t="shared" si="35"/>
        <v>-32</v>
      </c>
      <c r="AR131" s="437">
        <f t="shared" si="35"/>
        <v>1.7475630835002081</v>
      </c>
      <c r="AS131" s="437">
        <f t="shared" si="35"/>
        <v>0</v>
      </c>
      <c r="AT131" s="486">
        <f>IF(AT113=0,0,SUMPRODUCT(AH131:AM131,$AH$113:$AM$113)/$AT$113)</f>
        <v>144.41508968448133</v>
      </c>
      <c r="AU131" s="486">
        <f>IF($AU$113=0,0,SUMPRODUCT(AN131:AS131,$AN$113:$AS$113)/$AU$113)</f>
        <v>21.076529742105922</v>
      </c>
      <c r="AV131" s="440">
        <f>IF(AV113=0,0,SUMPRODUCT(AH131:AS131,$AH$113:$AS$113)/$AV$113)</f>
        <v>67.678400665579275</v>
      </c>
      <c r="BS131" s="124"/>
      <c r="BV131" s="632"/>
    </row>
    <row r="132" spans="30:74" ht="14.25" customHeight="1">
      <c r="AD132" s="840"/>
      <c r="AE132" s="829"/>
      <c r="AF132" s="418" t="str">
        <f>LocCur&amp;"/GJ"</f>
        <v>USD/GJ</v>
      </c>
      <c r="AG132" s="481" t="s">
        <v>51</v>
      </c>
      <c r="AH132" s="437">
        <f t="shared" ref="AH132:AS132" si="36">IF(AH$113=0,0,SUMPRODUCT(($E$21:$E$69*$K$21:$K$69)*($G$21:$G$69=AH$102))/SUMPRODUCT(($E$21:$E$69*$M$21:$M$69)*($G$21:$G$69=AH$102)))</f>
        <v>5.4117647058823524</v>
      </c>
      <c r="AI132" s="437">
        <f t="shared" si="36"/>
        <v>0</v>
      </c>
      <c r="AJ132" s="437">
        <f t="shared" si="36"/>
        <v>0</v>
      </c>
      <c r="AK132" s="437">
        <f t="shared" si="36"/>
        <v>13.184079601990048</v>
      </c>
      <c r="AL132" s="437">
        <f t="shared" si="36"/>
        <v>0</v>
      </c>
      <c r="AM132" s="437">
        <f t="shared" si="36"/>
        <v>0</v>
      </c>
      <c r="AN132" s="437">
        <f t="shared" si="36"/>
        <v>0</v>
      </c>
      <c r="AO132" s="437">
        <f t="shared" si="36"/>
        <v>3.1818181818181817</v>
      </c>
      <c r="AP132" s="437">
        <f t="shared" si="36"/>
        <v>1.4333707038145886</v>
      </c>
      <c r="AQ132" s="437">
        <f t="shared" si="36"/>
        <v>-1.8823529411764706</v>
      </c>
      <c r="AR132" s="437">
        <f t="shared" si="36"/>
        <v>0.15532069223149059</v>
      </c>
      <c r="AS132" s="437">
        <f t="shared" si="36"/>
        <v>0</v>
      </c>
      <c r="AT132" s="439">
        <f>IF(SUMPRODUCT(AH133:AM133,AH113:AM113)=0,0,SUMPRODUCT(AH131:AM131,AH113:AM113)/SUMPRODUCT(AH133:AM133,AH113:AM113))</f>
        <v>5.6104085066414022</v>
      </c>
      <c r="AU132" s="439">
        <f>IF(SUMPRODUCT(AN133:AS133,AN113:AS113)=0,0,SUMPRODUCT(AN131:AS131,AN113:AS113)/SUMPRODUCT(AN133:AS133,AN113:AS113))</f>
        <v>1.2970664487134351</v>
      </c>
      <c r="AV132" s="440">
        <f>IF(SUMPRODUCT(AH133:AS133,AH113:AS113)=0,0,SUMPRODUCT(AH131:AS131,AH113:AS113)/SUMPRODUCT(AH133:AS133,AH113:AS113))</f>
        <v>3.4119830595326412</v>
      </c>
      <c r="BS132" s="124"/>
      <c r="BV132" s="632"/>
    </row>
    <row r="133" spans="30:74" ht="14.25" customHeight="1">
      <c r="AD133" s="831" t="s">
        <v>116</v>
      </c>
      <c r="AE133" s="620" t="s">
        <v>12</v>
      </c>
      <c r="AF133" s="423" t="s">
        <v>312</v>
      </c>
      <c r="AG133" s="432">
        <f>Guidelines!D119</f>
        <v>27</v>
      </c>
      <c r="AH133" s="428">
        <f t="shared" ref="AH133:AS133" si="37">IF(AH$113=0,0,SUMPRODUCT(($E$21:$E$69*$M$21:$M$69)*($G$21:$G$69=AH$102))/AH$113)</f>
        <v>25.500000000000004</v>
      </c>
      <c r="AI133" s="428">
        <f t="shared" si="37"/>
        <v>0</v>
      </c>
      <c r="AJ133" s="428">
        <f t="shared" si="37"/>
        <v>0</v>
      </c>
      <c r="AK133" s="428">
        <f t="shared" si="37"/>
        <v>40.200000000000003</v>
      </c>
      <c r="AL133" s="428">
        <f t="shared" si="37"/>
        <v>0</v>
      </c>
      <c r="AM133" s="428">
        <f t="shared" si="37"/>
        <v>0</v>
      </c>
      <c r="AN133" s="428">
        <f t="shared" si="37"/>
        <v>0</v>
      </c>
      <c r="AO133" s="428">
        <f t="shared" si="37"/>
        <v>11</v>
      </c>
      <c r="AP133" s="428">
        <f t="shared" si="37"/>
        <v>20.297553759199182</v>
      </c>
      <c r="AQ133" s="428">
        <f t="shared" si="37"/>
        <v>17</v>
      </c>
      <c r="AR133" s="428">
        <f t="shared" si="37"/>
        <v>11.251321754963806</v>
      </c>
      <c r="AS133" s="428">
        <f t="shared" si="37"/>
        <v>0</v>
      </c>
      <c r="AT133" s="429">
        <f t="shared" ref="AT133:AT140" si="38">IF($AT$113=0,0,SUMPRODUCT(AH133:AM133,$AH$113:$AM$113)/$AT$113)</f>
        <v>25.740565863168055</v>
      </c>
      <c r="AU133" s="429">
        <f t="shared" ref="AU133:AU140" si="39">IF($AU$113=0,0,SUMPRODUCT(AN133:AS133,$AN$113:$AS$113)/$AU$113)</f>
        <v>16.249383185427245</v>
      </c>
      <c r="AV133" s="430">
        <f>IF(AV113=0,0,SUMPRODUCT(AH133:AS133,$AH$113:$AS$113)/$AV$113)</f>
        <v>19.83550313255353</v>
      </c>
      <c r="BS133" s="124"/>
      <c r="BV133" s="632"/>
    </row>
    <row r="134" spans="30:74" ht="14.25" customHeight="1">
      <c r="AD134" s="832"/>
      <c r="AE134" s="620" t="s">
        <v>6</v>
      </c>
      <c r="AF134" s="423" t="s">
        <v>3</v>
      </c>
      <c r="AG134" s="481">
        <f>Guidelines!F119</f>
        <v>1</v>
      </c>
      <c r="AH134" s="437">
        <f t="shared" ref="AH134:AS134" si="40">IF(AH$113=0,0,SUMPRODUCT(($E$21:$E$69*$N$21:$N$69)*($G$21:$G$69=AH$102))/AH$113)</f>
        <v>1.2</v>
      </c>
      <c r="AI134" s="437">
        <f t="shared" si="40"/>
        <v>0</v>
      </c>
      <c r="AJ134" s="437">
        <f t="shared" si="40"/>
        <v>0</v>
      </c>
      <c r="AK134" s="437">
        <f t="shared" si="40"/>
        <v>0</v>
      </c>
      <c r="AL134" s="437">
        <f t="shared" si="40"/>
        <v>0</v>
      </c>
      <c r="AM134" s="437">
        <f t="shared" si="40"/>
        <v>0</v>
      </c>
      <c r="AN134" s="437">
        <f t="shared" si="40"/>
        <v>0</v>
      </c>
      <c r="AO134" s="437">
        <f t="shared" si="40"/>
        <v>28</v>
      </c>
      <c r="AP134" s="437">
        <f t="shared" si="40"/>
        <v>8.358798319317879</v>
      </c>
      <c r="AQ134" s="437">
        <f t="shared" si="40"/>
        <v>20</v>
      </c>
      <c r="AR134" s="437">
        <f t="shared" si="40"/>
        <v>63.551085077749818</v>
      </c>
      <c r="AS134" s="437">
        <f t="shared" si="40"/>
        <v>0</v>
      </c>
      <c r="AT134" s="439">
        <f t="shared" si="38"/>
        <v>1.1803619703536286</v>
      </c>
      <c r="AU134" s="439">
        <f t="shared" si="39"/>
        <v>22.434019908527379</v>
      </c>
      <c r="AV134" s="440">
        <f>IF(AV113=0,0,SUMPRODUCT(AH134:AS134,$AH$113:$AS$113)/$AV$113)</f>
        <v>14.403601648826783</v>
      </c>
      <c r="BS134" s="124"/>
      <c r="BV134" s="632"/>
    </row>
    <row r="135" spans="30:74" ht="14.25" customHeight="1">
      <c r="AD135" s="832"/>
      <c r="AE135" s="620" t="s">
        <v>8</v>
      </c>
      <c r="AF135" s="423" t="s">
        <v>3</v>
      </c>
      <c r="AG135" s="481">
        <f>Guidelines!H119</f>
        <v>15</v>
      </c>
      <c r="AH135" s="437">
        <f t="shared" ref="AH135:AS135" si="41">IF(AH$113=0,0,SUMPRODUCT(($E$21:$E$69*$O$21:$O$69)*($G$21:$G$69=AH$102))/AH$113)</f>
        <v>16</v>
      </c>
      <c r="AI135" s="437">
        <f t="shared" si="41"/>
        <v>0</v>
      </c>
      <c r="AJ135" s="437">
        <f t="shared" si="41"/>
        <v>0</v>
      </c>
      <c r="AK135" s="437">
        <f t="shared" si="41"/>
        <v>0</v>
      </c>
      <c r="AL135" s="437">
        <f t="shared" si="41"/>
        <v>0</v>
      </c>
      <c r="AM135" s="437">
        <f t="shared" si="41"/>
        <v>0</v>
      </c>
      <c r="AN135" s="437">
        <f t="shared" si="41"/>
        <v>0</v>
      </c>
      <c r="AO135" s="437">
        <f t="shared" si="41"/>
        <v>10</v>
      </c>
      <c r="AP135" s="437">
        <f t="shared" si="41"/>
        <v>13.35122306984524</v>
      </c>
      <c r="AQ135" s="437">
        <f t="shared" si="41"/>
        <v>14</v>
      </c>
      <c r="AR135" s="437">
        <f t="shared" si="41"/>
        <v>1.8843916725625101</v>
      </c>
      <c r="AS135" s="437">
        <f t="shared" si="41"/>
        <v>0</v>
      </c>
      <c r="AT135" s="439">
        <f t="shared" si="38"/>
        <v>15.738159604715047</v>
      </c>
      <c r="AU135" s="439">
        <f t="shared" si="39"/>
        <v>10.907884133513461</v>
      </c>
      <c r="AV135" s="440">
        <f>IF(AV113=0,0,SUMPRODUCT(AH135:AS135,$AH$113:$AS$113)/$AV$113)</f>
        <v>12.732940905206952</v>
      </c>
      <c r="BS135" s="124"/>
      <c r="BV135" s="632"/>
    </row>
    <row r="136" spans="30:74" ht="14.25" customHeight="1">
      <c r="AD136" s="832"/>
      <c r="AE136" s="620" t="s">
        <v>7</v>
      </c>
      <c r="AF136" s="423" t="s">
        <v>3</v>
      </c>
      <c r="AG136" s="482">
        <f>Guidelines!L119</f>
        <v>0</v>
      </c>
      <c r="AH136" s="442">
        <f t="shared" ref="AH136:AS136" si="42">IF(AH$113=0,0,SUMPRODUCT(($E$21:$E$69*$P$21:$P$69)*($G$21:$G$69=AH$102))/AH$113)</f>
        <v>0.02</v>
      </c>
      <c r="AI136" s="442">
        <f t="shared" si="42"/>
        <v>0</v>
      </c>
      <c r="AJ136" s="442">
        <f t="shared" si="42"/>
        <v>0</v>
      </c>
      <c r="AK136" s="442">
        <f t="shared" si="42"/>
        <v>0</v>
      </c>
      <c r="AL136" s="442">
        <f t="shared" si="42"/>
        <v>0</v>
      </c>
      <c r="AM136" s="442">
        <f t="shared" si="42"/>
        <v>0</v>
      </c>
      <c r="AN136" s="442">
        <f t="shared" si="42"/>
        <v>0</v>
      </c>
      <c r="AO136" s="442">
        <f t="shared" si="42"/>
        <v>0.11</v>
      </c>
      <c r="AP136" s="442">
        <f t="shared" si="42"/>
        <v>0.43579316578432487</v>
      </c>
      <c r="AQ136" s="442">
        <f t="shared" si="42"/>
        <v>0.3</v>
      </c>
      <c r="AR136" s="442">
        <f t="shared" si="42"/>
        <v>0.25972963225000451</v>
      </c>
      <c r="AS136" s="442">
        <f t="shared" si="42"/>
        <v>0</v>
      </c>
      <c r="AT136" s="443">
        <f t="shared" si="38"/>
        <v>1.9672699505893811E-2</v>
      </c>
      <c r="AU136" s="443">
        <f t="shared" si="39"/>
        <v>0.31190424170172315</v>
      </c>
      <c r="AV136" s="444">
        <f>IF(AV113=0,0,SUMPRODUCT(AH136:AS136,$AH$113:$AS$113)/$AV$113)</f>
        <v>0.20148835379497063</v>
      </c>
      <c r="BS136" s="124"/>
      <c r="BV136" s="632"/>
    </row>
    <row r="137" spans="30:74" ht="14.25" customHeight="1">
      <c r="AD137" s="832"/>
      <c r="AE137" s="620" t="s">
        <v>1</v>
      </c>
      <c r="AF137" s="423" t="s">
        <v>3</v>
      </c>
      <c r="AG137" s="432">
        <f>Guidelines!J119</f>
        <v>0.5</v>
      </c>
      <c r="AH137" s="428">
        <f t="shared" ref="AH137:AS137" si="43">IF(AH$113=0,0,SUMPRODUCT(($E$21:$E$69*$Q$21:$Q$69)*($G$21:$G$69=AH$102))/AH$113)</f>
        <v>0.90000000000000013</v>
      </c>
      <c r="AI137" s="428">
        <f t="shared" si="43"/>
        <v>0</v>
      </c>
      <c r="AJ137" s="428">
        <f t="shared" si="43"/>
        <v>0</v>
      </c>
      <c r="AK137" s="428">
        <f t="shared" si="43"/>
        <v>1.4</v>
      </c>
      <c r="AL137" s="428">
        <f t="shared" si="43"/>
        <v>0</v>
      </c>
      <c r="AM137" s="428">
        <f t="shared" si="43"/>
        <v>0</v>
      </c>
      <c r="AN137" s="428">
        <f t="shared" si="43"/>
        <v>0</v>
      </c>
      <c r="AO137" s="428">
        <f t="shared" si="43"/>
        <v>0.23</v>
      </c>
      <c r="AP137" s="428">
        <f t="shared" si="43"/>
        <v>0.58474350710006917</v>
      </c>
      <c r="AQ137" s="428">
        <f t="shared" si="43"/>
        <v>0.2</v>
      </c>
      <c r="AR137" s="428">
        <f t="shared" si="43"/>
        <v>0.13545268564375079</v>
      </c>
      <c r="AS137" s="428">
        <f t="shared" si="43"/>
        <v>0</v>
      </c>
      <c r="AT137" s="429">
        <f t="shared" si="38"/>
        <v>0.9081825123526549</v>
      </c>
      <c r="AU137" s="429">
        <f t="shared" si="39"/>
        <v>0.39133229259418861</v>
      </c>
      <c r="AV137" s="430">
        <f>IF(AV113=0,0,SUMPRODUCT(AH137:AS137,$AH$113:$AS$113)/$AV$113)</f>
        <v>0.58661742677449769</v>
      </c>
      <c r="BS137" s="124"/>
      <c r="BV137" s="632"/>
    </row>
    <row r="138" spans="30:74" ht="14.25" customHeight="1">
      <c r="AD138" s="832"/>
      <c r="AE138" s="620" t="s">
        <v>20</v>
      </c>
      <c r="AF138" s="423" t="s">
        <v>3</v>
      </c>
      <c r="AG138" s="432">
        <v>0</v>
      </c>
      <c r="AH138" s="428">
        <f t="shared" ref="AH138:AS138" si="44">IF(AH$113=0,0,SUMPRODUCT(($E$21:$E$69*$R$21:$R$69)*($G$21:$G$69=AH$102))/AH$113)</f>
        <v>0.21</v>
      </c>
      <c r="AI138" s="428">
        <f t="shared" si="44"/>
        <v>0</v>
      </c>
      <c r="AJ138" s="428">
        <f t="shared" si="44"/>
        <v>0</v>
      </c>
      <c r="AK138" s="428">
        <f t="shared" si="44"/>
        <v>0</v>
      </c>
      <c r="AL138" s="428">
        <f t="shared" si="44"/>
        <v>0</v>
      </c>
      <c r="AM138" s="428">
        <f t="shared" si="44"/>
        <v>0</v>
      </c>
      <c r="AN138" s="428">
        <f t="shared" si="44"/>
        <v>0</v>
      </c>
      <c r="AO138" s="428">
        <f t="shared" si="44"/>
        <v>0.52</v>
      </c>
      <c r="AP138" s="428">
        <f t="shared" si="44"/>
        <v>0.12702446139690482</v>
      </c>
      <c r="AQ138" s="428">
        <f t="shared" si="44"/>
        <v>0.15</v>
      </c>
      <c r="AR138" s="428">
        <f t="shared" si="44"/>
        <v>0</v>
      </c>
      <c r="AS138" s="428">
        <f t="shared" si="44"/>
        <v>0</v>
      </c>
      <c r="AT138" s="429">
        <f t="shared" si="38"/>
        <v>0.20656334481188499</v>
      </c>
      <c r="AU138" s="429">
        <f t="shared" si="39"/>
        <v>0.2154253886705412</v>
      </c>
      <c r="AV138" s="430">
        <f>IF(AV113=0,0,SUMPRODUCT(AH138:AS138,$AH$113:$AS$113)/$AV$113)</f>
        <v>0.21207698064459857</v>
      </c>
      <c r="BS138" s="124"/>
      <c r="BV138" s="632"/>
    </row>
    <row r="139" spans="30:74" ht="14.25" customHeight="1">
      <c r="AD139" s="832"/>
      <c r="AE139" s="620" t="s">
        <v>21</v>
      </c>
      <c r="AF139" s="423" t="s">
        <v>3</v>
      </c>
      <c r="AG139" s="432">
        <v>0</v>
      </c>
      <c r="AH139" s="428">
        <f t="shared" ref="AH139:AS139" si="45">IF(AH$113=0,0,SUMPRODUCT(($E$21:$E$69*$S$21:$S$69)*($G$21:$G$69=AH$102))/AH$113)</f>
        <v>0.12</v>
      </c>
      <c r="AI139" s="428">
        <f t="shared" si="45"/>
        <v>0</v>
      </c>
      <c r="AJ139" s="428">
        <f t="shared" si="45"/>
        <v>0</v>
      </c>
      <c r="AK139" s="428">
        <f t="shared" si="45"/>
        <v>0</v>
      </c>
      <c r="AL139" s="428">
        <f t="shared" si="45"/>
        <v>0</v>
      </c>
      <c r="AM139" s="428">
        <f t="shared" si="45"/>
        <v>0</v>
      </c>
      <c r="AN139" s="428">
        <f t="shared" si="45"/>
        <v>0</v>
      </c>
      <c r="AO139" s="428">
        <f t="shared" si="45"/>
        <v>0.21</v>
      </c>
      <c r="AP139" s="428">
        <f t="shared" si="45"/>
        <v>0.26742697667678533</v>
      </c>
      <c r="AQ139" s="428">
        <f t="shared" si="45"/>
        <v>0.06</v>
      </c>
      <c r="AR139" s="428">
        <f t="shared" si="45"/>
        <v>0</v>
      </c>
      <c r="AS139" s="428">
        <f t="shared" si="45"/>
        <v>0</v>
      </c>
      <c r="AT139" s="429">
        <f t="shared" si="38"/>
        <v>0.11803619703536285</v>
      </c>
      <c r="AU139" s="429">
        <f t="shared" si="39"/>
        <v>0.195068734736146</v>
      </c>
      <c r="AV139" s="430">
        <f>IF(AV113=0,0,SUMPRODUCT(AH139:AS139,$AH$113:$AS$113)/$AV$113)</f>
        <v>0.16596299213207558</v>
      </c>
      <c r="BS139" s="124"/>
      <c r="BV139" s="632"/>
    </row>
    <row r="140" spans="30:74" ht="14.25" customHeight="1">
      <c r="AD140" s="833"/>
      <c r="AE140" s="620" t="str">
        <f>T18</f>
        <v>user defined</v>
      </c>
      <c r="AF140" s="423" t="s">
        <v>3</v>
      </c>
      <c r="AG140" s="432" t="s">
        <v>51</v>
      </c>
      <c r="AH140" s="428">
        <f t="shared" ref="AH140:AS140" si="46">IF(AH$113=0,0,SUMPRODUCT(($E$21:$E$69*$T$21:$T$69)*($G$21:$G$69=AH$102))/AH$113)</f>
        <v>0</v>
      </c>
      <c r="AI140" s="428">
        <f t="shared" si="46"/>
        <v>0</v>
      </c>
      <c r="AJ140" s="428">
        <f t="shared" si="46"/>
        <v>0</v>
      </c>
      <c r="AK140" s="428">
        <f t="shared" si="46"/>
        <v>0</v>
      </c>
      <c r="AL140" s="428">
        <f t="shared" si="46"/>
        <v>0</v>
      </c>
      <c r="AM140" s="428">
        <f t="shared" si="46"/>
        <v>0</v>
      </c>
      <c r="AN140" s="428">
        <f t="shared" si="46"/>
        <v>0</v>
      </c>
      <c r="AO140" s="428">
        <f t="shared" si="46"/>
        <v>0</v>
      </c>
      <c r="AP140" s="428">
        <f t="shared" si="46"/>
        <v>0</v>
      </c>
      <c r="AQ140" s="428">
        <f t="shared" si="46"/>
        <v>0</v>
      </c>
      <c r="AR140" s="428">
        <f t="shared" si="46"/>
        <v>0</v>
      </c>
      <c r="AS140" s="428">
        <f t="shared" si="46"/>
        <v>0</v>
      </c>
      <c r="AT140" s="429">
        <f t="shared" si="38"/>
        <v>0</v>
      </c>
      <c r="AU140" s="429">
        <f t="shared" si="39"/>
        <v>0</v>
      </c>
      <c r="AV140" s="430">
        <f>IF(AV113=0,0,SUMPRODUCT(AH140:AS140,$AH$113:$AS$113)/$AV$113)</f>
        <v>0</v>
      </c>
      <c r="BS140" s="124"/>
      <c r="BV140" s="632"/>
    </row>
    <row r="141" spans="30:74" ht="14.25" customHeight="1">
      <c r="AD141" s="617" t="str">
        <f>"Net cash benefit, "&amp;LocCur&amp;"/"&amp;$D$13</f>
        <v>Net cash benefit, USD/year</v>
      </c>
      <c r="AE141" s="618"/>
      <c r="AF141" s="618"/>
      <c r="AG141" s="427" t="s">
        <v>51</v>
      </c>
      <c r="AH141" s="424" t="s">
        <v>51</v>
      </c>
      <c r="AI141" s="424" t="s">
        <v>51</v>
      </c>
      <c r="AJ141" s="424" t="s">
        <v>51</v>
      </c>
      <c r="AK141" s="424" t="s">
        <v>51</v>
      </c>
      <c r="AL141" s="424" t="s">
        <v>51</v>
      </c>
      <c r="AM141" s="424" t="s">
        <v>51</v>
      </c>
      <c r="AN141" s="424">
        <f t="shared" ref="AN141:AS141" si="47">-SUMPRODUCT(($E$21:$E$69*$K$21:$K$69)*($G$21:$G$69=AN$102))</f>
        <v>0</v>
      </c>
      <c r="AO141" s="424">
        <f t="shared" si="47"/>
        <v>-1400000</v>
      </c>
      <c r="AP141" s="424">
        <f t="shared" si="47"/>
        <v>-2196781.1071262164</v>
      </c>
      <c r="AQ141" s="424">
        <f t="shared" si="47"/>
        <v>452881.30863270129</v>
      </c>
      <c r="AR141" s="424">
        <f t="shared" si="47"/>
        <v>-37171.501802869963</v>
      </c>
      <c r="AS141" s="424">
        <f t="shared" si="47"/>
        <v>0</v>
      </c>
      <c r="AT141" s="420">
        <f>SUM(AH141:AM141)</f>
        <v>0</v>
      </c>
      <c r="AU141" s="420">
        <f>SUM(AN141:AS141)</f>
        <v>-3181071.3002963853</v>
      </c>
      <c r="AV141" s="424">
        <f>AT141+AU141</f>
        <v>-3181071.3002963853</v>
      </c>
      <c r="BS141" s="124"/>
      <c r="BV141" s="246"/>
    </row>
    <row r="142" spans="30:74" ht="14.25" customHeight="1">
      <c r="AD142" s="617" t="str">
        <f>"Substitution benefit, "&amp;LocCur&amp;"/"&amp;$D$13</f>
        <v>Substitution benefit, USD/year</v>
      </c>
      <c r="AE142" s="618"/>
      <c r="AF142" s="618"/>
      <c r="AG142" s="427" t="s">
        <v>51</v>
      </c>
      <c r="AH142" s="424" t="s">
        <v>51</v>
      </c>
      <c r="AI142" s="424" t="s">
        <v>51</v>
      </c>
      <c r="AJ142" s="424" t="s">
        <v>51</v>
      </c>
      <c r="AK142" s="424" t="s">
        <v>51</v>
      </c>
      <c r="AL142" s="424" t="s">
        <v>51</v>
      </c>
      <c r="AM142" s="424" t="s">
        <v>51</v>
      </c>
      <c r="AN142" s="424">
        <f t="shared" ref="AN142:AS142" si="48">SUMPRODUCT(($E$21:$E$69*$M$21:$M$69)*($G$21:$G$69=AN$102))*$L$70</f>
        <v>0</v>
      </c>
      <c r="AO142" s="424">
        <f t="shared" si="48"/>
        <v>2468579.7429222171</v>
      </c>
      <c r="AP142" s="424">
        <f t="shared" si="48"/>
        <v>8598500.9864163529</v>
      </c>
      <c r="AQ142" s="424">
        <f t="shared" si="48"/>
        <v>1349826.1090525175</v>
      </c>
      <c r="AR142" s="424">
        <f t="shared" si="48"/>
        <v>1342688.5170498602</v>
      </c>
      <c r="AS142" s="424">
        <f t="shared" si="48"/>
        <v>0</v>
      </c>
      <c r="AT142" s="420">
        <f>SUM(AH142:AM142)</f>
        <v>0</v>
      </c>
      <c r="AU142" s="420">
        <f>SUM(AN142:AS142)</f>
        <v>13759595.355440948</v>
      </c>
      <c r="AV142" s="424">
        <f>AT142+AU142</f>
        <v>13759595.355440948</v>
      </c>
      <c r="BS142" s="124"/>
      <c r="BV142" s="246"/>
    </row>
    <row r="143" spans="30:74" ht="14.25" customHeight="1">
      <c r="AD143" s="617" t="str">
        <f>"CO2 emission credits, "&amp;LocCur&amp;"/"&amp;$D$13</f>
        <v>CO2 emission credits, USD/year</v>
      </c>
      <c r="AE143" s="618"/>
      <c r="AF143" s="618"/>
      <c r="AG143" s="427" t="s">
        <v>51</v>
      </c>
      <c r="AH143" s="424" t="s">
        <v>51</v>
      </c>
      <c r="AI143" s="424" t="s">
        <v>51</v>
      </c>
      <c r="AJ143" s="424" t="s">
        <v>51</v>
      </c>
      <c r="AK143" s="424" t="s">
        <v>51</v>
      </c>
      <c r="AL143" s="424" t="s">
        <v>51</v>
      </c>
      <c r="AM143" s="424" t="s">
        <v>51</v>
      </c>
      <c r="AN143" s="424" t="s">
        <v>51</v>
      </c>
      <c r="AO143" s="424" t="s">
        <v>51</v>
      </c>
      <c r="AP143" s="424" t="s">
        <v>51</v>
      </c>
      <c r="AQ143" s="424" t="s">
        <v>51</v>
      </c>
      <c r="AR143" s="424" t="s">
        <v>51</v>
      </c>
      <c r="AS143" s="424" t="s">
        <v>51</v>
      </c>
      <c r="AT143" s="420" t="s">
        <v>51</v>
      </c>
      <c r="AU143" s="420" t="s">
        <v>51</v>
      </c>
      <c r="AV143" s="424">
        <f>IF(AV114=0,0,D15*(AV146+AV147)*AV150/AV114)</f>
        <v>0</v>
      </c>
      <c r="BS143" s="124"/>
      <c r="BV143" s="246"/>
    </row>
    <row r="144" spans="30:74" ht="14.25" customHeight="1">
      <c r="AD144" s="413"/>
      <c r="AE144" s="413"/>
      <c r="AF144" s="413"/>
      <c r="AG144" s="413"/>
      <c r="AH144" s="413"/>
      <c r="AI144" s="413"/>
      <c r="AJ144" s="413"/>
      <c r="AK144" s="413"/>
      <c r="AL144" s="413"/>
      <c r="AM144" s="413"/>
      <c r="AN144" s="413"/>
      <c r="AO144" s="413"/>
      <c r="AP144" s="413"/>
      <c r="AQ144" s="413"/>
      <c r="AR144" s="413"/>
      <c r="AS144" s="413"/>
      <c r="AT144" s="413"/>
      <c r="AU144" s="413"/>
      <c r="AV144" s="413"/>
      <c r="BS144" s="124"/>
      <c r="BV144" s="246"/>
    </row>
    <row r="145" spans="30:74" ht="14.25" customHeight="1">
      <c r="AD145" s="446" t="str">
        <f>Baseline!AD145</f>
        <v>Fuel category</v>
      </c>
      <c r="AE145" s="446" t="s">
        <v>752</v>
      </c>
      <c r="AF145" s="446" t="str">
        <f>Baseline!AF145</f>
        <v>Kiln system</v>
      </c>
      <c r="AG145" s="446" t="str">
        <f>Baseline!AG145</f>
        <v>Location</v>
      </c>
      <c r="AH145" s="446" t="str">
        <f>Baseline!AH145</f>
        <v>Calciner</v>
      </c>
      <c r="AI145" s="446" t="str">
        <f>Baseline!AI145</f>
        <v>Trpt. equip.</v>
      </c>
      <c r="AJ145" s="446" t="str">
        <f>Baseline!AJ145</f>
        <v>Material</v>
      </c>
      <c r="AK145" s="446" t="str">
        <f>Baseline!AK145</f>
        <v>Timeframe</v>
      </c>
      <c r="AL145" s="446" t="str">
        <f>Baseline!AL145</f>
        <v>Limit</v>
      </c>
      <c r="AM145" s="446" t="str">
        <f>Baseline!AM145</f>
        <v>Yes/No</v>
      </c>
      <c r="AN145" s="446" t="str">
        <f>Baseline!AN145</f>
        <v>TF/AF</v>
      </c>
      <c r="AO145" s="413"/>
      <c r="AP145" s="753" t="s">
        <v>832</v>
      </c>
      <c r="AQ145" s="462" t="s">
        <v>754</v>
      </c>
      <c r="AR145" s="463">
        <f>IF(ISBLANK(H80),H79,H80)</f>
        <v>0</v>
      </c>
      <c r="AS145" s="413"/>
      <c r="AT145" s="852" t="s">
        <v>327</v>
      </c>
      <c r="AU145" s="853"/>
      <c r="AV145" s="854"/>
      <c r="BS145" s="124"/>
      <c r="BV145" s="246"/>
    </row>
    <row r="146" spans="30:74" ht="14.25" customHeight="1">
      <c r="AD146" s="517" t="str">
        <f>Baseline!AD146</f>
        <v>TF (coal)</v>
      </c>
      <c r="AE146" s="448" t="str">
        <f>Guidelines!A253</f>
        <v>Pneumatic 4" (100 mm)</v>
      </c>
      <c r="AF146" s="517" t="str">
        <f>Baseline!AF146</f>
        <v>Calciner</v>
      </c>
      <c r="AG146" s="517" t="str">
        <f>Baseline!AG146</f>
        <v>BZ</v>
      </c>
      <c r="AH146" s="517" t="str">
        <f>Baseline!AH146</f>
        <v>ILC</v>
      </c>
      <c r="AI146" s="517" t="str">
        <f>Baseline!AI146</f>
        <v>Airlock</v>
      </c>
      <c r="AJ146" s="517" t="str">
        <f>Baseline!AJ146</f>
        <v>Solids</v>
      </c>
      <c r="AK146" s="517" t="str">
        <f>Baseline!AK146</f>
        <v>week</v>
      </c>
      <c r="AL146" s="517" t="str">
        <f>Baseline!AL146</f>
        <v>Min</v>
      </c>
      <c r="AM146" s="517" t="str">
        <f>Baseline!AM146</f>
        <v>Yes</v>
      </c>
      <c r="AN146" s="517" t="str">
        <f>Baseline!AN146</f>
        <v>TF</v>
      </c>
      <c r="AO146" s="413"/>
      <c r="AP146" s="754"/>
      <c r="AQ146" s="462" t="s">
        <v>755</v>
      </c>
      <c r="AR146" s="518">
        <f>IF(ISBLANK(H82),H81,H82)</f>
        <v>1.2283467513183006</v>
      </c>
      <c r="AS146" s="413"/>
      <c r="AT146" s="447" t="str">
        <f>"From TFs, t CO2/"&amp;$D$13</f>
        <v>From TFs, t CO2/year</v>
      </c>
      <c r="AU146" s="455"/>
      <c r="AV146" s="427">
        <f>SUMPRODUCT(($E$21:$E$69*$M$21:$M$69*$U$21:$U$69)*($G$21:$G$69&lt;&gt;$AD$152)*($G$21:$G$69&lt;&gt;$AD$153)*($G$21:$G$69&lt;&gt;$AD$154)*($G$21:$G$69&lt;&gt;$AD$155)*($G$21:$G$69&lt;&gt;$AD$156)*($G$21:$G$69&lt;&gt;$AD$157))/1000</f>
        <v>0</v>
      </c>
      <c r="BS146" s="124"/>
      <c r="BV146" s="246"/>
    </row>
    <row r="147" spans="30:74" ht="14.25" customHeight="1">
      <c r="AD147" s="517" t="str">
        <f>Baseline!AD147</f>
        <v>TF (lignite)</v>
      </c>
      <c r="AE147" s="448" t="str">
        <f>Guidelines!A254</f>
        <v>Pneumatic 5" (125 mm)</v>
      </c>
      <c r="AF147" s="517" t="str">
        <f>Baseline!AF147</f>
        <v>Preheater</v>
      </c>
      <c r="AG147" s="517" t="str">
        <f>Baseline!AG147</f>
        <v>ILC</v>
      </c>
      <c r="AH147" s="517" t="str">
        <f>Baseline!AH147</f>
        <v>SLC</v>
      </c>
      <c r="AI147" s="517" t="str">
        <f>Baseline!AI147</f>
        <v>Pneumatic</v>
      </c>
      <c r="AJ147" s="517" t="str">
        <f>Baseline!AJ147</f>
        <v>Liquids</v>
      </c>
      <c r="AK147" s="517" t="str">
        <f>Baseline!AK147</f>
        <v>month</v>
      </c>
      <c r="AL147" s="517" t="str">
        <f>Baseline!AL147</f>
        <v>Max</v>
      </c>
      <c r="AM147" s="517" t="str">
        <f>Baseline!AM147</f>
        <v>No</v>
      </c>
      <c r="AN147" s="517" t="str">
        <f>Baseline!AN147</f>
        <v>AF</v>
      </c>
      <c r="AO147" s="460"/>
      <c r="AP147" s="495" t="str">
        <f>"SACTE TF, "&amp;LocCur&amp;"/t cli"</f>
        <v>SACTE TF, USD/t cli</v>
      </c>
      <c r="AQ147" s="496"/>
      <c r="AR147" s="497">
        <f>IF(CLI=0,0,K70*E70/CLI)</f>
        <v>9.4784025475955751</v>
      </c>
      <c r="AS147" s="413"/>
      <c r="AT147" s="449" t="str">
        <f>"From AFs, t CO2/"&amp;$D$13</f>
        <v>From AFs, t CO2/year</v>
      </c>
      <c r="AU147" s="435"/>
      <c r="AV147" s="427">
        <f>SUMPRODUCT(($E$21:$E$69*$M$21:$M$69*$U$21:$U$69)*($G$21:$G$69&lt;&gt;$AD$146)*($G$21:$G$69&lt;&gt;$AD$147)*($G$21:$G$69&lt;&gt;$AD$148)*($G$21:$G$69&lt;&gt;$AD$149)*($G$21:$G$69&lt;&gt;$AD$150)*($G$21:$G$69&lt;&gt;$AD$151))/1000</f>
        <v>0</v>
      </c>
      <c r="BS147" s="124"/>
      <c r="BV147" s="246"/>
    </row>
    <row r="148" spans="30:74" ht="14.25" customHeight="1">
      <c r="AD148" s="517" t="str">
        <f>Baseline!AD148</f>
        <v>TF (petcoke)</v>
      </c>
      <c r="AE148" s="448" t="str">
        <f>Guidelines!A255</f>
        <v>Pneumatic 6" (150 mm)</v>
      </c>
      <c r="AF148" s="517" t="str">
        <f>Baseline!AF148</f>
        <v>LEPOL</v>
      </c>
      <c r="AG148" s="517" t="str">
        <f>Baseline!AG148</f>
        <v>SLC/OLC/MFC</v>
      </c>
      <c r="AH148" s="517" t="str">
        <f>Baseline!AH148</f>
        <v>OLC</v>
      </c>
      <c r="AI148" s="517" t="str">
        <f>Baseline!AI148</f>
        <v>-</v>
      </c>
      <c r="AJ148" s="517" t="str">
        <f>Baseline!AJ148</f>
        <v>Sludges</v>
      </c>
      <c r="AK148" s="517" t="str">
        <f>Baseline!AK148</f>
        <v>year</v>
      </c>
      <c r="AL148" s="517" t="str">
        <f>Baseline!AL148</f>
        <v>-</v>
      </c>
      <c r="AM148" s="450"/>
      <c r="AN148" s="450"/>
      <c r="AO148" s="460"/>
      <c r="AP148" s="498" t="str">
        <f>"ACTE TF, "&amp;LocCur&amp;"/"&amp;D13</f>
        <v>ACTE TF, USD/year</v>
      </c>
      <c r="AQ148" s="499"/>
      <c r="AR148" s="500">
        <f>CLI*TTECpT</f>
        <v>13236926.825807979</v>
      </c>
      <c r="AS148" s="413"/>
      <c r="AT148" s="451" t="s">
        <v>328</v>
      </c>
      <c r="AU148" s="458"/>
      <c r="AV148" s="432">
        <f>IF(SUMPRODUCT(($E$21:$E$69*$M$21:$M$69)*($G$21:$G$69&lt;&gt;$AD$157))=0,0,AV146/SUMPRODUCT(($E$21:$E$69*$M$21:$M$69)*($G$21:$G$69&lt;&gt;$AD$157)))</f>
        <v>0</v>
      </c>
      <c r="BS148" s="124"/>
      <c r="BV148" s="246"/>
    </row>
    <row r="149" spans="30:74" ht="14.25" customHeight="1">
      <c r="AD149" s="517" t="str">
        <f>Baseline!AD149</f>
        <v>TF (liquid)</v>
      </c>
      <c r="AE149" s="448" t="str">
        <f>Guidelines!A256</f>
        <v>Pneumatic 7" (175 mm)</v>
      </c>
      <c r="AF149" s="517" t="str">
        <f>Baseline!AF149</f>
        <v>Long dry</v>
      </c>
      <c r="AG149" s="517" t="str">
        <f>Baseline!AG149</f>
        <v>PCC</v>
      </c>
      <c r="AH149" s="517" t="str">
        <f>Baseline!AH149</f>
        <v>MFC</v>
      </c>
      <c r="AI149" s="502"/>
      <c r="AJ149" s="502"/>
      <c r="AK149" s="502"/>
      <c r="AL149" s="452"/>
      <c r="AM149" s="450"/>
      <c r="AN149" s="450"/>
      <c r="AO149" s="460"/>
      <c r="AP149" s="461" t="s">
        <v>770</v>
      </c>
      <c r="AQ149" s="501"/>
      <c r="AR149" s="473">
        <f>Help!E295</f>
        <v>0.7</v>
      </c>
      <c r="AS149" s="413"/>
      <c r="AT149" s="413"/>
      <c r="AU149" s="413"/>
      <c r="AV149" s="413"/>
      <c r="BS149" s="124"/>
      <c r="BV149" s="246"/>
    </row>
    <row r="150" spans="30:74" ht="14.25" customHeight="1">
      <c r="AD150" s="517" t="str">
        <f>Baseline!AD150</f>
        <v>TF (gas)</v>
      </c>
      <c r="AE150" s="448" t="str">
        <f>Guidelines!A257</f>
        <v>Pneumatic 8" (200 mm)</v>
      </c>
      <c r="AF150" s="517" t="str">
        <f>Baseline!AF150</f>
        <v>Long wet</v>
      </c>
      <c r="AG150" s="517" t="str">
        <f>Baseline!AG150</f>
        <v>SF</v>
      </c>
      <c r="AH150" s="452"/>
      <c r="AI150" s="457"/>
      <c r="AJ150" s="457"/>
      <c r="AK150" s="457"/>
      <c r="AL150" s="457"/>
      <c r="AM150" s="457"/>
      <c r="AN150" s="511"/>
      <c r="AO150" s="457"/>
      <c r="AP150" s="457"/>
      <c r="AQ150" s="503"/>
      <c r="AR150" s="469"/>
      <c r="AS150" s="413"/>
      <c r="AT150" s="453" t="str">
        <f>"Biomass energy, GJ/"&amp;$D$13</f>
        <v>Biomass energy, GJ/year</v>
      </c>
      <c r="AU150" s="464"/>
      <c r="AV150" s="427">
        <f>SUMPRODUCT(($E$21:$E$69*$M$21:$M$69*$V$21:$V$69)*($G$21:$G$69&lt;&gt;$AD$146)*($G$21:$G$69&lt;&gt;$AD$147)*($G$21:$G$69&lt;&gt;$AD$148)*($G$21:$G$69&lt;&gt;$AD$149)*($G$21:$G$69&lt;&gt;$AD$150)*($G$21:$G$69&lt;&gt;$AD$151))/100</f>
        <v>0</v>
      </c>
      <c r="BS150" s="124"/>
      <c r="BV150" s="246"/>
    </row>
    <row r="151" spans="30:74" ht="14.25" customHeight="1">
      <c r="AD151" s="517" t="str">
        <f>Baseline!AD151</f>
        <v>TF (other)</v>
      </c>
      <c r="AE151" s="448" t="str">
        <f>Guidelines!A258</f>
        <v>Flap valve (old)</v>
      </c>
      <c r="AF151" s="453">
        <f>IF(K4=0,0,MATCH(K4,AF146:AF150,0))</f>
        <v>1</v>
      </c>
      <c r="AG151" s="454"/>
      <c r="AH151" s="452"/>
      <c r="AI151" s="457"/>
      <c r="AJ151" s="457"/>
      <c r="AK151" s="457"/>
      <c r="AL151" s="457"/>
      <c r="AM151" s="457"/>
      <c r="AN151" s="450"/>
      <c r="AO151" s="504"/>
      <c r="AP151" s="504"/>
      <c r="AQ151" s="503"/>
      <c r="AR151" s="469"/>
      <c r="AS151" s="413"/>
      <c r="AT151" s="413"/>
      <c r="AU151" s="413"/>
      <c r="AV151" s="413"/>
      <c r="BS151" s="124"/>
      <c r="BV151" s="246"/>
    </row>
    <row r="152" spans="30:74" ht="14.25" customHeight="1">
      <c r="AD152" s="517" t="str">
        <f>Baseline!AD152</f>
        <v>AF (v.fine)</v>
      </c>
      <c r="AE152" s="448" t="str">
        <f>Guidelines!A259</f>
        <v>Flap valve (new)</v>
      </c>
      <c r="AF152" s="460"/>
      <c r="AG152" s="460"/>
      <c r="AH152" s="512"/>
      <c r="AI152" s="457"/>
      <c r="AJ152" s="457"/>
      <c r="AK152" s="457"/>
      <c r="AL152" s="457"/>
      <c r="AM152" s="457"/>
      <c r="AN152" s="450"/>
      <c r="AO152" s="504"/>
      <c r="AP152" s="504"/>
      <c r="AQ152" s="505"/>
      <c r="AR152" s="506"/>
      <c r="AS152" s="413"/>
      <c r="AT152" s="847" t="str">
        <f>"Higher heat, "&amp;LocCur&amp;"/"&amp;D13</f>
        <v>Higher heat, USD/year</v>
      </c>
      <c r="AU152" s="848"/>
      <c r="AV152" s="468">
        <f>-(AHaf+AHbp)/1000*CLI*(L70+AV148*D15)</f>
        <v>-1240259.8245435508</v>
      </c>
      <c r="AW152" s="279"/>
      <c r="AX152" s="280"/>
      <c r="BS152" s="124"/>
      <c r="BV152" s="246"/>
    </row>
    <row r="153" spans="30:74" ht="14.25" customHeight="1">
      <c r="AD153" s="517" t="str">
        <f>Baseline!AD153</f>
        <v>AF (fine)</v>
      </c>
      <c r="AE153" s="448" t="str">
        <f>Guidelines!A260</f>
        <v>Rotary airlock</v>
      </c>
      <c r="AF153" s="460"/>
      <c r="AG153" s="460"/>
      <c r="AH153" s="513"/>
      <c r="AI153" s="457"/>
      <c r="AJ153" s="457"/>
      <c r="AK153" s="457"/>
      <c r="AL153" s="457"/>
      <c r="AM153" s="457"/>
      <c r="AN153" s="450"/>
      <c r="AO153" s="507"/>
      <c r="AP153" s="507"/>
      <c r="AQ153" s="507"/>
      <c r="AR153" s="508"/>
      <c r="AS153" s="413"/>
      <c r="AT153" s="413"/>
      <c r="AU153" s="509"/>
      <c r="AV153" s="510"/>
      <c r="AW153" s="279"/>
      <c r="AX153" s="280"/>
      <c r="BS153" s="124"/>
      <c r="BV153" s="182"/>
    </row>
    <row r="154" spans="30:74" ht="14.25" customHeight="1">
      <c r="AD154" s="517" t="str">
        <f>Baseline!AD154</f>
        <v>AF (coarse)</v>
      </c>
      <c r="AE154" s="448" t="s">
        <v>51</v>
      </c>
      <c r="AF154" s="457"/>
      <c r="AG154" s="457"/>
      <c r="AH154" s="457"/>
      <c r="AI154" s="457"/>
      <c r="AJ154" s="457"/>
      <c r="AK154" s="457"/>
      <c r="AL154" s="457"/>
      <c r="AM154" s="457"/>
      <c r="AN154" s="450"/>
      <c r="AO154" s="413"/>
      <c r="AP154" s="413"/>
      <c r="AQ154" s="413"/>
      <c r="AR154" s="413"/>
      <c r="AS154" s="413"/>
      <c r="AT154" s="413"/>
      <c r="AU154" s="413"/>
      <c r="AV154" s="413"/>
      <c r="BS154" s="124"/>
      <c r="BV154" s="246"/>
    </row>
    <row r="155" spans="30:74" ht="14.25" customHeight="1">
      <c r="AD155" s="517" t="str">
        <f>Baseline!AD155</f>
        <v>AF (lumps)</v>
      </c>
      <c r="AE155" s="514"/>
      <c r="AF155" s="514"/>
      <c r="AG155" s="514"/>
      <c r="AH155" s="514"/>
      <c r="AI155" s="514"/>
      <c r="AJ155" s="514"/>
      <c r="AK155" s="514"/>
      <c r="AL155" s="514"/>
      <c r="AM155" s="514"/>
      <c r="AN155" s="450"/>
      <c r="AO155" s="413"/>
      <c r="AP155" s="413"/>
      <c r="AQ155" s="413"/>
      <c r="AR155" s="413"/>
      <c r="AS155" s="413"/>
      <c r="AT155" s="413"/>
      <c r="AU155" s="413"/>
      <c r="AV155" s="413"/>
      <c r="BS155" s="124"/>
      <c r="BV155" s="246"/>
    </row>
    <row r="156" spans="30:74" ht="14.25" customHeight="1">
      <c r="AD156" s="517" t="str">
        <f>Baseline!AD156</f>
        <v>AF (liquid)</v>
      </c>
      <c r="AE156" s="514"/>
      <c r="AF156" s="514"/>
      <c r="AG156" s="514"/>
      <c r="AH156" s="514"/>
      <c r="AI156" s="514"/>
      <c r="AJ156" s="514"/>
      <c r="AK156" s="514"/>
      <c r="AL156" s="514"/>
      <c r="AM156" s="514"/>
      <c r="AN156" s="450"/>
      <c r="AO156" s="413"/>
      <c r="AP156" s="413"/>
      <c r="AQ156" s="413"/>
      <c r="AR156" s="413"/>
      <c r="AS156" s="413"/>
      <c r="AT156" s="413"/>
      <c r="AU156" s="413"/>
      <c r="AV156" s="413"/>
      <c r="BS156" s="124"/>
      <c r="BV156" s="246"/>
    </row>
    <row r="157" spans="30:74" ht="14.25" customHeight="1">
      <c r="AD157" s="517" t="str">
        <f>Baseline!AD157</f>
        <v>AF (gas)</v>
      </c>
      <c r="AE157" s="514"/>
      <c r="AF157" s="514"/>
      <c r="AG157" s="514"/>
      <c r="AH157" s="514"/>
      <c r="AI157" s="514"/>
      <c r="AJ157" s="514"/>
      <c r="AK157" s="514"/>
      <c r="AL157" s="514"/>
      <c r="AM157" s="514"/>
      <c r="AN157" s="450"/>
      <c r="AO157" s="413"/>
      <c r="AP157" s="413"/>
      <c r="AQ157" s="413"/>
      <c r="AR157" s="413"/>
      <c r="AS157" s="413"/>
      <c r="AT157" s="413"/>
      <c r="AU157" s="413"/>
      <c r="AV157" s="413"/>
      <c r="BS157" s="124"/>
      <c r="BV157" s="246"/>
    </row>
    <row r="158" spans="30:74" ht="14.25" customHeight="1">
      <c r="AD158" s="492"/>
      <c r="AE158" s="491"/>
      <c r="AF158" s="491"/>
      <c r="AG158" s="491"/>
      <c r="AH158" s="491"/>
      <c r="AI158" s="491"/>
      <c r="AJ158" s="493"/>
      <c r="AK158" s="493"/>
      <c r="AL158" s="240"/>
      <c r="AM158" s="240"/>
      <c r="BS158" s="124"/>
      <c r="BV158" s="246"/>
    </row>
    <row r="159" spans="30:74" ht="14.25" customHeight="1">
      <c r="AD159" s="492"/>
      <c r="AE159" s="491"/>
      <c r="AF159" s="491"/>
      <c r="AG159" s="491"/>
      <c r="AH159" s="491"/>
      <c r="AI159" s="491"/>
      <c r="AJ159" s="493"/>
      <c r="AK159" s="493"/>
      <c r="AL159" s="240"/>
      <c r="AM159" s="240"/>
      <c r="BS159" s="124"/>
      <c r="BV159" s="246"/>
    </row>
    <row r="160" spans="30:74" ht="14.25" customHeight="1">
      <c r="AD160" s="492"/>
      <c r="AE160" s="491"/>
      <c r="AF160" s="491"/>
      <c r="AG160" s="491"/>
      <c r="AH160" s="491"/>
      <c r="AI160" s="491"/>
      <c r="AJ160" s="493"/>
      <c r="AK160" s="493"/>
      <c r="AL160" s="240"/>
      <c r="AM160" s="240"/>
      <c r="AU160" s="127"/>
      <c r="AV160" s="127"/>
      <c r="BS160" s="124"/>
      <c r="BV160" s="246"/>
    </row>
    <row r="161" spans="30:74" ht="14.25" customHeight="1">
      <c r="AD161" s="492"/>
      <c r="AE161" s="491"/>
      <c r="AF161" s="491"/>
      <c r="AG161" s="491"/>
      <c r="AH161" s="491"/>
      <c r="AI161" s="491"/>
      <c r="AJ161" s="493"/>
      <c r="AK161" s="493"/>
      <c r="AL161" s="240"/>
      <c r="AM161" s="240"/>
      <c r="AU161" s="127"/>
      <c r="AV161" s="127"/>
      <c r="BB161" s="182"/>
      <c r="BC161" s="182"/>
      <c r="BS161" s="124"/>
      <c r="BV161" s="246"/>
    </row>
    <row r="162" spans="30:74" ht="14.25" customHeight="1">
      <c r="AD162" s="492"/>
      <c r="AE162" s="491"/>
      <c r="AF162" s="491"/>
      <c r="AG162" s="491"/>
      <c r="AH162" s="491"/>
      <c r="AI162" s="491"/>
      <c r="AJ162" s="493"/>
      <c r="AK162" s="493"/>
      <c r="AL162" s="240"/>
      <c r="AM162" s="240"/>
      <c r="AP162" s="123"/>
      <c r="AQ162" s="123"/>
      <c r="AR162" s="127"/>
      <c r="AS162" s="127"/>
      <c r="AT162" s="127"/>
      <c r="BB162" s="182"/>
      <c r="BC162" s="182"/>
      <c r="BS162" s="124"/>
      <c r="BV162" s="246"/>
    </row>
    <row r="163" spans="30:74" ht="14.25" customHeight="1">
      <c r="AD163" s="492"/>
      <c r="AE163" s="491"/>
      <c r="AF163" s="491"/>
      <c r="AG163" s="491"/>
      <c r="AH163" s="491"/>
      <c r="AI163" s="491"/>
      <c r="AJ163" s="493"/>
      <c r="AK163" s="493"/>
      <c r="AL163" s="240"/>
      <c r="AM163" s="240"/>
      <c r="AP163" s="123"/>
      <c r="AQ163" s="123"/>
      <c r="AR163" s="127"/>
      <c r="AS163" s="127"/>
      <c r="AT163" s="127"/>
      <c r="AX163" s="239"/>
      <c r="AY163" s="239"/>
      <c r="AZ163" s="240"/>
      <c r="BA163" s="240"/>
      <c r="BB163" s="240"/>
      <c r="BC163" s="240"/>
      <c r="BD163" s="240"/>
      <c r="BS163" s="124"/>
      <c r="BV163" s="246"/>
    </row>
    <row r="164" spans="30:74" ht="14.25" customHeight="1">
      <c r="AD164" s="492"/>
      <c r="AE164" s="493"/>
      <c r="AF164" s="493"/>
      <c r="AG164" s="493"/>
      <c r="AH164" s="493"/>
      <c r="AI164" s="493"/>
      <c r="AJ164" s="494"/>
      <c r="AK164" s="494"/>
      <c r="AL164" s="240"/>
      <c r="AM164" s="240"/>
      <c r="AP164" s="123"/>
      <c r="AQ164" s="123"/>
      <c r="AR164" s="127"/>
      <c r="AS164" s="127"/>
      <c r="AT164" s="127"/>
      <c r="BS164" s="124"/>
      <c r="BV164" s="246"/>
    </row>
    <row r="165" spans="30:74" ht="14.25" customHeight="1">
      <c r="AD165" s="492"/>
      <c r="AE165" s="493"/>
      <c r="AF165" s="493"/>
      <c r="AG165" s="493"/>
      <c r="AH165" s="493"/>
      <c r="AI165" s="493"/>
      <c r="AJ165" s="494"/>
      <c r="AK165" s="494"/>
      <c r="AL165" s="240"/>
      <c r="AM165" s="240"/>
      <c r="AP165" s="123"/>
      <c r="AQ165" s="123"/>
      <c r="AR165" s="127"/>
      <c r="AS165" s="127"/>
      <c r="AT165" s="127"/>
      <c r="BS165" s="124"/>
      <c r="BV165" s="246"/>
    </row>
    <row r="166" spans="30:74" ht="14.25" customHeight="1">
      <c r="AD166" s="490"/>
      <c r="AE166" s="240"/>
      <c r="AF166" s="240"/>
      <c r="AG166" s="240"/>
      <c r="AH166" s="240"/>
      <c r="AI166" s="493"/>
      <c r="AJ166" s="632"/>
      <c r="AK166" s="494"/>
      <c r="AL166" s="491"/>
      <c r="AM166" s="491"/>
      <c r="AP166" s="123"/>
      <c r="AQ166" s="123"/>
      <c r="AR166" s="127"/>
      <c r="AS166" s="127"/>
      <c r="AT166" s="127"/>
      <c r="BS166" s="124"/>
      <c r="BV166" s="246"/>
    </row>
    <row r="167" spans="30:74" ht="14.25" customHeight="1">
      <c r="AD167" s="490"/>
      <c r="AE167" s="632"/>
      <c r="AF167" s="491"/>
      <c r="AG167" s="491"/>
      <c r="AI167" s="491"/>
      <c r="AJ167" s="240"/>
      <c r="AK167" s="491"/>
      <c r="AL167" s="491"/>
      <c r="AM167" s="240"/>
      <c r="AP167" s="127"/>
      <c r="AQ167" s="127"/>
      <c r="AR167" s="127"/>
      <c r="AS167" s="127"/>
      <c r="AT167" s="127"/>
      <c r="BS167" s="124"/>
      <c r="BV167" s="246"/>
    </row>
    <row r="168" spans="30:74" ht="14.25" customHeight="1">
      <c r="AR168" s="127"/>
      <c r="AS168" s="127"/>
      <c r="AT168" s="127"/>
      <c r="BS168" s="124"/>
      <c r="BV168" s="246"/>
    </row>
    <row r="169" spans="30:74" ht="14.25" customHeight="1">
      <c r="BS169" s="124"/>
      <c r="BV169" s="182"/>
    </row>
    <row r="170" spans="30:74" ht="14.25" customHeight="1">
      <c r="BS170" s="124"/>
      <c r="BV170" s="182"/>
    </row>
    <row r="171" spans="30:74" ht="14.25" customHeight="1">
      <c r="BS171" s="124"/>
      <c r="BV171" s="182"/>
    </row>
    <row r="172" spans="30:74" ht="14.25" customHeight="1">
      <c r="BS172" s="124"/>
      <c r="BV172" s="147"/>
    </row>
    <row r="173" spans="30:74" ht="14.25" customHeight="1">
      <c r="BS173" s="124"/>
      <c r="BV173" s="147"/>
    </row>
    <row r="174" spans="30:74" ht="14.25" customHeight="1">
      <c r="BS174" s="124"/>
      <c r="BV174" s="147"/>
    </row>
    <row r="175" spans="30:74" ht="14.25" customHeight="1">
      <c r="BV175" s="147"/>
    </row>
    <row r="176" spans="30:74" ht="14.25" customHeight="1">
      <c r="BV176" s="182"/>
    </row>
    <row r="177" spans="32:74" ht="14.25" customHeight="1">
      <c r="BV177" s="182"/>
    </row>
    <row r="178" spans="32:74" ht="14.25" customHeight="1">
      <c r="BV178" s="182"/>
    </row>
    <row r="179" spans="32:74" ht="14.25" customHeight="1">
      <c r="BV179" s="182"/>
    </row>
    <row r="180" spans="32:74" ht="14.25" customHeight="1">
      <c r="BC180" s="147"/>
      <c r="BV180" s="182"/>
    </row>
    <row r="181" spans="32:74" ht="14.25" customHeight="1">
      <c r="BC181" s="147"/>
      <c r="BV181" s="182"/>
    </row>
    <row r="182" spans="32:74" ht="14.25" customHeight="1">
      <c r="BC182" s="147"/>
      <c r="BF182" s="147"/>
      <c r="BG182" s="182"/>
      <c r="BH182" s="182"/>
      <c r="BI182" s="182"/>
      <c r="BJ182" s="182"/>
      <c r="BK182" s="182"/>
      <c r="BL182" s="182"/>
      <c r="BM182" s="182"/>
      <c r="BN182" s="182"/>
      <c r="BO182" s="182"/>
      <c r="BP182" s="182"/>
      <c r="BQ182" s="182"/>
      <c r="BR182" s="182"/>
      <c r="BS182" s="183"/>
      <c r="BT182" s="182"/>
      <c r="BU182" s="182"/>
      <c r="BV182" s="182"/>
    </row>
    <row r="183" spans="32:74" ht="14.25" customHeight="1">
      <c r="BC183" s="147"/>
      <c r="BF183" s="182"/>
      <c r="BG183" s="182"/>
      <c r="BH183" s="182"/>
      <c r="BI183" s="182"/>
      <c r="BJ183" s="182"/>
      <c r="BK183" s="182"/>
      <c r="BL183" s="182"/>
      <c r="BM183" s="182"/>
      <c r="BN183" s="182"/>
      <c r="BO183" s="182"/>
      <c r="BP183" s="182"/>
      <c r="BQ183" s="182"/>
      <c r="BR183" s="182"/>
      <c r="BS183" s="183"/>
      <c r="BT183" s="182"/>
      <c r="BU183" s="182"/>
      <c r="BV183" s="182"/>
    </row>
    <row r="184" spans="32:74" ht="14.25" customHeight="1">
      <c r="BC184" s="147"/>
      <c r="BF184" s="182"/>
      <c r="BG184" s="182"/>
      <c r="BH184" s="182"/>
      <c r="BI184" s="182"/>
      <c r="BJ184" s="182"/>
      <c r="BK184" s="182"/>
      <c r="BL184" s="182"/>
      <c r="BM184" s="182"/>
      <c r="BN184" s="182"/>
      <c r="BO184" s="182"/>
      <c r="BP184" s="182"/>
      <c r="BQ184" s="182"/>
      <c r="BR184" s="182"/>
      <c r="BS184" s="183"/>
      <c r="BT184" s="182"/>
      <c r="BU184" s="182"/>
      <c r="BV184" s="182"/>
    </row>
    <row r="185" spans="32:74" ht="14.25" customHeight="1">
      <c r="AF185" s="182"/>
      <c r="AG185" s="182"/>
      <c r="AH185" s="182"/>
      <c r="AI185" s="182"/>
      <c r="BC185" s="147"/>
      <c r="BE185" s="182"/>
      <c r="BF185" s="182"/>
      <c r="BG185" s="182"/>
      <c r="BH185" s="182"/>
      <c r="BI185" s="182"/>
      <c r="BJ185" s="182"/>
      <c r="BK185" s="182"/>
      <c r="BL185" s="182"/>
      <c r="BM185" s="182"/>
      <c r="BN185" s="182"/>
      <c r="BO185" s="182"/>
      <c r="BP185" s="182"/>
      <c r="BQ185" s="182"/>
      <c r="BR185" s="182"/>
      <c r="BS185" s="183"/>
      <c r="BT185" s="182"/>
      <c r="BU185" s="182"/>
      <c r="BV185" s="182"/>
    </row>
    <row r="186" spans="32:74" ht="14.25" customHeight="1">
      <c r="AF186" s="182"/>
      <c r="AG186" s="182"/>
      <c r="AH186" s="182"/>
      <c r="AI186" s="182"/>
      <c r="AJ186" s="147"/>
      <c r="AK186" s="147"/>
      <c r="AL186" s="147"/>
      <c r="AM186" s="147"/>
      <c r="AN186" s="147"/>
      <c r="AO186" s="147"/>
      <c r="AP186" s="147"/>
      <c r="AQ186" s="147"/>
      <c r="AR186" s="147"/>
      <c r="AS186" s="147"/>
      <c r="AT186" s="147"/>
      <c r="AU186" s="147"/>
      <c r="AV186" s="147"/>
      <c r="AW186" s="147"/>
      <c r="BC186" s="147"/>
      <c r="BE186" s="182"/>
      <c r="BF186" s="182"/>
      <c r="BG186" s="182"/>
      <c r="BH186" s="182"/>
      <c r="BI186" s="182"/>
      <c r="BJ186" s="182"/>
      <c r="BK186" s="182"/>
      <c r="BL186" s="182"/>
      <c r="BM186" s="182"/>
      <c r="BN186" s="182"/>
      <c r="BO186" s="182"/>
      <c r="BP186" s="182"/>
      <c r="BQ186" s="182"/>
      <c r="BR186" s="182"/>
      <c r="BS186" s="183"/>
      <c r="BT186" s="182"/>
      <c r="BU186" s="182"/>
      <c r="BV186" s="182"/>
    </row>
    <row r="187" spans="32:74" ht="14.25" customHeight="1">
      <c r="AF187" s="182"/>
      <c r="AG187" s="182"/>
      <c r="AH187" s="182"/>
      <c r="AI187" s="182"/>
      <c r="AJ187" s="182"/>
      <c r="AK187" s="182"/>
      <c r="AL187" s="182"/>
      <c r="AM187" s="182"/>
      <c r="AN187" s="182"/>
      <c r="AO187" s="182"/>
      <c r="AP187" s="182"/>
      <c r="AQ187" s="182"/>
      <c r="AR187" s="182"/>
      <c r="AS187" s="182"/>
      <c r="AT187" s="182"/>
      <c r="AU187" s="182"/>
      <c r="AV187" s="182"/>
      <c r="AW187" s="182"/>
      <c r="BC187" s="147"/>
      <c r="BD187" s="147"/>
      <c r="BE187" s="182"/>
      <c r="BF187" s="182"/>
      <c r="BG187" s="182"/>
      <c r="BH187" s="182"/>
      <c r="BI187" s="182"/>
      <c r="BJ187" s="182"/>
      <c r="BK187" s="182"/>
      <c r="BL187" s="182"/>
      <c r="BM187" s="182"/>
      <c r="BN187" s="182"/>
      <c r="BO187" s="182"/>
      <c r="BP187" s="182"/>
      <c r="BQ187" s="182"/>
      <c r="BR187" s="182"/>
      <c r="BS187" s="183"/>
      <c r="BT187" s="182"/>
      <c r="BU187" s="182"/>
      <c r="BV187" s="182"/>
    </row>
    <row r="188" spans="32:74" ht="14.25" customHeight="1">
      <c r="AF188" s="182"/>
      <c r="AG188" s="182"/>
      <c r="AH188" s="182"/>
      <c r="AI188" s="182"/>
      <c r="AJ188" s="182"/>
      <c r="AK188" s="182"/>
      <c r="AL188" s="182"/>
      <c r="AM188" s="182"/>
      <c r="AN188" s="182"/>
      <c r="AO188" s="182"/>
      <c r="AP188" s="182"/>
      <c r="AQ188" s="182"/>
      <c r="AR188" s="182"/>
      <c r="AS188" s="182"/>
      <c r="AT188" s="182"/>
      <c r="AU188" s="182"/>
      <c r="AV188" s="182"/>
      <c r="AW188" s="182"/>
      <c r="AX188" s="182"/>
      <c r="AY188" s="182"/>
      <c r="AZ188" s="182"/>
      <c r="BA188" s="182"/>
      <c r="BB188" s="182"/>
      <c r="BC188" s="182"/>
      <c r="BD188" s="182"/>
      <c r="BE188" s="182"/>
      <c r="BF188" s="182"/>
      <c r="BG188" s="182"/>
      <c r="BH188" s="182"/>
      <c r="BI188" s="182"/>
      <c r="BJ188" s="182"/>
      <c r="BK188" s="182"/>
      <c r="BL188" s="182"/>
      <c r="BM188" s="182"/>
      <c r="BN188" s="182"/>
      <c r="BO188" s="182"/>
      <c r="BP188" s="182"/>
      <c r="BQ188" s="182"/>
      <c r="BR188" s="182"/>
      <c r="BS188" s="183"/>
      <c r="BT188" s="182"/>
      <c r="BU188" s="182"/>
      <c r="BV188" s="182"/>
    </row>
    <row r="189" spans="32:74" ht="14.25" customHeight="1">
      <c r="AF189" s="182"/>
      <c r="AG189" s="182"/>
      <c r="AH189" s="182"/>
      <c r="AI189" s="182"/>
      <c r="AJ189" s="182"/>
      <c r="AK189" s="182"/>
      <c r="AL189" s="182"/>
      <c r="AM189" s="182"/>
      <c r="AN189" s="182"/>
      <c r="AO189" s="182"/>
      <c r="AP189" s="182"/>
      <c r="AQ189" s="182"/>
      <c r="AR189" s="182"/>
      <c r="AS189" s="182"/>
      <c r="AT189" s="182"/>
      <c r="AU189" s="182"/>
      <c r="AV189" s="182"/>
      <c r="AW189" s="182"/>
      <c r="AX189" s="182"/>
      <c r="AY189" s="182"/>
      <c r="AZ189" s="182"/>
      <c r="BA189" s="182"/>
      <c r="BB189" s="182"/>
      <c r="BC189" s="182"/>
      <c r="BD189" s="182"/>
      <c r="BE189" s="182"/>
      <c r="BF189" s="182"/>
      <c r="BG189" s="182"/>
      <c r="BH189" s="182"/>
      <c r="BI189" s="182"/>
      <c r="BJ189" s="182"/>
      <c r="BK189" s="182"/>
      <c r="BL189" s="182"/>
      <c r="BM189" s="182"/>
      <c r="BN189" s="182"/>
      <c r="BO189" s="182"/>
      <c r="BP189" s="182"/>
      <c r="BQ189" s="182"/>
      <c r="BR189" s="182"/>
      <c r="BS189" s="183"/>
      <c r="BT189" s="182"/>
      <c r="BU189" s="182"/>
      <c r="BV189" s="182"/>
    </row>
    <row r="190" spans="32:74" ht="14.25" customHeight="1">
      <c r="AF190" s="182"/>
      <c r="AG190" s="182"/>
      <c r="AH190" s="182"/>
      <c r="AI190" s="182"/>
      <c r="AJ190" s="182"/>
      <c r="AK190" s="182"/>
      <c r="AL190" s="182"/>
      <c r="AM190" s="182"/>
      <c r="AN190" s="182"/>
      <c r="AO190" s="182"/>
      <c r="AP190" s="182"/>
      <c r="AQ190" s="182"/>
      <c r="AR190" s="182"/>
      <c r="AS190" s="182"/>
      <c r="AT190" s="182"/>
      <c r="AU190" s="182"/>
      <c r="AV190" s="182"/>
      <c r="AW190" s="182"/>
      <c r="AX190" s="182"/>
      <c r="AY190" s="182"/>
      <c r="AZ190" s="182"/>
      <c r="BA190" s="182"/>
      <c r="BB190" s="182"/>
      <c r="BC190" s="182"/>
      <c r="BD190" s="182"/>
      <c r="BE190" s="182"/>
      <c r="BF190" s="182"/>
      <c r="BG190" s="182"/>
      <c r="BH190" s="182"/>
      <c r="BI190" s="182"/>
      <c r="BJ190" s="182"/>
      <c r="BK190" s="182"/>
      <c r="BL190" s="182"/>
      <c r="BM190" s="182"/>
      <c r="BN190" s="182"/>
      <c r="BO190" s="182"/>
      <c r="BP190" s="182"/>
      <c r="BQ190" s="182"/>
      <c r="BR190" s="182"/>
      <c r="BS190" s="183"/>
      <c r="BT190" s="182"/>
      <c r="BU190" s="182"/>
      <c r="BV190" s="182"/>
    </row>
    <row r="191" spans="32:74" ht="14.25" customHeight="1">
      <c r="AF191" s="182"/>
      <c r="AG191" s="182"/>
      <c r="AH191" s="182"/>
      <c r="AI191" s="182"/>
      <c r="AJ191" s="182"/>
      <c r="AK191" s="182"/>
      <c r="AL191" s="182"/>
      <c r="AM191" s="182"/>
      <c r="AN191" s="182"/>
      <c r="AO191" s="182"/>
      <c r="AP191" s="182"/>
      <c r="AQ191" s="182"/>
      <c r="AR191" s="182"/>
      <c r="AS191" s="182"/>
      <c r="AT191" s="182"/>
      <c r="AU191" s="182"/>
      <c r="AV191" s="182"/>
      <c r="AW191" s="182"/>
      <c r="AX191" s="182"/>
      <c r="AY191" s="182"/>
      <c r="AZ191" s="182"/>
      <c r="BA191" s="182"/>
      <c r="BB191" s="182"/>
      <c r="BC191" s="182"/>
      <c r="BD191" s="182"/>
      <c r="BE191" s="182"/>
      <c r="BF191" s="182"/>
      <c r="BG191" s="182"/>
      <c r="BH191" s="182"/>
      <c r="BI191" s="182"/>
      <c r="BJ191" s="182"/>
      <c r="BK191" s="182"/>
      <c r="BL191" s="182"/>
      <c r="BM191" s="182"/>
      <c r="BN191" s="182"/>
      <c r="BO191" s="182"/>
      <c r="BP191" s="182"/>
      <c r="BQ191" s="182"/>
      <c r="BR191" s="182"/>
      <c r="BS191" s="183"/>
      <c r="BT191" s="182"/>
      <c r="BU191" s="182"/>
      <c r="BV191" s="182"/>
    </row>
    <row r="192" spans="32:74" ht="14.25" customHeight="1">
      <c r="AF192" s="182"/>
      <c r="AG192" s="182"/>
      <c r="AH192" s="182"/>
      <c r="AI192" s="182"/>
      <c r="AJ192" s="182"/>
      <c r="AK192" s="182"/>
      <c r="AL192" s="182"/>
      <c r="AM192" s="182"/>
      <c r="AN192" s="182"/>
      <c r="AO192" s="182"/>
      <c r="AP192" s="182"/>
      <c r="AQ192" s="182"/>
      <c r="AR192" s="182"/>
      <c r="AS192" s="182"/>
      <c r="AT192" s="182"/>
      <c r="AU192" s="182"/>
      <c r="AV192" s="182"/>
      <c r="AW192" s="182"/>
      <c r="AX192" s="182"/>
      <c r="AY192" s="182"/>
      <c r="AZ192" s="182"/>
      <c r="BA192" s="182"/>
      <c r="BB192" s="182"/>
      <c r="BC192" s="182"/>
      <c r="BD192" s="182"/>
      <c r="BE192" s="182"/>
      <c r="BF192" s="182"/>
      <c r="BG192" s="182"/>
      <c r="BH192" s="182"/>
      <c r="BI192" s="182"/>
      <c r="BJ192" s="182"/>
      <c r="BK192" s="182"/>
      <c r="BL192" s="182"/>
      <c r="BM192" s="182"/>
      <c r="BN192" s="182"/>
      <c r="BO192" s="182"/>
      <c r="BP192" s="182"/>
      <c r="BQ192" s="182"/>
      <c r="BR192" s="182"/>
      <c r="BS192" s="183"/>
      <c r="BT192" s="182"/>
      <c r="BU192" s="182"/>
      <c r="BV192" s="182"/>
    </row>
    <row r="193" spans="32:74" ht="14.25" customHeight="1">
      <c r="AF193" s="182"/>
      <c r="AG193" s="182"/>
      <c r="AH193" s="182"/>
      <c r="AI193" s="182"/>
      <c r="AJ193" s="182"/>
      <c r="AK193" s="182"/>
      <c r="AL193" s="182"/>
      <c r="AM193" s="182"/>
      <c r="AN193" s="182"/>
      <c r="AO193" s="182"/>
      <c r="AP193" s="182"/>
      <c r="AQ193" s="182"/>
      <c r="AR193" s="182"/>
      <c r="AS193" s="182"/>
      <c r="AT193" s="182"/>
      <c r="AU193" s="182"/>
      <c r="AV193" s="182"/>
      <c r="AW193" s="182"/>
      <c r="AX193" s="182"/>
      <c r="AY193" s="182"/>
      <c r="AZ193" s="182"/>
      <c r="BA193" s="182"/>
      <c r="BB193" s="182"/>
      <c r="BC193" s="182"/>
      <c r="BD193" s="182"/>
      <c r="BE193" s="182"/>
      <c r="BF193" s="182"/>
      <c r="BG193" s="182"/>
      <c r="BH193" s="182"/>
      <c r="BI193" s="182"/>
      <c r="BJ193" s="182"/>
      <c r="BK193" s="182"/>
      <c r="BL193" s="182"/>
      <c r="BM193" s="182"/>
      <c r="BN193" s="182"/>
      <c r="BO193" s="182"/>
      <c r="BP193" s="182"/>
      <c r="BQ193" s="182"/>
      <c r="BS193" s="183"/>
      <c r="BT193" s="182"/>
      <c r="BU193" s="182"/>
      <c r="BV193" s="182"/>
    </row>
    <row r="194" spans="32:74" ht="14.25" customHeight="1">
      <c r="AF194" s="182"/>
      <c r="AG194" s="182"/>
      <c r="AH194" s="182"/>
      <c r="AI194" s="182"/>
      <c r="AJ194" s="182"/>
      <c r="AK194" s="182"/>
      <c r="AL194" s="182"/>
      <c r="AM194" s="182"/>
      <c r="AN194" s="182"/>
      <c r="AO194" s="182"/>
      <c r="AP194" s="182"/>
      <c r="AQ194" s="182"/>
      <c r="AR194" s="182"/>
      <c r="AS194" s="182"/>
      <c r="AT194" s="182"/>
      <c r="AU194" s="182"/>
      <c r="AV194" s="182"/>
      <c r="AW194" s="182"/>
      <c r="AX194" s="182"/>
      <c r="AY194" s="182"/>
      <c r="AZ194" s="182"/>
      <c r="BA194" s="182"/>
      <c r="BB194" s="182"/>
      <c r="BC194" s="182"/>
      <c r="BD194" s="182"/>
      <c r="BE194" s="182"/>
      <c r="BF194" s="182"/>
      <c r="BG194" s="182"/>
      <c r="BH194" s="182"/>
      <c r="BI194" s="182"/>
      <c r="BJ194" s="182"/>
      <c r="BK194" s="182"/>
      <c r="BL194" s="182"/>
      <c r="BM194" s="182"/>
      <c r="BN194" s="182"/>
      <c r="BO194" s="182"/>
      <c r="BP194" s="182"/>
      <c r="BQ194" s="182"/>
      <c r="BS194" s="183"/>
      <c r="BT194" s="182"/>
      <c r="BU194" s="182"/>
      <c r="BV194" s="182"/>
    </row>
    <row r="195" spans="32:74" ht="14.25" customHeight="1">
      <c r="AF195" s="182"/>
      <c r="AG195" s="182"/>
      <c r="AH195" s="182"/>
      <c r="AI195" s="182"/>
      <c r="AJ195" s="182"/>
      <c r="AK195" s="182"/>
      <c r="AL195" s="182"/>
      <c r="AM195" s="182"/>
      <c r="AN195" s="182"/>
      <c r="AO195" s="182"/>
      <c r="AP195" s="182"/>
      <c r="AQ195" s="182"/>
      <c r="AR195" s="182"/>
      <c r="AS195" s="182"/>
      <c r="AT195" s="182"/>
      <c r="AU195" s="182"/>
      <c r="AV195" s="182"/>
      <c r="AW195" s="182"/>
      <c r="AX195" s="182"/>
      <c r="AY195" s="182"/>
      <c r="AZ195" s="182"/>
      <c r="BA195" s="182"/>
      <c r="BB195" s="182"/>
      <c r="BC195" s="182"/>
      <c r="BD195" s="182"/>
      <c r="BE195" s="182"/>
      <c r="BF195" s="182"/>
      <c r="BG195" s="182"/>
      <c r="BH195" s="182"/>
      <c r="BI195" s="182"/>
      <c r="BJ195" s="182"/>
      <c r="BK195" s="182"/>
      <c r="BL195" s="182"/>
      <c r="BM195" s="182"/>
      <c r="BN195" s="182"/>
      <c r="BO195" s="182"/>
      <c r="BP195" s="182"/>
      <c r="BQ195" s="182"/>
      <c r="BS195" s="183"/>
      <c r="BT195" s="182"/>
      <c r="BU195" s="182"/>
      <c r="BV195" s="182"/>
    </row>
    <row r="196" spans="32:74" ht="14.25" customHeight="1">
      <c r="AF196" s="182"/>
      <c r="AG196" s="182"/>
      <c r="AH196" s="182"/>
      <c r="AI196" s="182"/>
      <c r="AJ196" s="182"/>
      <c r="AK196" s="182"/>
      <c r="AL196" s="182"/>
      <c r="AM196" s="182"/>
      <c r="AN196" s="182"/>
      <c r="AO196" s="182"/>
      <c r="AP196" s="182"/>
      <c r="AQ196" s="182"/>
      <c r="AR196" s="182"/>
      <c r="AS196" s="182"/>
      <c r="AT196" s="182"/>
      <c r="AU196" s="182"/>
      <c r="AV196" s="182"/>
      <c r="AW196" s="182"/>
      <c r="AX196" s="182"/>
      <c r="AY196" s="182"/>
      <c r="AZ196" s="182"/>
      <c r="BA196" s="182"/>
      <c r="BB196" s="182"/>
      <c r="BC196" s="182"/>
      <c r="BD196" s="182"/>
      <c r="BE196" s="182"/>
      <c r="BF196" s="182"/>
      <c r="BG196" s="182"/>
      <c r="BH196" s="182"/>
      <c r="BI196" s="182"/>
      <c r="BJ196" s="182"/>
      <c r="BK196" s="182"/>
      <c r="BL196" s="182"/>
      <c r="BM196" s="182"/>
      <c r="BN196" s="182"/>
      <c r="BO196" s="182"/>
      <c r="BP196" s="182"/>
      <c r="BQ196" s="182"/>
      <c r="BS196" s="183"/>
      <c r="BT196" s="182"/>
      <c r="BU196" s="182"/>
      <c r="BV196" s="182"/>
    </row>
    <row r="208" spans="32:74" ht="14.25" customHeight="1">
      <c r="BS208" s="124"/>
    </row>
    <row r="209" spans="71:71" ht="14.25" customHeight="1">
      <c r="BS209" s="124"/>
    </row>
    <row r="210" spans="71:71" ht="14.25" customHeight="1">
      <c r="BS210" s="124"/>
    </row>
    <row r="211" spans="71:71" ht="14.25" customHeight="1">
      <c r="BS211" s="124"/>
    </row>
    <row r="212" spans="71:71" ht="14.25" customHeight="1">
      <c r="BS212" s="124"/>
    </row>
    <row r="213" spans="71:71" ht="14.25" customHeight="1">
      <c r="BS213" s="124"/>
    </row>
    <row r="214" spans="71:71" ht="14.25" customHeight="1">
      <c r="BS214" s="124"/>
    </row>
    <row r="215" spans="71:71" ht="14.25" customHeight="1">
      <c r="BS215" s="124"/>
    </row>
    <row r="216" spans="71:71" ht="14.25" customHeight="1">
      <c r="BS216" s="124"/>
    </row>
    <row r="217" spans="71:71" ht="14.25" customHeight="1">
      <c r="BS217" s="124"/>
    </row>
    <row r="218" spans="71:71" ht="14.25" customHeight="1">
      <c r="BS218" s="124"/>
    </row>
    <row r="219" spans="71:71" ht="14.25" customHeight="1">
      <c r="BS219" s="124"/>
    </row>
    <row r="220" spans="71:71" ht="14.25" customHeight="1">
      <c r="BS220" s="124"/>
    </row>
    <row r="221" spans="71:71" ht="14.25" customHeight="1">
      <c r="BS221" s="124"/>
    </row>
    <row r="222" spans="71:71" ht="14.25" customHeight="1">
      <c r="BS222" s="124"/>
    </row>
    <row r="223" spans="71:71" ht="14.25" customHeight="1">
      <c r="BS223" s="124"/>
    </row>
    <row r="224" spans="71:71" ht="14.25" customHeight="1">
      <c r="BS224" s="124"/>
    </row>
    <row r="225" spans="71:71" ht="14.25" customHeight="1">
      <c r="BS225" s="124"/>
    </row>
    <row r="226" spans="71:71" ht="14.25" customHeight="1">
      <c r="BS226" s="124"/>
    </row>
    <row r="227" spans="71:71" ht="14.25" customHeight="1">
      <c r="BS227" s="124"/>
    </row>
    <row r="228" spans="71:71" ht="14.25" customHeight="1">
      <c r="BS228" s="124"/>
    </row>
    <row r="229" spans="71:71" ht="14.25" customHeight="1">
      <c r="BS229" s="124"/>
    </row>
    <row r="230" spans="71:71" ht="14.25" customHeight="1">
      <c r="BS230" s="124"/>
    </row>
    <row r="231" spans="71:71" ht="14.25" customHeight="1">
      <c r="BS231" s="124"/>
    </row>
    <row r="232" spans="71:71" ht="14.25" customHeight="1">
      <c r="BS232" s="124"/>
    </row>
    <row r="233" spans="71:71" ht="14.25" customHeight="1">
      <c r="BS233" s="124"/>
    </row>
    <row r="234" spans="71:71" ht="14.25" customHeight="1">
      <c r="BS234" s="124"/>
    </row>
    <row r="235" spans="71:71" ht="14.25" customHeight="1">
      <c r="BS235" s="124"/>
    </row>
    <row r="236" spans="71:71" ht="14.25" customHeight="1">
      <c r="BS236" s="124"/>
    </row>
    <row r="237" spans="71:71" ht="14.25" customHeight="1">
      <c r="BS237" s="124"/>
    </row>
    <row r="238" spans="71:71" ht="14.25" customHeight="1">
      <c r="BS238" s="124"/>
    </row>
    <row r="239" spans="71:71" ht="14.25" customHeight="1">
      <c r="BS239" s="124"/>
    </row>
    <row r="240" spans="71:71" ht="14.25" customHeight="1">
      <c r="BS240" s="124"/>
    </row>
    <row r="241" spans="71:71" ht="14.25" customHeight="1">
      <c r="BS241" s="124"/>
    </row>
    <row r="242" spans="71:71" ht="14.25" customHeight="1">
      <c r="BS242" s="124"/>
    </row>
    <row r="243" spans="71:71" ht="14.25" customHeight="1">
      <c r="BS243" s="124"/>
    </row>
    <row r="244" spans="71:71" ht="14.25" customHeight="1">
      <c r="BS244" s="124"/>
    </row>
    <row r="245" spans="71:71" ht="14.25" customHeight="1">
      <c r="BS245" s="124"/>
    </row>
    <row r="246" spans="71:71" ht="14.25" customHeight="1">
      <c r="BS246" s="124"/>
    </row>
    <row r="247" spans="71:71" ht="14.25" customHeight="1">
      <c r="BS247" s="124"/>
    </row>
    <row r="248" spans="71:71" ht="14.25" customHeight="1">
      <c r="BS248" s="124"/>
    </row>
    <row r="249" spans="71:71" ht="14.25" customHeight="1">
      <c r="BS249" s="124"/>
    </row>
    <row r="250" spans="71:71" ht="14.25" customHeight="1">
      <c r="BS250" s="124"/>
    </row>
    <row r="251" spans="71:71" ht="14.25" customHeight="1">
      <c r="BS251" s="124"/>
    </row>
    <row r="252" spans="71:71" ht="14.25" customHeight="1">
      <c r="BS252" s="124"/>
    </row>
    <row r="253" spans="71:71" ht="14.25" customHeight="1">
      <c r="BS253" s="124"/>
    </row>
    <row r="254" spans="71:71" ht="14.25" customHeight="1">
      <c r="BS254" s="124"/>
    </row>
    <row r="255" spans="71:71" ht="14.25" customHeight="1">
      <c r="BS255" s="124"/>
    </row>
    <row r="268" spans="57:74" ht="14.25" customHeight="1">
      <c r="BE268" s="182"/>
      <c r="BF268" s="182"/>
      <c r="BG268" s="182"/>
      <c r="BH268" s="182"/>
      <c r="BI268" s="182"/>
      <c r="BJ268" s="182"/>
      <c r="BK268" s="147"/>
      <c r="BL268" s="147"/>
      <c r="BM268" s="147"/>
      <c r="BN268" s="147"/>
      <c r="BO268" s="147"/>
      <c r="BP268" s="147"/>
      <c r="BQ268" s="147"/>
      <c r="BR268" s="147"/>
      <c r="BS268" s="147"/>
      <c r="BT268" s="182"/>
      <c r="BU268" s="182"/>
      <c r="BV268" s="182"/>
    </row>
    <row r="269" spans="57:74" ht="14.25" customHeight="1">
      <c r="BE269" s="182"/>
      <c r="BF269" s="182"/>
      <c r="BG269" s="182"/>
      <c r="BH269" s="182"/>
      <c r="BI269" s="182"/>
      <c r="BJ269" s="182"/>
      <c r="BK269" s="147"/>
      <c r="BL269" s="147"/>
      <c r="BM269" s="147"/>
      <c r="BN269" s="147"/>
      <c r="BO269" s="147"/>
      <c r="BP269" s="147"/>
      <c r="BQ269" s="147"/>
      <c r="BR269" s="147"/>
      <c r="BS269" s="147"/>
      <c r="BT269" s="182"/>
      <c r="BU269" s="182"/>
      <c r="BV269" s="182"/>
    </row>
    <row r="270" spans="57:74" ht="14.25" customHeight="1">
      <c r="BE270" s="182"/>
      <c r="BF270" s="182"/>
      <c r="BG270" s="182"/>
      <c r="BH270" s="182"/>
      <c r="BI270" s="182"/>
      <c r="BJ270" s="182"/>
      <c r="BK270" s="147"/>
      <c r="BL270" s="147"/>
      <c r="BM270" s="147"/>
      <c r="BN270" s="147"/>
      <c r="BO270" s="147"/>
      <c r="BP270" s="147"/>
      <c r="BQ270" s="147"/>
      <c r="BR270" s="147"/>
      <c r="BS270" s="147"/>
      <c r="BT270" s="182"/>
      <c r="BU270" s="182"/>
      <c r="BV270" s="182"/>
    </row>
    <row r="271" spans="57:74" ht="14.25" customHeight="1">
      <c r="BE271" s="182"/>
      <c r="BF271" s="182"/>
      <c r="BG271" s="182"/>
      <c r="BH271" s="182"/>
      <c r="BI271" s="182"/>
      <c r="BJ271" s="182"/>
      <c r="BK271" s="147"/>
      <c r="BL271" s="147"/>
      <c r="BM271" s="147"/>
      <c r="BN271" s="147"/>
      <c r="BO271" s="147"/>
      <c r="BP271" s="147"/>
      <c r="BQ271" s="147"/>
      <c r="BR271" s="147"/>
      <c r="BS271" s="147"/>
      <c r="BT271" s="182"/>
      <c r="BU271" s="182"/>
      <c r="BV271" s="182"/>
    </row>
    <row r="272" spans="57:74" ht="14.25" customHeight="1">
      <c r="BE272" s="182"/>
      <c r="BF272" s="182"/>
      <c r="BG272" s="182"/>
      <c r="BH272" s="182"/>
      <c r="BI272" s="182"/>
      <c r="BJ272" s="182"/>
      <c r="BK272" s="182"/>
      <c r="BL272" s="182"/>
      <c r="BM272" s="182"/>
      <c r="BN272" s="182"/>
      <c r="BO272" s="182"/>
      <c r="BP272" s="182"/>
      <c r="BQ272" s="182"/>
      <c r="BR272" s="182"/>
      <c r="BS272" s="183"/>
      <c r="BT272" s="182"/>
      <c r="BU272" s="182"/>
      <c r="BV272" s="182"/>
    </row>
    <row r="273" spans="32:74" ht="14.25" customHeight="1">
      <c r="AF273" s="182"/>
      <c r="AG273" s="182"/>
      <c r="AH273" s="182"/>
      <c r="AI273" s="182"/>
      <c r="AJ273" s="182"/>
      <c r="AK273" s="182"/>
      <c r="AL273" s="182"/>
      <c r="AM273" s="182"/>
      <c r="AN273" s="182"/>
      <c r="AO273" s="182"/>
      <c r="AP273" s="182"/>
      <c r="AQ273" s="182"/>
      <c r="AR273" s="182"/>
      <c r="AS273" s="182"/>
      <c r="AT273" s="182"/>
      <c r="AU273" s="182"/>
      <c r="AV273" s="182"/>
      <c r="AW273" s="182"/>
      <c r="AX273" s="182"/>
      <c r="AY273" s="182"/>
      <c r="AZ273" s="182"/>
      <c r="BA273" s="182"/>
      <c r="BB273" s="182"/>
      <c r="BC273" s="182"/>
      <c r="BD273" s="182"/>
      <c r="BE273" s="182"/>
      <c r="BF273" s="182"/>
      <c r="BG273" s="182"/>
      <c r="BH273" s="182"/>
      <c r="BI273" s="182"/>
      <c r="BJ273" s="182"/>
      <c r="BK273" s="182"/>
      <c r="BL273" s="182"/>
      <c r="BM273" s="182"/>
      <c r="BN273" s="182"/>
      <c r="BO273" s="182"/>
      <c r="BP273" s="182"/>
      <c r="BQ273" s="182"/>
      <c r="BR273" s="182"/>
      <c r="BS273" s="183"/>
      <c r="BT273" s="182"/>
      <c r="BU273" s="182"/>
      <c r="BV273" s="182"/>
    </row>
    <row r="274" spans="32:74" ht="14.25" customHeight="1">
      <c r="AF274" s="182"/>
      <c r="AG274" s="182"/>
      <c r="AH274" s="182"/>
      <c r="AI274" s="182"/>
      <c r="AJ274" s="182"/>
      <c r="AK274" s="182"/>
      <c r="AL274" s="182"/>
      <c r="AM274" s="182"/>
      <c r="AN274" s="182"/>
      <c r="AO274" s="182"/>
      <c r="AP274" s="182"/>
      <c r="AQ274" s="182"/>
      <c r="AR274" s="182"/>
      <c r="AS274" s="182"/>
      <c r="AT274" s="182"/>
      <c r="AU274" s="182"/>
      <c r="AV274" s="182"/>
      <c r="AW274" s="182"/>
      <c r="AX274" s="182"/>
      <c r="AY274" s="182"/>
      <c r="AZ274" s="182"/>
      <c r="BA274" s="182"/>
      <c r="BB274" s="182"/>
      <c r="BC274" s="182"/>
      <c r="BD274" s="182"/>
      <c r="BE274" s="182"/>
      <c r="BF274" s="182"/>
      <c r="BG274" s="182"/>
      <c r="BH274" s="182"/>
      <c r="BI274" s="182"/>
      <c r="BJ274" s="182"/>
      <c r="BK274" s="182"/>
      <c r="BL274" s="182"/>
      <c r="BM274" s="182"/>
      <c r="BN274" s="182"/>
      <c r="BO274" s="182"/>
      <c r="BP274" s="182"/>
      <c r="BQ274" s="182"/>
      <c r="BR274" s="182"/>
      <c r="BS274" s="183"/>
      <c r="BT274" s="182"/>
      <c r="BU274" s="182"/>
      <c r="BV274" s="182"/>
    </row>
    <row r="275" spans="32:74" ht="14.25" customHeight="1">
      <c r="AJ275" s="182"/>
      <c r="AK275" s="182"/>
      <c r="AL275" s="182"/>
      <c r="AM275" s="182"/>
      <c r="AN275" s="182"/>
      <c r="AO275" s="182"/>
      <c r="AP275" s="182"/>
      <c r="AQ275" s="182"/>
      <c r="AR275" s="182"/>
      <c r="AS275" s="182"/>
      <c r="AT275" s="182"/>
      <c r="AU275" s="182"/>
      <c r="AV275" s="182"/>
      <c r="AW275" s="182"/>
      <c r="AX275" s="182"/>
      <c r="AY275" s="182"/>
      <c r="AZ275" s="182"/>
      <c r="BA275" s="182"/>
      <c r="BB275" s="182"/>
      <c r="BC275" s="182"/>
      <c r="BD275" s="182"/>
      <c r="BE275" s="182"/>
      <c r="BF275" s="182"/>
      <c r="BG275" s="182"/>
      <c r="BH275" s="182"/>
      <c r="BI275" s="182"/>
      <c r="BJ275" s="182"/>
      <c r="BK275" s="182"/>
      <c r="BL275" s="182"/>
      <c r="BM275" s="182"/>
      <c r="BN275" s="182"/>
      <c r="BO275" s="182"/>
      <c r="BP275" s="182"/>
      <c r="BQ275" s="182"/>
      <c r="BR275" s="182"/>
      <c r="BS275" s="183"/>
      <c r="BT275" s="182"/>
      <c r="BU275" s="182"/>
      <c r="BV275" s="182"/>
    </row>
    <row r="276" spans="32:74" ht="14.25" customHeight="1">
      <c r="AJ276" s="182"/>
      <c r="AK276" s="182"/>
      <c r="AL276" s="182"/>
      <c r="AM276" s="182"/>
      <c r="AN276" s="182"/>
      <c r="AO276" s="182"/>
      <c r="AP276" s="182"/>
      <c r="AQ276" s="182"/>
      <c r="AR276" s="182"/>
      <c r="AS276" s="182"/>
      <c r="AT276" s="182"/>
      <c r="AU276" s="182"/>
      <c r="AV276" s="182"/>
      <c r="AW276" s="182"/>
      <c r="AX276" s="182"/>
      <c r="AY276" s="182"/>
      <c r="AZ276" s="182"/>
      <c r="BA276" s="182"/>
      <c r="BB276" s="182"/>
      <c r="BC276" s="182"/>
      <c r="BD276" s="182"/>
      <c r="BE276" s="182"/>
      <c r="BF276" s="182"/>
      <c r="BG276" s="182"/>
      <c r="BH276" s="182"/>
      <c r="BI276" s="182"/>
      <c r="BJ276" s="182"/>
      <c r="BK276" s="182"/>
      <c r="BL276" s="182"/>
      <c r="BM276" s="182"/>
      <c r="BN276" s="182"/>
      <c r="BO276" s="182"/>
      <c r="BP276" s="182"/>
      <c r="BQ276" s="182"/>
      <c r="BR276" s="182"/>
      <c r="BS276" s="183"/>
      <c r="BT276" s="182"/>
      <c r="BU276" s="182"/>
      <c r="BV276" s="182"/>
    </row>
    <row r="277" spans="32:74" ht="14.25" customHeight="1">
      <c r="BE277" s="182"/>
      <c r="BF277" s="182"/>
      <c r="BG277" s="182"/>
      <c r="BH277" s="182"/>
      <c r="BI277" s="182"/>
      <c r="BJ277" s="182"/>
      <c r="BK277" s="182"/>
      <c r="BL277" s="182"/>
      <c r="BM277" s="182"/>
      <c r="BN277" s="182"/>
      <c r="BO277" s="182"/>
      <c r="BP277" s="182"/>
      <c r="BQ277" s="182"/>
      <c r="BR277" s="182"/>
      <c r="BS277" s="183"/>
      <c r="BT277" s="182"/>
      <c r="BU277" s="182"/>
      <c r="BV277" s="182"/>
    </row>
  </sheetData>
  <mergeCells count="74">
    <mergeCell ref="AT152:AU152"/>
    <mergeCell ref="AD116:AD130"/>
    <mergeCell ref="AE116:AE117"/>
    <mergeCell ref="AE118:AE119"/>
    <mergeCell ref="AE120:AE125"/>
    <mergeCell ref="AE126:AE127"/>
    <mergeCell ref="AE128:AE130"/>
    <mergeCell ref="AD131:AD132"/>
    <mergeCell ref="AE131:AE132"/>
    <mergeCell ref="AD133:AD140"/>
    <mergeCell ref="AP145:AP146"/>
    <mergeCell ref="AT145:AV145"/>
    <mergeCell ref="AD103:AD115"/>
    <mergeCell ref="AE103:AE104"/>
    <mergeCell ref="AE105:AE106"/>
    <mergeCell ref="AE107:AE108"/>
    <mergeCell ref="AE109:AE110"/>
    <mergeCell ref="AE111:AE112"/>
    <mergeCell ref="AE113:AE115"/>
    <mergeCell ref="L92:N92"/>
    <mergeCell ref="O92:Y92"/>
    <mergeCell ref="A95:B95"/>
    <mergeCell ref="A96:B96"/>
    <mergeCell ref="A97:B98"/>
    <mergeCell ref="F92:G92"/>
    <mergeCell ref="H92:J92"/>
    <mergeCell ref="A99:B99"/>
    <mergeCell ref="B89:C89"/>
    <mergeCell ref="B90:C90"/>
    <mergeCell ref="A92:B93"/>
    <mergeCell ref="C92:D92"/>
    <mergeCell ref="B88:C88"/>
    <mergeCell ref="Q73:W73"/>
    <mergeCell ref="Q74:Q75"/>
    <mergeCell ref="A75:A79"/>
    <mergeCell ref="F78:G78"/>
    <mergeCell ref="F79:F80"/>
    <mergeCell ref="A80:A81"/>
    <mergeCell ref="F81:F82"/>
    <mergeCell ref="N73:O73"/>
    <mergeCell ref="A84:A85"/>
    <mergeCell ref="B84:C84"/>
    <mergeCell ref="B85:C85"/>
    <mergeCell ref="B86:C86"/>
    <mergeCell ref="B87:C87"/>
    <mergeCell ref="M17:T17"/>
    <mergeCell ref="W17:Y17"/>
    <mergeCell ref="A19:C19"/>
    <mergeCell ref="A20:C20"/>
    <mergeCell ref="A73:B73"/>
    <mergeCell ref="F73:G73"/>
    <mergeCell ref="L73:M73"/>
    <mergeCell ref="A18:C18"/>
    <mergeCell ref="D18:E18"/>
    <mergeCell ref="K18:L18"/>
    <mergeCell ref="D7:E7"/>
    <mergeCell ref="D8:E8"/>
    <mergeCell ref="K15:L15"/>
    <mergeCell ref="A17:G17"/>
    <mergeCell ref="I17:L17"/>
    <mergeCell ref="N8:O8"/>
    <mergeCell ref="D9:E9"/>
    <mergeCell ref="N9:O13"/>
    <mergeCell ref="D10:E10"/>
    <mergeCell ref="D11:E11"/>
    <mergeCell ref="D12:E12"/>
    <mergeCell ref="D13:E13"/>
    <mergeCell ref="A1:C1"/>
    <mergeCell ref="D4:E4"/>
    <mergeCell ref="K4:L4"/>
    <mergeCell ref="N4:O6"/>
    <mergeCell ref="D5:E5"/>
    <mergeCell ref="K5:L5"/>
    <mergeCell ref="D6:E6"/>
  </mergeCells>
  <conditionalFormatting sqref="C82">
    <cfRule type="cellIs" dxfId="33" priority="27" stopIfTrue="1" operator="notBetween">
      <formula>0.49</formula>
      <formula>-0.49</formula>
    </cfRule>
  </conditionalFormatting>
  <conditionalFormatting sqref="G72 N21:S69 I21 I24 I27 I30 I33 I36:I69 H21:H69 K21:L69">
    <cfRule type="cellIs" dxfId="32" priority="26" stopIfTrue="1" operator="equal">
      <formula>0</formula>
    </cfRule>
  </conditionalFormatting>
  <conditionalFormatting sqref="L33:L69">
    <cfRule type="cellIs" dxfId="31" priority="25" stopIfTrue="1" operator="greaterThan">
      <formula>#REF!</formula>
    </cfRule>
  </conditionalFormatting>
  <conditionalFormatting sqref="W21:Y69">
    <cfRule type="cellIs" dxfId="30" priority="24" stopIfTrue="1" operator="equal">
      <formula>0</formula>
    </cfRule>
  </conditionalFormatting>
  <conditionalFormatting sqref="Z69:AC69 AC25:AC68 Z21:AB68">
    <cfRule type="cellIs" dxfId="29" priority="23" stopIfTrue="1" operator="equal">
      <formula>0</formula>
    </cfRule>
  </conditionalFormatting>
  <conditionalFormatting sqref="M21:M69">
    <cfRule type="cellIs" dxfId="28" priority="22" stopIfTrue="1" operator="equal">
      <formula>0</formula>
    </cfRule>
  </conditionalFormatting>
  <conditionalFormatting sqref="T21:T69">
    <cfRule type="cellIs" dxfId="27" priority="21" stopIfTrue="1" operator="equal">
      <formula>0</formula>
    </cfRule>
  </conditionalFormatting>
  <conditionalFormatting sqref="U21:V69">
    <cfRule type="expression" dxfId="26" priority="28" stopIfTrue="1">
      <formula>$D$15&gt;0</formula>
    </cfRule>
  </conditionalFormatting>
  <conditionalFormatting sqref="H95">
    <cfRule type="colorScale" priority="29">
      <colorScale>
        <cfvo type="num" val="0"/>
        <cfvo type="formula" val="$H$97*$AR$149"/>
        <cfvo type="formula" val="$H$97"/>
        <color rgb="FF63BE7B"/>
        <color rgb="FFFFEB84"/>
        <color rgb="FFF8696B"/>
      </colorScale>
    </cfRule>
  </conditionalFormatting>
  <conditionalFormatting sqref="J95">
    <cfRule type="colorScale" priority="30">
      <colorScale>
        <cfvo type="num" val="0"/>
        <cfvo type="formula" val="$J$97*$AR$149"/>
        <cfvo type="formula" val="$J$97"/>
        <color rgb="FF63BE7B"/>
        <color rgb="FFFFEB84"/>
        <color rgb="FFF8696B"/>
      </colorScale>
    </cfRule>
  </conditionalFormatting>
  <conditionalFormatting sqref="K95">
    <cfRule type="colorScale" priority="31">
      <colorScale>
        <cfvo type="num" val="0"/>
        <cfvo type="formula" val="$K$97*$AR$149"/>
        <cfvo type="formula" val="$K$97"/>
        <color rgb="FF63BE7B"/>
        <color rgb="FFFFEB84"/>
        <color rgb="FFF8696B"/>
      </colorScale>
    </cfRule>
  </conditionalFormatting>
  <conditionalFormatting sqref="L95">
    <cfRule type="colorScale" priority="32">
      <colorScale>
        <cfvo type="num" val="0"/>
        <cfvo type="formula" val="$L$97*$AR$149"/>
        <cfvo type="formula" val="$L$97"/>
        <color rgb="FF63BE7B"/>
        <color rgb="FFFFEB84"/>
        <color rgb="FFF8696B"/>
      </colorScale>
    </cfRule>
  </conditionalFormatting>
  <conditionalFormatting sqref="M95">
    <cfRule type="colorScale" priority="33">
      <colorScale>
        <cfvo type="num" val="0"/>
        <cfvo type="formula" val="$M$97*$AR$149"/>
        <cfvo type="formula" val="$M$97"/>
        <color rgb="FF63BE7B"/>
        <color rgb="FFFFEB84"/>
        <color rgb="FFF8696B"/>
      </colorScale>
    </cfRule>
  </conditionalFormatting>
  <conditionalFormatting sqref="N95">
    <cfRule type="colorScale" priority="34">
      <colorScale>
        <cfvo type="num" val="0"/>
        <cfvo type="formula" val="$N$95*$AR$149"/>
        <cfvo type="formula" val="$N$97"/>
        <color rgb="FF63BE7B"/>
        <color rgb="FFFFEB84"/>
        <color rgb="FFF8696B"/>
      </colorScale>
    </cfRule>
  </conditionalFormatting>
  <conditionalFormatting sqref="I95">
    <cfRule type="colorScale" priority="35">
      <colorScale>
        <cfvo type="formula" val="$I$97"/>
        <cfvo type="formula" val="$I$97+$I$97*(1-$AR$149)"/>
        <cfvo type="num" val="1.2"/>
        <color rgb="FFF8696B"/>
        <color rgb="FFFFEB84"/>
        <color rgb="FF63BE7B"/>
      </colorScale>
    </cfRule>
  </conditionalFormatting>
  <conditionalFormatting sqref="I22">
    <cfRule type="cellIs" dxfId="25" priority="20" stopIfTrue="1" operator="equal">
      <formula>0</formula>
    </cfRule>
  </conditionalFormatting>
  <conditionalFormatting sqref="J22">
    <cfRule type="cellIs" dxfId="24" priority="19" stopIfTrue="1" operator="equal">
      <formula>0</formula>
    </cfRule>
  </conditionalFormatting>
  <conditionalFormatting sqref="I23">
    <cfRule type="cellIs" dxfId="23" priority="18" stopIfTrue="1" operator="equal">
      <formula>0</formula>
    </cfRule>
  </conditionalFormatting>
  <conditionalFormatting sqref="J23">
    <cfRule type="cellIs" dxfId="22" priority="17" stopIfTrue="1" operator="equal">
      <formula>0</formula>
    </cfRule>
  </conditionalFormatting>
  <conditionalFormatting sqref="I25">
    <cfRule type="cellIs" dxfId="21" priority="16" stopIfTrue="1" operator="equal">
      <formula>0</formula>
    </cfRule>
  </conditionalFormatting>
  <conditionalFormatting sqref="J25">
    <cfRule type="cellIs" dxfId="20" priority="15" stopIfTrue="1" operator="equal">
      <formula>0</formula>
    </cfRule>
  </conditionalFormatting>
  <conditionalFormatting sqref="I26">
    <cfRule type="cellIs" dxfId="19" priority="14" stopIfTrue="1" operator="equal">
      <formula>0</formula>
    </cfRule>
  </conditionalFormatting>
  <conditionalFormatting sqref="J26">
    <cfRule type="cellIs" dxfId="18" priority="13" stopIfTrue="1" operator="equal">
      <formula>0</formula>
    </cfRule>
  </conditionalFormatting>
  <conditionalFormatting sqref="I28">
    <cfRule type="cellIs" dxfId="17" priority="12" stopIfTrue="1" operator="equal">
      <formula>0</formula>
    </cfRule>
  </conditionalFormatting>
  <conditionalFormatting sqref="J28">
    <cfRule type="cellIs" dxfId="16" priority="11" stopIfTrue="1" operator="equal">
      <formula>0</formula>
    </cfRule>
  </conditionalFormatting>
  <conditionalFormatting sqref="I29">
    <cfRule type="cellIs" dxfId="15" priority="10" stopIfTrue="1" operator="equal">
      <formula>0</formula>
    </cfRule>
  </conditionalFormatting>
  <conditionalFormatting sqref="J29">
    <cfRule type="cellIs" dxfId="14" priority="9" stopIfTrue="1" operator="equal">
      <formula>0</formula>
    </cfRule>
  </conditionalFormatting>
  <conditionalFormatting sqref="I31">
    <cfRule type="cellIs" dxfId="13" priority="8" stopIfTrue="1" operator="equal">
      <formula>0</formula>
    </cfRule>
  </conditionalFormatting>
  <conditionalFormatting sqref="J31">
    <cfRule type="cellIs" dxfId="12" priority="7" stopIfTrue="1" operator="equal">
      <formula>0</formula>
    </cfRule>
  </conditionalFormatting>
  <conditionalFormatting sqref="I32">
    <cfRule type="cellIs" dxfId="11" priority="6" stopIfTrue="1" operator="equal">
      <formula>0</formula>
    </cfRule>
  </conditionalFormatting>
  <conditionalFormatting sqref="J32">
    <cfRule type="cellIs" dxfId="10" priority="5" stopIfTrue="1" operator="equal">
      <formula>0</formula>
    </cfRule>
  </conditionalFormatting>
  <conditionalFormatting sqref="I34">
    <cfRule type="cellIs" dxfId="9" priority="4" stopIfTrue="1" operator="equal">
      <formula>0</formula>
    </cfRule>
  </conditionalFormatting>
  <conditionalFormatting sqref="J34">
    <cfRule type="cellIs" dxfId="8" priority="3" stopIfTrue="1" operator="equal">
      <formula>0</formula>
    </cfRule>
  </conditionalFormatting>
  <conditionalFormatting sqref="I35">
    <cfRule type="cellIs" dxfId="7" priority="2" stopIfTrue="1" operator="equal">
      <formula>0</formula>
    </cfRule>
  </conditionalFormatting>
  <conditionalFormatting sqref="J35">
    <cfRule type="cellIs" dxfId="6" priority="1" stopIfTrue="1" operator="equal">
      <formula>0</formula>
    </cfRule>
  </conditionalFormatting>
  <conditionalFormatting sqref="G5:L5">
    <cfRule type="expression" dxfId="5" priority="36" stopIfTrue="1">
      <formula>$AF$151&lt;&gt;1</formula>
    </cfRule>
  </conditionalFormatting>
  <conditionalFormatting sqref="C95">
    <cfRule type="colorScale" priority="37">
      <colorScale>
        <cfvo type="num" val="0"/>
        <cfvo type="formula" val="$C$97*$AR$149"/>
        <cfvo type="formula" val="$C$97"/>
        <color rgb="FF63BE7B"/>
        <color rgb="FFFFEB84"/>
        <color rgb="FFF8696B"/>
      </colorScale>
    </cfRule>
  </conditionalFormatting>
  <conditionalFormatting sqref="D95">
    <cfRule type="colorScale" priority="38">
      <colorScale>
        <cfvo type="num" val="0"/>
        <cfvo type="formula" val="$D$97*$AR$149"/>
        <cfvo type="formula" val="$D$97"/>
        <color rgb="FF63BE7B"/>
        <color rgb="FFFFEB84"/>
        <color rgb="FFF8696B"/>
      </colorScale>
    </cfRule>
  </conditionalFormatting>
  <conditionalFormatting sqref="E95">
    <cfRule type="colorScale" priority="39">
      <colorScale>
        <cfvo type="num" val="0"/>
        <cfvo type="formula" val="$E$97*$AR$149"/>
        <cfvo type="formula" val="$E$97"/>
        <color rgb="FF63BE7B"/>
        <color rgb="FFFFEB84"/>
        <color rgb="FFF8696B"/>
      </colorScale>
    </cfRule>
  </conditionalFormatting>
  <conditionalFormatting sqref="F95">
    <cfRule type="colorScale" priority="40">
      <colorScale>
        <cfvo type="num" val="0"/>
        <cfvo type="formula" val="$F$97*$AR$149"/>
        <cfvo type="formula" val="$F$97"/>
        <color rgb="FF63BE7B"/>
        <color rgb="FFFFEB84"/>
        <color rgb="FFF8696B"/>
      </colorScale>
    </cfRule>
  </conditionalFormatting>
  <conditionalFormatting sqref="G95">
    <cfRule type="colorScale" priority="41">
      <colorScale>
        <cfvo type="num" val="0"/>
        <cfvo type="formula" val="$G$97*$AR$149"/>
        <cfvo type="formula" val="$G$97"/>
        <color rgb="FF63BE7B"/>
        <color rgb="FFFFEB84"/>
        <color rgb="FFF8696B"/>
      </colorScale>
    </cfRule>
  </conditionalFormatting>
  <conditionalFormatting sqref="F21:F69">
    <cfRule type="expression" dxfId="4" priority="42" stopIfTrue="1">
      <formula>AND(OR($F21=$AG$146,$F21=$AG$148),OR($G21=$AD$154,$G21=$AD$155))</formula>
    </cfRule>
    <cfRule type="expression" dxfId="3" priority="43" stopIfTrue="1">
      <formula>AND(OR($F21=$AG$146,$F21=$AG$147,$F21=$AG$148,$F21=$AG$149),$G21=$AD$155)</formula>
    </cfRule>
    <cfRule type="expression" dxfId="2" priority="44" stopIfTrue="1">
      <formula>AND($AF$151=2,$F21=$AG$150,$G21=$AD$153)</formula>
    </cfRule>
  </conditionalFormatting>
  <dataValidations count="7">
    <dataValidation type="list" allowBlank="1" showInputMessage="1" showErrorMessage="1" sqref="G21:G69">
      <formula1>$AD$146:$AD$157</formula1>
    </dataValidation>
    <dataValidation type="list" allowBlank="1" showInputMessage="1" showErrorMessage="1" sqref="F21:F69">
      <formula1>$AG$146:$AG$150</formula1>
    </dataValidation>
    <dataValidation type="list" allowBlank="1" showInputMessage="1" showErrorMessage="1" sqref="H74">
      <formula1>$AM$146:$AM$147</formula1>
    </dataValidation>
    <dataValidation type="list" allowBlank="1" showInputMessage="1" showErrorMessage="1" sqref="D13">
      <formula1>$AK$146:$AK$148</formula1>
    </dataValidation>
    <dataValidation type="decimal" operator="greaterThan" allowBlank="1" showInputMessage="1" showErrorMessage="1" errorTitle="Invalid NCV" error="For water-based fuels where NCV could be &lt;=0, please enter 0.001 to avoid division by 0. Based on the moisture content, FMO calculates and uses corrected NCV for water-based fuels." sqref="M21:M69">
      <formula1>0</formula1>
    </dataValidation>
    <dataValidation type="list" allowBlank="1" showInputMessage="1" showErrorMessage="1" sqref="B86:C90">
      <formula1>$AE$146:$AE$154</formula1>
    </dataValidation>
    <dataValidation type="list" allowBlank="1" showInputMessage="1" showErrorMessage="1" sqref="C98:Y98">
      <formula1>$AL$146:$AL$148</formula1>
    </dataValidation>
  </dataValidations>
  <hyperlinks>
    <hyperlink ref="G4" location="Help!KilnSystem" display="Kiln system"/>
    <hyperlink ref="F18:F19" location="Help!D201" display="Firing"/>
    <hyperlink ref="G18" location="Help!FuelCategory" display="Category"/>
    <hyperlink ref="F18" location="Help!FiringLocation" display="Firing"/>
    <hyperlink ref="F19" location="Help!FiringLocation" display="location"/>
    <hyperlink ref="B74" location="Guidelines!StandardFuel" display="std. fuel"/>
    <hyperlink ref="A97:B98" location="Guidelines!GuideValue_PQ" display="HTEC guide value"/>
    <hyperlink ref="Q77" location="Help!TEE" display="TEE, %"/>
    <hyperlink ref="Q78" location="Help!TSR" display="TSR, %"/>
    <hyperlink ref="F75" location="HotMealExtraction" display="Hot meal extraction rate, %"/>
    <hyperlink ref="B77" location="ClRemoval" display="from BP+HME"/>
    <hyperlink ref="F76" location="KilnGasBypass" display="Kiln gas bypass, %"/>
    <hyperlink ref="A14" location="CalenderDays" display="CalenderDays"/>
    <hyperlink ref="Q74" location="SACTE" display="SACTE"/>
    <hyperlink ref="Q76" location="Help!ACTE" display="ACTE"/>
    <hyperlink ref="G5" location="Help!CalcineType" display="Calciner type"/>
    <hyperlink ref="A92:B93" location="Help!ProcessQuality_Constraints" display="Process and quality constraints"/>
    <hyperlink ref="B78" location="Help!False_air_impact" display="false air"/>
    <hyperlink ref="A84:A85" location="Help!False_air_impact" display="Impact from false air"/>
    <hyperlink ref="F78:G78" location="Help!Oxygen_correction" display="Oxygen correction"/>
    <hyperlink ref="Q80" location="Help!SPC" display="support process costs"/>
    <hyperlink ref="Q81" location="Help!Operational_GAV" display="Help!Operational_GAV"/>
    <hyperlink ref="Q83" location="Help!Operational_GAV" display="Help!Operational_GAV"/>
  </hyperlinks>
  <printOptions horizontalCentered="1" verticalCentered="1"/>
  <pageMargins left="0" right="0" top="0" bottom="0" header="0" footer="0"/>
  <pageSetup paperSize="9" scale="68" orientation="landscape"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0"/>
  <sheetViews>
    <sheetView showGridLines="0" zoomScaleNormal="100" workbookViewId="0">
      <selection activeCell="G5" sqref="G5:I6"/>
    </sheetView>
  </sheetViews>
  <sheetFormatPr defaultRowHeight="15.95" customHeight="1"/>
  <cols>
    <col min="1" max="1" width="11.85546875" style="68" customWidth="1"/>
    <col min="2" max="4" width="10.7109375" style="68" customWidth="1"/>
    <col min="5" max="5" width="12.85546875" style="69" bestFit="1" customWidth="1"/>
    <col min="6" max="7" width="13.7109375" style="67" customWidth="1"/>
    <col min="8" max="89" width="13.7109375" style="68" customWidth="1"/>
    <col min="90" max="16384" width="9.140625" style="68"/>
  </cols>
  <sheetData>
    <row r="1" spans="1:9" ht="26.25" customHeight="1">
      <c r="A1" s="912" t="s">
        <v>354</v>
      </c>
      <c r="B1" s="912"/>
      <c r="C1" s="912"/>
      <c r="D1" s="380" t="s">
        <v>663</v>
      </c>
      <c r="E1" s="381"/>
      <c r="F1" s="572"/>
    </row>
    <row r="2" spans="1:9" ht="15" customHeight="1">
      <c r="A2" s="911" t="str">
        <f ca="1">"File: "&amp;MID(CELL("filename"),SEARCH("[",CELL("filename"))+1, SEARCH("]",CELL("filename"))-SEARCH("[",CELL("filename"))-1)</f>
        <v>File: FMO Case Study Solution.xlsx</v>
      </c>
      <c r="B2" s="911"/>
      <c r="C2" s="911"/>
      <c r="D2" s="911"/>
      <c r="E2" s="911"/>
      <c r="F2" s="567"/>
      <c r="G2" s="567"/>
    </row>
    <row r="3" spans="1:9" ht="15" customHeight="1">
      <c r="E3" s="105"/>
      <c r="F3" s="567"/>
      <c r="G3" s="567"/>
    </row>
    <row r="4" spans="1:9" ht="15" customHeight="1">
      <c r="A4" s="591" t="s">
        <v>94</v>
      </c>
      <c r="B4" s="915" t="str">
        <f>Baseline!D4&amp;" - Kiln "&amp;Baseline!D5</f>
        <v>GEOCEM - Kiln 1</v>
      </c>
      <c r="C4" s="916"/>
      <c r="D4" s="917"/>
      <c r="F4" s="292" t="s">
        <v>339</v>
      </c>
      <c r="G4" s="401" t="s">
        <v>827</v>
      </c>
      <c r="H4" s="401" t="s">
        <v>827</v>
      </c>
      <c r="I4" s="401" t="s">
        <v>827</v>
      </c>
    </row>
    <row r="5" spans="1:9" ht="15" customHeight="1">
      <c r="A5" s="591" t="s">
        <v>95</v>
      </c>
      <c r="B5" s="915" t="str">
        <f>Baseline!D6</f>
        <v>PPE</v>
      </c>
      <c r="C5" s="916"/>
      <c r="D5" s="917"/>
      <c r="F5" s="913" t="s">
        <v>339</v>
      </c>
      <c r="G5" s="907" t="s">
        <v>13</v>
      </c>
      <c r="H5" s="907" t="s">
        <v>874</v>
      </c>
      <c r="I5" s="907" t="s">
        <v>876</v>
      </c>
    </row>
    <row r="6" spans="1:9" ht="15" customHeight="1">
      <c r="A6" s="591" t="s">
        <v>350</v>
      </c>
      <c r="B6" s="915" t="str">
        <f>Baseline!D7</f>
        <v>Process Engineer</v>
      </c>
      <c r="C6" s="916"/>
      <c r="D6" s="917"/>
      <c r="F6" s="914"/>
      <c r="G6" s="908"/>
      <c r="H6" s="908"/>
      <c r="I6" s="908"/>
    </row>
    <row r="7" spans="1:9" ht="15" customHeight="1">
      <c r="A7" s="592" t="s">
        <v>69</v>
      </c>
      <c r="B7" s="918">
        <f>Baseline!D8</f>
        <v>42332</v>
      </c>
      <c r="C7" s="919"/>
      <c r="D7" s="920"/>
      <c r="E7" s="105"/>
      <c r="F7" s="909" t="str">
        <f t="shared" ref="F7:I7" ca="1" si="0">INDIRECT("'"&amp;F$5&amp;"'!"&amp;"REF")</f>
        <v>ATR 2014</v>
      </c>
      <c r="G7" s="909" t="str">
        <f t="shared" ca="1" si="0"/>
        <v>MTP 2015</v>
      </c>
      <c r="H7" s="909" t="str">
        <f t="shared" ca="1" si="0"/>
        <v>MTP 2015</v>
      </c>
      <c r="I7" s="909" t="str">
        <f t="shared" ca="1" si="0"/>
        <v>MTP 2015</v>
      </c>
    </row>
    <row r="8" spans="1:9" ht="15" customHeight="1">
      <c r="A8" s="592" t="s">
        <v>70</v>
      </c>
      <c r="B8" s="915">
        <f>Baseline!D9</f>
        <v>0</v>
      </c>
      <c r="C8" s="916"/>
      <c r="D8" s="917"/>
      <c r="F8" s="910"/>
      <c r="G8" s="910"/>
      <c r="H8" s="910"/>
      <c r="I8" s="910"/>
    </row>
    <row r="9" spans="1:9" ht="5.0999999999999996" customHeight="1">
      <c r="H9" s="67"/>
      <c r="I9" s="67"/>
    </row>
    <row r="10" spans="1:9" ht="15" customHeight="1">
      <c r="A10" s="883" t="s">
        <v>101</v>
      </c>
      <c r="B10" s="99" t="s">
        <v>405</v>
      </c>
      <c r="C10" s="99"/>
      <c r="D10" s="99"/>
      <c r="E10" s="70" t="str">
        <f>"t/"&amp;Baseline!$D$13</f>
        <v>t/year</v>
      </c>
      <c r="F10" s="71">
        <f t="shared" ref="F10:I10" ca="1" si="1">INDIRECT("'"&amp;F$5&amp;"'!"&amp;"CLI")</f>
        <v>1396535.625</v>
      </c>
      <c r="G10" s="71">
        <f t="shared" ca="1" si="1"/>
        <v>1396535.625</v>
      </c>
      <c r="H10" s="71">
        <f t="shared" ca="1" si="1"/>
        <v>1396535.625</v>
      </c>
      <c r="I10" s="71">
        <f t="shared" ca="1" si="1"/>
        <v>1396535.625</v>
      </c>
    </row>
    <row r="11" spans="1:9" ht="15" customHeight="1">
      <c r="A11" s="885"/>
      <c r="B11" s="583" t="s">
        <v>691</v>
      </c>
      <c r="C11" s="583"/>
      <c r="D11" s="583"/>
      <c r="E11" s="581" t="str">
        <f>"t/"&amp;Baseline!$D$13</f>
        <v>t/year</v>
      </c>
      <c r="F11" s="582">
        <v>0</v>
      </c>
      <c r="G11" s="582">
        <f t="shared" ref="G11:I11" ca="1" si="2">INDIRECT("'"&amp;G$5&amp;"'!"&amp;"CLIloss")</f>
        <v>0</v>
      </c>
      <c r="H11" s="582">
        <f t="shared" ca="1" si="2"/>
        <v>0</v>
      </c>
      <c r="I11" s="582">
        <f t="shared" ca="1" si="2"/>
        <v>0</v>
      </c>
    </row>
    <row r="12" spans="1:9" ht="5.0999999999999996" customHeight="1">
      <c r="A12" s="82"/>
      <c r="B12" s="324"/>
      <c r="C12" s="324"/>
      <c r="D12" s="324"/>
      <c r="E12" s="324"/>
      <c r="F12" s="104"/>
      <c r="G12" s="104"/>
      <c r="H12" s="104"/>
      <c r="I12" s="104"/>
    </row>
    <row r="13" spans="1:9" ht="15" customHeight="1">
      <c r="A13" s="874" t="s">
        <v>388</v>
      </c>
      <c r="B13" s="894" t="s">
        <v>406</v>
      </c>
      <c r="C13" s="894"/>
      <c r="D13" s="324"/>
      <c r="E13" s="103" t="s">
        <v>358</v>
      </c>
      <c r="F13" s="71">
        <f t="shared" ref="F13:I13" ca="1" si="3">INDIRECT("'"&amp;F$5&amp;"'!"&amp;"STECsf")</f>
        <v>3296.3211127374148</v>
      </c>
      <c r="G13" s="71">
        <f t="shared" ca="1" si="3"/>
        <v>3296.3211127374148</v>
      </c>
      <c r="H13" s="71">
        <f t="shared" ca="1" si="3"/>
        <v>3296.3211127374148</v>
      </c>
      <c r="I13" s="71">
        <f t="shared" ca="1" si="3"/>
        <v>3296.3211127374148</v>
      </c>
    </row>
    <row r="14" spans="1:9" ht="15" customHeight="1">
      <c r="A14" s="875"/>
      <c r="B14" s="899" t="s">
        <v>824</v>
      </c>
      <c r="C14" s="900"/>
      <c r="D14" s="82" t="s">
        <v>754</v>
      </c>
      <c r="E14" s="70" t="s">
        <v>358</v>
      </c>
      <c r="F14" s="77">
        <f t="shared" ref="F14:I14" ca="1" si="4">INDIRECT("'"&amp;F$5&amp;"'!"&amp;"AHtf")</f>
        <v>3.678887262585409</v>
      </c>
      <c r="G14" s="77">
        <f t="shared" ca="1" si="4"/>
        <v>1.5046238741883826</v>
      </c>
      <c r="H14" s="77">
        <f t="shared" ca="1" si="4"/>
        <v>-7.129941872218712</v>
      </c>
      <c r="I14" s="77">
        <f t="shared" ca="1" si="4"/>
        <v>-9.0438411803890677</v>
      </c>
    </row>
    <row r="15" spans="1:9" ht="15" customHeight="1">
      <c r="A15" s="875"/>
      <c r="B15" s="901"/>
      <c r="C15" s="902"/>
      <c r="D15" s="82" t="s">
        <v>755</v>
      </c>
      <c r="E15" s="70" t="s">
        <v>358</v>
      </c>
      <c r="F15" s="77">
        <f t="shared" ref="F15:I15" ca="1" si="5">INDIRECT("'"&amp;F$5&amp;"'!"&amp;"AHaf")</f>
        <v>0</v>
      </c>
      <c r="G15" s="77">
        <f t="shared" ca="1" si="5"/>
        <v>41.778382846481271</v>
      </c>
      <c r="H15" s="77">
        <f t="shared" ca="1" si="5"/>
        <v>136.84860377846266</v>
      </c>
      <c r="I15" s="77">
        <f t="shared" ca="1" si="5"/>
        <v>158.29462658761435</v>
      </c>
    </row>
    <row r="16" spans="1:9" ht="15" customHeight="1">
      <c r="A16" s="875"/>
      <c r="B16" s="901"/>
      <c r="C16" s="902"/>
      <c r="D16" s="99" t="s">
        <v>844</v>
      </c>
      <c r="E16" s="70" t="s">
        <v>358</v>
      </c>
      <c r="F16" s="77">
        <f t="shared" ref="F16:I16" ca="1" si="6">INDIRECT("'"&amp;F$5&amp;"'!"&amp;"AHbp")+INDIRECT("'"&amp;F$5&amp;"'!"&amp;"AHfa")+INDIRECT("'"&amp;F$5&amp;"'!"&amp;"AHadj")</f>
        <v>0</v>
      </c>
      <c r="G16" s="77">
        <f t="shared" ca="1" si="6"/>
        <v>0</v>
      </c>
      <c r="H16" s="77">
        <f t="shared" ca="1" si="6"/>
        <v>0</v>
      </c>
      <c r="I16" s="77">
        <f t="shared" ca="1" si="6"/>
        <v>0</v>
      </c>
    </row>
    <row r="17" spans="1:9" ht="15" customHeight="1">
      <c r="A17" s="875"/>
      <c r="B17" s="903" t="s">
        <v>803</v>
      </c>
      <c r="C17" s="904"/>
      <c r="D17" s="904"/>
      <c r="E17" s="581" t="s">
        <v>358</v>
      </c>
      <c r="F17" s="582">
        <f t="shared" ref="F17:I17" ca="1" si="7">INDIRECT("'"&amp;F$5&amp;"'!"&amp;"STEC")</f>
        <v>3299.9920786123876</v>
      </c>
      <c r="G17" s="582">
        <f t="shared" ca="1" si="7"/>
        <v>3339.6041194580607</v>
      </c>
      <c r="H17" s="582">
        <f t="shared" ca="1" si="7"/>
        <v>3426.0397741696129</v>
      </c>
      <c r="I17" s="582">
        <f t="shared" ca="1" si="7"/>
        <v>3445.5718981446289</v>
      </c>
    </row>
    <row r="18" spans="1:9" ht="15" customHeight="1">
      <c r="A18" s="876"/>
      <c r="B18" s="905"/>
      <c r="C18" s="906"/>
      <c r="D18" s="906"/>
      <c r="E18" s="581" t="s">
        <v>839</v>
      </c>
      <c r="F18" s="582">
        <f ca="1">F17/4.1868</f>
        <v>788.18956687980983</v>
      </c>
      <c r="G18" s="582">
        <f t="shared" ref="G18:H18" ca="1" si="8">G17/4.1868</f>
        <v>797.6507402928396</v>
      </c>
      <c r="H18" s="582">
        <f t="shared" ca="1" si="8"/>
        <v>818.29554174300495</v>
      </c>
      <c r="I18" s="582">
        <f t="shared" ref="I18" ca="1" si="9">I17/4.1868</f>
        <v>822.96070940685706</v>
      </c>
    </row>
    <row r="19" spans="1:9" ht="5.0999999999999996" customHeight="1">
      <c r="A19" s="105"/>
      <c r="H19" s="67"/>
      <c r="I19" s="67"/>
    </row>
    <row r="20" spans="1:9" ht="15" customHeight="1">
      <c r="A20" s="883" t="s">
        <v>278</v>
      </c>
      <c r="B20" s="886" t="s">
        <v>351</v>
      </c>
      <c r="C20" s="887"/>
      <c r="D20" s="82"/>
      <c r="E20" s="70" t="str">
        <f>Baseline!LocCur&amp;"/"&amp;Baseline!$D$13</f>
        <v>USD/year</v>
      </c>
      <c r="F20" s="71">
        <f ca="1">INDIRECT("'"&amp;F$5&amp;"'!"&amp;"NCB")+INDIRECT("'"&amp;F$5&amp;"'!"&amp;"SPC")</f>
        <v>0</v>
      </c>
      <c r="G20" s="71">
        <f ca="1">INDIRECT("'"&amp;G$5&amp;"'!"&amp;"NCB")+INDIRECT("'"&amp;G$5&amp;"'!"&amp;"SPC")</f>
        <v>-930000</v>
      </c>
      <c r="H20" s="71">
        <f ca="1">INDIRECT("'"&amp;H$5&amp;"'!"&amp;"NCB")+INDIRECT("'"&amp;H$5&amp;"'!"&amp;"SPC")</f>
        <v>-3277304.3101790338</v>
      </c>
      <c r="I20" s="71">
        <f ca="1">INDIRECT("'"&amp;I$5&amp;"'!"&amp;"NCB")+INDIRECT("'"&amp;I$5&amp;"'!"&amp;"SPC")</f>
        <v>-3681071.3002963853</v>
      </c>
    </row>
    <row r="21" spans="1:9" ht="15" customHeight="1">
      <c r="A21" s="884"/>
      <c r="B21" s="82" t="s">
        <v>352</v>
      </c>
      <c r="C21" s="82"/>
      <c r="D21" s="82"/>
      <c r="E21" s="70" t="str">
        <f>Baseline!LocCur&amp;"/"&amp;Baseline!$D$13</f>
        <v>USD/year</v>
      </c>
      <c r="F21" s="71">
        <f t="shared" ref="F21:I21" ca="1" si="10">INDIRECT("'"&amp;F$5&amp;"'!"&amp;"SB")</f>
        <v>0</v>
      </c>
      <c r="G21" s="71">
        <f t="shared" ca="1" si="10"/>
        <v>2430551.1836191402</v>
      </c>
      <c r="H21" s="71">
        <f t="shared" ca="1" si="10"/>
        <v>11656643.340861864</v>
      </c>
      <c r="I21" s="71">
        <f t="shared" ca="1" si="10"/>
        <v>13759595.355440948</v>
      </c>
    </row>
    <row r="22" spans="1:9" ht="15" customHeight="1">
      <c r="A22" s="884"/>
      <c r="B22" s="82" t="s">
        <v>838</v>
      </c>
      <c r="C22" s="82"/>
      <c r="D22" s="82"/>
      <c r="E22" s="70" t="str">
        <f>Baseline!LocCur&amp;"/"&amp;Baseline!$D$13</f>
        <v>USD/year</v>
      </c>
      <c r="F22" s="71">
        <f t="shared" ref="F22:I22" ca="1" si="11">INDIRECT("'"&amp;F$5&amp;"'!"&amp;"CO2C")</f>
        <v>0</v>
      </c>
      <c r="G22" s="71">
        <f t="shared" ca="1" si="11"/>
        <v>0</v>
      </c>
      <c r="H22" s="71">
        <f t="shared" ca="1" si="11"/>
        <v>0</v>
      </c>
      <c r="I22" s="71">
        <f t="shared" ca="1" si="11"/>
        <v>0</v>
      </c>
    </row>
    <row r="23" spans="1:9" ht="15" customHeight="1">
      <c r="A23" s="884"/>
      <c r="B23" s="573" t="str">
        <f>Baseline!LocCur&amp;":"&amp;Baseline!IntCur&amp;" exchange rate"</f>
        <v>USD:CHF exchange rate</v>
      </c>
      <c r="C23" s="82"/>
      <c r="D23" s="82"/>
      <c r="E23" s="70" t="s">
        <v>51</v>
      </c>
      <c r="F23" s="555">
        <f ca="1">INDIRECT("'"&amp;F$5&amp;"'!"&amp;"Xrate")</f>
        <v>1.05</v>
      </c>
      <c r="G23" s="555">
        <f ca="1">INDIRECT("'"&amp;G$5&amp;"'!"&amp;"Xrate")</f>
        <v>1.05</v>
      </c>
      <c r="H23" s="555">
        <f ca="1">INDIRECT("'"&amp;H$5&amp;"'!"&amp;"Xrate")</f>
        <v>1.05</v>
      </c>
      <c r="I23" s="555">
        <f ca="1">INDIRECT("'"&amp;I$5&amp;"'!"&amp;"Xrate")</f>
        <v>1.05</v>
      </c>
    </row>
    <row r="24" spans="1:9" ht="15" customHeight="1">
      <c r="A24" s="884"/>
      <c r="B24" s="895" t="s">
        <v>278</v>
      </c>
      <c r="C24" s="896"/>
      <c r="D24" s="585" t="s">
        <v>845</v>
      </c>
      <c r="E24" s="581" t="str">
        <f>Baseline!LocCur&amp;"/"&amp;Baseline!$D$13</f>
        <v>USD/year</v>
      </c>
      <c r="F24" s="582">
        <f t="shared" ref="F24:G24" ca="1" si="12">SUM(F20:F22)</f>
        <v>0</v>
      </c>
      <c r="G24" s="582">
        <f t="shared" ca="1" si="12"/>
        <v>1500551.1836191402</v>
      </c>
      <c r="H24" s="582">
        <f t="shared" ref="H24:I24" ca="1" si="13">SUM(H20:H22)</f>
        <v>8379339.0306828301</v>
      </c>
      <c r="I24" s="582">
        <f t="shared" ca="1" si="13"/>
        <v>10078524.055144563</v>
      </c>
    </row>
    <row r="25" spans="1:9" ht="15" customHeight="1">
      <c r="A25" s="885"/>
      <c r="B25" s="897"/>
      <c r="C25" s="898"/>
      <c r="D25" s="590" t="s">
        <v>846</v>
      </c>
      <c r="E25" s="581" t="str">
        <f>"mio "&amp;Baseline!IntCur&amp;"/"&amp;Baseline!$D$13</f>
        <v>mio CHF/year</v>
      </c>
      <c r="F25" s="584">
        <f ca="1">IF(F23=0,0,F24/F23/1000000)</f>
        <v>0</v>
      </c>
      <c r="G25" s="584">
        <f ca="1">IF(G23=0,0,G24/G23/1000000)</f>
        <v>1.4290963653515618</v>
      </c>
      <c r="H25" s="584">
        <f ca="1">IF(H23=0,0,H24/H23/1000000)</f>
        <v>7.9803228863645996</v>
      </c>
      <c r="I25" s="584">
        <f ca="1">IF(I23=0,0,I24/I23/1000000)</f>
        <v>9.5985943382329175</v>
      </c>
    </row>
    <row r="26" spans="1:9" ht="5.0999999999999996" customHeight="1">
      <c r="A26" s="82"/>
      <c r="B26" s="73"/>
      <c r="C26" s="73"/>
      <c r="D26" s="73"/>
      <c r="E26" s="82"/>
      <c r="F26" s="74"/>
      <c r="G26" s="74"/>
      <c r="H26" s="74"/>
      <c r="I26" s="74"/>
    </row>
    <row r="27" spans="1:9" ht="15" customHeight="1">
      <c r="A27" s="883" t="s">
        <v>389</v>
      </c>
      <c r="B27" s="574"/>
      <c r="C27" s="575"/>
      <c r="D27" s="887" t="s">
        <v>132</v>
      </c>
      <c r="E27" s="70" t="str">
        <f>Baseline!LocCur&amp;"/GJ"</f>
        <v>USD/GJ</v>
      </c>
      <c r="F27" s="77">
        <f t="shared" ref="F27:I27" ca="1" si="14">INDIRECT("'"&amp;F$5&amp;"'!"&amp;"TTECpG")</f>
        <v>5.5134604512280578</v>
      </c>
      <c r="G27" s="77">
        <f t="shared" ca="1" si="14"/>
        <v>5.5227247980439449</v>
      </c>
      <c r="H27" s="77">
        <f t="shared" ca="1" si="14"/>
        <v>5.5854983372300646</v>
      </c>
      <c r="I27" s="77">
        <f t="shared" ca="1" si="14"/>
        <v>5.6104085066414022</v>
      </c>
    </row>
    <row r="28" spans="1:9" ht="15" customHeight="1">
      <c r="A28" s="884"/>
      <c r="B28" s="576"/>
      <c r="C28" s="577"/>
      <c r="D28" s="893"/>
      <c r="E28" s="70" t="str">
        <f>Baseline!IntCur&amp;"/GJ"</f>
        <v>CHF/GJ</v>
      </c>
      <c r="F28" s="77">
        <f ca="1">IF(F$23=0,0,F27/F$23)</f>
        <v>5.2509147154552931</v>
      </c>
      <c r="G28" s="77">
        <f ca="1">IF(G$23=0,0,G27/G$23)</f>
        <v>5.259737902898995</v>
      </c>
      <c r="H28" s="77">
        <f ca="1">IF(H$23=0,0,H27/H$23)</f>
        <v>5.3195222259333947</v>
      </c>
      <c r="I28" s="77">
        <f ca="1">IF(I$23=0,0,I27/I$23)</f>
        <v>5.3432461968013349</v>
      </c>
    </row>
    <row r="29" spans="1:9" ht="15" customHeight="1">
      <c r="A29" s="884"/>
      <c r="B29" s="576"/>
      <c r="C29" s="577"/>
      <c r="D29" s="893"/>
      <c r="E29" s="70" t="str">
        <f>Baseline!LocCur&amp;"/"&amp;Baseline!D13</f>
        <v>USD/year</v>
      </c>
      <c r="F29" s="71">
        <f t="shared" ref="F29:I29" ca="1" si="15">INDIRECT("'"&amp;F$5&amp;"'!"&amp;"TTECpY")</f>
        <v>25409094.000000004</v>
      </c>
      <c r="G29" s="71">
        <f t="shared" ca="1" si="15"/>
        <v>23326753.153660838</v>
      </c>
      <c r="H29" s="71">
        <f t="shared" ca="1" si="15"/>
        <v>15067657.142661596</v>
      </c>
      <c r="I29" s="71">
        <f t="shared" ca="1" si="15"/>
        <v>13236926.825807979</v>
      </c>
    </row>
    <row r="30" spans="1:9" ht="15" customHeight="1">
      <c r="A30" s="884"/>
      <c r="B30" s="578"/>
      <c r="C30" s="577"/>
      <c r="D30" s="889"/>
      <c r="E30" s="70" t="str">
        <f>"mio "&amp;Baseline!IntCur&amp;"/"&amp;Baseline!$D$13</f>
        <v>mio CHF/year</v>
      </c>
      <c r="F30" s="77">
        <f ca="1">IF(F$23=0,0,F29/F$23/1000000)</f>
        <v>24.199137142857147</v>
      </c>
      <c r="G30" s="77">
        <f ca="1">IF(G$23=0,0,G29/G$23/1000000)</f>
        <v>22.215955384438892</v>
      </c>
      <c r="H30" s="77">
        <f ca="1">IF(H$23=0,0,H29/H$23/1000000)</f>
        <v>14.35014965967771</v>
      </c>
      <c r="I30" s="77">
        <f ca="1">IF(I$23=0,0,I29/I$23/1000000)</f>
        <v>12.606596976959979</v>
      </c>
    </row>
    <row r="31" spans="1:9" ht="15" customHeight="1">
      <c r="A31" s="884"/>
      <c r="B31" s="379" t="s">
        <v>689</v>
      </c>
      <c r="C31" s="577"/>
      <c r="D31" s="887" t="s">
        <v>130</v>
      </c>
      <c r="E31" s="70" t="str">
        <f>Baseline!LocCur&amp;"/GJ"</f>
        <v>USD/GJ</v>
      </c>
      <c r="F31" s="77">
        <f t="shared" ref="F31:I31" ca="1" si="16">INDIRECT("'"&amp;F$5&amp;"'!"&amp;"ATECpG")</f>
        <v>0</v>
      </c>
      <c r="G31" s="77">
        <f t="shared" ca="1" si="16"/>
        <v>0.97705067030220405</v>
      </c>
      <c r="H31" s="77">
        <f t="shared" ca="1" si="16"/>
        <v>1.330797224627096</v>
      </c>
      <c r="I31" s="77">
        <f t="shared" ca="1" si="16"/>
        <v>1.2970664487134351</v>
      </c>
    </row>
    <row r="32" spans="1:9" ht="15" customHeight="1">
      <c r="A32" s="884"/>
      <c r="B32" s="379"/>
      <c r="C32" s="577"/>
      <c r="D32" s="893"/>
      <c r="E32" s="70" t="str">
        <f>Baseline!IntCur&amp;"/GJ"</f>
        <v>CHF/GJ</v>
      </c>
      <c r="F32" s="77">
        <f ca="1">IF(F$23=0,0,F31/F$23)</f>
        <v>0</v>
      </c>
      <c r="G32" s="77">
        <f ca="1">IF(G$23=0,0,G31/G$23)</f>
        <v>0.93052444790686095</v>
      </c>
      <c r="H32" s="77">
        <f ca="1">IF(H$23=0,0,H31/H$23)</f>
        <v>1.2674259282162819</v>
      </c>
      <c r="I32" s="77">
        <f ca="1">IF(I$23=0,0,I31/I$23)</f>
        <v>1.2353013797270811</v>
      </c>
    </row>
    <row r="33" spans="1:9" ht="15" customHeight="1">
      <c r="A33" s="884"/>
      <c r="B33" s="579" t="s">
        <v>760</v>
      </c>
      <c r="C33" s="577"/>
      <c r="D33" s="893"/>
      <c r="E33" s="70" t="str">
        <f>Baseline!LocCur&amp;"/"&amp;Baseline!D13</f>
        <v>USD/year</v>
      </c>
      <c r="F33" s="71">
        <f t="shared" ref="F33:G33" ca="1" si="17">F37-F29</f>
        <v>0</v>
      </c>
      <c r="G33" s="71">
        <f t="shared" ca="1" si="17"/>
        <v>430000.00000000373</v>
      </c>
      <c r="H33" s="71">
        <f t="shared" ref="H33:I33" ca="1" si="18">H37-H29</f>
        <v>2777304.3101790268</v>
      </c>
      <c r="I33" s="71">
        <f t="shared" ca="1" si="18"/>
        <v>3181071.3002963867</v>
      </c>
    </row>
    <row r="34" spans="1:9" ht="15" customHeight="1">
      <c r="A34" s="884"/>
      <c r="B34" s="578" t="s">
        <v>722</v>
      </c>
      <c r="C34" s="577"/>
      <c r="D34" s="889"/>
      <c r="E34" s="70" t="str">
        <f>"mio "&amp;Baseline!IntCur&amp;"/"&amp;Baseline!$D$13</f>
        <v>mio CHF/year</v>
      </c>
      <c r="F34" s="77">
        <f ca="1">IF(F$23=0,0,F33/F$23/1000000)</f>
        <v>0</v>
      </c>
      <c r="G34" s="77">
        <f ca="1">IF(G$23=0,0,G33/G$23/1000000)</f>
        <v>0.40952380952381306</v>
      </c>
      <c r="H34" s="77">
        <f ca="1">IF(H$23=0,0,H33/H$23/1000000)</f>
        <v>2.6450517239800253</v>
      </c>
      <c r="I34" s="77">
        <f ca="1">IF(I$23=0,0,I33/I$23/1000000)</f>
        <v>3.0295917145679874</v>
      </c>
    </row>
    <row r="35" spans="1:9" ht="15" customHeight="1">
      <c r="A35" s="884"/>
      <c r="B35" s="578"/>
      <c r="C35" s="577"/>
      <c r="D35" s="887" t="s">
        <v>60</v>
      </c>
      <c r="E35" s="70" t="str">
        <f>Baseline!LocCur&amp;"/GJ"</f>
        <v>USD/GJ</v>
      </c>
      <c r="F35" s="77">
        <f t="shared" ref="F35:I35" ca="1" si="19">INDIRECT("'"&amp;F$5&amp;"'!"&amp;"TECpG")</f>
        <v>5.5134604512280578</v>
      </c>
      <c r="G35" s="77">
        <f t="shared" ca="1" si="19"/>
        <v>5.0937787605683349</v>
      </c>
      <c r="H35" s="77">
        <f t="shared" ca="1" si="19"/>
        <v>3.7296767630729213</v>
      </c>
      <c r="I35" s="77">
        <f t="shared" ca="1" si="19"/>
        <v>3.4119830595326412</v>
      </c>
    </row>
    <row r="36" spans="1:9" ht="15" customHeight="1">
      <c r="A36" s="884"/>
      <c r="B36" s="578"/>
      <c r="C36" s="577"/>
      <c r="D36" s="893"/>
      <c r="E36" s="70" t="str">
        <f>Baseline!IntCur&amp;"/GJ"</f>
        <v>CHF/GJ</v>
      </c>
      <c r="F36" s="77">
        <f ca="1">IF(F$23=0,0,F35/F$23)</f>
        <v>5.2509147154552931</v>
      </c>
      <c r="G36" s="77">
        <f ca="1">IF(G$23=0,0,G35/G$23)</f>
        <v>4.8512178672079376</v>
      </c>
      <c r="H36" s="77">
        <f ca="1">IF(H$23=0,0,H35/H$23)</f>
        <v>3.5520731076884964</v>
      </c>
      <c r="I36" s="77">
        <f ca="1">IF(I$23=0,0,I35/I$23)</f>
        <v>3.2495076757453725</v>
      </c>
    </row>
    <row r="37" spans="1:9" ht="15" customHeight="1">
      <c r="A37" s="884"/>
      <c r="B37" s="578"/>
      <c r="C37" s="577"/>
      <c r="D37" s="893"/>
      <c r="E37" s="70" t="str">
        <f>Baseline!LocCur&amp;"/"&amp;Baseline!D13</f>
        <v>USD/year</v>
      </c>
      <c r="F37" s="71">
        <f t="shared" ref="F37:I37" ca="1" si="20">INDIRECT("'"&amp;F$5&amp;"'!"&amp;"TECpY")</f>
        <v>25409094</v>
      </c>
      <c r="G37" s="71">
        <f t="shared" ca="1" si="20"/>
        <v>23756753.153660841</v>
      </c>
      <c r="H37" s="71">
        <f t="shared" ca="1" si="20"/>
        <v>17844961.452840623</v>
      </c>
      <c r="I37" s="71">
        <f t="shared" ca="1" si="20"/>
        <v>16417998.126104366</v>
      </c>
    </row>
    <row r="38" spans="1:9" ht="15" customHeight="1">
      <c r="A38" s="884"/>
      <c r="B38" s="580"/>
      <c r="C38" s="371"/>
      <c r="D38" s="889"/>
      <c r="E38" s="70" t="str">
        <f>"mio "&amp;Baseline!IntCur&amp;"/"&amp;Baseline!$D$13</f>
        <v>mio CHF/year</v>
      </c>
      <c r="F38" s="77">
        <f ca="1">IF(F$23=0,0,F37/F$23/1000000)</f>
        <v>24.199137142857143</v>
      </c>
      <c r="G38" s="77">
        <f ca="1">IF(G$23=0,0,G37/G$23/1000000)</f>
        <v>22.625479193962704</v>
      </c>
      <c r="H38" s="77">
        <f ca="1">IF(H$23=0,0,H37/H$23/1000000)</f>
        <v>16.995201383657736</v>
      </c>
      <c r="I38" s="77">
        <f ca="1">IF(I$23=0,0,I37/I$23/1000000)</f>
        <v>15.636188691527966</v>
      </c>
    </row>
    <row r="39" spans="1:9" ht="15" customHeight="1">
      <c r="A39" s="884"/>
      <c r="B39" s="556" t="s">
        <v>267</v>
      </c>
      <c r="C39" s="556"/>
      <c r="D39" s="556"/>
      <c r="E39" s="557" t="s">
        <v>3</v>
      </c>
      <c r="F39" s="558">
        <f t="shared" ref="F39:I39" ca="1" si="21">INDIRECT("'"&amp;F$5&amp;"'!"&amp;"TEE")</f>
        <v>0</v>
      </c>
      <c r="G39" s="558">
        <f t="shared" ca="1" si="21"/>
        <v>7.7669276156497098</v>
      </c>
      <c r="H39" s="558">
        <f t="shared" ca="1" si="21"/>
        <v>33.225711693210769</v>
      </c>
      <c r="I39" s="558">
        <f t="shared" ca="1" si="21"/>
        <v>39.184766038094075</v>
      </c>
    </row>
    <row r="40" spans="1:9" ht="15" customHeight="1">
      <c r="A40" s="884"/>
      <c r="B40" s="585" t="s">
        <v>266</v>
      </c>
      <c r="C40" s="585"/>
      <c r="D40" s="585"/>
      <c r="E40" s="581" t="s">
        <v>3</v>
      </c>
      <c r="F40" s="584">
        <f t="shared" ref="F40:I40" ca="1" si="22">INDIRECT("'"&amp;F$5&amp;"'!"&amp;"TSR")</f>
        <v>0</v>
      </c>
      <c r="G40" s="584">
        <f t="shared" ca="1" si="22"/>
        <v>9.4363569719571458</v>
      </c>
      <c r="H40" s="584">
        <f t="shared" ca="1" si="22"/>
        <v>43.61814202788441</v>
      </c>
      <c r="I40" s="584">
        <f t="shared" ca="1" si="22"/>
        <v>50.96802937453181</v>
      </c>
    </row>
    <row r="41" spans="1:9" ht="15" customHeight="1">
      <c r="A41" s="885"/>
      <c r="B41" s="75" t="s">
        <v>353</v>
      </c>
      <c r="C41" s="75"/>
      <c r="D41" s="75"/>
      <c r="E41" s="70" t="s">
        <v>51</v>
      </c>
      <c r="F41" s="76">
        <f t="shared" ref="F41:G41" ca="1" si="23">IF(F40=0,0,F39/F40)</f>
        <v>0</v>
      </c>
      <c r="G41" s="76">
        <f t="shared" ca="1" si="23"/>
        <v>0.82308539606241826</v>
      </c>
      <c r="H41" s="76">
        <f t="shared" ref="H41:I41" ca="1" si="24">IF(H40=0,0,H39/H40)</f>
        <v>0.76174064617355963</v>
      </c>
      <c r="I41" s="76">
        <f t="shared" ca="1" si="24"/>
        <v>0.76881069405587599</v>
      </c>
    </row>
    <row r="42" spans="1:9" ht="5.0999999999999996" customHeight="1">
      <c r="A42" s="105"/>
      <c r="F42" s="72"/>
      <c r="G42" s="72"/>
      <c r="H42" s="72"/>
      <c r="I42" s="72"/>
    </row>
    <row r="43" spans="1:9" ht="15" customHeight="1">
      <c r="A43" s="874" t="s">
        <v>390</v>
      </c>
      <c r="B43" s="886" t="s">
        <v>491</v>
      </c>
      <c r="C43" s="887"/>
      <c r="D43" s="82" t="s">
        <v>821</v>
      </c>
      <c r="E43" s="70" t="s">
        <v>22</v>
      </c>
      <c r="F43" s="77">
        <f t="shared" ref="F43:I43" ca="1" si="25">INDIRECT("'"&amp;F$5&amp;"'!"&amp;"SolidPasty5")</f>
        <v>0</v>
      </c>
      <c r="G43" s="77">
        <f t="shared" ca="1" si="25"/>
        <v>0</v>
      </c>
      <c r="H43" s="77">
        <f t="shared" ca="1" si="25"/>
        <v>0</v>
      </c>
      <c r="I43" s="77">
        <f t="shared" ca="1" si="25"/>
        <v>0</v>
      </c>
    </row>
    <row r="44" spans="1:9" ht="15" customHeight="1">
      <c r="A44" s="875"/>
      <c r="B44" s="888"/>
      <c r="C44" s="889"/>
      <c r="D44" s="82" t="s">
        <v>822</v>
      </c>
      <c r="E44" s="70" t="s">
        <v>22</v>
      </c>
      <c r="F44" s="77">
        <f t="shared" ref="F44:I44" ca="1" si="26">INDIRECT("'"&amp;F$5&amp;"'!"&amp;"SolidPasty50")</f>
        <v>0</v>
      </c>
      <c r="G44" s="77">
        <f t="shared" ca="1" si="26"/>
        <v>0</v>
      </c>
      <c r="H44" s="77">
        <f t="shared" ca="1" si="26"/>
        <v>34.226958011719248</v>
      </c>
      <c r="I44" s="77">
        <f t="shared" ca="1" si="26"/>
        <v>40.994468306089701</v>
      </c>
    </row>
    <row r="45" spans="1:9" ht="15" customHeight="1">
      <c r="A45" s="875"/>
      <c r="B45" s="890" t="s">
        <v>541</v>
      </c>
      <c r="C45" s="891"/>
      <c r="D45" s="82"/>
      <c r="E45" s="70" t="s">
        <v>22</v>
      </c>
      <c r="F45" s="77">
        <f t="shared" ref="F45:I45" ca="1" si="27">INDIRECT("'"&amp;F$5&amp;"'!"&amp;"LumpsSF")</f>
        <v>0</v>
      </c>
      <c r="G45" s="77">
        <f t="shared" ca="1" si="27"/>
        <v>0</v>
      </c>
      <c r="H45" s="77">
        <f t="shared" ca="1" si="27"/>
        <v>5.0000000397106579</v>
      </c>
      <c r="I45" s="77">
        <f t="shared" ca="1" si="27"/>
        <v>4.9999999999632214</v>
      </c>
    </row>
    <row r="46" spans="1:9" ht="15" customHeight="1">
      <c r="A46" s="875"/>
      <c r="B46" s="886" t="s">
        <v>261</v>
      </c>
      <c r="C46" s="887"/>
      <c r="D46" s="82" t="s">
        <v>262</v>
      </c>
      <c r="E46" s="70" t="s">
        <v>26</v>
      </c>
      <c r="F46" s="77">
        <f t="shared" ref="F46:I46" ca="1" si="28">INDIRECT("'"&amp;F$5&amp;"'!"&amp;"ASHc")</f>
        <v>0</v>
      </c>
      <c r="G46" s="77">
        <f t="shared" ca="1" si="28"/>
        <v>0</v>
      </c>
      <c r="H46" s="77">
        <f t="shared" ca="1" si="28"/>
        <v>0.14107222711563353</v>
      </c>
      <c r="I46" s="77">
        <f t="shared" ca="1" si="28"/>
        <v>0.14187648992255877</v>
      </c>
    </row>
    <row r="47" spans="1:9" ht="15" customHeight="1">
      <c r="A47" s="875"/>
      <c r="B47" s="888"/>
      <c r="C47" s="889"/>
      <c r="D47" s="82" t="s">
        <v>60</v>
      </c>
      <c r="E47" s="70" t="s">
        <v>26</v>
      </c>
      <c r="F47" s="77">
        <f t="shared" ref="F47:I47" ca="1" si="29">INDIRECT("'"&amp;F$5&amp;"'!"&amp;"ASHt")</f>
        <v>2.0434910137004203</v>
      </c>
      <c r="G47" s="77">
        <f t="shared" ca="1" si="29"/>
        <v>1.9243169519832615</v>
      </c>
      <c r="H47" s="77">
        <f t="shared" ca="1" si="29"/>
        <v>2.1337751963495029</v>
      </c>
      <c r="I47" s="77">
        <f t="shared" ca="1" si="29"/>
        <v>2.2118049171999705</v>
      </c>
    </row>
    <row r="48" spans="1:9" ht="15" customHeight="1">
      <c r="A48" s="875"/>
      <c r="B48" s="886" t="s">
        <v>101</v>
      </c>
      <c r="C48" s="887"/>
      <c r="D48" s="82" t="s">
        <v>23</v>
      </c>
      <c r="E48" s="70" t="s">
        <v>3</v>
      </c>
      <c r="F48" s="76">
        <f t="shared" ref="F48:I48" ca="1" si="30">INDIRECT("'"&amp;F$5&amp;"'!"&amp;"CLIso3")</f>
        <v>0.81</v>
      </c>
      <c r="G48" s="76">
        <f t="shared" ca="1" si="30"/>
        <v>0.79553476969040315</v>
      </c>
      <c r="H48" s="76">
        <f t="shared" ca="1" si="30"/>
        <v>0.78375850949981984</v>
      </c>
      <c r="I48" s="76">
        <f t="shared" ca="1" si="30"/>
        <v>0.77362411209301563</v>
      </c>
    </row>
    <row r="49" spans="1:9" ht="15" customHeight="1">
      <c r="A49" s="875"/>
      <c r="B49" s="892"/>
      <c r="C49" s="893"/>
      <c r="D49" s="82" t="s">
        <v>340</v>
      </c>
      <c r="E49" s="70" t="s">
        <v>51</v>
      </c>
      <c r="F49" s="76">
        <f t="shared" ref="F49:I49" ca="1" si="31">INDIRECT("'"&amp;F$5&amp;"'!"&amp;"CLIasratio")</f>
        <v>1.0862841793978835</v>
      </c>
      <c r="G49" s="76">
        <f t="shared" ca="1" si="31"/>
        <v>1.1015056962140788</v>
      </c>
      <c r="H49" s="76">
        <f t="shared" ca="1" si="31"/>
        <v>1.1497116914770684</v>
      </c>
      <c r="I49" s="76">
        <f t="shared" ca="1" si="31"/>
        <v>1.1709039660532585</v>
      </c>
    </row>
    <row r="50" spans="1:9" ht="15" customHeight="1">
      <c r="A50" s="875"/>
      <c r="B50" s="888"/>
      <c r="C50" s="889"/>
      <c r="D50" s="82" t="s">
        <v>330</v>
      </c>
      <c r="E50" s="70" t="s">
        <v>3</v>
      </c>
      <c r="F50" s="76">
        <f t="shared" ref="F50:I50" ca="1" si="32">INDIRECT("'"&amp;F$5&amp;"'!"&amp;"CLIna2o")</f>
        <v>0.68086000000000002</v>
      </c>
      <c r="G50" s="76">
        <f t="shared" ca="1" si="32"/>
        <v>0.67807039116791257</v>
      </c>
      <c r="H50" s="76">
        <f t="shared" ca="1" si="32"/>
        <v>0.69727964831065392</v>
      </c>
      <c r="I50" s="76">
        <f t="shared" ca="1" si="32"/>
        <v>0.70095497691100173</v>
      </c>
    </row>
    <row r="51" spans="1:9" ht="15" customHeight="1">
      <c r="A51" s="875"/>
      <c r="B51" s="879" t="s">
        <v>823</v>
      </c>
      <c r="C51" s="880"/>
      <c r="D51" s="573"/>
      <c r="E51" s="557" t="s">
        <v>221</v>
      </c>
      <c r="F51" s="559">
        <f t="shared" ref="F51:I51" ca="1" si="33">INDIRECT("'"&amp;F$5&amp;"'!"&amp;"Cl")</f>
        <v>75.543637671255254</v>
      </c>
      <c r="G51" s="559">
        <f t="shared" ca="1" si="33"/>
        <v>187.9518798279496</v>
      </c>
      <c r="H51" s="559">
        <f t="shared" ca="1" si="33"/>
        <v>299.99999987867034</v>
      </c>
      <c r="I51" s="559">
        <f t="shared" ca="1" si="33"/>
        <v>400.00000000000011</v>
      </c>
    </row>
    <row r="52" spans="1:9" ht="15" customHeight="1">
      <c r="A52" s="875"/>
      <c r="B52" s="886" t="s">
        <v>109</v>
      </c>
      <c r="C52" s="887"/>
      <c r="D52" s="82" t="s">
        <v>6</v>
      </c>
      <c r="E52" s="70" t="s">
        <v>3</v>
      </c>
      <c r="F52" s="77">
        <f t="shared" ref="F52:I52" ca="1" si="34">INDIRECT("'"&amp;F$5&amp;"'!"&amp;"BZh2o")</f>
        <v>6.0085255612437383E-2</v>
      </c>
      <c r="G52" s="77">
        <f t="shared" ca="1" si="34"/>
        <v>0.47563919468456645</v>
      </c>
      <c r="H52" s="77">
        <f t="shared" ca="1" si="34"/>
        <v>0.30600208057383177</v>
      </c>
      <c r="I52" s="77">
        <f t="shared" ca="1" si="34"/>
        <v>0.32812847275024631</v>
      </c>
    </row>
    <row r="53" spans="1:9" ht="15" customHeight="1">
      <c r="A53" s="875"/>
      <c r="B53" s="892"/>
      <c r="C53" s="893"/>
      <c r="D53" s="82" t="s">
        <v>8</v>
      </c>
      <c r="E53" s="70" t="s">
        <v>26</v>
      </c>
      <c r="F53" s="77">
        <f t="shared" ref="F53:I53" ca="1" si="35">INDIRECT("'"&amp;F$5&amp;"'!"&amp;"BZash")</f>
        <v>0.80113674149916514</v>
      </c>
      <c r="G53" s="77">
        <f t="shared" ca="1" si="35"/>
        <v>0.65635828920877204</v>
      </c>
      <c r="H53" s="77">
        <f t="shared" ca="1" si="35"/>
        <v>0.75274658647276083</v>
      </c>
      <c r="I53" s="77">
        <f t="shared" ca="1" si="35"/>
        <v>0.74815897538715381</v>
      </c>
    </row>
    <row r="54" spans="1:9" ht="15" customHeight="1">
      <c r="A54" s="876"/>
      <c r="B54" s="888"/>
      <c r="C54" s="889"/>
      <c r="D54" s="99" t="s">
        <v>12</v>
      </c>
      <c r="E54" s="70" t="s">
        <v>312</v>
      </c>
      <c r="F54" s="77">
        <f t="shared" ref="F54:I54" ca="1" si="36">INDIRECT("'"&amp;F$5&amp;"'!"&amp;"BZncv")</f>
        <v>25.80871111360009</v>
      </c>
      <c r="G54" s="77">
        <f t="shared" ca="1" si="36"/>
        <v>24.861000934343387</v>
      </c>
      <c r="H54" s="77">
        <f t="shared" ca="1" si="36"/>
        <v>25.19783682384622</v>
      </c>
      <c r="I54" s="77">
        <f t="shared" ca="1" si="36"/>
        <v>25.158502431675394</v>
      </c>
    </row>
    <row r="55" spans="1:9" ht="15" customHeight="1">
      <c r="F55" s="72"/>
      <c r="G55" s="72"/>
      <c r="H55" s="72"/>
      <c r="I55" s="72"/>
    </row>
    <row r="56" spans="1:9" ht="15" customHeight="1">
      <c r="A56" s="874" t="s">
        <v>848</v>
      </c>
      <c r="B56" s="877" t="s">
        <v>849</v>
      </c>
      <c r="C56" s="878"/>
      <c r="D56" s="573"/>
      <c r="E56" s="557" t="s">
        <v>847</v>
      </c>
      <c r="F56" s="71">
        <f ca="1">INDIRECT("'"&amp;F$5&amp;"'!"&amp;"TotTF")</f>
        <v>179863</v>
      </c>
      <c r="G56" s="71">
        <f ca="1">INDIRECT("'"&amp;G$5&amp;"'!"&amp;"TotTF")</f>
        <v>164773.57357725245</v>
      </c>
      <c r="H56" s="71">
        <f ca="1">INDIRECT("'"&amp;H$5&amp;"'!"&amp;"TotTF")</f>
        <v>104925.05175841734</v>
      </c>
      <c r="I56" s="71">
        <f ca="1">INDIRECT("'"&amp;I$5&amp;"'!"&amp;"TotTF")</f>
        <v>91658.890042086816</v>
      </c>
    </row>
    <row r="57" spans="1:9" ht="15" customHeight="1">
      <c r="A57" s="875"/>
      <c r="B57" s="879" t="s">
        <v>850</v>
      </c>
      <c r="C57" s="880"/>
      <c r="D57" s="573"/>
      <c r="E57" s="557" t="s">
        <v>847</v>
      </c>
      <c r="F57" s="71">
        <f ca="1">INDIRECT("'"&amp;F$5&amp;"'!"&amp;"TotAF")</f>
        <v>0</v>
      </c>
      <c r="G57" s="71">
        <f ca="1">INDIRECT("'"&amp;G$5&amp;"'!"&amp;"TotAF")</f>
        <v>30000</v>
      </c>
      <c r="H57" s="71">
        <f ca="1">INDIRECT("'"&amp;H$5&amp;"'!"&amp;"TotAF")</f>
        <v>128610.96959038431</v>
      </c>
      <c r="I57" s="71">
        <f ca="1">INDIRECT("'"&amp;I$5&amp;"'!"&amp;"TotAF")</f>
        <v>150929.55715291959</v>
      </c>
    </row>
    <row r="58" spans="1:9" ht="15" customHeight="1">
      <c r="A58" s="876"/>
      <c r="B58" s="881" t="s">
        <v>851</v>
      </c>
      <c r="C58" s="882"/>
      <c r="D58" s="589"/>
      <c r="E58" s="557" t="s">
        <v>847</v>
      </c>
      <c r="F58" s="559">
        <f ca="1">F56+F57</f>
        <v>179863</v>
      </c>
      <c r="G58" s="559">
        <f ca="1">G56+G57</f>
        <v>194773.57357725245</v>
      </c>
      <c r="H58" s="559">
        <f ca="1">H56+H57</f>
        <v>233536.02134880165</v>
      </c>
      <c r="I58" s="559">
        <f ca="1">I56+I57</f>
        <v>242588.44719500642</v>
      </c>
    </row>
    <row r="59" spans="1:9" ht="15" customHeight="1">
      <c r="E59" s="68"/>
      <c r="F59" s="72"/>
      <c r="G59" s="72"/>
    </row>
    <row r="60" spans="1:9" ht="15" customHeight="1">
      <c r="E60" s="68"/>
      <c r="F60" s="72"/>
      <c r="G60" s="72"/>
    </row>
    <row r="61" spans="1:9" ht="15" customHeight="1">
      <c r="E61" s="68"/>
      <c r="F61" s="72"/>
      <c r="G61" s="72"/>
    </row>
    <row r="62" spans="1:9" ht="15" customHeight="1">
      <c r="E62" s="68"/>
      <c r="F62" s="72"/>
      <c r="G62" s="72"/>
    </row>
    <row r="63" spans="1:9" ht="15" customHeight="1">
      <c r="E63" s="68"/>
      <c r="F63" s="72"/>
      <c r="G63" s="72"/>
    </row>
    <row r="64" spans="1:9" ht="15" customHeight="1">
      <c r="E64" s="68"/>
      <c r="F64" s="72"/>
      <c r="G64" s="72"/>
    </row>
    <row r="65" spans="5:7" ht="15" customHeight="1">
      <c r="E65" s="68"/>
      <c r="F65" s="72"/>
      <c r="G65" s="72"/>
    </row>
    <row r="66" spans="5:7" ht="15" customHeight="1">
      <c r="E66" s="68"/>
      <c r="F66" s="72"/>
      <c r="G66" s="72"/>
    </row>
    <row r="67" spans="5:7" ht="15" customHeight="1">
      <c r="E67" s="68"/>
      <c r="F67" s="72"/>
      <c r="G67" s="72"/>
    </row>
    <row r="68" spans="5:7" ht="15" customHeight="1">
      <c r="E68" s="68"/>
      <c r="F68" s="72"/>
      <c r="G68" s="72"/>
    </row>
    <row r="69" spans="5:7" ht="15" customHeight="1">
      <c r="E69" s="68"/>
      <c r="F69" s="72"/>
      <c r="G69" s="72"/>
    </row>
    <row r="70" spans="5:7" ht="15" customHeight="1">
      <c r="E70" s="68"/>
      <c r="F70" s="72"/>
      <c r="G70" s="72"/>
    </row>
    <row r="71" spans="5:7" ht="15" customHeight="1">
      <c r="E71" s="68"/>
      <c r="F71" s="72"/>
      <c r="G71" s="72"/>
    </row>
    <row r="72" spans="5:7" ht="15" customHeight="1">
      <c r="E72" s="68"/>
      <c r="F72" s="72"/>
      <c r="G72" s="72"/>
    </row>
    <row r="73" spans="5:7" ht="15" customHeight="1">
      <c r="E73" s="68"/>
      <c r="F73" s="72"/>
      <c r="G73" s="72"/>
    </row>
    <row r="74" spans="5:7" ht="15" customHeight="1">
      <c r="E74" s="68"/>
      <c r="F74" s="72"/>
      <c r="G74" s="72"/>
    </row>
    <row r="75" spans="5:7" ht="15" customHeight="1">
      <c r="E75" s="68"/>
      <c r="F75" s="72"/>
      <c r="G75" s="72"/>
    </row>
    <row r="76" spans="5:7" ht="15" customHeight="1">
      <c r="E76" s="68"/>
      <c r="F76" s="72"/>
      <c r="G76" s="72"/>
    </row>
    <row r="77" spans="5:7" ht="15" customHeight="1">
      <c r="E77" s="68"/>
      <c r="F77" s="72"/>
      <c r="G77" s="72"/>
    </row>
    <row r="78" spans="5:7" ht="15" customHeight="1">
      <c r="E78" s="68"/>
      <c r="F78" s="72"/>
      <c r="G78" s="72"/>
    </row>
    <row r="79" spans="5:7" ht="15" customHeight="1">
      <c r="E79" s="68"/>
      <c r="F79" s="72"/>
      <c r="G79" s="72"/>
    </row>
    <row r="80" spans="5:7" ht="15" customHeight="1">
      <c r="E80" s="68"/>
      <c r="F80" s="72"/>
      <c r="G80" s="72"/>
    </row>
    <row r="81" spans="5:7" ht="15" customHeight="1">
      <c r="E81" s="68"/>
      <c r="F81" s="72"/>
      <c r="G81" s="72"/>
    </row>
    <row r="82" spans="5:7" ht="15" customHeight="1">
      <c r="E82" s="68"/>
      <c r="F82" s="72"/>
      <c r="G82" s="72"/>
    </row>
    <row r="83" spans="5:7" ht="15" customHeight="1">
      <c r="E83" s="68"/>
      <c r="F83" s="72"/>
      <c r="G83" s="72"/>
    </row>
    <row r="84" spans="5:7" ht="15" customHeight="1">
      <c r="E84" s="68"/>
      <c r="F84" s="72"/>
      <c r="G84" s="72"/>
    </row>
    <row r="85" spans="5:7" ht="15" customHeight="1">
      <c r="E85" s="68"/>
      <c r="F85" s="72"/>
      <c r="G85" s="72"/>
    </row>
    <row r="86" spans="5:7" ht="15" customHeight="1">
      <c r="E86" s="68"/>
      <c r="F86" s="72"/>
      <c r="G86" s="72"/>
    </row>
    <row r="87" spans="5:7" ht="15" customHeight="1">
      <c r="E87" s="68"/>
      <c r="F87" s="72"/>
      <c r="G87" s="72"/>
    </row>
    <row r="88" spans="5:7" ht="15" customHeight="1">
      <c r="E88" s="68"/>
      <c r="F88" s="72"/>
      <c r="G88" s="72"/>
    </row>
    <row r="89" spans="5:7" ht="15" customHeight="1">
      <c r="E89" s="68"/>
      <c r="F89" s="72"/>
      <c r="G89" s="72"/>
    </row>
    <row r="90" spans="5:7" ht="15" customHeight="1">
      <c r="E90" s="68"/>
      <c r="F90" s="72"/>
      <c r="G90" s="72"/>
    </row>
    <row r="91" spans="5:7" ht="15" customHeight="1">
      <c r="E91" s="68"/>
      <c r="F91" s="72"/>
      <c r="G91" s="72"/>
    </row>
    <row r="92" spans="5:7" ht="15" customHeight="1">
      <c r="E92" s="68"/>
      <c r="F92" s="72"/>
      <c r="G92" s="72"/>
    </row>
    <row r="93" spans="5:7" ht="15" customHeight="1">
      <c r="E93" s="68"/>
      <c r="F93" s="72"/>
      <c r="G93" s="72"/>
    </row>
    <row r="94" spans="5:7" ht="15" customHeight="1">
      <c r="E94" s="68"/>
      <c r="F94" s="72"/>
      <c r="G94" s="72"/>
    </row>
    <row r="95" spans="5:7" ht="15" customHeight="1">
      <c r="E95" s="68"/>
      <c r="F95" s="72"/>
      <c r="G95" s="72"/>
    </row>
    <row r="96" spans="5:7" ht="15" customHeight="1">
      <c r="E96" s="68"/>
      <c r="F96" s="72"/>
      <c r="G96" s="72"/>
    </row>
    <row r="97" spans="5:7" ht="15" customHeight="1">
      <c r="E97" s="68"/>
      <c r="F97" s="72"/>
      <c r="G97" s="72"/>
    </row>
    <row r="98" spans="5:7" ht="15" customHeight="1">
      <c r="E98" s="68"/>
      <c r="F98" s="72"/>
      <c r="G98" s="72"/>
    </row>
    <row r="99" spans="5:7" ht="15" customHeight="1">
      <c r="E99" s="68"/>
      <c r="F99" s="72"/>
      <c r="G99" s="72"/>
    </row>
    <row r="100" spans="5:7" ht="15" customHeight="1">
      <c r="E100" s="68"/>
      <c r="F100" s="72"/>
      <c r="G100" s="72"/>
    </row>
    <row r="101" spans="5:7" ht="15" customHeight="1">
      <c r="E101" s="68"/>
      <c r="F101" s="72"/>
      <c r="G101" s="72"/>
    </row>
    <row r="102" spans="5:7" ht="15" customHeight="1">
      <c r="E102" s="68"/>
      <c r="F102" s="72"/>
      <c r="G102" s="72"/>
    </row>
    <row r="103" spans="5:7" ht="15" customHeight="1">
      <c r="E103" s="68"/>
      <c r="F103" s="72"/>
      <c r="G103" s="72"/>
    </row>
    <row r="104" spans="5:7" ht="15" customHeight="1">
      <c r="E104" s="68"/>
      <c r="F104" s="72"/>
      <c r="G104" s="72"/>
    </row>
    <row r="105" spans="5:7" ht="15" customHeight="1">
      <c r="E105" s="68"/>
      <c r="F105" s="72"/>
      <c r="G105" s="72"/>
    </row>
    <row r="106" spans="5:7" ht="15" customHeight="1">
      <c r="E106" s="68"/>
      <c r="F106" s="72"/>
      <c r="G106" s="72"/>
    </row>
    <row r="107" spans="5:7" ht="15" customHeight="1">
      <c r="E107" s="68"/>
      <c r="F107" s="72"/>
      <c r="G107" s="72"/>
    </row>
    <row r="108" spans="5:7" ht="15" customHeight="1">
      <c r="E108" s="68"/>
      <c r="F108" s="72"/>
      <c r="G108" s="72"/>
    </row>
    <row r="109" spans="5:7" ht="15" customHeight="1">
      <c r="E109" s="68"/>
      <c r="F109" s="72"/>
      <c r="G109" s="72"/>
    </row>
    <row r="110" spans="5:7" ht="15" customHeight="1">
      <c r="E110" s="68"/>
      <c r="F110" s="72"/>
      <c r="G110" s="72"/>
    </row>
    <row r="111" spans="5:7" ht="15" customHeight="1">
      <c r="E111" s="68"/>
      <c r="F111" s="72"/>
      <c r="G111" s="72"/>
    </row>
    <row r="112" spans="5:7" ht="15" customHeight="1">
      <c r="E112" s="68"/>
      <c r="F112" s="72"/>
      <c r="G112" s="72"/>
    </row>
    <row r="113" spans="5:7" ht="15" customHeight="1">
      <c r="E113" s="68"/>
      <c r="F113" s="72"/>
      <c r="G113" s="72"/>
    </row>
    <row r="114" spans="5:7" ht="15" customHeight="1">
      <c r="E114" s="68"/>
      <c r="F114" s="72"/>
      <c r="G114" s="72"/>
    </row>
    <row r="115" spans="5:7" ht="15" customHeight="1">
      <c r="E115" s="68"/>
      <c r="F115" s="72"/>
      <c r="G115" s="72"/>
    </row>
    <row r="116" spans="5:7" ht="15" customHeight="1">
      <c r="E116" s="68"/>
      <c r="F116" s="72"/>
      <c r="G116" s="72"/>
    </row>
    <row r="117" spans="5:7" ht="15" customHeight="1">
      <c r="E117" s="68"/>
      <c r="F117" s="72"/>
      <c r="G117" s="72"/>
    </row>
    <row r="118" spans="5:7" ht="15" customHeight="1">
      <c r="E118" s="68"/>
      <c r="F118" s="72"/>
      <c r="G118" s="72"/>
    </row>
    <row r="119" spans="5:7" ht="15" customHeight="1">
      <c r="E119" s="68"/>
      <c r="F119" s="72"/>
      <c r="G119" s="72"/>
    </row>
    <row r="120" spans="5:7" ht="15" customHeight="1">
      <c r="E120" s="68"/>
      <c r="F120" s="72"/>
      <c r="G120" s="72"/>
    </row>
    <row r="121" spans="5:7" ht="15" customHeight="1">
      <c r="E121" s="68"/>
      <c r="F121" s="72"/>
      <c r="G121" s="72"/>
    </row>
    <row r="122" spans="5:7" ht="15" customHeight="1">
      <c r="E122" s="68"/>
      <c r="F122" s="72"/>
      <c r="G122" s="72"/>
    </row>
    <row r="123" spans="5:7" ht="15" customHeight="1">
      <c r="E123" s="68"/>
      <c r="F123" s="72"/>
      <c r="G123" s="72"/>
    </row>
    <row r="124" spans="5:7" ht="15" customHeight="1">
      <c r="E124" s="68"/>
      <c r="F124" s="72"/>
      <c r="G124" s="72"/>
    </row>
    <row r="125" spans="5:7" ht="15" customHeight="1">
      <c r="E125" s="68"/>
      <c r="F125" s="72"/>
      <c r="G125" s="72"/>
    </row>
    <row r="126" spans="5:7" ht="15" customHeight="1">
      <c r="E126" s="68"/>
      <c r="F126" s="72"/>
      <c r="G126" s="72"/>
    </row>
    <row r="127" spans="5:7" ht="15" customHeight="1">
      <c r="E127" s="68"/>
      <c r="F127" s="72"/>
      <c r="G127" s="72"/>
    </row>
    <row r="128" spans="5:7" ht="15" customHeight="1">
      <c r="E128" s="68"/>
      <c r="F128" s="72"/>
      <c r="G128" s="72"/>
    </row>
    <row r="129" spans="5:7" ht="15" customHeight="1">
      <c r="E129" s="68"/>
      <c r="F129" s="72"/>
      <c r="G129" s="72"/>
    </row>
    <row r="130" spans="5:7" ht="15" customHeight="1">
      <c r="E130" s="68"/>
      <c r="F130" s="72"/>
      <c r="G130" s="72"/>
    </row>
    <row r="131" spans="5:7" ht="15" customHeight="1">
      <c r="E131" s="68"/>
      <c r="F131" s="72"/>
      <c r="G131" s="72"/>
    </row>
    <row r="132" spans="5:7" ht="15" customHeight="1">
      <c r="E132" s="68"/>
      <c r="F132" s="72"/>
      <c r="G132" s="72"/>
    </row>
    <row r="133" spans="5:7" ht="15" customHeight="1">
      <c r="E133" s="68"/>
      <c r="F133" s="72"/>
      <c r="G133" s="72"/>
    </row>
    <row r="134" spans="5:7" ht="15" customHeight="1">
      <c r="E134" s="68"/>
      <c r="F134" s="72"/>
      <c r="G134" s="72"/>
    </row>
    <row r="135" spans="5:7" ht="15" customHeight="1">
      <c r="E135" s="68"/>
      <c r="F135" s="72"/>
      <c r="G135" s="72"/>
    </row>
    <row r="136" spans="5:7" ht="15" customHeight="1">
      <c r="E136" s="68"/>
      <c r="F136" s="72"/>
      <c r="G136" s="72"/>
    </row>
    <row r="137" spans="5:7" ht="15" customHeight="1">
      <c r="E137" s="68"/>
      <c r="F137" s="72"/>
      <c r="G137" s="72"/>
    </row>
    <row r="138" spans="5:7" ht="15" customHeight="1">
      <c r="E138" s="68"/>
      <c r="F138" s="72"/>
      <c r="G138" s="72"/>
    </row>
    <row r="139" spans="5:7" ht="15" customHeight="1">
      <c r="E139" s="68"/>
      <c r="F139" s="72"/>
      <c r="G139" s="72"/>
    </row>
    <row r="140" spans="5:7" ht="15" customHeight="1">
      <c r="E140" s="68"/>
      <c r="F140" s="72"/>
      <c r="G140" s="72"/>
    </row>
    <row r="141" spans="5:7" ht="15" customHeight="1">
      <c r="E141" s="68"/>
      <c r="F141" s="72"/>
      <c r="G141" s="72"/>
    </row>
    <row r="142" spans="5:7" ht="15" customHeight="1">
      <c r="E142" s="68"/>
      <c r="F142" s="72"/>
      <c r="G142" s="72"/>
    </row>
    <row r="143" spans="5:7" ht="15" customHeight="1">
      <c r="E143" s="68"/>
      <c r="F143" s="72"/>
      <c r="G143" s="72"/>
    </row>
    <row r="144" spans="5:7" ht="15" customHeight="1">
      <c r="E144" s="68"/>
      <c r="F144" s="72"/>
      <c r="G144" s="72"/>
    </row>
    <row r="145" spans="5:7" ht="15" customHeight="1">
      <c r="E145" s="68"/>
      <c r="F145" s="72"/>
      <c r="G145" s="72"/>
    </row>
    <row r="146" spans="5:7" ht="15" customHeight="1">
      <c r="E146" s="68"/>
      <c r="F146" s="72"/>
      <c r="G146" s="72"/>
    </row>
    <row r="147" spans="5:7" ht="15" customHeight="1">
      <c r="E147" s="68"/>
      <c r="F147" s="72"/>
      <c r="G147" s="72"/>
    </row>
    <row r="148" spans="5:7" ht="15" customHeight="1">
      <c r="E148" s="68"/>
      <c r="F148" s="72"/>
      <c r="G148" s="72"/>
    </row>
    <row r="149" spans="5:7" ht="15" customHeight="1">
      <c r="E149" s="68"/>
      <c r="F149" s="72"/>
      <c r="G149" s="72"/>
    </row>
    <row r="150" spans="5:7" ht="15" customHeight="1">
      <c r="E150" s="68"/>
      <c r="F150" s="72"/>
      <c r="G150" s="72"/>
    </row>
    <row r="151" spans="5:7" ht="15" customHeight="1">
      <c r="E151" s="68"/>
      <c r="F151" s="72"/>
      <c r="G151" s="72"/>
    </row>
    <row r="152" spans="5:7" ht="15" customHeight="1">
      <c r="E152" s="68"/>
      <c r="F152" s="72"/>
      <c r="G152" s="72"/>
    </row>
    <row r="153" spans="5:7" ht="15" customHeight="1">
      <c r="E153" s="68"/>
      <c r="F153" s="72"/>
      <c r="G153" s="72"/>
    </row>
    <row r="154" spans="5:7" ht="15" customHeight="1">
      <c r="E154" s="68"/>
      <c r="F154" s="72"/>
      <c r="G154" s="72"/>
    </row>
    <row r="155" spans="5:7" ht="15" customHeight="1">
      <c r="E155" s="68"/>
      <c r="F155" s="72"/>
      <c r="G155" s="72"/>
    </row>
    <row r="156" spans="5:7" ht="15" customHeight="1">
      <c r="E156" s="68"/>
      <c r="F156" s="72"/>
      <c r="G156" s="72"/>
    </row>
    <row r="157" spans="5:7" ht="15" customHeight="1">
      <c r="E157" s="68"/>
      <c r="F157" s="72"/>
      <c r="G157" s="72"/>
    </row>
    <row r="158" spans="5:7" ht="15" customHeight="1">
      <c r="E158" s="68"/>
      <c r="F158" s="72"/>
      <c r="G158" s="72"/>
    </row>
    <row r="159" spans="5:7" ht="15" customHeight="1">
      <c r="E159" s="68"/>
      <c r="F159" s="72"/>
      <c r="G159" s="72"/>
    </row>
    <row r="160" spans="5:7" ht="15" customHeight="1">
      <c r="E160" s="68"/>
      <c r="F160" s="72"/>
      <c r="G160" s="72"/>
    </row>
    <row r="161" spans="5:7" ht="15" customHeight="1">
      <c r="E161" s="68"/>
      <c r="F161" s="72"/>
      <c r="G161" s="72"/>
    </row>
    <row r="162" spans="5:7" ht="15" customHeight="1">
      <c r="E162" s="68"/>
      <c r="F162" s="72"/>
      <c r="G162" s="72"/>
    </row>
    <row r="163" spans="5:7" ht="15" customHeight="1">
      <c r="E163" s="68"/>
      <c r="F163" s="72"/>
      <c r="G163" s="72"/>
    </row>
    <row r="164" spans="5:7" ht="15" customHeight="1">
      <c r="E164" s="68"/>
      <c r="F164" s="72"/>
      <c r="G164" s="72"/>
    </row>
    <row r="165" spans="5:7" ht="15" customHeight="1">
      <c r="E165" s="68"/>
      <c r="F165" s="72"/>
      <c r="G165" s="72"/>
    </row>
    <row r="166" spans="5:7" ht="15" customHeight="1">
      <c r="E166" s="68"/>
      <c r="F166" s="72"/>
      <c r="G166" s="72"/>
    </row>
    <row r="167" spans="5:7" ht="15" customHeight="1">
      <c r="E167" s="68"/>
      <c r="F167" s="72"/>
      <c r="G167" s="72"/>
    </row>
    <row r="168" spans="5:7" ht="15" customHeight="1">
      <c r="E168" s="68"/>
      <c r="F168" s="72"/>
      <c r="G168" s="72"/>
    </row>
    <row r="169" spans="5:7" ht="15" customHeight="1">
      <c r="E169" s="68"/>
      <c r="F169" s="72"/>
      <c r="G169" s="72"/>
    </row>
    <row r="170" spans="5:7" ht="15" customHeight="1">
      <c r="E170" s="68"/>
      <c r="F170" s="72"/>
      <c r="G170" s="72"/>
    </row>
    <row r="171" spans="5:7" ht="15" customHeight="1">
      <c r="E171" s="68"/>
      <c r="F171" s="72"/>
      <c r="G171" s="72"/>
    </row>
    <row r="172" spans="5:7" ht="15" customHeight="1">
      <c r="E172" s="68"/>
      <c r="F172" s="72"/>
      <c r="G172" s="72"/>
    </row>
    <row r="173" spans="5:7" ht="15" customHeight="1">
      <c r="E173" s="68"/>
      <c r="F173" s="72"/>
      <c r="G173" s="72"/>
    </row>
    <row r="174" spans="5:7" ht="15" customHeight="1">
      <c r="E174" s="68"/>
      <c r="F174" s="72"/>
      <c r="G174" s="72"/>
    </row>
    <row r="175" spans="5:7" ht="15" customHeight="1">
      <c r="E175" s="68"/>
      <c r="F175" s="72"/>
      <c r="G175" s="72"/>
    </row>
    <row r="176" spans="5:7" ht="15" customHeight="1">
      <c r="E176" s="68"/>
      <c r="F176" s="72"/>
      <c r="G176" s="72"/>
    </row>
    <row r="177" spans="5:7" ht="15" customHeight="1">
      <c r="E177" s="68"/>
      <c r="F177" s="72"/>
      <c r="G177" s="72"/>
    </row>
    <row r="178" spans="5:7" ht="15" customHeight="1">
      <c r="E178" s="68"/>
      <c r="F178" s="72"/>
      <c r="G178" s="72"/>
    </row>
    <row r="179" spans="5:7" ht="15" customHeight="1">
      <c r="E179" s="68"/>
      <c r="F179" s="72"/>
      <c r="G179" s="72"/>
    </row>
    <row r="180" spans="5:7" ht="15" customHeight="1">
      <c r="E180" s="68"/>
      <c r="F180" s="72"/>
      <c r="G180" s="72"/>
    </row>
    <row r="181" spans="5:7" ht="15" customHeight="1">
      <c r="E181" s="68"/>
      <c r="F181" s="72"/>
      <c r="G181" s="72"/>
    </row>
    <row r="182" spans="5:7" ht="15" customHeight="1">
      <c r="E182" s="68"/>
      <c r="F182" s="72"/>
      <c r="G182" s="72"/>
    </row>
    <row r="183" spans="5:7" ht="15" customHeight="1">
      <c r="E183" s="68"/>
      <c r="F183" s="72"/>
      <c r="G183" s="72"/>
    </row>
    <row r="184" spans="5:7" ht="15" customHeight="1">
      <c r="E184" s="68"/>
      <c r="F184" s="72"/>
      <c r="G184" s="72"/>
    </row>
    <row r="185" spans="5:7" ht="15" customHeight="1">
      <c r="E185" s="68"/>
      <c r="F185" s="72"/>
      <c r="G185" s="72"/>
    </row>
    <row r="186" spans="5:7" ht="15" customHeight="1">
      <c r="E186" s="68"/>
      <c r="F186" s="72"/>
      <c r="G186" s="72"/>
    </row>
    <row r="187" spans="5:7" ht="15" customHeight="1">
      <c r="E187" s="68"/>
      <c r="F187" s="72"/>
      <c r="G187" s="72"/>
    </row>
    <row r="188" spans="5:7" ht="15" customHeight="1">
      <c r="E188" s="68"/>
      <c r="F188" s="72"/>
      <c r="G188" s="72"/>
    </row>
    <row r="189" spans="5:7" ht="15" customHeight="1">
      <c r="E189" s="68"/>
      <c r="F189" s="72"/>
      <c r="G189" s="72"/>
    </row>
    <row r="190" spans="5:7" ht="15" customHeight="1">
      <c r="E190" s="68"/>
      <c r="F190" s="72"/>
      <c r="G190" s="72"/>
    </row>
    <row r="191" spans="5:7" ht="15" customHeight="1">
      <c r="E191" s="68"/>
      <c r="F191" s="72"/>
      <c r="G191" s="72"/>
    </row>
    <row r="192" spans="5:7" ht="15" customHeight="1">
      <c r="E192" s="68"/>
      <c r="F192" s="72"/>
      <c r="G192" s="72"/>
    </row>
    <row r="193" spans="5:7" ht="15" customHeight="1">
      <c r="E193" s="68"/>
      <c r="F193" s="72"/>
      <c r="G193" s="72"/>
    </row>
    <row r="194" spans="5:7" ht="15" customHeight="1">
      <c r="E194" s="68"/>
      <c r="F194" s="72"/>
      <c r="G194" s="72"/>
    </row>
    <row r="195" spans="5:7" ht="15" customHeight="1">
      <c r="E195" s="68"/>
      <c r="F195" s="72"/>
      <c r="G195" s="72"/>
    </row>
    <row r="196" spans="5:7" ht="15" customHeight="1">
      <c r="E196" s="68"/>
      <c r="F196" s="72"/>
      <c r="G196" s="72"/>
    </row>
    <row r="197" spans="5:7" ht="15" customHeight="1">
      <c r="E197" s="68"/>
      <c r="F197" s="72"/>
      <c r="G197" s="72"/>
    </row>
    <row r="198" spans="5:7" ht="15" customHeight="1">
      <c r="E198" s="68"/>
      <c r="F198" s="72"/>
      <c r="G198" s="72"/>
    </row>
    <row r="199" spans="5:7" ht="15" customHeight="1">
      <c r="E199" s="68"/>
      <c r="F199" s="72"/>
      <c r="G199" s="72"/>
    </row>
    <row r="200" spans="5:7" ht="15" customHeight="1">
      <c r="E200" s="68"/>
      <c r="F200" s="72"/>
      <c r="G200" s="72"/>
    </row>
    <row r="201" spans="5:7" ht="15" customHeight="1">
      <c r="E201" s="68"/>
      <c r="F201" s="72"/>
      <c r="G201" s="72"/>
    </row>
    <row r="202" spans="5:7" ht="15" customHeight="1">
      <c r="E202" s="68"/>
      <c r="F202" s="72"/>
      <c r="G202" s="72"/>
    </row>
    <row r="203" spans="5:7" ht="15" customHeight="1">
      <c r="E203" s="68"/>
      <c r="F203" s="72"/>
      <c r="G203" s="72"/>
    </row>
    <row r="204" spans="5:7" ht="15" customHeight="1">
      <c r="E204" s="68"/>
      <c r="F204" s="72"/>
      <c r="G204" s="72"/>
    </row>
    <row r="205" spans="5:7" ht="15" customHeight="1">
      <c r="E205" s="68"/>
      <c r="F205" s="72"/>
      <c r="G205" s="72"/>
    </row>
    <row r="206" spans="5:7" ht="15" customHeight="1">
      <c r="E206" s="68"/>
      <c r="F206" s="72"/>
      <c r="G206" s="72"/>
    </row>
    <row r="207" spans="5:7" ht="15.95" customHeight="1">
      <c r="E207" s="68"/>
      <c r="F207" s="72"/>
      <c r="G207" s="72"/>
    </row>
    <row r="208" spans="5:7" ht="15.95" customHeight="1">
      <c r="E208" s="68"/>
      <c r="F208" s="72"/>
      <c r="G208" s="72"/>
    </row>
    <row r="209" spans="5:7" ht="15.95" customHeight="1">
      <c r="E209" s="68"/>
      <c r="F209" s="72"/>
      <c r="G209" s="72"/>
    </row>
    <row r="210" spans="5:7" ht="15.95" customHeight="1">
      <c r="E210" s="68"/>
      <c r="F210" s="72"/>
      <c r="G210" s="72"/>
    </row>
  </sheetData>
  <mergeCells count="38">
    <mergeCell ref="I5:I6"/>
    <mergeCell ref="I7:I8"/>
    <mergeCell ref="A2:E2"/>
    <mergeCell ref="A10:A11"/>
    <mergeCell ref="A1:C1"/>
    <mergeCell ref="G7:G8"/>
    <mergeCell ref="F7:F8"/>
    <mergeCell ref="F5:F6"/>
    <mergeCell ref="G5:G6"/>
    <mergeCell ref="B4:D4"/>
    <mergeCell ref="B5:D5"/>
    <mergeCell ref="B6:D6"/>
    <mergeCell ref="B7:D7"/>
    <mergeCell ref="B8:D8"/>
    <mergeCell ref="H5:H6"/>
    <mergeCell ref="H7:H8"/>
    <mergeCell ref="D35:D38"/>
    <mergeCell ref="A27:A41"/>
    <mergeCell ref="B13:C13"/>
    <mergeCell ref="A13:A18"/>
    <mergeCell ref="B24:C25"/>
    <mergeCell ref="B14:C16"/>
    <mergeCell ref="B17:D18"/>
    <mergeCell ref="D31:D34"/>
    <mergeCell ref="D27:D30"/>
    <mergeCell ref="A56:A58"/>
    <mergeCell ref="B56:C56"/>
    <mergeCell ref="B57:C57"/>
    <mergeCell ref="B58:C58"/>
    <mergeCell ref="A20:A25"/>
    <mergeCell ref="A43:A54"/>
    <mergeCell ref="B43:C44"/>
    <mergeCell ref="B45:C45"/>
    <mergeCell ref="B46:C47"/>
    <mergeCell ref="B48:C50"/>
    <mergeCell ref="B52:C54"/>
    <mergeCell ref="B51:C51"/>
    <mergeCell ref="B20:C20"/>
  </mergeCells>
  <hyperlinks>
    <hyperlink ref="B13:C13" location="Guidelines!StandardFuel" display="With standard fuel"/>
    <hyperlink ref="B31" location="SACTE" display="SACTE"/>
  </hyperlinks>
  <printOptions horizontalCentered="1" verticalCentered="1"/>
  <pageMargins left="0" right="0" top="0" bottom="0"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Y273"/>
  <sheetViews>
    <sheetView showGridLines="0" zoomScaleNormal="100" zoomScaleSheetLayoutView="25" workbookViewId="0"/>
  </sheetViews>
  <sheetFormatPr defaultRowHeight="12.75"/>
  <cols>
    <col min="1" max="20" width="5.7109375" style="22" customWidth="1"/>
    <col min="21" max="25" width="7.7109375" style="22" customWidth="1"/>
    <col min="26" max="16384" width="9.140625" style="22"/>
  </cols>
  <sheetData>
    <row r="1" spans="1:17" ht="12" customHeight="1">
      <c r="O1" s="37"/>
      <c r="P1" s="37"/>
    </row>
    <row r="2" spans="1:17" ht="18.75" customHeight="1">
      <c r="A2" s="60" t="s">
        <v>427</v>
      </c>
      <c r="B2" s="61"/>
      <c r="C2" s="61"/>
      <c r="D2" s="61"/>
      <c r="E2" s="61"/>
      <c r="F2" s="61"/>
      <c r="G2" s="61"/>
      <c r="H2" s="61"/>
      <c r="I2" s="61"/>
      <c r="J2" s="62"/>
      <c r="K2" s="62"/>
      <c r="L2" s="62"/>
      <c r="M2" s="62"/>
      <c r="N2" s="62"/>
      <c r="O2" s="62"/>
      <c r="P2" s="62"/>
      <c r="Q2" s="62"/>
    </row>
    <row r="3" spans="1:17" ht="12.75" customHeight="1">
      <c r="O3" s="37"/>
      <c r="P3" s="37"/>
    </row>
    <row r="4" spans="1:17" ht="18.75">
      <c r="A4" s="48" t="s">
        <v>554</v>
      </c>
      <c r="B4" s="48" t="s">
        <v>552</v>
      </c>
      <c r="C4" s="49"/>
      <c r="D4" s="49"/>
      <c r="E4" s="49"/>
      <c r="F4" s="49"/>
      <c r="G4" s="49"/>
      <c r="H4" s="49"/>
      <c r="I4" s="49"/>
      <c r="J4" s="49"/>
      <c r="K4" s="49"/>
      <c r="L4" s="49"/>
      <c r="M4" s="49"/>
      <c r="N4" s="49"/>
      <c r="O4" s="49"/>
      <c r="P4" s="49"/>
      <c r="Q4" s="49"/>
    </row>
    <row r="6" spans="1:17" ht="12.75" customHeight="1">
      <c r="A6" s="23">
        <v>1</v>
      </c>
      <c r="B6" s="42" t="s">
        <v>364</v>
      </c>
      <c r="C6" s="42"/>
      <c r="D6" s="37"/>
      <c r="E6" s="37"/>
      <c r="F6" s="37"/>
      <c r="G6" s="37"/>
      <c r="H6" s="37"/>
      <c r="I6" s="37"/>
      <c r="J6" s="37"/>
      <c r="K6" s="37"/>
      <c r="L6" s="37"/>
      <c r="M6" s="37"/>
      <c r="N6" s="37"/>
      <c r="O6" s="37"/>
      <c r="P6" s="39"/>
    </row>
    <row r="7" spans="1:17">
      <c r="A7" s="37"/>
      <c r="B7" s="37"/>
      <c r="C7" s="37"/>
      <c r="D7" s="37"/>
      <c r="F7" s="37"/>
      <c r="G7" s="37"/>
      <c r="H7" s="37"/>
      <c r="I7" s="37"/>
      <c r="J7" s="37"/>
      <c r="K7" s="37"/>
      <c r="L7" s="37"/>
      <c r="M7" s="37"/>
      <c r="N7" s="37"/>
      <c r="O7" s="37"/>
      <c r="P7" s="37"/>
    </row>
    <row r="8" spans="1:17">
      <c r="A8" s="38"/>
      <c r="B8" s="41"/>
      <c r="C8" s="25"/>
      <c r="D8" s="25"/>
      <c r="E8" s="25"/>
      <c r="F8" s="25"/>
      <c r="G8" s="25"/>
      <c r="H8" s="25"/>
      <c r="I8" s="25"/>
      <c r="J8" s="25"/>
      <c r="K8" s="25"/>
      <c r="L8" s="25"/>
      <c r="M8" s="25"/>
      <c r="N8" s="25"/>
      <c r="O8" s="25"/>
      <c r="P8" s="37"/>
    </row>
    <row r="9" spans="1:17">
      <c r="A9" s="37"/>
      <c r="B9" s="25"/>
      <c r="C9" s="25"/>
      <c r="D9" s="25"/>
      <c r="E9" s="25"/>
      <c r="F9" s="25"/>
      <c r="G9" s="25"/>
      <c r="H9" s="25"/>
      <c r="I9" s="25"/>
      <c r="J9" s="25"/>
      <c r="K9" s="25"/>
      <c r="L9" s="25"/>
      <c r="M9" s="25"/>
      <c r="N9" s="25"/>
      <c r="O9" s="25"/>
      <c r="P9" s="37"/>
    </row>
    <row r="10" spans="1:17">
      <c r="A10" s="37"/>
      <c r="B10" s="25"/>
      <c r="C10" s="25"/>
      <c r="D10" s="25"/>
      <c r="E10" s="25"/>
      <c r="F10" s="25"/>
      <c r="G10" s="25"/>
      <c r="H10" s="25"/>
      <c r="I10" s="25"/>
      <c r="J10" s="25"/>
      <c r="K10" s="25"/>
      <c r="L10" s="25"/>
      <c r="M10" s="25"/>
      <c r="N10" s="25"/>
      <c r="O10" s="25"/>
      <c r="P10" s="37"/>
    </row>
    <row r="11" spans="1:17">
      <c r="A11" s="37"/>
      <c r="B11" s="25"/>
      <c r="C11" s="25"/>
      <c r="D11" s="25"/>
      <c r="E11" s="25"/>
      <c r="F11" s="25"/>
      <c r="G11" s="25"/>
      <c r="H11" s="25"/>
      <c r="I11" s="25"/>
      <c r="J11" s="25"/>
      <c r="K11" s="25"/>
      <c r="L11" s="25"/>
      <c r="M11" s="25"/>
      <c r="N11" s="25"/>
      <c r="O11" s="25"/>
      <c r="P11" s="37"/>
    </row>
    <row r="12" spans="1:17">
      <c r="A12" s="37"/>
      <c r="B12" s="25"/>
      <c r="C12" s="25"/>
      <c r="D12" s="25"/>
      <c r="E12" s="25"/>
      <c r="F12" s="25"/>
      <c r="G12" s="25"/>
      <c r="H12" s="25"/>
      <c r="I12" s="25"/>
      <c r="J12" s="25"/>
      <c r="K12" s="25"/>
      <c r="L12" s="25"/>
      <c r="M12" s="25"/>
      <c r="N12" s="25"/>
      <c r="O12" s="25"/>
      <c r="P12" s="37"/>
    </row>
    <row r="13" spans="1:17">
      <c r="A13" s="37"/>
      <c r="B13" s="25"/>
      <c r="C13" s="25"/>
      <c r="D13" s="25"/>
      <c r="E13" s="25"/>
      <c r="F13" s="25"/>
      <c r="G13" s="25"/>
      <c r="H13" s="25"/>
      <c r="I13" s="25"/>
      <c r="J13" s="25"/>
      <c r="K13" s="25"/>
      <c r="L13" s="25"/>
      <c r="M13" s="25"/>
      <c r="N13" s="25"/>
      <c r="O13" s="25"/>
      <c r="P13" s="37"/>
    </row>
    <row r="14" spans="1:17">
      <c r="A14" s="37"/>
      <c r="B14" s="25"/>
      <c r="C14" s="25"/>
      <c r="D14" s="25"/>
      <c r="E14" s="25"/>
      <c r="F14" s="25"/>
      <c r="G14" s="25"/>
      <c r="H14" s="25"/>
      <c r="I14" s="25"/>
      <c r="J14" s="25"/>
      <c r="K14" s="25"/>
      <c r="L14" s="25"/>
      <c r="M14" s="25"/>
      <c r="N14" s="25"/>
      <c r="O14" s="25"/>
      <c r="P14" s="37"/>
    </row>
    <row r="15" spans="1:17">
      <c r="A15" s="37"/>
      <c r="B15" s="25"/>
      <c r="C15" s="25"/>
      <c r="D15" s="25"/>
      <c r="E15" s="25"/>
      <c r="F15" s="25"/>
      <c r="G15" s="25"/>
      <c r="H15" s="25"/>
      <c r="I15" s="25"/>
      <c r="J15" s="25"/>
      <c r="K15" s="25"/>
      <c r="L15" s="25"/>
      <c r="M15" s="25"/>
      <c r="N15" s="25"/>
      <c r="O15" s="25"/>
      <c r="P15" s="37"/>
    </row>
    <row r="16" spans="1:17">
      <c r="A16" s="37"/>
      <c r="B16" s="25"/>
      <c r="C16" s="25"/>
      <c r="D16" s="25"/>
      <c r="E16" s="25"/>
      <c r="F16" s="25"/>
      <c r="G16" s="25"/>
      <c r="H16" s="25"/>
      <c r="I16" s="25"/>
      <c r="J16" s="25"/>
      <c r="K16" s="25"/>
      <c r="L16" s="25"/>
      <c r="M16" s="25"/>
      <c r="N16" s="25"/>
      <c r="O16" s="25"/>
      <c r="P16" s="37"/>
    </row>
    <row r="17" spans="1:17">
      <c r="A17" s="37"/>
      <c r="B17" s="25"/>
      <c r="C17" s="25"/>
      <c r="D17" s="25"/>
      <c r="E17" s="25"/>
      <c r="F17" s="25"/>
      <c r="G17" s="25"/>
      <c r="H17" s="25"/>
      <c r="I17" s="25"/>
      <c r="J17" s="25"/>
      <c r="K17" s="25"/>
      <c r="L17" s="25"/>
      <c r="M17" s="25"/>
      <c r="N17" s="25"/>
      <c r="O17" s="25"/>
      <c r="P17" s="37"/>
    </row>
    <row r="18" spans="1:17">
      <c r="A18" s="37"/>
      <c r="B18" s="25"/>
      <c r="C18" s="25"/>
      <c r="D18" s="25"/>
      <c r="E18" s="25"/>
      <c r="F18" s="25"/>
      <c r="G18" s="25"/>
      <c r="H18" s="25"/>
      <c r="I18" s="25"/>
      <c r="J18" s="25"/>
      <c r="K18" s="25"/>
      <c r="L18" s="25"/>
      <c r="M18" s="25"/>
      <c r="N18" s="25"/>
      <c r="O18" s="25"/>
      <c r="P18" s="37"/>
    </row>
    <row r="19" spans="1:17">
      <c r="A19" s="37"/>
      <c r="B19" s="25"/>
      <c r="C19" s="25"/>
      <c r="D19" s="25"/>
      <c r="E19" s="25"/>
      <c r="F19" s="25"/>
      <c r="G19" s="25"/>
      <c r="H19" s="25"/>
      <c r="I19" s="25"/>
      <c r="J19" s="25"/>
      <c r="K19" s="25"/>
      <c r="L19" s="25"/>
      <c r="M19" s="25"/>
      <c r="N19" s="25"/>
      <c r="O19" s="25"/>
      <c r="P19" s="37"/>
    </row>
    <row r="20" spans="1:17">
      <c r="A20" s="37"/>
      <c r="B20" s="25"/>
      <c r="C20" s="25"/>
      <c r="D20" s="25"/>
      <c r="E20" s="25"/>
      <c r="F20" s="25"/>
      <c r="G20" s="25"/>
      <c r="H20" s="25"/>
      <c r="I20" s="25"/>
      <c r="J20" s="25"/>
      <c r="K20" s="25"/>
      <c r="L20" s="25"/>
      <c r="M20" s="25"/>
      <c r="N20" s="25"/>
      <c r="O20" s="25"/>
      <c r="P20" s="37"/>
    </row>
    <row r="21" spans="1:17">
      <c r="A21" s="37"/>
      <c r="B21" s="25"/>
      <c r="C21" s="25"/>
      <c r="D21" s="25"/>
      <c r="E21" s="25"/>
      <c r="F21" s="25"/>
      <c r="G21" s="25"/>
      <c r="H21" s="25"/>
      <c r="I21" s="25"/>
      <c r="J21" s="25"/>
      <c r="K21" s="25"/>
      <c r="L21" s="25"/>
      <c r="M21" s="25"/>
      <c r="N21" s="25"/>
      <c r="O21" s="25"/>
      <c r="P21" s="37"/>
    </row>
    <row r="22" spans="1:17">
      <c r="A22" s="37"/>
      <c r="B22" s="25"/>
      <c r="C22" s="25"/>
      <c r="D22" s="25"/>
      <c r="E22" s="25"/>
      <c r="F22" s="25"/>
      <c r="G22" s="25"/>
      <c r="H22" s="25"/>
      <c r="I22" s="25"/>
      <c r="J22" s="25"/>
      <c r="K22" s="25"/>
      <c r="L22" s="25"/>
      <c r="M22" s="25"/>
      <c r="N22" s="25"/>
      <c r="O22" s="25"/>
      <c r="P22" s="37"/>
    </row>
    <row r="23" spans="1:17">
      <c r="A23" s="37"/>
      <c r="B23" s="25"/>
      <c r="C23" s="25"/>
      <c r="D23" s="25"/>
      <c r="E23" s="25"/>
      <c r="F23" s="25"/>
      <c r="G23" s="25"/>
      <c r="H23" s="25"/>
      <c r="I23" s="25"/>
      <c r="J23" s="25"/>
      <c r="K23" s="25"/>
      <c r="L23" s="25"/>
      <c r="M23" s="25"/>
      <c r="N23" s="25"/>
      <c r="O23" s="25"/>
      <c r="P23" s="37"/>
    </row>
    <row r="24" spans="1:17">
      <c r="A24" s="37"/>
      <c r="B24" s="25"/>
      <c r="C24" s="25"/>
      <c r="D24" s="25"/>
      <c r="E24" s="25"/>
      <c r="F24" s="25"/>
      <c r="G24" s="25"/>
      <c r="H24" s="25"/>
      <c r="I24" s="25"/>
      <c r="J24" s="25"/>
      <c r="K24" s="25"/>
      <c r="L24" s="25"/>
      <c r="M24" s="25"/>
      <c r="N24" s="25"/>
      <c r="O24" s="25"/>
      <c r="P24" s="37"/>
    </row>
    <row r="25" spans="1:17">
      <c r="A25" s="37"/>
      <c r="B25" s="25"/>
      <c r="C25" s="25"/>
      <c r="D25" s="25"/>
      <c r="E25" s="25"/>
      <c r="F25" s="25"/>
      <c r="G25" s="25"/>
      <c r="H25" s="25"/>
      <c r="I25" s="25"/>
      <c r="J25" s="25"/>
      <c r="K25" s="25"/>
      <c r="L25" s="25"/>
      <c r="M25" s="25"/>
      <c r="N25" s="25"/>
      <c r="O25" s="25"/>
      <c r="P25" s="37"/>
    </row>
    <row r="26" spans="1:17">
      <c r="A26" s="37"/>
      <c r="B26" s="25"/>
      <c r="C26" s="25"/>
      <c r="D26" s="25"/>
      <c r="E26" s="25"/>
      <c r="F26" s="25"/>
      <c r="G26" s="25"/>
      <c r="H26" s="25"/>
      <c r="I26" s="25"/>
      <c r="J26" s="25"/>
      <c r="K26" s="25"/>
      <c r="L26" s="25"/>
      <c r="M26" s="25"/>
      <c r="N26" s="25"/>
      <c r="O26" s="25"/>
      <c r="P26" s="37"/>
    </row>
    <row r="27" spans="1:17">
      <c r="A27" s="37"/>
      <c r="B27" s="25"/>
      <c r="C27" s="25"/>
      <c r="D27" s="25"/>
      <c r="E27" s="25"/>
      <c r="F27" s="25"/>
      <c r="G27" s="25"/>
      <c r="H27" s="25"/>
      <c r="I27" s="25"/>
      <c r="J27" s="25"/>
      <c r="K27" s="25"/>
      <c r="L27" s="25"/>
      <c r="M27" s="25"/>
      <c r="N27" s="25"/>
      <c r="O27" s="25"/>
      <c r="P27" s="37"/>
    </row>
    <row r="28" spans="1:17">
      <c r="B28" s="42" t="s">
        <v>522</v>
      </c>
      <c r="C28" s="102"/>
      <c r="D28" s="45"/>
      <c r="E28" s="102"/>
      <c r="F28" s="42"/>
      <c r="G28" s="42"/>
      <c r="H28" s="42"/>
      <c r="I28" s="42"/>
      <c r="J28" s="42"/>
      <c r="K28" s="42"/>
      <c r="L28" s="42"/>
      <c r="M28" s="42"/>
      <c r="N28" s="42"/>
      <c r="O28" s="37"/>
      <c r="P28" s="37"/>
      <c r="Q28" s="102"/>
    </row>
    <row r="29" spans="1:17">
      <c r="A29" s="42"/>
      <c r="B29" s="40"/>
      <c r="C29" s="42"/>
      <c r="D29" s="42"/>
      <c r="E29" s="44"/>
      <c r="F29" s="42"/>
      <c r="G29" s="42"/>
      <c r="H29" s="42"/>
      <c r="I29" s="42"/>
      <c r="J29" s="42"/>
      <c r="K29" s="42"/>
      <c r="L29" s="42"/>
      <c r="M29" s="42"/>
      <c r="N29" s="42"/>
      <c r="O29" s="37"/>
      <c r="P29" s="37"/>
    </row>
    <row r="30" spans="1:17" ht="18.75">
      <c r="A30" s="50" t="s">
        <v>555</v>
      </c>
      <c r="B30" s="50" t="s">
        <v>553</v>
      </c>
      <c r="C30" s="51"/>
      <c r="D30" s="51"/>
      <c r="E30" s="51"/>
      <c r="F30" s="51"/>
      <c r="G30" s="51"/>
      <c r="H30" s="51"/>
      <c r="I30" s="51"/>
      <c r="J30" s="51"/>
      <c r="K30" s="51"/>
      <c r="L30" s="51"/>
      <c r="M30" s="51"/>
      <c r="N30" s="51"/>
      <c r="O30" s="51"/>
      <c r="P30" s="51"/>
      <c r="Q30" s="51"/>
    </row>
    <row r="32" spans="1:17">
      <c r="A32" s="23">
        <v>1</v>
      </c>
      <c r="B32" s="22" t="s">
        <v>366</v>
      </c>
    </row>
    <row r="33" spans="1:25">
      <c r="A33" s="23"/>
    </row>
    <row r="34" spans="1:25">
      <c r="A34" s="23"/>
      <c r="B34" s="86" t="s">
        <v>131</v>
      </c>
      <c r="C34" s="87"/>
      <c r="D34" s="87"/>
      <c r="E34" s="93"/>
      <c r="F34" s="106" t="s">
        <v>391</v>
      </c>
      <c r="G34" s="86" t="s">
        <v>84</v>
      </c>
      <c r="H34" s="87"/>
      <c r="I34" s="87"/>
      <c r="J34" s="87"/>
      <c r="K34" s="87"/>
      <c r="L34" s="87"/>
      <c r="M34" s="87"/>
      <c r="N34" s="87"/>
      <c r="O34" s="87"/>
      <c r="P34" s="87"/>
      <c r="Q34" s="88"/>
    </row>
    <row r="35" spans="1:25" ht="12.75" customHeight="1">
      <c r="B35" s="729" t="s">
        <v>13</v>
      </c>
      <c r="C35" s="730"/>
      <c r="D35" s="730"/>
      <c r="E35" s="731"/>
      <c r="F35" s="962">
        <v>5</v>
      </c>
      <c r="G35" s="719" t="s">
        <v>367</v>
      </c>
      <c r="H35" s="720"/>
      <c r="I35" s="720"/>
      <c r="J35" s="720"/>
      <c r="K35" s="720"/>
      <c r="L35" s="720"/>
      <c r="M35" s="720"/>
      <c r="N35" s="720"/>
      <c r="O35" s="720"/>
      <c r="P35" s="720"/>
      <c r="Q35" s="721"/>
    </row>
    <row r="36" spans="1:25">
      <c r="B36" s="729"/>
      <c r="C36" s="730"/>
      <c r="D36" s="730"/>
      <c r="E36" s="731"/>
      <c r="F36" s="963"/>
      <c r="G36" s="719"/>
      <c r="H36" s="720"/>
      <c r="I36" s="720"/>
      <c r="J36" s="720"/>
      <c r="K36" s="720"/>
      <c r="L36" s="720"/>
      <c r="M36" s="720"/>
      <c r="N36" s="720"/>
      <c r="O36" s="720"/>
      <c r="P36" s="720"/>
      <c r="Q36" s="721"/>
    </row>
    <row r="37" spans="1:25" ht="12.75" customHeight="1">
      <c r="B37" s="729" t="s">
        <v>134</v>
      </c>
      <c r="C37" s="730"/>
      <c r="D37" s="730"/>
      <c r="E37" s="731"/>
      <c r="F37" s="964" t="s">
        <v>371</v>
      </c>
      <c r="G37" s="719" t="s">
        <v>367</v>
      </c>
      <c r="H37" s="720"/>
      <c r="I37" s="720"/>
      <c r="J37" s="720"/>
      <c r="K37" s="720"/>
      <c r="L37" s="720"/>
      <c r="M37" s="720"/>
      <c r="N37" s="720"/>
      <c r="O37" s="720"/>
      <c r="P37" s="720"/>
      <c r="Q37" s="721"/>
    </row>
    <row r="38" spans="1:25">
      <c r="B38" s="729"/>
      <c r="C38" s="730"/>
      <c r="D38" s="730"/>
      <c r="E38" s="731"/>
      <c r="F38" s="965"/>
      <c r="G38" s="719"/>
      <c r="H38" s="720"/>
      <c r="I38" s="720"/>
      <c r="J38" s="720"/>
      <c r="K38" s="720"/>
      <c r="L38" s="720"/>
      <c r="M38" s="720"/>
      <c r="N38" s="720"/>
      <c r="O38" s="720"/>
      <c r="P38" s="720"/>
      <c r="Q38" s="721"/>
    </row>
    <row r="39" spans="1:25" ht="12.75" customHeight="1">
      <c r="B39" s="719" t="s">
        <v>365</v>
      </c>
      <c r="C39" s="720"/>
      <c r="D39" s="966" t="s">
        <v>369</v>
      </c>
      <c r="E39" s="967"/>
      <c r="F39" s="90" t="s">
        <v>372</v>
      </c>
      <c r="G39" s="719" t="s">
        <v>373</v>
      </c>
      <c r="H39" s="720"/>
      <c r="I39" s="720"/>
      <c r="J39" s="720"/>
      <c r="K39" s="720"/>
      <c r="L39" s="720"/>
      <c r="M39" s="720"/>
      <c r="N39" s="720"/>
      <c r="O39" s="720"/>
      <c r="P39" s="720"/>
      <c r="Q39" s="721"/>
    </row>
    <row r="40" spans="1:25" ht="14.25">
      <c r="B40" s="719"/>
      <c r="C40" s="720"/>
      <c r="D40" s="966" t="s">
        <v>370</v>
      </c>
      <c r="E40" s="967"/>
      <c r="F40" s="90" t="s">
        <v>176</v>
      </c>
      <c r="G40" s="719"/>
      <c r="H40" s="720"/>
      <c r="I40" s="720"/>
      <c r="J40" s="720"/>
      <c r="K40" s="720"/>
      <c r="L40" s="720"/>
      <c r="M40" s="720"/>
      <c r="N40" s="720"/>
      <c r="O40" s="720"/>
      <c r="P40" s="720"/>
      <c r="Q40" s="721"/>
    </row>
    <row r="41" spans="1:25" ht="12.75" customHeight="1">
      <c r="B41" s="719"/>
      <c r="C41" s="720"/>
      <c r="D41" s="966" t="s">
        <v>368</v>
      </c>
      <c r="E41" s="967"/>
      <c r="F41" s="89">
        <v>20</v>
      </c>
      <c r="G41" s="719"/>
      <c r="H41" s="720"/>
      <c r="I41" s="720"/>
      <c r="J41" s="720"/>
      <c r="K41" s="720"/>
      <c r="L41" s="720"/>
      <c r="M41" s="720"/>
      <c r="N41" s="720"/>
      <c r="O41" s="720"/>
      <c r="P41" s="720"/>
      <c r="Q41" s="721"/>
    </row>
    <row r="42" spans="1:25">
      <c r="A42" s="20"/>
      <c r="B42" s="20"/>
      <c r="C42" s="20"/>
      <c r="D42" s="20"/>
      <c r="E42" s="20"/>
      <c r="F42" s="20"/>
      <c r="G42" s="20"/>
      <c r="H42" s="20"/>
      <c r="I42" s="20"/>
      <c r="J42" s="20"/>
      <c r="K42" s="20"/>
      <c r="L42" s="20"/>
      <c r="M42" s="20"/>
      <c r="N42" s="20"/>
      <c r="O42" s="20"/>
      <c r="P42" s="20"/>
      <c r="Q42" s="20"/>
      <c r="R42" s="20"/>
      <c r="S42" s="20"/>
      <c r="T42" s="20"/>
      <c r="U42" s="20"/>
      <c r="V42" s="20"/>
      <c r="W42" s="20"/>
      <c r="X42" s="20"/>
      <c r="Y42" s="20"/>
    </row>
    <row r="43" spans="1:25">
      <c r="G43" s="20"/>
      <c r="H43" s="20"/>
      <c r="I43" s="20"/>
      <c r="J43" s="20"/>
      <c r="K43" s="20"/>
      <c r="L43" s="20"/>
      <c r="M43" s="20"/>
      <c r="N43" s="20"/>
      <c r="O43" s="20"/>
      <c r="P43" s="20"/>
      <c r="Q43" s="20"/>
      <c r="R43" s="20"/>
      <c r="S43" s="20"/>
      <c r="T43" s="20"/>
      <c r="U43" s="20"/>
      <c r="V43" s="20"/>
      <c r="W43" s="20"/>
      <c r="X43" s="20"/>
      <c r="Y43" s="20"/>
    </row>
    <row r="44" spans="1:25">
      <c r="A44" s="23"/>
      <c r="Q44" s="20"/>
      <c r="R44" s="20"/>
      <c r="S44" s="20"/>
      <c r="T44" s="20"/>
      <c r="Y44" s="20"/>
    </row>
    <row r="45" spans="1:25">
      <c r="R45" s="20"/>
      <c r="S45" s="20"/>
      <c r="T45" s="20"/>
      <c r="Y45" s="20"/>
    </row>
    <row r="46" spans="1:25">
      <c r="R46" s="20"/>
      <c r="S46" s="20"/>
      <c r="T46" s="20"/>
      <c r="Y46" s="20"/>
    </row>
    <row r="47" spans="1:25">
      <c r="R47" s="20"/>
      <c r="S47" s="20"/>
      <c r="T47" s="20"/>
      <c r="Y47" s="20"/>
    </row>
    <row r="48" spans="1:25">
      <c r="R48" s="20"/>
      <c r="S48" s="20"/>
      <c r="T48" s="20"/>
      <c r="Y48" s="20"/>
    </row>
    <row r="49" spans="1:25">
      <c r="R49" s="20"/>
      <c r="S49" s="20"/>
      <c r="T49" s="20"/>
      <c r="Y49" s="20"/>
    </row>
    <row r="50" spans="1:25">
      <c r="R50" s="20"/>
      <c r="S50" s="20"/>
      <c r="T50" s="20"/>
      <c r="Y50" s="20"/>
    </row>
    <row r="51" spans="1:25">
      <c r="R51" s="20"/>
      <c r="S51" s="20"/>
      <c r="T51" s="20"/>
      <c r="Y51" s="20"/>
    </row>
    <row r="52" spans="1:25">
      <c r="N52" s="20"/>
      <c r="O52" s="20"/>
      <c r="P52" s="20"/>
      <c r="Q52" s="20"/>
      <c r="R52" s="20"/>
      <c r="S52" s="20"/>
      <c r="T52" s="20"/>
      <c r="Y52" s="20"/>
    </row>
    <row r="53" spans="1:25">
      <c r="H53" s="20"/>
      <c r="I53" s="20"/>
      <c r="J53" s="20"/>
      <c r="K53" s="20"/>
      <c r="L53" s="20"/>
      <c r="M53" s="20"/>
      <c r="N53" s="20"/>
      <c r="O53" s="20"/>
      <c r="P53" s="20"/>
      <c r="Q53" s="20"/>
      <c r="R53" s="20"/>
      <c r="S53" s="20"/>
      <c r="T53" s="20"/>
      <c r="Y53" s="20"/>
    </row>
    <row r="54" spans="1:25">
      <c r="H54" s="20"/>
      <c r="I54" s="20"/>
      <c r="J54" s="20"/>
      <c r="K54" s="20"/>
      <c r="L54" s="20"/>
      <c r="M54" s="20"/>
      <c r="N54" s="20"/>
      <c r="O54" s="20"/>
      <c r="P54" s="20"/>
      <c r="Q54" s="20"/>
      <c r="R54" s="20"/>
      <c r="S54" s="20"/>
      <c r="T54" s="20"/>
      <c r="Y54" s="20"/>
    </row>
    <row r="55" spans="1:25">
      <c r="H55" s="20"/>
      <c r="N55" s="20"/>
      <c r="O55" s="20"/>
      <c r="P55" s="20"/>
      <c r="Q55" s="20"/>
      <c r="R55" s="20"/>
      <c r="S55" s="20"/>
      <c r="T55" s="20"/>
      <c r="Y55" s="20"/>
    </row>
    <row r="56" spans="1:25">
      <c r="H56" s="20"/>
      <c r="I56" s="20"/>
      <c r="J56" s="20"/>
      <c r="K56" s="20"/>
      <c r="L56" s="20"/>
      <c r="M56" s="20"/>
      <c r="N56" s="20"/>
      <c r="O56" s="20"/>
      <c r="P56" s="20"/>
      <c r="Q56" s="20"/>
      <c r="R56" s="20"/>
      <c r="S56" s="20"/>
      <c r="T56" s="20"/>
      <c r="Y56" s="20"/>
    </row>
    <row r="57" spans="1:25">
      <c r="A57" s="20"/>
      <c r="H57" s="20"/>
      <c r="I57" s="20"/>
      <c r="J57" s="20"/>
      <c r="K57" s="20"/>
      <c r="L57" s="20"/>
      <c r="M57" s="20"/>
      <c r="N57" s="20"/>
      <c r="O57" s="20"/>
      <c r="P57" s="20"/>
      <c r="Q57" s="20"/>
      <c r="R57" s="20"/>
      <c r="S57" s="20"/>
      <c r="T57" s="20"/>
      <c r="Y57" s="20"/>
    </row>
    <row r="58" spans="1:25">
      <c r="B58" s="20"/>
      <c r="C58" s="19"/>
      <c r="D58" s="20"/>
      <c r="E58" s="20"/>
      <c r="F58" s="20"/>
      <c r="G58" s="20"/>
      <c r="H58" s="20"/>
      <c r="I58" s="20"/>
      <c r="J58" s="20"/>
      <c r="K58" s="20"/>
      <c r="L58" s="20"/>
      <c r="M58" s="20"/>
      <c r="N58" s="20"/>
      <c r="O58" s="20"/>
      <c r="P58" s="20"/>
      <c r="Q58" s="20"/>
      <c r="R58" s="20"/>
      <c r="S58" s="20"/>
      <c r="T58" s="20"/>
      <c r="U58" s="20"/>
      <c r="V58" s="20"/>
      <c r="W58" s="20"/>
      <c r="X58" s="20"/>
      <c r="Y58" s="20"/>
    </row>
    <row r="59" spans="1:25">
      <c r="A59" s="23"/>
      <c r="D59" s="20"/>
      <c r="E59" s="20"/>
      <c r="F59" s="20"/>
      <c r="G59" s="20"/>
      <c r="H59" s="20"/>
      <c r="I59" s="20"/>
      <c r="J59" s="20"/>
      <c r="K59" s="20"/>
      <c r="L59" s="20"/>
      <c r="M59" s="20"/>
      <c r="N59" s="20"/>
      <c r="O59" s="20"/>
      <c r="P59" s="20"/>
      <c r="Q59" s="20"/>
      <c r="R59" s="20"/>
      <c r="S59" s="20"/>
      <c r="T59" s="20"/>
      <c r="U59" s="20"/>
      <c r="V59" s="20"/>
      <c r="W59" s="20"/>
      <c r="X59" s="20"/>
      <c r="Y59" s="20"/>
    </row>
    <row r="60" spans="1:25">
      <c r="A60" s="23"/>
      <c r="B60" s="20"/>
      <c r="D60" s="20"/>
      <c r="E60" s="20"/>
      <c r="F60" s="20"/>
      <c r="G60" s="20"/>
      <c r="H60" s="20"/>
      <c r="I60" s="20"/>
      <c r="J60" s="20"/>
      <c r="K60" s="20"/>
      <c r="L60" s="20"/>
      <c r="M60" s="20"/>
      <c r="N60" s="20"/>
      <c r="O60" s="20"/>
      <c r="P60" s="20"/>
      <c r="Q60" s="20"/>
      <c r="R60" s="20"/>
      <c r="S60" s="20"/>
      <c r="T60" s="20"/>
      <c r="U60" s="20"/>
      <c r="V60" s="20"/>
      <c r="W60" s="20"/>
      <c r="X60" s="20"/>
      <c r="Y60" s="20"/>
    </row>
    <row r="61" spans="1:25">
      <c r="A61" s="23"/>
      <c r="B61" s="20"/>
      <c r="D61" s="20"/>
      <c r="E61" s="20"/>
      <c r="F61" s="20"/>
      <c r="G61" s="20"/>
      <c r="H61" s="20"/>
      <c r="I61" s="20"/>
      <c r="J61" s="20"/>
      <c r="K61" s="20"/>
      <c r="L61" s="20"/>
      <c r="M61" s="20"/>
      <c r="N61" s="20"/>
      <c r="O61" s="20"/>
      <c r="P61" s="20"/>
      <c r="Q61" s="20"/>
      <c r="R61" s="20"/>
      <c r="S61" s="20"/>
      <c r="T61" s="20"/>
      <c r="U61" s="20"/>
      <c r="V61" s="20"/>
      <c r="W61" s="20"/>
      <c r="X61" s="20"/>
      <c r="Y61" s="20"/>
    </row>
    <row r="62" spans="1:25">
      <c r="A62" s="23"/>
      <c r="B62" s="20"/>
      <c r="D62" s="20"/>
      <c r="E62" s="20"/>
      <c r="F62" s="20"/>
      <c r="G62" s="20"/>
      <c r="H62" s="20"/>
      <c r="I62" s="20"/>
      <c r="J62" s="20"/>
      <c r="K62" s="20"/>
      <c r="L62" s="20"/>
      <c r="M62" s="20"/>
      <c r="N62" s="20"/>
      <c r="O62" s="20"/>
      <c r="P62" s="20"/>
      <c r="Q62" s="20"/>
      <c r="R62" s="20"/>
      <c r="S62" s="20"/>
      <c r="T62" s="20"/>
      <c r="U62" s="20"/>
      <c r="V62" s="20"/>
      <c r="W62" s="20"/>
      <c r="X62" s="20"/>
      <c r="Y62" s="20"/>
    </row>
    <row r="63" spans="1:25">
      <c r="A63" s="23"/>
      <c r="B63" s="20"/>
      <c r="D63" s="20"/>
      <c r="E63" s="20"/>
      <c r="F63" s="20"/>
      <c r="G63" s="20"/>
      <c r="H63" s="20"/>
      <c r="I63" s="20"/>
      <c r="J63" s="20"/>
      <c r="K63" s="20"/>
      <c r="L63" s="20"/>
      <c r="M63" s="20"/>
      <c r="N63" s="20"/>
      <c r="O63" s="20"/>
      <c r="P63" s="20"/>
      <c r="Q63" s="20"/>
      <c r="R63" s="20"/>
      <c r="S63" s="20"/>
      <c r="T63" s="20"/>
      <c r="U63" s="20"/>
      <c r="V63" s="20"/>
      <c r="W63" s="20"/>
      <c r="X63" s="20"/>
      <c r="Y63" s="20"/>
    </row>
    <row r="64" spans="1:25">
      <c r="A64" s="23"/>
      <c r="B64" s="20"/>
      <c r="D64" s="20"/>
      <c r="E64" s="20"/>
      <c r="F64" s="20"/>
      <c r="G64" s="20"/>
      <c r="H64" s="20"/>
      <c r="I64" s="20"/>
      <c r="J64" s="20"/>
      <c r="K64" s="20"/>
      <c r="L64" s="20"/>
      <c r="M64" s="20"/>
      <c r="N64" s="20"/>
      <c r="O64" s="20"/>
      <c r="P64" s="20"/>
      <c r="Q64" s="20"/>
      <c r="R64" s="20"/>
      <c r="S64" s="20"/>
      <c r="T64" s="20"/>
      <c r="U64" s="20"/>
      <c r="V64" s="20"/>
      <c r="W64" s="20"/>
      <c r="X64" s="20"/>
      <c r="Y64" s="20"/>
    </row>
    <row r="65" spans="1:25">
      <c r="A65" s="23"/>
      <c r="B65" s="20"/>
      <c r="D65" s="20"/>
      <c r="E65" s="20"/>
      <c r="F65" s="20"/>
      <c r="G65" s="20"/>
      <c r="H65" s="20"/>
      <c r="I65" s="20"/>
      <c r="J65" s="20"/>
      <c r="K65" s="20"/>
      <c r="L65" s="20"/>
      <c r="M65" s="20"/>
      <c r="N65" s="20"/>
      <c r="O65" s="20"/>
      <c r="P65" s="20"/>
      <c r="Q65" s="20"/>
      <c r="R65" s="20"/>
      <c r="S65" s="20"/>
      <c r="T65" s="20"/>
      <c r="U65" s="20"/>
      <c r="V65" s="20"/>
      <c r="W65" s="20"/>
      <c r="X65" s="20"/>
      <c r="Y65" s="20"/>
    </row>
    <row r="66" spans="1:25">
      <c r="A66" s="23"/>
      <c r="B66" s="20"/>
      <c r="D66" s="20"/>
      <c r="E66" s="20"/>
      <c r="F66" s="20"/>
      <c r="G66" s="20"/>
      <c r="H66" s="20"/>
      <c r="I66" s="20"/>
      <c r="J66" s="20"/>
      <c r="K66" s="20"/>
      <c r="L66" s="20"/>
      <c r="M66" s="20"/>
      <c r="N66" s="20"/>
      <c r="O66" s="20"/>
      <c r="P66" s="20"/>
      <c r="Q66" s="20"/>
      <c r="R66" s="20"/>
      <c r="S66" s="20"/>
      <c r="T66" s="20"/>
      <c r="U66" s="20"/>
      <c r="V66" s="20"/>
      <c r="W66" s="20"/>
      <c r="X66" s="20"/>
      <c r="Y66" s="20"/>
    </row>
    <row r="67" spans="1:25">
      <c r="A67" s="23">
        <v>2</v>
      </c>
      <c r="B67" s="22" t="s">
        <v>376</v>
      </c>
      <c r="C67" s="20"/>
      <c r="D67" s="20"/>
      <c r="E67" s="20"/>
      <c r="F67" s="20"/>
      <c r="G67" s="20"/>
      <c r="H67" s="20"/>
      <c r="I67" s="20"/>
      <c r="J67" s="20"/>
      <c r="K67" s="20"/>
      <c r="L67" s="20"/>
      <c r="M67" s="20"/>
      <c r="N67" s="20"/>
      <c r="O67" s="20"/>
      <c r="P67" s="20"/>
      <c r="Q67" s="20"/>
      <c r="R67" s="20"/>
      <c r="S67" s="20"/>
      <c r="T67" s="20"/>
      <c r="U67" s="20"/>
      <c r="V67" s="20"/>
      <c r="W67" s="20"/>
      <c r="X67" s="20"/>
      <c r="Y67" s="20"/>
    </row>
    <row r="68" spans="1:25">
      <c r="A68" s="23"/>
      <c r="C68" s="20"/>
      <c r="D68" s="20"/>
      <c r="E68" s="20"/>
      <c r="F68" s="20"/>
      <c r="G68" s="20"/>
      <c r="H68" s="20"/>
      <c r="I68" s="20"/>
      <c r="J68" s="20"/>
      <c r="K68" s="20"/>
      <c r="L68" s="20"/>
      <c r="M68" s="20"/>
      <c r="N68" s="20"/>
      <c r="O68" s="20"/>
      <c r="P68" s="20"/>
      <c r="Q68" s="20"/>
      <c r="R68" s="20"/>
      <c r="S68" s="20"/>
      <c r="T68" s="20"/>
      <c r="U68" s="20"/>
      <c r="V68" s="20"/>
      <c r="W68" s="20"/>
      <c r="X68" s="20"/>
      <c r="Y68" s="20"/>
    </row>
    <row r="69" spans="1:25" ht="12.75" customHeight="1">
      <c r="A69" s="23"/>
      <c r="B69" s="921" t="s">
        <v>374</v>
      </c>
      <c r="C69" s="922"/>
      <c r="D69" s="923"/>
      <c r="E69" s="960" t="s">
        <v>375</v>
      </c>
      <c r="F69" s="960"/>
      <c r="G69" s="20"/>
      <c r="H69" s="944" t="s">
        <v>377</v>
      </c>
      <c r="I69" s="944"/>
      <c r="J69" s="944"/>
      <c r="K69" s="944"/>
      <c r="L69" s="944"/>
      <c r="M69" s="944"/>
      <c r="N69" s="944"/>
      <c r="O69" s="944"/>
      <c r="P69" s="944"/>
      <c r="Q69" s="944"/>
      <c r="R69" s="20"/>
      <c r="S69" s="20"/>
      <c r="T69" s="20"/>
      <c r="U69" s="20"/>
      <c r="V69" s="20"/>
      <c r="W69" s="20"/>
      <c r="X69" s="20"/>
      <c r="Y69" s="20"/>
    </row>
    <row r="70" spans="1:25">
      <c r="A70" s="23"/>
      <c r="B70" s="924" t="s">
        <v>15</v>
      </c>
      <c r="C70" s="925"/>
      <c r="D70" s="926"/>
      <c r="E70" s="927">
        <v>8.57</v>
      </c>
      <c r="F70" s="927"/>
      <c r="G70" s="20"/>
      <c r="H70" s="944"/>
      <c r="I70" s="944"/>
      <c r="J70" s="944"/>
      <c r="K70" s="944"/>
      <c r="L70" s="944"/>
      <c r="M70" s="944"/>
      <c r="N70" s="944"/>
      <c r="O70" s="944"/>
      <c r="P70" s="944"/>
      <c r="Q70" s="944"/>
      <c r="R70" s="20"/>
      <c r="S70" s="20"/>
      <c r="T70" s="20"/>
      <c r="U70" s="20"/>
      <c r="V70" s="20"/>
      <c r="W70" s="20"/>
      <c r="X70" s="20"/>
      <c r="Y70" s="20"/>
    </row>
    <row r="71" spans="1:25">
      <c r="A71" s="23"/>
      <c r="B71" s="924" t="s">
        <v>28</v>
      </c>
      <c r="C71" s="925"/>
      <c r="D71" s="926"/>
      <c r="E71" s="927">
        <v>3.81</v>
      </c>
      <c r="F71" s="927"/>
      <c r="G71" s="20"/>
      <c r="H71" s="944"/>
      <c r="I71" s="944"/>
      <c r="J71" s="944"/>
      <c r="K71" s="944"/>
      <c r="L71" s="944"/>
      <c r="M71" s="944"/>
      <c r="N71" s="944"/>
      <c r="O71" s="944"/>
      <c r="P71" s="944"/>
      <c r="Q71" s="944"/>
      <c r="R71" s="20"/>
      <c r="S71" s="20"/>
      <c r="T71" s="20"/>
      <c r="U71" s="20"/>
      <c r="V71" s="20"/>
      <c r="W71" s="20"/>
      <c r="X71" s="20"/>
      <c r="Y71" s="20"/>
    </row>
    <row r="72" spans="1:25">
      <c r="A72" s="23"/>
      <c r="B72" s="924" t="s">
        <v>29</v>
      </c>
      <c r="C72" s="925"/>
      <c r="D72" s="926"/>
      <c r="E72" s="927">
        <v>4.76</v>
      </c>
      <c r="F72" s="927"/>
      <c r="G72" s="20"/>
      <c r="H72" s="944"/>
      <c r="I72" s="944"/>
      <c r="J72" s="944"/>
      <c r="K72" s="944"/>
      <c r="L72" s="944"/>
      <c r="M72" s="944"/>
      <c r="N72" s="944"/>
      <c r="O72" s="944"/>
      <c r="P72" s="944"/>
      <c r="Q72" s="944"/>
      <c r="R72" s="20"/>
      <c r="S72" s="20"/>
      <c r="T72" s="20"/>
      <c r="U72" s="20"/>
      <c r="V72" s="20"/>
      <c r="W72" s="20"/>
      <c r="X72" s="20"/>
      <c r="Y72" s="20"/>
    </row>
    <row r="73" spans="1:25">
      <c r="A73" s="23"/>
      <c r="B73" s="924" t="s">
        <v>30</v>
      </c>
      <c r="C73" s="925"/>
      <c r="D73" s="926"/>
      <c r="E73" s="927">
        <v>11.43</v>
      </c>
      <c r="F73" s="927"/>
      <c r="G73" s="20"/>
      <c r="H73" s="92"/>
      <c r="I73" s="92"/>
      <c r="J73" s="92"/>
      <c r="K73" s="92"/>
      <c r="L73" s="92"/>
      <c r="M73" s="92"/>
      <c r="N73" s="92"/>
      <c r="O73" s="92"/>
      <c r="P73" s="92"/>
      <c r="Q73" s="92"/>
      <c r="R73" s="20"/>
      <c r="S73" s="20"/>
      <c r="T73" s="20"/>
      <c r="U73" s="20"/>
      <c r="V73" s="20"/>
      <c r="W73" s="20"/>
      <c r="X73" s="20"/>
      <c r="Y73" s="20"/>
    </row>
    <row r="74" spans="1:25">
      <c r="A74" s="23"/>
      <c r="B74" s="924" t="s">
        <v>135</v>
      </c>
      <c r="C74" s="925"/>
      <c r="D74" s="926"/>
      <c r="E74" s="927">
        <v>3.81</v>
      </c>
      <c r="F74" s="927"/>
      <c r="G74" s="20"/>
      <c r="R74" s="20"/>
      <c r="S74" s="20"/>
      <c r="T74" s="20"/>
      <c r="U74" s="20"/>
      <c r="V74" s="20"/>
      <c r="W74" s="20"/>
      <c r="X74" s="20"/>
      <c r="Y74" s="20"/>
    </row>
    <row r="75" spans="1:25">
      <c r="A75" s="23"/>
      <c r="B75" s="924" t="s">
        <v>12</v>
      </c>
      <c r="C75" s="925"/>
      <c r="D75" s="926"/>
      <c r="E75" s="927">
        <v>42.86</v>
      </c>
      <c r="F75" s="927"/>
      <c r="G75" s="20"/>
      <c r="R75" s="20"/>
      <c r="S75" s="20"/>
      <c r="T75" s="20"/>
      <c r="U75" s="20"/>
      <c r="V75" s="20"/>
      <c r="W75" s="20"/>
      <c r="X75" s="20"/>
      <c r="Y75" s="20"/>
    </row>
    <row r="76" spans="1:25">
      <c r="A76" s="23"/>
      <c r="B76" s="924" t="s">
        <v>8</v>
      </c>
      <c r="C76" s="925"/>
      <c r="D76" s="926"/>
      <c r="E76" s="927">
        <v>17.14</v>
      </c>
      <c r="F76" s="927"/>
      <c r="G76" s="20"/>
      <c r="R76" s="20"/>
      <c r="S76" s="20"/>
      <c r="T76" s="20"/>
      <c r="U76" s="20"/>
      <c r="V76" s="20"/>
      <c r="W76" s="20"/>
      <c r="X76" s="20"/>
      <c r="Y76" s="20"/>
    </row>
    <row r="77" spans="1:25">
      <c r="A77" s="23"/>
      <c r="B77" s="924" t="s">
        <v>31</v>
      </c>
      <c r="C77" s="925"/>
      <c r="D77" s="926"/>
      <c r="E77" s="927">
        <v>7.62</v>
      </c>
      <c r="F77" s="927"/>
      <c r="G77" s="20"/>
      <c r="H77" s="20"/>
      <c r="I77" s="20"/>
      <c r="J77" s="20"/>
      <c r="K77" s="20"/>
      <c r="L77" s="20"/>
      <c r="M77" s="20"/>
      <c r="N77" s="20"/>
      <c r="O77" s="20"/>
      <c r="P77" s="20"/>
      <c r="Q77" s="20"/>
      <c r="R77" s="20"/>
      <c r="S77" s="20"/>
      <c r="T77" s="20"/>
      <c r="U77" s="20"/>
      <c r="V77" s="20"/>
      <c r="W77" s="20"/>
      <c r="X77" s="20"/>
      <c r="Y77" s="20"/>
    </row>
    <row r="78" spans="1:25">
      <c r="A78" s="23"/>
      <c r="B78" s="924" t="s">
        <v>32</v>
      </c>
      <c r="C78" s="925"/>
      <c r="D78" s="926"/>
      <c r="E78" s="927">
        <v>114.29</v>
      </c>
      <c r="F78" s="927"/>
      <c r="G78" s="20"/>
      <c r="R78" s="20"/>
      <c r="S78" s="20"/>
      <c r="T78" s="20"/>
      <c r="U78" s="20"/>
      <c r="V78" s="20"/>
      <c r="W78" s="20"/>
      <c r="X78" s="20"/>
      <c r="Y78" s="20"/>
    </row>
    <row r="79" spans="1:25">
      <c r="A79" s="23"/>
      <c r="B79" s="924" t="s">
        <v>136</v>
      </c>
      <c r="C79" s="925"/>
      <c r="D79" s="926"/>
      <c r="E79" s="927">
        <v>4.76</v>
      </c>
      <c r="F79" s="927"/>
      <c r="G79" s="20"/>
      <c r="R79" s="20"/>
      <c r="S79" s="20"/>
      <c r="T79" s="20"/>
      <c r="U79" s="20"/>
      <c r="V79" s="20"/>
      <c r="W79" s="20"/>
      <c r="X79" s="20"/>
      <c r="Y79" s="20"/>
    </row>
    <row r="80" spans="1:25">
      <c r="A80" s="23"/>
      <c r="B80" s="924" t="s">
        <v>33</v>
      </c>
      <c r="C80" s="925"/>
      <c r="D80" s="926"/>
      <c r="E80" s="927">
        <v>4.76</v>
      </c>
      <c r="F80" s="927"/>
      <c r="G80" s="20"/>
      <c r="R80" s="20"/>
      <c r="S80" s="20"/>
      <c r="T80" s="20"/>
      <c r="U80" s="20"/>
      <c r="V80" s="20"/>
      <c r="W80" s="20"/>
      <c r="X80" s="20"/>
      <c r="Y80" s="20"/>
    </row>
    <row r="81" spans="1:25">
      <c r="A81" s="23"/>
      <c r="B81" s="924" t="s">
        <v>34</v>
      </c>
      <c r="C81" s="925"/>
      <c r="D81" s="926"/>
      <c r="E81" s="927">
        <v>58.1</v>
      </c>
      <c r="F81" s="927"/>
      <c r="G81" s="20"/>
      <c r="R81" s="20"/>
      <c r="S81" s="20"/>
      <c r="T81" s="20"/>
      <c r="U81" s="20"/>
      <c r="V81" s="20"/>
      <c r="W81" s="20"/>
      <c r="X81" s="20"/>
      <c r="Y81" s="20"/>
    </row>
    <row r="82" spans="1:25">
      <c r="A82" s="23"/>
      <c r="B82" s="924" t="s">
        <v>137</v>
      </c>
      <c r="C82" s="925"/>
      <c r="D82" s="926"/>
      <c r="E82" s="927">
        <v>19.05</v>
      </c>
      <c r="F82" s="927"/>
      <c r="G82" s="20"/>
      <c r="R82" s="20"/>
      <c r="S82" s="20"/>
      <c r="T82" s="20"/>
      <c r="U82" s="20"/>
      <c r="V82" s="20"/>
      <c r="W82" s="20"/>
      <c r="X82" s="20"/>
      <c r="Y82" s="20"/>
    </row>
    <row r="83" spans="1:25">
      <c r="A83" s="23"/>
      <c r="D83" s="20"/>
      <c r="E83" s="20"/>
      <c r="F83" s="20"/>
      <c r="G83" s="20"/>
      <c r="H83" s="20"/>
      <c r="I83" s="20"/>
      <c r="J83" s="20"/>
      <c r="K83" s="20"/>
      <c r="L83" s="20"/>
      <c r="M83" s="20"/>
      <c r="N83" s="20"/>
      <c r="O83" s="20"/>
      <c r="P83" s="20"/>
      <c r="Q83" s="20"/>
      <c r="R83" s="20"/>
      <c r="S83" s="20"/>
      <c r="T83" s="20"/>
      <c r="U83" s="20"/>
      <c r="V83" s="20"/>
      <c r="W83" s="20"/>
      <c r="X83" s="20"/>
      <c r="Y83" s="20"/>
    </row>
    <row r="84" spans="1:25" ht="18.75">
      <c r="A84" s="48" t="s">
        <v>556</v>
      </c>
      <c r="B84" s="48" t="s">
        <v>557</v>
      </c>
      <c r="C84" s="52"/>
      <c r="D84" s="52"/>
      <c r="E84" s="52"/>
      <c r="F84" s="52"/>
      <c r="G84" s="52"/>
      <c r="H84" s="52"/>
      <c r="I84" s="52"/>
      <c r="J84" s="52"/>
      <c r="K84" s="52"/>
      <c r="L84" s="52"/>
      <c r="M84" s="52"/>
      <c r="N84" s="52"/>
      <c r="O84" s="52"/>
      <c r="P84" s="52"/>
      <c r="Q84" s="52"/>
      <c r="R84" s="20"/>
      <c r="S84" s="20"/>
      <c r="T84" s="20"/>
      <c r="U84" s="20"/>
      <c r="V84" s="20"/>
      <c r="W84" s="20"/>
      <c r="X84" s="20"/>
      <c r="Y84" s="20"/>
    </row>
    <row r="85" spans="1:25">
      <c r="A85" s="20"/>
      <c r="B85" s="20"/>
      <c r="C85" s="20"/>
      <c r="D85" s="20"/>
      <c r="E85" s="20"/>
      <c r="F85" s="20"/>
      <c r="G85" s="20"/>
      <c r="H85" s="20"/>
      <c r="I85" s="20"/>
      <c r="J85" s="20"/>
      <c r="K85" s="20"/>
      <c r="L85" s="20"/>
      <c r="M85" s="20"/>
      <c r="N85" s="20"/>
      <c r="O85" s="20"/>
      <c r="P85" s="20"/>
      <c r="Q85" s="20"/>
      <c r="R85" s="20"/>
      <c r="S85" s="20"/>
      <c r="T85" s="20"/>
      <c r="U85" s="20"/>
      <c r="V85" s="20"/>
      <c r="W85" s="20"/>
      <c r="X85" s="20"/>
      <c r="Y85" s="20"/>
    </row>
    <row r="86" spans="1:25">
      <c r="A86" s="21">
        <v>1</v>
      </c>
      <c r="B86" s="21" t="s">
        <v>47</v>
      </c>
      <c r="C86" s="21"/>
      <c r="D86" s="21"/>
      <c r="E86" s="21"/>
      <c r="F86" s="21"/>
      <c r="G86" s="21"/>
      <c r="H86" s="21"/>
      <c r="I86" s="21"/>
      <c r="J86" s="21"/>
      <c r="K86" s="21"/>
      <c r="L86" s="21"/>
      <c r="M86" s="21"/>
      <c r="N86" s="21"/>
      <c r="O86" s="21"/>
      <c r="P86" s="21"/>
      <c r="Q86" s="21"/>
      <c r="R86" s="20"/>
      <c r="S86" s="21"/>
      <c r="T86" s="20"/>
      <c r="U86" s="20"/>
      <c r="V86" s="20"/>
      <c r="W86" s="20"/>
      <c r="X86" s="20"/>
      <c r="Y86" s="20"/>
    </row>
    <row r="87" spans="1:25">
      <c r="A87" s="21"/>
      <c r="B87" s="22" t="s">
        <v>76</v>
      </c>
      <c r="C87" s="53" t="s">
        <v>160</v>
      </c>
      <c r="O87" s="21"/>
      <c r="P87" s="21"/>
      <c r="Q87" s="21"/>
      <c r="R87" s="21"/>
      <c r="S87" s="21"/>
      <c r="T87" s="20"/>
      <c r="U87" s="20"/>
      <c r="V87" s="20"/>
      <c r="W87" s="20"/>
      <c r="X87" s="20"/>
      <c r="Y87" s="20"/>
    </row>
    <row r="88" spans="1:25">
      <c r="A88" s="21"/>
      <c r="B88" s="21"/>
      <c r="C88" s="21" t="s">
        <v>49</v>
      </c>
      <c r="F88" s="21" t="s">
        <v>153</v>
      </c>
      <c r="G88" s="21"/>
      <c r="H88" s="21"/>
      <c r="I88" s="21"/>
      <c r="J88" s="21"/>
      <c r="K88" s="21"/>
      <c r="L88" s="21"/>
      <c r="M88" s="21"/>
      <c r="N88" s="21"/>
      <c r="O88" s="21"/>
      <c r="P88" s="21"/>
      <c r="Q88" s="21"/>
      <c r="R88" s="21"/>
      <c r="S88" s="21"/>
      <c r="T88" s="20"/>
      <c r="U88" s="20"/>
      <c r="V88" s="20"/>
      <c r="W88" s="20"/>
      <c r="X88" s="20"/>
      <c r="Y88" s="20"/>
    </row>
    <row r="89" spans="1:25">
      <c r="A89" s="21"/>
      <c r="B89" s="21"/>
      <c r="C89" s="21"/>
      <c r="F89" s="21" t="s">
        <v>154</v>
      </c>
      <c r="G89" s="21"/>
      <c r="H89" s="21"/>
      <c r="I89" s="21"/>
      <c r="J89" s="21"/>
      <c r="K89" s="21"/>
      <c r="L89" s="21"/>
      <c r="M89" s="21"/>
      <c r="N89" s="21"/>
      <c r="O89" s="21"/>
      <c r="P89" s="21"/>
      <c r="Q89" s="21"/>
      <c r="R89" s="21"/>
      <c r="S89" s="21"/>
      <c r="T89" s="20"/>
      <c r="U89" s="20"/>
      <c r="V89" s="20"/>
      <c r="W89" s="20"/>
      <c r="X89" s="20"/>
      <c r="Y89" s="20"/>
    </row>
    <row r="90" spans="1:25">
      <c r="A90" s="21"/>
      <c r="B90" s="21"/>
      <c r="C90" s="21"/>
      <c r="F90" s="21"/>
      <c r="G90" s="21"/>
      <c r="H90" s="21"/>
      <c r="I90" s="21"/>
      <c r="J90" s="21"/>
      <c r="K90" s="21"/>
      <c r="L90" s="21"/>
      <c r="M90" s="21"/>
      <c r="N90" s="21"/>
      <c r="O90" s="21"/>
      <c r="P90" s="21"/>
      <c r="Q90" s="21"/>
      <c r="R90" s="21"/>
      <c r="S90" s="21"/>
      <c r="T90" s="20"/>
      <c r="U90" s="20"/>
      <c r="V90" s="20"/>
      <c r="W90" s="20"/>
      <c r="X90" s="20"/>
      <c r="Y90" s="20"/>
    </row>
    <row r="91" spans="1:25">
      <c r="A91" s="21"/>
      <c r="B91" s="21"/>
      <c r="C91" s="21" t="s">
        <v>150</v>
      </c>
      <c r="F91" s="21" t="s">
        <v>155</v>
      </c>
      <c r="G91" s="21"/>
      <c r="H91" s="21"/>
      <c r="I91" s="21"/>
      <c r="J91" s="21"/>
      <c r="K91" s="21"/>
      <c r="L91" s="21"/>
      <c r="M91" s="21"/>
      <c r="N91" s="21"/>
      <c r="O91" s="21"/>
      <c r="P91" s="21"/>
      <c r="Q91" s="21"/>
      <c r="R91" s="21"/>
      <c r="S91" s="21"/>
      <c r="T91" s="20"/>
      <c r="U91" s="20"/>
      <c r="V91" s="20"/>
      <c r="W91" s="20"/>
      <c r="X91" s="20"/>
      <c r="Y91" s="20"/>
    </row>
    <row r="92" spans="1:25">
      <c r="A92" s="21"/>
      <c r="B92" s="21"/>
      <c r="C92" s="21"/>
      <c r="F92" s="21" t="s">
        <v>156</v>
      </c>
      <c r="G92" s="21"/>
      <c r="H92" s="21"/>
      <c r="I92" s="21"/>
      <c r="J92" s="21"/>
      <c r="K92" s="21"/>
      <c r="L92" s="21"/>
      <c r="M92" s="21"/>
      <c r="N92" s="21"/>
      <c r="O92" s="21"/>
      <c r="P92" s="21"/>
      <c r="Q92" s="21"/>
      <c r="R92" s="21"/>
      <c r="S92" s="21"/>
      <c r="T92" s="20"/>
      <c r="U92" s="20"/>
      <c r="V92" s="20"/>
      <c r="W92" s="20"/>
      <c r="X92" s="20"/>
      <c r="Y92" s="20"/>
    </row>
    <row r="93" spans="1:25">
      <c r="A93" s="21"/>
      <c r="B93" s="21"/>
      <c r="C93" s="21"/>
      <c r="F93" s="21" t="s">
        <v>157</v>
      </c>
      <c r="G93" s="21"/>
      <c r="H93" s="21"/>
      <c r="I93" s="21"/>
      <c r="J93" s="21"/>
      <c r="K93" s="21"/>
      <c r="L93" s="21"/>
      <c r="M93" s="21"/>
      <c r="N93" s="21"/>
      <c r="O93" s="21"/>
      <c r="P93" s="21"/>
      <c r="Q93" s="21"/>
      <c r="R93" s="21"/>
      <c r="S93" s="21"/>
      <c r="T93" s="20"/>
      <c r="U93" s="20"/>
      <c r="V93" s="20"/>
      <c r="W93" s="20"/>
      <c r="X93" s="20"/>
      <c r="Y93" s="20"/>
    </row>
    <row r="94" spans="1:25">
      <c r="A94" s="21"/>
      <c r="B94" s="21"/>
      <c r="C94" s="21"/>
      <c r="F94" s="21" t="s">
        <v>158</v>
      </c>
      <c r="G94" s="21"/>
      <c r="H94" s="21"/>
      <c r="I94" s="21"/>
      <c r="J94" s="21"/>
      <c r="K94" s="21"/>
      <c r="L94" s="21"/>
      <c r="M94" s="21"/>
      <c r="N94" s="21"/>
      <c r="O94" s="21"/>
      <c r="P94" s="21"/>
      <c r="Q94" s="21"/>
      <c r="R94" s="21"/>
      <c r="S94" s="21"/>
      <c r="T94" s="20"/>
      <c r="U94" s="20"/>
      <c r="V94" s="20"/>
      <c r="W94" s="20"/>
      <c r="X94" s="20"/>
      <c r="Y94" s="20"/>
    </row>
    <row r="95" spans="1:25">
      <c r="A95" s="21"/>
      <c r="B95" s="21"/>
      <c r="C95" s="21"/>
      <c r="F95" s="21"/>
      <c r="G95" s="21"/>
      <c r="H95" s="21"/>
      <c r="I95" s="21"/>
      <c r="J95" s="21"/>
      <c r="K95" s="21"/>
      <c r="L95" s="21"/>
      <c r="M95" s="21"/>
      <c r="N95" s="21"/>
      <c r="O95" s="21"/>
      <c r="P95" s="21"/>
      <c r="Q95" s="21"/>
      <c r="R95" s="21"/>
      <c r="S95" s="21"/>
      <c r="T95" s="20"/>
      <c r="U95" s="20"/>
      <c r="V95" s="20"/>
      <c r="W95" s="20"/>
      <c r="X95" s="20"/>
      <c r="Y95" s="20"/>
    </row>
    <row r="96" spans="1:25">
      <c r="A96" s="21"/>
      <c r="B96" s="21"/>
      <c r="C96" s="21" t="s">
        <v>151</v>
      </c>
      <c r="F96" s="21" t="s">
        <v>159</v>
      </c>
      <c r="G96" s="21"/>
      <c r="H96" s="21"/>
      <c r="I96" s="21"/>
      <c r="J96" s="21"/>
      <c r="K96" s="21"/>
      <c r="L96" s="21"/>
      <c r="M96" s="21"/>
      <c r="N96" s="21"/>
      <c r="O96" s="21"/>
      <c r="P96" s="21"/>
      <c r="Q96" s="21"/>
      <c r="R96" s="21"/>
      <c r="S96" s="21"/>
      <c r="T96" s="20"/>
      <c r="U96" s="20"/>
      <c r="V96" s="20"/>
      <c r="W96" s="20"/>
      <c r="X96" s="20"/>
      <c r="Y96" s="20"/>
    </row>
    <row r="97" spans="1:25">
      <c r="A97" s="21"/>
      <c r="B97" s="21"/>
      <c r="C97" s="21"/>
      <c r="D97" s="21"/>
      <c r="E97" s="21"/>
      <c r="F97" s="21"/>
      <c r="G97" s="21"/>
      <c r="H97" s="21"/>
      <c r="I97" s="21"/>
      <c r="J97" s="21"/>
      <c r="K97" s="21"/>
      <c r="L97" s="21"/>
      <c r="M97" s="21"/>
      <c r="N97" s="21"/>
      <c r="O97" s="21"/>
      <c r="P97" s="21"/>
      <c r="Q97" s="21"/>
      <c r="R97" s="21"/>
      <c r="S97" s="21"/>
      <c r="T97" s="20"/>
      <c r="U97" s="20"/>
      <c r="V97" s="20"/>
      <c r="W97" s="20"/>
      <c r="X97" s="20"/>
      <c r="Y97" s="20"/>
    </row>
    <row r="98" spans="1:25">
      <c r="A98" s="21"/>
      <c r="B98" s="21"/>
      <c r="C98" s="21"/>
      <c r="D98" s="21"/>
      <c r="E98" s="21"/>
      <c r="F98" s="21"/>
      <c r="G98" s="21"/>
      <c r="H98" s="21"/>
      <c r="I98" s="21"/>
      <c r="J98" s="21"/>
      <c r="K98" s="21"/>
      <c r="L98" s="21"/>
      <c r="M98" s="21"/>
      <c r="N98" s="21"/>
      <c r="O98" s="21"/>
      <c r="P98" s="21"/>
      <c r="Q98" s="21"/>
      <c r="R98" s="21"/>
      <c r="S98" s="21"/>
      <c r="T98" s="20"/>
      <c r="U98" s="20"/>
      <c r="V98" s="20"/>
      <c r="W98" s="20"/>
      <c r="X98" s="20"/>
      <c r="Y98" s="20"/>
    </row>
    <row r="99" spans="1:25">
      <c r="A99" s="21"/>
      <c r="B99" s="22" t="s">
        <v>77</v>
      </c>
      <c r="C99" s="53" t="s">
        <v>161</v>
      </c>
      <c r="E99" s="45"/>
      <c r="F99" s="45"/>
      <c r="G99" s="45"/>
      <c r="H99" s="45"/>
      <c r="I99" s="45"/>
      <c r="J99" s="45"/>
      <c r="K99" s="45"/>
      <c r="L99" s="45"/>
      <c r="M99" s="45"/>
      <c r="N99" s="45"/>
      <c r="O99" s="21"/>
      <c r="P99" s="21"/>
      <c r="Q99" s="21"/>
      <c r="R99" s="21"/>
      <c r="S99" s="21"/>
      <c r="T99" s="20"/>
      <c r="U99" s="20"/>
      <c r="V99" s="20"/>
      <c r="W99" s="20"/>
      <c r="X99" s="20"/>
      <c r="Y99" s="20"/>
    </row>
    <row r="100" spans="1:25">
      <c r="A100" s="21"/>
      <c r="B100" s="21"/>
      <c r="C100" s="21" t="s">
        <v>162</v>
      </c>
      <c r="D100" s="21"/>
      <c r="E100" s="21"/>
      <c r="F100" s="46" t="s">
        <v>163</v>
      </c>
      <c r="G100" s="21"/>
      <c r="H100" s="21"/>
      <c r="I100" s="21"/>
      <c r="J100" s="21"/>
      <c r="K100" s="21"/>
      <c r="L100" s="21"/>
      <c r="M100" s="21"/>
      <c r="N100" s="21"/>
      <c r="O100" s="21"/>
      <c r="P100" s="21"/>
      <c r="Q100" s="21"/>
      <c r="R100" s="21"/>
      <c r="S100" s="21"/>
      <c r="T100" s="20"/>
      <c r="U100" s="20"/>
      <c r="V100" s="20"/>
      <c r="W100" s="20"/>
      <c r="X100" s="20"/>
      <c r="Y100" s="20"/>
    </row>
    <row r="101" spans="1:25">
      <c r="A101" s="45"/>
      <c r="B101" s="45"/>
      <c r="C101" s="45"/>
      <c r="D101" s="45"/>
      <c r="E101" s="45"/>
      <c r="F101" s="46" t="s">
        <v>164</v>
      </c>
      <c r="G101" s="45"/>
      <c r="H101" s="45"/>
      <c r="I101" s="45"/>
      <c r="J101" s="45"/>
      <c r="K101" s="45"/>
      <c r="L101" s="45"/>
      <c r="M101" s="45"/>
      <c r="N101" s="45"/>
      <c r="O101" s="45"/>
      <c r="P101" s="45"/>
      <c r="Q101" s="45"/>
      <c r="R101" s="45"/>
      <c r="S101" s="45"/>
      <c r="T101" s="20"/>
      <c r="U101" s="20"/>
      <c r="V101" s="20"/>
      <c r="W101" s="20"/>
      <c r="X101" s="20"/>
      <c r="Y101" s="20"/>
    </row>
    <row r="102" spans="1:25">
      <c r="A102" s="45"/>
      <c r="B102" s="45"/>
      <c r="C102" s="45"/>
      <c r="D102" s="45"/>
      <c r="E102" s="45"/>
      <c r="F102" s="46" t="s">
        <v>165</v>
      </c>
      <c r="G102" s="45"/>
      <c r="H102" s="45"/>
      <c r="I102" s="45"/>
      <c r="J102" s="45"/>
      <c r="K102" s="45"/>
      <c r="L102" s="45"/>
      <c r="M102" s="45"/>
      <c r="N102" s="45"/>
      <c r="O102" s="45"/>
      <c r="P102" s="45"/>
      <c r="Q102" s="45"/>
      <c r="R102" s="45"/>
      <c r="S102" s="45"/>
      <c r="T102" s="20"/>
      <c r="U102" s="20"/>
      <c r="V102" s="20"/>
      <c r="W102" s="20"/>
      <c r="X102" s="20"/>
      <c r="Y102" s="20"/>
    </row>
    <row r="103" spans="1:25">
      <c r="A103" s="45"/>
      <c r="B103" s="45"/>
      <c r="C103" s="45"/>
      <c r="D103" s="45"/>
      <c r="E103" s="45"/>
      <c r="F103" s="46" t="s">
        <v>166</v>
      </c>
      <c r="G103" s="45"/>
      <c r="H103" s="45"/>
      <c r="I103" s="45"/>
      <c r="J103" s="45"/>
      <c r="K103" s="45"/>
      <c r="L103" s="45"/>
      <c r="M103" s="45"/>
      <c r="N103" s="45"/>
      <c r="O103" s="45"/>
      <c r="P103" s="45"/>
      <c r="Q103" s="45"/>
      <c r="R103" s="45"/>
      <c r="S103" s="45"/>
      <c r="T103" s="20"/>
      <c r="U103" s="20"/>
      <c r="V103" s="20"/>
      <c r="W103" s="20"/>
      <c r="X103" s="20"/>
      <c r="Y103" s="20"/>
    </row>
    <row r="104" spans="1:25">
      <c r="A104" s="45"/>
      <c r="B104" s="45"/>
      <c r="C104" s="45"/>
      <c r="D104" s="45"/>
      <c r="E104" s="45"/>
      <c r="F104" s="46"/>
      <c r="G104" s="45"/>
      <c r="H104" s="45"/>
      <c r="I104" s="45"/>
      <c r="J104" s="45"/>
      <c r="K104" s="45"/>
      <c r="L104" s="45"/>
      <c r="M104" s="45"/>
      <c r="N104" s="45"/>
      <c r="O104" s="45"/>
      <c r="P104" s="45"/>
      <c r="Q104" s="45"/>
      <c r="R104" s="45"/>
      <c r="S104" s="45"/>
      <c r="T104" s="20"/>
      <c r="U104" s="20"/>
      <c r="V104" s="20"/>
      <c r="W104" s="20"/>
      <c r="X104" s="20"/>
      <c r="Y104" s="20"/>
    </row>
    <row r="105" spans="1:25">
      <c r="A105" s="21"/>
      <c r="B105" s="347" t="s">
        <v>167</v>
      </c>
      <c r="C105" s="21"/>
      <c r="D105" s="21"/>
      <c r="E105" s="21"/>
      <c r="F105" s="21"/>
      <c r="G105" s="21"/>
      <c r="H105" s="21"/>
      <c r="I105" s="21"/>
      <c r="J105" s="21"/>
      <c r="K105" s="21"/>
      <c r="L105" s="21"/>
      <c r="M105" s="21"/>
      <c r="N105" s="21"/>
      <c r="O105" s="21"/>
      <c r="P105" s="21"/>
      <c r="Q105" s="21"/>
      <c r="R105" s="21"/>
      <c r="S105" s="21"/>
      <c r="T105" s="20"/>
      <c r="U105" s="20"/>
      <c r="V105" s="20"/>
      <c r="W105" s="20"/>
      <c r="X105" s="20"/>
      <c r="Y105" s="20"/>
    </row>
    <row r="106" spans="1:25" ht="48">
      <c r="A106" s="20"/>
      <c r="B106" s="941" t="s">
        <v>147</v>
      </c>
      <c r="C106" s="942"/>
      <c r="D106" s="943"/>
      <c r="E106" s="538" t="s">
        <v>782</v>
      </c>
      <c r="F106" s="538" t="s">
        <v>783</v>
      </c>
      <c r="G106" s="538" t="s">
        <v>784</v>
      </c>
      <c r="H106" s="538" t="s">
        <v>785</v>
      </c>
      <c r="I106" s="538" t="s">
        <v>794</v>
      </c>
      <c r="J106" s="538" t="s">
        <v>793</v>
      </c>
      <c r="K106" s="538" t="s">
        <v>792</v>
      </c>
      <c r="L106" s="538" t="s">
        <v>791</v>
      </c>
      <c r="M106" s="538" t="s">
        <v>786</v>
      </c>
      <c r="N106" s="538" t="s">
        <v>787</v>
      </c>
      <c r="O106" s="538" t="s">
        <v>788</v>
      </c>
      <c r="P106" s="538" t="s">
        <v>789</v>
      </c>
      <c r="Q106" s="538" t="s">
        <v>790</v>
      </c>
      <c r="R106" s="20"/>
      <c r="S106" s="20"/>
      <c r="T106" s="20"/>
      <c r="U106" s="20"/>
      <c r="V106" s="20"/>
      <c r="W106" s="20"/>
      <c r="X106" s="20"/>
      <c r="Y106" s="20"/>
    </row>
    <row r="107" spans="1:25">
      <c r="A107" s="20"/>
      <c r="B107" s="534"/>
      <c r="C107" s="535"/>
      <c r="D107" s="536"/>
      <c r="E107" s="537" t="s">
        <v>16</v>
      </c>
      <c r="F107" s="537" t="s">
        <v>17</v>
      </c>
      <c r="G107" s="537" t="s">
        <v>18</v>
      </c>
      <c r="H107" s="537" t="s">
        <v>138</v>
      </c>
      <c r="I107" s="537" t="s">
        <v>19</v>
      </c>
      <c r="J107" s="537" t="s">
        <v>139</v>
      </c>
      <c r="K107" s="537" t="s">
        <v>140</v>
      </c>
      <c r="L107" s="537" t="s">
        <v>141</v>
      </c>
      <c r="M107" s="537" t="s">
        <v>142</v>
      </c>
      <c r="N107" s="537" t="s">
        <v>143</v>
      </c>
      <c r="O107" s="537" t="s">
        <v>144</v>
      </c>
      <c r="P107" s="537" t="s">
        <v>145</v>
      </c>
      <c r="Q107" s="537" t="s">
        <v>146</v>
      </c>
      <c r="R107" s="20"/>
      <c r="S107" s="20"/>
      <c r="T107" s="20"/>
      <c r="U107" s="20"/>
      <c r="V107" s="20"/>
      <c r="W107" s="20"/>
      <c r="X107" s="20"/>
      <c r="Y107" s="20"/>
    </row>
    <row r="108" spans="1:25">
      <c r="A108" s="20"/>
      <c r="B108" s="998" t="s">
        <v>149</v>
      </c>
      <c r="C108" s="998"/>
      <c r="D108" s="998"/>
      <c r="E108" s="959">
        <v>5</v>
      </c>
      <c r="F108" s="959">
        <v>50</v>
      </c>
      <c r="G108" s="959">
        <v>50</v>
      </c>
      <c r="H108" s="959">
        <v>50</v>
      </c>
      <c r="I108" s="959">
        <v>250</v>
      </c>
      <c r="J108" s="959">
        <v>400</v>
      </c>
      <c r="K108" s="959">
        <v>500</v>
      </c>
      <c r="L108" s="959">
        <v>500</v>
      </c>
      <c r="M108" s="959">
        <v>500</v>
      </c>
      <c r="N108" s="959">
        <v>800</v>
      </c>
      <c r="O108" s="959">
        <v>1000</v>
      </c>
      <c r="P108" s="959">
        <v>1000</v>
      </c>
      <c r="Q108" s="959">
        <v>1000</v>
      </c>
      <c r="R108" s="20"/>
      <c r="S108" s="20"/>
      <c r="T108" s="20"/>
      <c r="U108" s="20"/>
      <c r="V108" s="20"/>
      <c r="W108" s="20"/>
      <c r="X108" s="20"/>
      <c r="Y108" s="20"/>
    </row>
    <row r="109" spans="1:25">
      <c r="A109" s="20"/>
      <c r="B109" s="999" t="s">
        <v>148</v>
      </c>
      <c r="C109" s="999"/>
      <c r="D109" s="999"/>
      <c r="E109" s="959"/>
      <c r="F109" s="959"/>
      <c r="G109" s="959"/>
      <c r="H109" s="959"/>
      <c r="I109" s="959"/>
      <c r="J109" s="959"/>
      <c r="K109" s="959"/>
      <c r="L109" s="959"/>
      <c r="M109" s="959"/>
      <c r="N109" s="959"/>
      <c r="O109" s="959"/>
      <c r="P109" s="959"/>
      <c r="Q109" s="959"/>
      <c r="R109" s="20"/>
      <c r="S109" s="20"/>
      <c r="T109" s="20"/>
      <c r="U109" s="20"/>
      <c r="V109" s="20"/>
      <c r="W109" s="20"/>
      <c r="X109" s="20"/>
      <c r="Y109" s="20"/>
    </row>
    <row r="110" spans="1: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row r="111" spans="1:25">
      <c r="A111" s="45">
        <v>2</v>
      </c>
      <c r="B111" s="352" t="s">
        <v>392</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c r="A112" s="20"/>
      <c r="B112" s="352" t="s">
        <v>168</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spans="1: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ht="18.75">
      <c r="A114" s="48" t="s">
        <v>559</v>
      </c>
      <c r="B114" s="48" t="s">
        <v>558</v>
      </c>
      <c r="C114" s="51"/>
      <c r="D114" s="52"/>
      <c r="E114" s="52"/>
      <c r="F114" s="52"/>
      <c r="G114" s="52"/>
      <c r="H114" s="52"/>
      <c r="I114" s="52"/>
      <c r="J114" s="52"/>
      <c r="K114" s="52"/>
      <c r="L114" s="52"/>
      <c r="M114" s="52"/>
      <c r="N114" s="52"/>
      <c r="O114" s="52"/>
      <c r="P114" s="52"/>
      <c r="Q114" s="54"/>
      <c r="R114" s="20"/>
      <c r="S114" s="20"/>
      <c r="T114" s="20"/>
      <c r="U114" s="20"/>
      <c r="V114" s="20"/>
      <c r="W114" s="20"/>
      <c r="X114" s="20"/>
      <c r="Y114" s="20"/>
    </row>
    <row r="115" spans="1:25">
      <c r="R115" s="20"/>
      <c r="S115" s="20"/>
      <c r="T115" s="20"/>
      <c r="U115" s="20"/>
      <c r="V115" s="20"/>
      <c r="W115" s="20"/>
      <c r="X115" s="20"/>
      <c r="Y115" s="20"/>
    </row>
    <row r="116" spans="1:25" ht="12.75" customHeight="1">
      <c r="A116" s="1000" t="s">
        <v>349</v>
      </c>
      <c r="B116" s="1001"/>
      <c r="C116" s="1002"/>
      <c r="D116" s="958" t="s">
        <v>12</v>
      </c>
      <c r="E116" s="958"/>
      <c r="F116" s="958" t="s">
        <v>6</v>
      </c>
      <c r="G116" s="958"/>
      <c r="H116" s="958" t="s">
        <v>8</v>
      </c>
      <c r="I116" s="958"/>
      <c r="J116" s="958" t="s">
        <v>1</v>
      </c>
      <c r="K116" s="958"/>
      <c r="L116" s="958" t="s">
        <v>7</v>
      </c>
      <c r="M116" s="958"/>
      <c r="N116" s="958" t="s">
        <v>383</v>
      </c>
      <c r="O116" s="958"/>
      <c r="P116" s="958" t="s">
        <v>384</v>
      </c>
      <c r="Q116" s="958"/>
      <c r="R116" s="20"/>
      <c r="S116" s="20"/>
      <c r="T116" s="20"/>
      <c r="U116" s="20"/>
      <c r="V116" s="20"/>
      <c r="W116" s="20"/>
      <c r="X116" s="20"/>
      <c r="Y116" s="20"/>
    </row>
    <row r="117" spans="1:25" ht="12.75" customHeight="1">
      <c r="A117" s="1003" t="s">
        <v>386</v>
      </c>
      <c r="B117" s="1004"/>
      <c r="C117" s="1005"/>
      <c r="D117" s="981"/>
      <c r="E117" s="981"/>
      <c r="F117" s="981"/>
      <c r="G117" s="981"/>
      <c r="H117" s="981"/>
      <c r="I117" s="981"/>
      <c r="J117" s="981"/>
      <c r="K117" s="981"/>
      <c r="L117" s="981"/>
      <c r="M117" s="981"/>
      <c r="N117" s="95"/>
      <c r="O117" s="550" t="s">
        <v>761</v>
      </c>
      <c r="P117" s="1016"/>
      <c r="Q117" s="1016"/>
      <c r="R117" s="20"/>
      <c r="S117" s="20"/>
      <c r="T117" s="20"/>
      <c r="U117" s="20"/>
      <c r="V117" s="20"/>
      <c r="W117" s="20"/>
      <c r="X117" s="20"/>
      <c r="Y117" s="20"/>
    </row>
    <row r="118" spans="1:25" ht="12.75" customHeight="1">
      <c r="A118" s="96"/>
      <c r="B118" s="97"/>
      <c r="C118" s="98"/>
      <c r="D118" s="990" t="s">
        <v>382</v>
      </c>
      <c r="E118" s="990"/>
      <c r="F118" s="990" t="s">
        <v>3</v>
      </c>
      <c r="G118" s="990"/>
      <c r="H118" s="990" t="s">
        <v>3</v>
      </c>
      <c r="I118" s="990"/>
      <c r="J118" s="990" t="s">
        <v>3</v>
      </c>
      <c r="K118" s="990"/>
      <c r="L118" s="990" t="s">
        <v>3</v>
      </c>
      <c r="M118" s="990"/>
      <c r="N118" s="990" t="s">
        <v>357</v>
      </c>
      <c r="O118" s="990"/>
      <c r="P118" s="990" t="s">
        <v>3</v>
      </c>
      <c r="Q118" s="990"/>
      <c r="R118" s="20"/>
      <c r="S118" s="20"/>
      <c r="T118" s="20"/>
      <c r="U118" s="20"/>
      <c r="V118" s="20"/>
      <c r="W118" s="20"/>
      <c r="X118" s="20"/>
      <c r="Y118" s="20"/>
    </row>
    <row r="119" spans="1:25" ht="12.75" customHeight="1">
      <c r="A119" s="742" t="s">
        <v>385</v>
      </c>
      <c r="B119" s="743"/>
      <c r="C119" s="744"/>
      <c r="D119" s="960">
        <v>27</v>
      </c>
      <c r="E119" s="960"/>
      <c r="F119" s="960">
        <v>1</v>
      </c>
      <c r="G119" s="960"/>
      <c r="H119" s="960">
        <v>15</v>
      </c>
      <c r="I119" s="960"/>
      <c r="J119" s="960">
        <v>0.5</v>
      </c>
      <c r="K119" s="960"/>
      <c r="L119" s="996">
        <v>0</v>
      </c>
      <c r="M119" s="996"/>
      <c r="N119" s="406">
        <v>0.28000000000000003</v>
      </c>
      <c r="O119" s="406">
        <f t="shared" ref="O119:O124" si="0">IF(OR(N119=0,N119=""),"",N119-$N$119)</f>
        <v>0</v>
      </c>
      <c r="P119" s="960">
        <v>0</v>
      </c>
      <c r="Q119" s="960"/>
      <c r="R119" s="20"/>
      <c r="S119" s="20"/>
      <c r="T119" s="20"/>
      <c r="U119" s="20"/>
      <c r="V119" s="20"/>
      <c r="W119" s="20"/>
      <c r="X119" s="20"/>
      <c r="Y119" s="20"/>
    </row>
    <row r="120" spans="1:25">
      <c r="A120" s="938" t="s">
        <v>507</v>
      </c>
      <c r="B120" s="939"/>
      <c r="C120" s="940"/>
      <c r="D120" s="927">
        <v>27</v>
      </c>
      <c r="E120" s="927"/>
      <c r="F120" s="927">
        <v>1</v>
      </c>
      <c r="G120" s="927"/>
      <c r="H120" s="927">
        <v>15</v>
      </c>
      <c r="I120" s="927"/>
      <c r="J120" s="927">
        <v>0.5</v>
      </c>
      <c r="K120" s="927"/>
      <c r="L120" s="991">
        <v>0</v>
      </c>
      <c r="M120" s="991"/>
      <c r="N120" s="408">
        <v>0.28000000000000003</v>
      </c>
      <c r="O120" s="408">
        <f t="shared" si="0"/>
        <v>0</v>
      </c>
      <c r="P120" s="927">
        <v>0</v>
      </c>
      <c r="Q120" s="927"/>
      <c r="R120" s="20"/>
      <c r="S120" s="20"/>
      <c r="T120" s="20"/>
      <c r="U120" s="20"/>
      <c r="V120" s="20"/>
      <c r="W120" s="20"/>
      <c r="X120" s="20"/>
      <c r="Y120" s="20"/>
    </row>
    <row r="121" spans="1:25">
      <c r="A121" s="938" t="s">
        <v>506</v>
      </c>
      <c r="B121" s="939"/>
      <c r="C121" s="940"/>
      <c r="D121" s="927">
        <v>18</v>
      </c>
      <c r="E121" s="927"/>
      <c r="F121" s="927">
        <v>15</v>
      </c>
      <c r="G121" s="927"/>
      <c r="H121" s="927">
        <v>10</v>
      </c>
      <c r="I121" s="927"/>
      <c r="J121" s="927">
        <v>1.3</v>
      </c>
      <c r="K121" s="927"/>
      <c r="L121" s="991">
        <v>0</v>
      </c>
      <c r="M121" s="991"/>
      <c r="N121" s="408">
        <v>0.28999999999999998</v>
      </c>
      <c r="O121" s="408">
        <f t="shared" si="0"/>
        <v>9.9999999999999534E-3</v>
      </c>
      <c r="P121" s="927">
        <v>0</v>
      </c>
      <c r="Q121" s="927"/>
      <c r="R121" s="20"/>
      <c r="S121" s="20"/>
      <c r="T121" s="20"/>
      <c r="U121" s="20"/>
      <c r="V121" s="20"/>
      <c r="W121" s="20"/>
      <c r="X121" s="20"/>
      <c r="Y121" s="20"/>
    </row>
    <row r="122" spans="1:25">
      <c r="A122" s="938" t="s">
        <v>497</v>
      </c>
      <c r="B122" s="939"/>
      <c r="C122" s="940"/>
      <c r="D122" s="927">
        <v>32</v>
      </c>
      <c r="E122" s="927"/>
      <c r="F122" s="927">
        <v>1</v>
      </c>
      <c r="G122" s="927"/>
      <c r="H122" s="927">
        <v>1</v>
      </c>
      <c r="I122" s="927"/>
      <c r="J122" s="927">
        <v>3.5</v>
      </c>
      <c r="K122" s="927"/>
      <c r="L122" s="991">
        <v>0</v>
      </c>
      <c r="M122" s="991"/>
      <c r="N122" s="408">
        <v>0.27</v>
      </c>
      <c r="O122" s="408">
        <f t="shared" si="0"/>
        <v>-1.0000000000000009E-2</v>
      </c>
      <c r="P122" s="927">
        <v>1</v>
      </c>
      <c r="Q122" s="927"/>
      <c r="R122" s="20"/>
      <c r="S122" s="20"/>
      <c r="T122" s="20"/>
      <c r="U122" s="20"/>
      <c r="V122" s="20"/>
      <c r="W122" s="20"/>
      <c r="X122" s="20"/>
      <c r="Y122" s="20"/>
    </row>
    <row r="123" spans="1:25">
      <c r="A123" s="938" t="s">
        <v>509</v>
      </c>
      <c r="B123" s="939"/>
      <c r="C123" s="940"/>
      <c r="D123" s="927">
        <v>42</v>
      </c>
      <c r="E123" s="927"/>
      <c r="F123" s="927">
        <v>0</v>
      </c>
      <c r="G123" s="927"/>
      <c r="H123" s="927">
        <v>0</v>
      </c>
      <c r="I123" s="927"/>
      <c r="J123" s="927">
        <v>1</v>
      </c>
      <c r="K123" s="927"/>
      <c r="L123" s="991">
        <v>0</v>
      </c>
      <c r="M123" s="991"/>
      <c r="N123" s="408">
        <v>0.28999999999999998</v>
      </c>
      <c r="O123" s="408">
        <f t="shared" si="0"/>
        <v>9.9999999999999534E-3</v>
      </c>
      <c r="P123" s="927">
        <v>0</v>
      </c>
      <c r="Q123" s="927"/>
      <c r="R123" s="20"/>
      <c r="S123" s="20"/>
      <c r="T123" s="20"/>
      <c r="U123" s="20"/>
      <c r="V123" s="20"/>
      <c r="W123" s="20"/>
      <c r="X123" s="20"/>
      <c r="Y123" s="20"/>
    </row>
    <row r="124" spans="1:25">
      <c r="A124" s="938" t="s">
        <v>508</v>
      </c>
      <c r="B124" s="939"/>
      <c r="C124" s="940"/>
      <c r="D124" s="927">
        <v>47</v>
      </c>
      <c r="E124" s="927"/>
      <c r="F124" s="927">
        <v>0</v>
      </c>
      <c r="G124" s="927"/>
      <c r="H124" s="927">
        <v>0</v>
      </c>
      <c r="I124" s="927"/>
      <c r="J124" s="927">
        <v>0</v>
      </c>
      <c r="K124" s="927"/>
      <c r="L124" s="991">
        <v>0</v>
      </c>
      <c r="M124" s="991"/>
      <c r="N124" s="408">
        <v>0.3</v>
      </c>
      <c r="O124" s="408">
        <f t="shared" si="0"/>
        <v>1.9999999999999962E-2</v>
      </c>
      <c r="P124" s="927">
        <v>0</v>
      </c>
      <c r="Q124" s="927"/>
      <c r="R124" s="20"/>
      <c r="S124" s="20"/>
      <c r="T124" s="20"/>
      <c r="U124" s="20"/>
      <c r="V124" s="20"/>
      <c r="W124" s="20"/>
      <c r="X124" s="20"/>
      <c r="Y124" s="20"/>
    </row>
    <row r="125" spans="1:25">
      <c r="A125" s="938" t="s">
        <v>535</v>
      </c>
      <c r="B125" s="939"/>
      <c r="C125" s="940"/>
      <c r="D125" s="995"/>
      <c r="E125" s="995"/>
      <c r="F125" s="995"/>
      <c r="G125" s="995"/>
      <c r="H125" s="995"/>
      <c r="I125" s="995"/>
      <c r="J125" s="995"/>
      <c r="K125" s="995"/>
      <c r="L125" s="1015"/>
      <c r="M125" s="1015"/>
      <c r="N125" s="546"/>
      <c r="O125" s="408">
        <f>IF(OR(N125=0,N125=""),0,N125-$N$119)</f>
        <v>0</v>
      </c>
      <c r="P125" s="995"/>
      <c r="Q125" s="995"/>
      <c r="R125" s="20"/>
      <c r="S125" s="20"/>
      <c r="T125" s="20"/>
      <c r="U125" s="20"/>
      <c r="V125" s="20"/>
      <c r="W125" s="20"/>
      <c r="X125" s="20"/>
      <c r="Y125" s="20"/>
    </row>
    <row r="126" spans="1:25">
      <c r="A126" s="20"/>
      <c r="B126" s="19"/>
      <c r="L126" s="20"/>
      <c r="M126" s="20"/>
      <c r="N126" s="20"/>
      <c r="O126" s="20"/>
      <c r="P126" s="20"/>
      <c r="Q126" s="20"/>
      <c r="R126" s="20"/>
      <c r="S126" s="20"/>
      <c r="T126" s="20"/>
      <c r="U126" s="20"/>
      <c r="V126" s="20"/>
      <c r="W126" s="20"/>
      <c r="X126" s="20"/>
      <c r="Y126" s="20"/>
    </row>
    <row r="127" spans="1:25">
      <c r="A127" s="55" t="s">
        <v>819</v>
      </c>
      <c r="B127" s="20"/>
      <c r="C127" s="20"/>
      <c r="L127" s="20"/>
      <c r="M127" s="20"/>
      <c r="N127" s="20"/>
      <c r="O127" s="20"/>
      <c r="P127" s="20"/>
      <c r="Q127" s="20"/>
      <c r="R127" s="20"/>
      <c r="S127" s="20"/>
      <c r="T127" s="20"/>
      <c r="U127" s="20"/>
      <c r="V127" s="20"/>
      <c r="W127" s="20"/>
      <c r="X127" s="20"/>
      <c r="Y127" s="20"/>
    </row>
    <row r="128" spans="1:25">
      <c r="A128" s="55"/>
      <c r="B128" s="19"/>
      <c r="L128" s="20"/>
      <c r="M128" s="20"/>
      <c r="N128" s="20"/>
      <c r="O128" s="20"/>
      <c r="P128" s="20"/>
      <c r="Q128" s="20"/>
      <c r="R128" s="20"/>
      <c r="S128" s="20"/>
      <c r="T128" s="20"/>
      <c r="U128" s="20"/>
      <c r="V128" s="20"/>
      <c r="W128" s="20"/>
      <c r="X128" s="20"/>
      <c r="Y128" s="20"/>
    </row>
    <row r="129" spans="1:25" ht="25.5">
      <c r="A129" s="992" t="s">
        <v>387</v>
      </c>
      <c r="B129" s="993"/>
      <c r="C129" s="993"/>
      <c r="D129" s="993"/>
      <c r="E129" s="994"/>
      <c r="F129" s="66" t="s">
        <v>341</v>
      </c>
      <c r="G129" s="66" t="s">
        <v>342</v>
      </c>
      <c r="H129" s="66" t="s">
        <v>343</v>
      </c>
      <c r="I129" s="958" t="s">
        <v>344</v>
      </c>
      <c r="J129" s="988"/>
      <c r="K129" s="958" t="s">
        <v>348</v>
      </c>
      <c r="L129" s="988"/>
      <c r="M129" s="958" t="s">
        <v>345</v>
      </c>
      <c r="N129" s="988"/>
      <c r="O129" s="958" t="s">
        <v>346</v>
      </c>
      <c r="P129" s="988"/>
      <c r="Q129" s="66" t="s">
        <v>347</v>
      </c>
      <c r="R129" s="20"/>
      <c r="S129" s="20"/>
      <c r="T129" s="20"/>
      <c r="U129" s="20"/>
      <c r="V129" s="20"/>
      <c r="W129" s="20"/>
      <c r="X129" s="20"/>
      <c r="Y129" s="20"/>
    </row>
    <row r="130" spans="1:25">
      <c r="A130" s="742" t="s">
        <v>13</v>
      </c>
      <c r="B130" s="743"/>
      <c r="C130" s="743"/>
      <c r="D130" s="743"/>
      <c r="E130" s="743"/>
      <c r="F130" s="36"/>
      <c r="G130" s="36"/>
      <c r="H130" s="36"/>
      <c r="I130" s="961"/>
      <c r="J130" s="961"/>
      <c r="K130" s="961"/>
      <c r="L130" s="985"/>
      <c r="M130" s="961"/>
      <c r="N130" s="961"/>
      <c r="O130" s="961"/>
      <c r="P130" s="961"/>
      <c r="Q130" s="36"/>
      <c r="R130" s="20"/>
      <c r="S130" s="20"/>
      <c r="T130" s="20"/>
      <c r="U130" s="20"/>
      <c r="V130" s="20"/>
      <c r="W130" s="20"/>
      <c r="X130" s="20"/>
      <c r="Y130" s="20"/>
    </row>
    <row r="131" spans="1:25">
      <c r="A131" s="931" t="s">
        <v>219</v>
      </c>
      <c r="B131" s="931"/>
      <c r="C131" s="931"/>
      <c r="D131" s="931"/>
      <c r="E131" s="931"/>
      <c r="F131" s="47" t="s">
        <v>169</v>
      </c>
      <c r="G131" s="26" t="s">
        <v>170</v>
      </c>
      <c r="H131" s="47" t="s">
        <v>171</v>
      </c>
      <c r="I131" s="989" t="s">
        <v>202</v>
      </c>
      <c r="J131" s="959"/>
      <c r="K131" s="959" t="s">
        <v>174</v>
      </c>
      <c r="L131" s="959"/>
      <c r="M131" s="959" t="s">
        <v>172</v>
      </c>
      <c r="N131" s="959"/>
      <c r="O131" s="959" t="s">
        <v>173</v>
      </c>
      <c r="P131" s="959"/>
      <c r="Q131" s="47"/>
      <c r="R131" s="20"/>
      <c r="S131" s="20"/>
      <c r="T131" s="20"/>
      <c r="U131" s="20"/>
      <c r="V131" s="20"/>
      <c r="W131" s="20"/>
      <c r="X131" s="20"/>
      <c r="Y131" s="20"/>
    </row>
    <row r="132" spans="1:25">
      <c r="A132" s="931" t="s">
        <v>37</v>
      </c>
      <c r="B132" s="931"/>
      <c r="C132" s="931"/>
      <c r="D132" s="931"/>
      <c r="E132" s="931"/>
      <c r="F132" s="47" t="s">
        <v>175</v>
      </c>
      <c r="G132" s="47" t="s">
        <v>176</v>
      </c>
      <c r="H132" s="47" t="s">
        <v>171</v>
      </c>
      <c r="I132" s="959" t="s">
        <v>177</v>
      </c>
      <c r="J132" s="959"/>
      <c r="K132" s="959" t="s">
        <v>178</v>
      </c>
      <c r="L132" s="959"/>
      <c r="M132" s="959">
        <v>0.2</v>
      </c>
      <c r="N132" s="959"/>
      <c r="O132" s="959">
        <v>0.4</v>
      </c>
      <c r="P132" s="959"/>
      <c r="Q132" s="47"/>
      <c r="R132" s="20"/>
      <c r="S132" s="20"/>
      <c r="T132" s="20"/>
      <c r="U132" s="20"/>
      <c r="V132" s="20"/>
      <c r="W132" s="20"/>
      <c r="X132" s="20"/>
      <c r="Y132" s="20"/>
    </row>
    <row r="133" spans="1:25">
      <c r="A133" s="742" t="s">
        <v>361</v>
      </c>
      <c r="B133" s="743"/>
      <c r="C133" s="743"/>
      <c r="D133" s="743"/>
      <c r="E133" s="743"/>
      <c r="F133" s="36"/>
      <c r="G133" s="36"/>
      <c r="H133" s="36"/>
      <c r="I133" s="961"/>
      <c r="J133" s="961"/>
      <c r="K133" s="961"/>
      <c r="L133" s="985"/>
      <c r="M133" s="961"/>
      <c r="N133" s="961"/>
      <c r="O133" s="961"/>
      <c r="P133" s="961"/>
      <c r="Q133" s="36"/>
      <c r="R133" s="20"/>
      <c r="S133" s="20"/>
      <c r="T133" s="20"/>
      <c r="U133" s="20"/>
      <c r="V133" s="20"/>
      <c r="W133" s="20"/>
      <c r="X133" s="20"/>
      <c r="Y133" s="20"/>
    </row>
    <row r="134" spans="1:25">
      <c r="A134" s="931" t="s">
        <v>41</v>
      </c>
      <c r="B134" s="931"/>
      <c r="C134" s="931"/>
      <c r="D134" s="931"/>
      <c r="E134" s="931"/>
      <c r="F134" s="47" t="s">
        <v>184</v>
      </c>
      <c r="G134" s="47">
        <v>5</v>
      </c>
      <c r="H134" s="47" t="s">
        <v>185</v>
      </c>
      <c r="I134" s="959" t="s">
        <v>186</v>
      </c>
      <c r="J134" s="959"/>
      <c r="K134" s="959" t="s">
        <v>187</v>
      </c>
      <c r="L134" s="959"/>
      <c r="M134" s="959">
        <v>0.9</v>
      </c>
      <c r="N134" s="959"/>
      <c r="O134" s="959">
        <v>0.9</v>
      </c>
      <c r="P134" s="959"/>
      <c r="Q134" s="47">
        <v>10</v>
      </c>
      <c r="R134" s="20"/>
      <c r="S134" s="20"/>
      <c r="T134" s="20"/>
      <c r="U134" s="20"/>
      <c r="V134" s="20"/>
      <c r="W134" s="20"/>
      <c r="X134" s="20"/>
      <c r="Y134" s="20"/>
    </row>
    <row r="135" spans="1:25">
      <c r="A135" s="931" t="s">
        <v>218</v>
      </c>
      <c r="B135" s="931"/>
      <c r="C135" s="931"/>
      <c r="D135" s="931"/>
      <c r="E135" s="931"/>
      <c r="F135" s="26" t="s">
        <v>210</v>
      </c>
      <c r="G135" s="47">
        <v>7</v>
      </c>
      <c r="H135" s="47">
        <v>45</v>
      </c>
      <c r="I135" s="959">
        <v>2.2000000000000002</v>
      </c>
      <c r="J135" s="959"/>
      <c r="K135" s="959" t="s">
        <v>188</v>
      </c>
      <c r="L135" s="959"/>
      <c r="M135" s="959">
        <v>1</v>
      </c>
      <c r="N135" s="959"/>
      <c r="O135" s="959">
        <v>0.5</v>
      </c>
      <c r="P135" s="959"/>
      <c r="Q135" s="47">
        <v>7</v>
      </c>
      <c r="R135" s="20"/>
      <c r="S135" s="20"/>
      <c r="T135" s="20"/>
      <c r="U135" s="20"/>
      <c r="V135" s="20"/>
      <c r="W135" s="20"/>
      <c r="X135" s="20"/>
      <c r="Y135" s="20"/>
    </row>
    <row r="136" spans="1:25">
      <c r="A136" s="931" t="s">
        <v>217</v>
      </c>
      <c r="B136" s="931"/>
      <c r="C136" s="931"/>
      <c r="D136" s="931"/>
      <c r="E136" s="931"/>
      <c r="F136" s="47" t="s">
        <v>189</v>
      </c>
      <c r="G136" s="26" t="s">
        <v>190</v>
      </c>
      <c r="H136" s="26" t="s">
        <v>207</v>
      </c>
      <c r="I136" s="959" t="s">
        <v>191</v>
      </c>
      <c r="J136" s="959"/>
      <c r="K136" s="959" t="s">
        <v>192</v>
      </c>
      <c r="L136" s="959"/>
      <c r="M136" s="959"/>
      <c r="N136" s="959"/>
      <c r="O136" s="959"/>
      <c r="P136" s="959"/>
      <c r="Q136" s="47"/>
      <c r="R136" s="20"/>
      <c r="S136" s="20"/>
      <c r="T136" s="20"/>
      <c r="U136" s="20"/>
      <c r="V136" s="20"/>
      <c r="W136" s="20"/>
      <c r="X136" s="20"/>
      <c r="Y136" s="20"/>
    </row>
    <row r="137" spans="1:25">
      <c r="A137" s="742" t="s">
        <v>362</v>
      </c>
      <c r="B137" s="743"/>
      <c r="C137" s="743"/>
      <c r="D137" s="743"/>
      <c r="E137" s="743"/>
      <c r="F137" s="36"/>
      <c r="G137" s="36"/>
      <c r="H137" s="36"/>
      <c r="I137" s="961"/>
      <c r="J137" s="961"/>
      <c r="K137" s="961"/>
      <c r="L137" s="985"/>
      <c r="M137" s="961"/>
      <c r="N137" s="961"/>
      <c r="O137" s="961"/>
      <c r="P137" s="961"/>
      <c r="Q137" s="36"/>
      <c r="R137" s="20"/>
      <c r="S137" s="20"/>
      <c r="T137" s="20"/>
      <c r="U137" s="20"/>
      <c r="V137" s="20"/>
      <c r="W137" s="20"/>
      <c r="X137" s="20"/>
      <c r="Y137" s="20"/>
    </row>
    <row r="138" spans="1:25">
      <c r="A138" s="931" t="s">
        <v>215</v>
      </c>
      <c r="B138" s="931"/>
      <c r="C138" s="931"/>
      <c r="D138" s="931"/>
      <c r="E138" s="931"/>
      <c r="F138" s="47">
        <v>32</v>
      </c>
      <c r="G138" s="47">
        <v>1</v>
      </c>
      <c r="H138" s="47">
        <v>6</v>
      </c>
      <c r="I138" s="959">
        <v>5</v>
      </c>
      <c r="J138" s="959"/>
      <c r="K138" s="959" t="s">
        <v>42</v>
      </c>
      <c r="L138" s="959"/>
      <c r="M138" s="959">
        <v>0.01</v>
      </c>
      <c r="N138" s="959"/>
      <c r="O138" s="959">
        <v>0.04</v>
      </c>
      <c r="P138" s="959"/>
      <c r="Q138" s="47"/>
      <c r="R138" s="20"/>
      <c r="S138" s="20"/>
      <c r="T138" s="20"/>
      <c r="U138" s="20"/>
      <c r="V138" s="20"/>
      <c r="W138" s="20"/>
      <c r="X138" s="20"/>
      <c r="Y138" s="20"/>
    </row>
    <row r="139" spans="1:25">
      <c r="A139" s="931" t="s">
        <v>2</v>
      </c>
      <c r="B139" s="931"/>
      <c r="C139" s="931"/>
      <c r="D139" s="931"/>
      <c r="E139" s="931"/>
      <c r="F139" s="26" t="s">
        <v>43</v>
      </c>
      <c r="G139" s="26" t="s">
        <v>152</v>
      </c>
      <c r="H139" s="26" t="s">
        <v>206</v>
      </c>
      <c r="I139" s="959" t="s">
        <v>193</v>
      </c>
      <c r="J139" s="959"/>
      <c r="K139" s="959" t="s">
        <v>44</v>
      </c>
      <c r="L139" s="959"/>
      <c r="M139" s="959"/>
      <c r="N139" s="959"/>
      <c r="O139" s="959"/>
      <c r="P139" s="959"/>
      <c r="Q139" s="47"/>
      <c r="R139" s="20"/>
      <c r="S139" s="20"/>
      <c r="T139" s="20"/>
      <c r="U139" s="20"/>
      <c r="V139" s="20"/>
      <c r="W139" s="20"/>
      <c r="X139" s="20"/>
      <c r="Y139" s="20"/>
    </row>
    <row r="140" spans="1:25">
      <c r="A140" s="931" t="s">
        <v>216</v>
      </c>
      <c r="B140" s="931"/>
      <c r="C140" s="931"/>
      <c r="D140" s="931"/>
      <c r="E140" s="931"/>
      <c r="F140" s="26" t="s">
        <v>211</v>
      </c>
      <c r="G140" s="47" t="s">
        <v>194</v>
      </c>
      <c r="H140" s="47" t="s">
        <v>195</v>
      </c>
      <c r="I140" s="959" t="s">
        <v>196</v>
      </c>
      <c r="J140" s="959"/>
      <c r="K140" s="959" t="s">
        <v>197</v>
      </c>
      <c r="L140" s="959"/>
      <c r="M140" s="959">
        <v>0.9</v>
      </c>
      <c r="N140" s="959"/>
      <c r="O140" s="959">
        <v>0.9</v>
      </c>
      <c r="P140" s="959"/>
      <c r="Q140" s="47"/>
      <c r="R140" s="20"/>
      <c r="S140" s="20"/>
      <c r="T140" s="20"/>
      <c r="U140" s="20"/>
      <c r="V140" s="20"/>
      <c r="W140" s="20"/>
      <c r="X140" s="20"/>
      <c r="Y140" s="20"/>
    </row>
    <row r="141" spans="1:25">
      <c r="A141" s="742" t="s">
        <v>363</v>
      </c>
      <c r="B141" s="743"/>
      <c r="C141" s="743"/>
      <c r="D141" s="743"/>
      <c r="E141" s="743"/>
      <c r="F141" s="36"/>
      <c r="G141" s="36"/>
      <c r="H141" s="36"/>
      <c r="I141" s="961"/>
      <c r="J141" s="961"/>
      <c r="K141" s="961"/>
      <c r="L141" s="985"/>
      <c r="M141" s="961"/>
      <c r="N141" s="961"/>
      <c r="O141" s="961"/>
      <c r="P141" s="961"/>
      <c r="Q141" s="36"/>
      <c r="R141" s="20"/>
      <c r="S141" s="20"/>
      <c r="T141" s="20"/>
      <c r="U141" s="20"/>
      <c r="V141" s="20"/>
      <c r="W141" s="20"/>
      <c r="X141" s="20"/>
      <c r="Y141" s="20"/>
    </row>
    <row r="142" spans="1:25">
      <c r="A142" s="931" t="s">
        <v>38</v>
      </c>
      <c r="B142" s="931"/>
      <c r="C142" s="931"/>
      <c r="D142" s="931"/>
      <c r="E142" s="931"/>
      <c r="F142" s="47" t="s">
        <v>179</v>
      </c>
      <c r="G142" s="47" t="s">
        <v>39</v>
      </c>
      <c r="H142" s="26" t="s">
        <v>209</v>
      </c>
      <c r="I142" s="989" t="s">
        <v>203</v>
      </c>
      <c r="J142" s="959"/>
      <c r="K142" s="959" t="s">
        <v>180</v>
      </c>
      <c r="L142" s="959"/>
      <c r="M142" s="959">
        <v>0.13</v>
      </c>
      <c r="N142" s="959"/>
      <c r="O142" s="959">
        <v>0.31</v>
      </c>
      <c r="P142" s="959"/>
      <c r="Q142" s="47"/>
      <c r="R142" s="20"/>
      <c r="S142" s="20"/>
      <c r="T142" s="20"/>
      <c r="U142" s="20"/>
      <c r="V142" s="20"/>
      <c r="W142" s="20"/>
      <c r="X142" s="20"/>
      <c r="Y142" s="20"/>
    </row>
    <row r="143" spans="1:25">
      <c r="A143" s="931" t="s">
        <v>40</v>
      </c>
      <c r="B143" s="931"/>
      <c r="C143" s="931"/>
      <c r="D143" s="931"/>
      <c r="E143" s="931"/>
      <c r="F143" s="26" t="s">
        <v>181</v>
      </c>
      <c r="G143" s="47" t="s">
        <v>182</v>
      </c>
      <c r="H143" s="26" t="s">
        <v>208</v>
      </c>
      <c r="I143" s="989" t="s">
        <v>204</v>
      </c>
      <c r="J143" s="959"/>
      <c r="K143" s="959" t="s">
        <v>183</v>
      </c>
      <c r="L143" s="959"/>
      <c r="M143" s="959">
        <v>0.06</v>
      </c>
      <c r="N143" s="959"/>
      <c r="O143" s="959">
        <v>0.02</v>
      </c>
      <c r="P143" s="959"/>
      <c r="Q143" s="47"/>
      <c r="R143" s="20"/>
      <c r="S143" s="20"/>
      <c r="T143" s="20"/>
      <c r="U143" s="20"/>
      <c r="V143" s="20"/>
      <c r="W143" s="20"/>
      <c r="X143" s="20"/>
      <c r="Y143" s="20"/>
    </row>
    <row r="144" spans="1:25">
      <c r="A144" s="742" t="s">
        <v>430</v>
      </c>
      <c r="B144" s="743"/>
      <c r="C144" s="743"/>
      <c r="D144" s="743"/>
      <c r="E144" s="743"/>
      <c r="F144" s="36"/>
      <c r="G144" s="36"/>
      <c r="H144" s="36"/>
      <c r="I144" s="961"/>
      <c r="J144" s="961"/>
      <c r="K144" s="961"/>
      <c r="L144" s="985"/>
      <c r="M144" s="961"/>
      <c r="N144" s="961"/>
      <c r="O144" s="961"/>
      <c r="P144" s="961"/>
      <c r="Q144" s="36"/>
      <c r="R144" s="20"/>
      <c r="S144" s="20"/>
      <c r="T144" s="20"/>
      <c r="U144" s="20"/>
      <c r="V144" s="20"/>
      <c r="W144" s="20"/>
      <c r="X144" s="20"/>
      <c r="Y144" s="20"/>
    </row>
    <row r="145" spans="1:25">
      <c r="A145" s="931" t="s">
        <v>27</v>
      </c>
      <c r="B145" s="931"/>
      <c r="C145" s="931"/>
      <c r="D145" s="931"/>
      <c r="E145" s="931"/>
      <c r="F145" s="47" t="s">
        <v>198</v>
      </c>
      <c r="G145" s="26" t="s">
        <v>212</v>
      </c>
      <c r="H145" s="26" t="s">
        <v>205</v>
      </c>
      <c r="I145" s="959" t="s">
        <v>45</v>
      </c>
      <c r="J145" s="959"/>
      <c r="K145" s="959" t="s">
        <v>42</v>
      </c>
      <c r="L145" s="959"/>
      <c r="M145" s="959">
        <v>0.02</v>
      </c>
      <c r="N145" s="959"/>
      <c r="O145" s="959">
        <v>0.09</v>
      </c>
      <c r="P145" s="959"/>
      <c r="Q145" s="47"/>
      <c r="R145" s="20"/>
      <c r="S145" s="20"/>
      <c r="T145" s="20"/>
      <c r="U145" s="20"/>
      <c r="V145" s="20"/>
      <c r="W145" s="20"/>
      <c r="X145" s="20"/>
      <c r="Y145" s="20"/>
    </row>
    <row r="146" spans="1:25">
      <c r="A146" s="931" t="s">
        <v>214</v>
      </c>
      <c r="B146" s="931"/>
      <c r="C146" s="931"/>
      <c r="D146" s="931"/>
      <c r="E146" s="931"/>
      <c r="F146" s="47" t="s">
        <v>199</v>
      </c>
      <c r="G146" s="47"/>
      <c r="H146" s="47"/>
      <c r="I146" s="959"/>
      <c r="J146" s="959"/>
      <c r="K146" s="959"/>
      <c r="L146" s="959"/>
      <c r="M146" s="959"/>
      <c r="N146" s="959"/>
      <c r="O146" s="959"/>
      <c r="P146" s="959"/>
      <c r="Q146" s="47"/>
      <c r="R146" s="20"/>
      <c r="S146" s="20"/>
      <c r="T146" s="20"/>
      <c r="U146" s="20"/>
      <c r="V146" s="20"/>
      <c r="W146" s="20"/>
      <c r="X146" s="20"/>
      <c r="Y146" s="20"/>
    </row>
    <row r="147" spans="1:25">
      <c r="A147" s="931" t="s">
        <v>46</v>
      </c>
      <c r="B147" s="931"/>
      <c r="C147" s="931"/>
      <c r="D147" s="931"/>
      <c r="E147" s="931"/>
      <c r="F147" s="26" t="s">
        <v>213</v>
      </c>
      <c r="G147" s="26" t="s">
        <v>205</v>
      </c>
      <c r="H147" s="47" t="s">
        <v>200</v>
      </c>
      <c r="I147" s="959" t="s">
        <v>201</v>
      </c>
      <c r="J147" s="959"/>
      <c r="K147" s="959" t="s">
        <v>42</v>
      </c>
      <c r="L147" s="959"/>
      <c r="M147" s="959"/>
      <c r="N147" s="959"/>
      <c r="O147" s="959"/>
      <c r="P147" s="959"/>
      <c r="Q147" s="47"/>
      <c r="R147" s="20"/>
      <c r="S147" s="20"/>
      <c r="T147" s="20"/>
      <c r="U147" s="20"/>
      <c r="V147" s="20"/>
      <c r="W147" s="20"/>
      <c r="X147" s="20"/>
      <c r="Y147" s="20"/>
    </row>
    <row r="148" spans="1:25">
      <c r="A148" s="20" t="s">
        <v>393</v>
      </c>
      <c r="D148" s="20"/>
      <c r="E148" s="20"/>
      <c r="F148" s="20"/>
      <c r="G148" s="20"/>
      <c r="H148" s="20"/>
      <c r="I148" s="20"/>
      <c r="J148" s="20"/>
      <c r="K148" s="20"/>
      <c r="L148" s="20"/>
      <c r="M148" s="20"/>
      <c r="N148" s="20"/>
      <c r="O148" s="20"/>
      <c r="P148" s="20"/>
      <c r="Q148" s="20"/>
      <c r="R148" s="20"/>
      <c r="S148" s="20"/>
      <c r="T148" s="20"/>
      <c r="U148" s="20"/>
      <c r="V148" s="20"/>
      <c r="W148" s="20"/>
      <c r="X148" s="20"/>
      <c r="Y148" s="20"/>
    </row>
    <row r="149" spans="1:25">
      <c r="A149" s="20" t="s">
        <v>394</v>
      </c>
      <c r="D149" s="20"/>
      <c r="E149" s="20"/>
      <c r="F149" s="20"/>
      <c r="G149" s="20"/>
      <c r="H149" s="20"/>
      <c r="I149" s="20"/>
      <c r="J149" s="20"/>
      <c r="K149" s="20"/>
      <c r="L149" s="20"/>
      <c r="M149" s="20"/>
      <c r="N149" s="20"/>
      <c r="O149" s="20"/>
      <c r="P149" s="20"/>
      <c r="Q149" s="20"/>
      <c r="R149" s="20"/>
      <c r="S149" s="20"/>
      <c r="T149" s="20"/>
      <c r="U149" s="20"/>
      <c r="V149" s="20"/>
      <c r="W149" s="20"/>
      <c r="X149" s="20"/>
      <c r="Y149" s="20"/>
    </row>
    <row r="150" spans="1:25">
      <c r="A150" s="20"/>
      <c r="B150" s="20"/>
      <c r="C150" s="20"/>
      <c r="D150" s="20"/>
      <c r="E150" s="20"/>
      <c r="F150" s="43"/>
      <c r="G150" s="20"/>
      <c r="H150" s="20"/>
      <c r="I150" s="20"/>
      <c r="J150" s="20"/>
      <c r="K150" s="20"/>
      <c r="L150" s="20"/>
      <c r="M150" s="20"/>
      <c r="N150" s="20"/>
      <c r="O150" s="20"/>
      <c r="P150" s="20"/>
      <c r="Q150" s="20"/>
      <c r="R150" s="20"/>
      <c r="S150" s="20"/>
    </row>
    <row r="151" spans="1:25" ht="18.75">
      <c r="A151" s="48" t="s">
        <v>561</v>
      </c>
      <c r="B151" s="48" t="s">
        <v>560</v>
      </c>
      <c r="C151" s="56"/>
      <c r="D151" s="52"/>
      <c r="E151" s="52"/>
      <c r="F151" s="51"/>
      <c r="G151" s="52"/>
      <c r="H151" s="52"/>
      <c r="I151" s="52"/>
      <c r="J151" s="52"/>
      <c r="K151" s="52"/>
      <c r="L151" s="52"/>
      <c r="M151" s="52"/>
      <c r="N151" s="52"/>
      <c r="O151" s="52"/>
      <c r="P151" s="52"/>
      <c r="Q151" s="54"/>
      <c r="R151" s="20"/>
      <c r="S151" s="20"/>
    </row>
    <row r="152" spans="1:25">
      <c r="A152" s="20"/>
      <c r="B152" s="20"/>
      <c r="C152" s="20"/>
      <c r="D152" s="20"/>
      <c r="E152" s="20"/>
      <c r="F152" s="20"/>
      <c r="G152" s="20"/>
      <c r="H152" s="20"/>
      <c r="I152" s="20"/>
      <c r="J152" s="20"/>
      <c r="K152" s="20"/>
      <c r="L152" s="20"/>
      <c r="M152" s="20"/>
      <c r="N152" s="20"/>
      <c r="O152" s="20"/>
      <c r="P152" s="20"/>
      <c r="Q152" s="20"/>
      <c r="R152" s="20"/>
      <c r="S152" s="20"/>
    </row>
    <row r="153" spans="1:25" ht="24.95" customHeight="1">
      <c r="A153" s="928" t="s">
        <v>10</v>
      </c>
      <c r="B153" s="929"/>
      <c r="C153" s="107"/>
      <c r="D153" s="928" t="s">
        <v>220</v>
      </c>
      <c r="E153" s="929"/>
      <c r="F153" s="929"/>
      <c r="G153" s="930"/>
      <c r="H153" s="986" t="s">
        <v>397</v>
      </c>
      <c r="I153" s="986"/>
      <c r="J153" s="986"/>
      <c r="K153" s="986" t="s">
        <v>222</v>
      </c>
      <c r="L153" s="986"/>
      <c r="M153" s="986"/>
      <c r="N153" s="986"/>
      <c r="O153" s="986"/>
      <c r="P153" s="986"/>
      <c r="Q153" s="986"/>
      <c r="R153" s="20"/>
      <c r="S153" s="20"/>
    </row>
    <row r="154" spans="1:25" ht="12.75" customHeight="1">
      <c r="A154" s="932" t="s">
        <v>223</v>
      </c>
      <c r="B154" s="933"/>
      <c r="C154" s="934"/>
      <c r="D154" s="952" t="s">
        <v>224</v>
      </c>
      <c r="E154" s="953"/>
      <c r="F154" s="953"/>
      <c r="G154" s="954"/>
      <c r="H154" s="946">
        <v>300</v>
      </c>
      <c r="I154" s="947"/>
      <c r="J154" s="948"/>
      <c r="K154" s="945" t="s">
        <v>51</v>
      </c>
      <c r="L154" s="945"/>
      <c r="M154" s="945"/>
      <c r="N154" s="945"/>
      <c r="O154" s="945"/>
      <c r="P154" s="945"/>
      <c r="Q154" s="945"/>
      <c r="R154" s="20"/>
      <c r="S154" s="20"/>
    </row>
    <row r="155" spans="1:25">
      <c r="A155" s="935"/>
      <c r="B155" s="936"/>
      <c r="C155" s="937"/>
      <c r="D155" s="955"/>
      <c r="E155" s="956"/>
      <c r="F155" s="956"/>
      <c r="G155" s="957"/>
      <c r="H155" s="949"/>
      <c r="I155" s="950"/>
      <c r="J155" s="951"/>
      <c r="K155" s="945"/>
      <c r="L155" s="945"/>
      <c r="M155" s="945"/>
      <c r="N155" s="945"/>
      <c r="O155" s="945"/>
      <c r="P155" s="945"/>
      <c r="Q155" s="945"/>
      <c r="R155" s="20"/>
      <c r="S155" s="20"/>
    </row>
    <row r="156" spans="1:25" ht="12.75" customHeight="1">
      <c r="A156" s="932" t="s">
        <v>379</v>
      </c>
      <c r="B156" s="933"/>
      <c r="C156" s="934"/>
      <c r="D156" s="952" t="s">
        <v>380</v>
      </c>
      <c r="E156" s="953"/>
      <c r="F156" s="953"/>
      <c r="G156" s="954"/>
      <c r="H156" s="946" t="s">
        <v>226</v>
      </c>
      <c r="I156" s="947"/>
      <c r="J156" s="948"/>
      <c r="K156" s="945" t="s">
        <v>228</v>
      </c>
      <c r="L156" s="945"/>
      <c r="M156" s="945"/>
      <c r="N156" s="945"/>
      <c r="O156" s="945"/>
      <c r="P156" s="945"/>
      <c r="Q156" s="945"/>
      <c r="R156" s="20"/>
      <c r="S156" s="20"/>
    </row>
    <row r="157" spans="1:25">
      <c r="A157" s="977"/>
      <c r="B157" s="944"/>
      <c r="C157" s="980"/>
      <c r="D157" s="955"/>
      <c r="E157" s="956"/>
      <c r="F157" s="956"/>
      <c r="G157" s="957"/>
      <c r="H157" s="949"/>
      <c r="I157" s="950"/>
      <c r="J157" s="951"/>
      <c r="K157" s="945"/>
      <c r="L157" s="945"/>
      <c r="M157" s="945"/>
      <c r="N157" s="945"/>
      <c r="O157" s="945"/>
      <c r="P157" s="945"/>
      <c r="Q157" s="945"/>
      <c r="R157" s="20"/>
      <c r="S157" s="20"/>
    </row>
    <row r="158" spans="1:25" ht="12.75" customHeight="1">
      <c r="A158" s="977"/>
      <c r="B158" s="944"/>
      <c r="C158" s="980"/>
      <c r="D158" s="952" t="s">
        <v>381</v>
      </c>
      <c r="E158" s="953"/>
      <c r="F158" s="953"/>
      <c r="G158" s="954"/>
      <c r="H158" s="946" t="s">
        <v>395</v>
      </c>
      <c r="I158" s="947"/>
      <c r="J158" s="948"/>
      <c r="K158" s="945" t="s">
        <v>396</v>
      </c>
      <c r="L158" s="945"/>
      <c r="M158" s="945"/>
      <c r="N158" s="945"/>
      <c r="O158" s="945"/>
      <c r="P158" s="945"/>
      <c r="Q158" s="945"/>
      <c r="R158" s="20"/>
      <c r="S158" s="20"/>
    </row>
    <row r="159" spans="1:25">
      <c r="A159" s="977"/>
      <c r="B159" s="944"/>
      <c r="C159" s="980"/>
      <c r="D159" s="955"/>
      <c r="E159" s="956"/>
      <c r="F159" s="956"/>
      <c r="G159" s="957"/>
      <c r="H159" s="949"/>
      <c r="I159" s="950"/>
      <c r="J159" s="951"/>
      <c r="K159" s="945"/>
      <c r="L159" s="945"/>
      <c r="M159" s="945"/>
      <c r="N159" s="945"/>
      <c r="O159" s="945"/>
      <c r="P159" s="945"/>
      <c r="Q159" s="945"/>
      <c r="R159" s="20"/>
      <c r="S159" s="20"/>
    </row>
    <row r="160" spans="1:25" ht="12.75" customHeight="1">
      <c r="A160" s="977"/>
      <c r="B160" s="944"/>
      <c r="C160" s="980"/>
      <c r="D160" s="952" t="s">
        <v>378</v>
      </c>
      <c r="E160" s="953"/>
      <c r="F160" s="953"/>
      <c r="G160" s="954"/>
      <c r="H160" s="946" t="s">
        <v>227</v>
      </c>
      <c r="I160" s="947"/>
      <c r="J160" s="948"/>
      <c r="K160" s="945" t="s">
        <v>229</v>
      </c>
      <c r="L160" s="945"/>
      <c r="M160" s="945"/>
      <c r="N160" s="945"/>
      <c r="O160" s="945"/>
      <c r="P160" s="945"/>
      <c r="Q160" s="945"/>
      <c r="R160" s="20"/>
      <c r="S160" s="20"/>
    </row>
    <row r="161" spans="1:25">
      <c r="A161" s="935"/>
      <c r="B161" s="936"/>
      <c r="C161" s="937"/>
      <c r="D161" s="955"/>
      <c r="E161" s="956"/>
      <c r="F161" s="956"/>
      <c r="G161" s="957"/>
      <c r="H161" s="949"/>
      <c r="I161" s="950"/>
      <c r="J161" s="951"/>
      <c r="K161" s="945"/>
      <c r="L161" s="945"/>
      <c r="M161" s="945"/>
      <c r="N161" s="945"/>
      <c r="O161" s="945"/>
      <c r="P161" s="945"/>
      <c r="Q161" s="945"/>
      <c r="R161" s="20"/>
      <c r="S161" s="20"/>
      <c r="T161" s="20"/>
    </row>
    <row r="162" spans="1:25" ht="12.75" customHeight="1">
      <c r="A162" s="932" t="s">
        <v>24</v>
      </c>
      <c r="B162" s="933"/>
      <c r="C162" s="934"/>
      <c r="D162" s="952" t="s">
        <v>225</v>
      </c>
      <c r="E162" s="953"/>
      <c r="F162" s="953"/>
      <c r="G162" s="954"/>
      <c r="H162" s="946">
        <v>600</v>
      </c>
      <c r="I162" s="947"/>
      <c r="J162" s="948"/>
      <c r="K162" s="945" t="s">
        <v>51</v>
      </c>
      <c r="L162" s="945"/>
      <c r="M162" s="945"/>
      <c r="N162" s="945"/>
      <c r="O162" s="945"/>
      <c r="P162" s="945"/>
      <c r="Q162" s="945"/>
      <c r="R162" s="20"/>
      <c r="S162" s="20"/>
      <c r="T162" s="20"/>
    </row>
    <row r="163" spans="1:25">
      <c r="A163" s="935"/>
      <c r="B163" s="936"/>
      <c r="C163" s="937"/>
      <c r="D163" s="955"/>
      <c r="E163" s="956"/>
      <c r="F163" s="956"/>
      <c r="G163" s="957"/>
      <c r="H163" s="949"/>
      <c r="I163" s="950"/>
      <c r="J163" s="951"/>
      <c r="K163" s="945"/>
      <c r="L163" s="945"/>
      <c r="M163" s="945"/>
      <c r="N163" s="945"/>
      <c r="O163" s="945"/>
      <c r="P163" s="945"/>
      <c r="Q163" s="945"/>
      <c r="R163" s="20"/>
      <c r="S163" s="20"/>
      <c r="T163" s="20"/>
    </row>
    <row r="164" spans="1: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spans="1:25" ht="18.75">
      <c r="A165" s="48" t="s">
        <v>563</v>
      </c>
      <c r="B165" s="48" t="s">
        <v>562</v>
      </c>
      <c r="C165" s="52"/>
      <c r="D165" s="52"/>
      <c r="E165" s="52"/>
      <c r="F165" s="52"/>
      <c r="G165" s="52"/>
      <c r="H165" s="52"/>
      <c r="I165" s="52"/>
      <c r="J165" s="52"/>
      <c r="K165" s="52"/>
      <c r="L165" s="52"/>
      <c r="M165" s="52"/>
      <c r="N165" s="52"/>
      <c r="O165" s="52"/>
      <c r="P165" s="52"/>
      <c r="Q165" s="54"/>
      <c r="R165" s="20"/>
      <c r="S165" s="20"/>
      <c r="T165" s="20"/>
      <c r="U165" s="20"/>
      <c r="V165" s="20"/>
      <c r="W165" s="20"/>
      <c r="X165" s="20"/>
      <c r="Y165" s="20"/>
    </row>
    <row r="166" spans="1: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spans="1:25">
      <c r="A167" s="23">
        <v>1</v>
      </c>
      <c r="B167" s="20" t="s">
        <v>230</v>
      </c>
      <c r="C167" s="20"/>
      <c r="E167" s="20"/>
      <c r="F167" s="20"/>
      <c r="G167" s="20"/>
      <c r="H167" s="20"/>
      <c r="I167" s="20"/>
      <c r="J167" s="20"/>
      <c r="K167" s="20"/>
      <c r="L167" s="20"/>
      <c r="M167" s="20"/>
      <c r="N167" s="20"/>
      <c r="O167" s="20"/>
      <c r="P167" s="20"/>
      <c r="Q167" s="20"/>
      <c r="R167" s="20"/>
      <c r="S167" s="20"/>
      <c r="T167" s="20"/>
      <c r="U167" s="20"/>
      <c r="V167" s="20"/>
      <c r="W167" s="20"/>
      <c r="X167" s="20"/>
      <c r="Y167" s="20"/>
    </row>
    <row r="168" spans="1:25">
      <c r="A168" s="20"/>
      <c r="B168" s="22" t="s">
        <v>76</v>
      </c>
      <c r="C168" s="22" t="s">
        <v>231</v>
      </c>
      <c r="E168" s="20"/>
      <c r="F168" s="20"/>
      <c r="G168" s="20"/>
      <c r="H168" s="20"/>
      <c r="I168" s="20"/>
      <c r="J168" s="20"/>
      <c r="K168" s="20"/>
      <c r="L168" s="20"/>
      <c r="M168" s="20"/>
      <c r="N168" s="20"/>
      <c r="O168" s="20"/>
      <c r="P168" s="20"/>
      <c r="Q168" s="20"/>
      <c r="R168" s="20"/>
      <c r="S168" s="20"/>
      <c r="T168" s="20"/>
      <c r="U168" s="20"/>
      <c r="V168" s="20"/>
      <c r="W168" s="20"/>
      <c r="X168" s="20"/>
      <c r="Y168" s="20"/>
    </row>
    <row r="169" spans="1:25">
      <c r="A169" s="20"/>
      <c r="B169" s="22" t="s">
        <v>77</v>
      </c>
      <c r="C169" s="20" t="s">
        <v>232</v>
      </c>
      <c r="D169" s="20"/>
      <c r="E169" s="20"/>
      <c r="F169" s="20"/>
      <c r="G169" s="20"/>
      <c r="H169" s="20"/>
      <c r="I169" s="20"/>
      <c r="J169" s="20"/>
      <c r="K169" s="20"/>
      <c r="L169" s="20"/>
      <c r="M169" s="20"/>
      <c r="N169" s="20"/>
      <c r="O169" s="20"/>
      <c r="P169" s="20"/>
      <c r="Q169" s="20"/>
      <c r="R169" s="20"/>
      <c r="S169" s="20"/>
      <c r="T169" s="20"/>
      <c r="U169" s="20"/>
      <c r="V169" s="20"/>
      <c r="W169" s="20"/>
      <c r="X169" s="20"/>
      <c r="Y169" s="20"/>
    </row>
    <row r="170" spans="1:25">
      <c r="A170" s="20"/>
      <c r="B170" s="22" t="s">
        <v>78</v>
      </c>
      <c r="C170" s="20" t="s">
        <v>233</v>
      </c>
      <c r="D170" s="20"/>
      <c r="E170" s="20"/>
      <c r="F170" s="20"/>
      <c r="G170" s="20"/>
      <c r="H170" s="20"/>
      <c r="I170" s="20"/>
      <c r="J170" s="20"/>
      <c r="K170" s="20"/>
      <c r="L170" s="20"/>
      <c r="M170" s="20"/>
      <c r="N170" s="20"/>
      <c r="O170" s="20"/>
      <c r="P170" s="20"/>
      <c r="Q170" s="20"/>
      <c r="R170" s="20"/>
      <c r="S170" s="20"/>
      <c r="T170" s="20"/>
      <c r="U170" s="20"/>
      <c r="V170" s="20"/>
      <c r="W170" s="20"/>
      <c r="X170" s="20"/>
      <c r="Y170" s="20"/>
    </row>
    <row r="171" spans="1:25">
      <c r="A171" s="20"/>
      <c r="B171" s="22" t="s">
        <v>79</v>
      </c>
      <c r="C171" s="20" t="s">
        <v>234</v>
      </c>
      <c r="D171" s="20"/>
      <c r="E171" s="20"/>
      <c r="F171" s="20"/>
      <c r="G171" s="20"/>
      <c r="H171" s="20"/>
      <c r="I171" s="20"/>
      <c r="J171" s="20"/>
      <c r="K171" s="20"/>
      <c r="L171" s="20"/>
      <c r="M171" s="20"/>
      <c r="N171" s="20"/>
      <c r="O171" s="20"/>
      <c r="P171" s="20"/>
      <c r="Q171" s="20"/>
      <c r="R171" s="20"/>
      <c r="S171" s="20"/>
      <c r="T171" s="20"/>
      <c r="U171" s="20"/>
      <c r="V171" s="20"/>
      <c r="W171" s="20"/>
      <c r="X171" s="20"/>
      <c r="Y171" s="20"/>
    </row>
    <row r="172" spans="1:25">
      <c r="A172" s="20"/>
      <c r="B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spans="1:25">
      <c r="A173" s="20"/>
      <c r="B173" s="57" t="s">
        <v>235</v>
      </c>
      <c r="G173" s="20"/>
      <c r="H173" s="20"/>
      <c r="I173" s="20"/>
      <c r="J173" s="20"/>
      <c r="K173" s="20"/>
      <c r="L173" s="20"/>
      <c r="M173" s="20"/>
      <c r="N173" s="20"/>
      <c r="O173" s="20"/>
      <c r="P173" s="20"/>
      <c r="Q173" s="20"/>
      <c r="R173" s="20"/>
      <c r="S173" s="20"/>
      <c r="T173" s="20"/>
      <c r="U173" s="20"/>
      <c r="V173" s="20"/>
      <c r="W173" s="20"/>
      <c r="X173" s="20"/>
      <c r="Y173" s="20"/>
    </row>
    <row r="174" spans="1:25">
      <c r="A174" s="20"/>
      <c r="B174" s="20" t="s">
        <v>50</v>
      </c>
      <c r="G174" s="20"/>
      <c r="H174" s="20"/>
      <c r="I174" s="20"/>
      <c r="J174" s="20"/>
      <c r="K174" s="20"/>
      <c r="L174" s="20"/>
      <c r="M174" s="20"/>
      <c r="N174" s="20"/>
      <c r="O174" s="20"/>
      <c r="P174" s="20"/>
      <c r="Q174" s="20"/>
      <c r="R174" s="20"/>
      <c r="S174" s="20"/>
      <c r="T174" s="20"/>
      <c r="U174" s="20"/>
      <c r="V174" s="20"/>
      <c r="W174" s="20"/>
      <c r="X174" s="20"/>
      <c r="Y174" s="20"/>
    </row>
    <row r="175" spans="1:25">
      <c r="A175" s="20"/>
      <c r="B175" s="20"/>
      <c r="G175" s="20"/>
      <c r="H175" s="20"/>
      <c r="I175" s="20"/>
      <c r="J175" s="20"/>
      <c r="K175" s="20"/>
      <c r="L175" s="20"/>
      <c r="M175" s="20"/>
      <c r="N175" s="20"/>
      <c r="O175" s="20"/>
      <c r="P175" s="20"/>
      <c r="Q175" s="20"/>
      <c r="R175" s="20"/>
      <c r="S175" s="20"/>
      <c r="T175" s="20"/>
      <c r="U175" s="20"/>
      <c r="V175" s="20"/>
      <c r="W175" s="20"/>
      <c r="X175" s="20"/>
      <c r="Y175" s="20"/>
    </row>
    <row r="176" spans="1:25" ht="12.75" customHeight="1">
      <c r="A176" s="20"/>
      <c r="B176" s="20" t="s">
        <v>114</v>
      </c>
      <c r="G176" s="733" t="s">
        <v>241</v>
      </c>
      <c r="H176" s="733"/>
      <c r="I176" s="987" t="s">
        <v>240</v>
      </c>
      <c r="J176" s="987"/>
      <c r="L176" s="20"/>
    </row>
    <row r="177" spans="1:25">
      <c r="A177" s="20"/>
      <c r="B177" s="20"/>
      <c r="G177" s="733"/>
      <c r="H177" s="733"/>
      <c r="I177" s="987"/>
      <c r="J177" s="987"/>
    </row>
    <row r="178" spans="1:25">
      <c r="A178" s="20"/>
      <c r="B178" s="924" t="s">
        <v>237</v>
      </c>
      <c r="C178" s="925"/>
      <c r="D178" s="925"/>
      <c r="E178" s="925"/>
      <c r="F178" s="926"/>
      <c r="G178" s="979">
        <v>85</v>
      </c>
      <c r="H178" s="979"/>
      <c r="I178" s="984">
        <v>2E-3</v>
      </c>
      <c r="J178" s="984"/>
    </row>
    <row r="179" spans="1:25">
      <c r="A179" s="20"/>
      <c r="B179" s="924" t="s">
        <v>242</v>
      </c>
      <c r="C179" s="925"/>
      <c r="D179" s="925"/>
      <c r="E179" s="925"/>
      <c r="F179" s="926"/>
      <c r="G179" s="979">
        <v>8</v>
      </c>
      <c r="H179" s="979"/>
      <c r="I179" s="984">
        <v>4.0000000000000001E-3</v>
      </c>
      <c r="J179" s="984"/>
    </row>
    <row r="180" spans="1:25">
      <c r="A180" s="20"/>
      <c r="B180" s="924" t="s">
        <v>243</v>
      </c>
      <c r="C180" s="925"/>
      <c r="D180" s="925"/>
      <c r="E180" s="925"/>
      <c r="F180" s="926"/>
      <c r="G180" s="979">
        <v>5</v>
      </c>
      <c r="H180" s="979"/>
      <c r="I180" s="984">
        <v>5.0000000000000001E-3</v>
      </c>
      <c r="J180" s="984"/>
    </row>
    <row r="181" spans="1:25">
      <c r="A181" s="20"/>
      <c r="B181" s="924" t="s">
        <v>238</v>
      </c>
      <c r="C181" s="925"/>
      <c r="D181" s="925"/>
      <c r="E181" s="925"/>
      <c r="F181" s="926"/>
      <c r="G181" s="927">
        <f>100-G178-G179-G180</f>
        <v>2</v>
      </c>
      <c r="H181" s="927"/>
      <c r="I181" s="984">
        <v>1E-3</v>
      </c>
      <c r="J181" s="984"/>
    </row>
    <row r="182" spans="1:25">
      <c r="A182" s="20"/>
      <c r="B182" s="924" t="s">
        <v>239</v>
      </c>
      <c r="C182" s="925"/>
      <c r="D182" s="925"/>
      <c r="E182" s="925"/>
      <c r="F182" s="926"/>
      <c r="G182" s="978">
        <f>SUM(G178:H181)</f>
        <v>100</v>
      </c>
      <c r="H182" s="978"/>
      <c r="I182" s="983">
        <f>SUMPRODUCT(I178:I181,G178:G181)/100</f>
        <v>2.2899999999999999E-3</v>
      </c>
      <c r="J182" s="983"/>
    </row>
    <row r="183" spans="1:25">
      <c r="A183" s="20"/>
      <c r="B183" s="20"/>
      <c r="C183" s="20"/>
      <c r="D183" s="20"/>
      <c r="E183" s="20"/>
      <c r="G183" s="58"/>
      <c r="H183" s="58"/>
      <c r="I183" s="58"/>
      <c r="J183" s="59"/>
      <c r="M183" s="20"/>
    </row>
    <row r="184" spans="1:25">
      <c r="A184" s="20"/>
      <c r="B184" s="924" t="s">
        <v>244</v>
      </c>
      <c r="C184" s="925"/>
      <c r="D184" s="925"/>
      <c r="E184" s="925"/>
      <c r="F184" s="926"/>
      <c r="G184" s="982">
        <v>1.5</v>
      </c>
      <c r="H184" s="982"/>
      <c r="M184" s="20"/>
    </row>
    <row r="185" spans="1:25">
      <c r="A185" s="20"/>
      <c r="B185" s="924" t="s">
        <v>245</v>
      </c>
      <c r="C185" s="925"/>
      <c r="D185" s="925"/>
      <c r="E185" s="925"/>
      <c r="F185" s="926"/>
      <c r="G185" s="983">
        <f>I182*G184</f>
        <v>3.4349999999999997E-3</v>
      </c>
      <c r="H185" s="983"/>
      <c r="L185" s="20"/>
      <c r="M185" s="20"/>
    </row>
    <row r="186" spans="1:25">
      <c r="A186" s="20"/>
      <c r="B186" s="924" t="s">
        <v>246</v>
      </c>
      <c r="C186" s="925"/>
      <c r="D186" s="925"/>
      <c r="E186" s="925"/>
      <c r="F186" s="926"/>
      <c r="G186" s="978">
        <f>G185*10000</f>
        <v>34.349999999999994</v>
      </c>
      <c r="H186" s="978"/>
      <c r="I186" s="24"/>
      <c r="J186" s="59"/>
      <c r="L186" s="20"/>
      <c r="M186" s="20"/>
    </row>
    <row r="187" spans="1:25">
      <c r="A187" s="20"/>
      <c r="B187" s="20"/>
      <c r="F187" s="20"/>
      <c r="G187" s="20"/>
      <c r="H187" s="20"/>
      <c r="I187" s="20"/>
      <c r="J187" s="20"/>
      <c r="K187" s="20"/>
      <c r="L187" s="20"/>
      <c r="M187" s="20"/>
      <c r="N187" s="20"/>
      <c r="O187" s="20"/>
      <c r="P187" s="20"/>
      <c r="Q187" s="20"/>
      <c r="Y187" s="20"/>
    </row>
    <row r="188" spans="1:25">
      <c r="A188" s="20"/>
      <c r="B188" s="57" t="s">
        <v>236</v>
      </c>
      <c r="K188" s="20"/>
      <c r="N188" s="20"/>
      <c r="O188" s="20"/>
      <c r="P188" s="20"/>
      <c r="Q188" s="20"/>
      <c r="R188" s="20"/>
      <c r="S188" s="20"/>
      <c r="U188" s="20"/>
      <c r="V188" s="20"/>
      <c r="W188" s="20"/>
      <c r="X188" s="20"/>
      <c r="Y188" s="20"/>
    </row>
    <row r="189" spans="1:25">
      <c r="A189" s="20"/>
      <c r="B189" s="20" t="s">
        <v>250</v>
      </c>
      <c r="K189" s="20"/>
      <c r="N189" s="20"/>
      <c r="O189" s="20"/>
      <c r="P189" s="20"/>
      <c r="Q189" s="20"/>
      <c r="R189" s="20"/>
      <c r="S189" s="20"/>
      <c r="U189" s="20"/>
      <c r="V189" s="20"/>
      <c r="W189" s="20"/>
      <c r="X189" s="20"/>
      <c r="Y189" s="20"/>
    </row>
    <row r="190" spans="1:25">
      <c r="A190" s="20"/>
      <c r="B190" s="20" t="s">
        <v>251</v>
      </c>
      <c r="K190" s="20"/>
      <c r="N190" s="20"/>
      <c r="O190" s="20"/>
      <c r="P190" s="20"/>
      <c r="Q190" s="20"/>
      <c r="R190" s="20"/>
      <c r="S190" s="20"/>
      <c r="U190" s="20"/>
      <c r="V190" s="20"/>
      <c r="W190" s="20"/>
      <c r="X190" s="20"/>
      <c r="Y190" s="20"/>
    </row>
    <row r="191" spans="1:25">
      <c r="A191" s="20"/>
      <c r="B191" s="20" t="s">
        <v>252</v>
      </c>
      <c r="K191" s="20"/>
      <c r="N191" s="20"/>
      <c r="O191" s="20"/>
      <c r="P191" s="20"/>
      <c r="Q191" s="20"/>
      <c r="R191" s="20"/>
      <c r="S191" s="20"/>
      <c r="U191" s="20"/>
      <c r="V191" s="20"/>
      <c r="W191" s="20"/>
      <c r="X191" s="20"/>
      <c r="Y191" s="20"/>
    </row>
    <row r="192" spans="1:25">
      <c r="A192" s="20"/>
      <c r="B192" s="20"/>
      <c r="F192" s="20"/>
      <c r="K192" s="20"/>
      <c r="N192" s="20"/>
      <c r="O192" s="20"/>
      <c r="P192" s="20"/>
      <c r="Q192" s="20"/>
      <c r="R192" s="20"/>
      <c r="S192" s="20"/>
      <c r="U192" s="20"/>
      <c r="V192" s="20"/>
      <c r="W192" s="20"/>
      <c r="X192" s="20"/>
      <c r="Y192" s="20"/>
    </row>
    <row r="193" spans="1:25" ht="24.95" customHeight="1">
      <c r="A193" s="20"/>
      <c r="B193" s="20" t="s">
        <v>114</v>
      </c>
      <c r="G193" s="733" t="s">
        <v>348</v>
      </c>
      <c r="H193" s="987"/>
      <c r="I193" s="733" t="s">
        <v>401</v>
      </c>
      <c r="J193" s="733"/>
      <c r="N193" s="20"/>
      <c r="O193" s="20"/>
      <c r="P193" s="20"/>
      <c r="U193" s="20"/>
      <c r="V193" s="20"/>
      <c r="W193" s="20"/>
      <c r="X193" s="20"/>
      <c r="Y193" s="20"/>
    </row>
    <row r="194" spans="1:25">
      <c r="A194" s="20"/>
      <c r="B194" s="924" t="s">
        <v>48</v>
      </c>
      <c r="C194" s="925"/>
      <c r="D194" s="925"/>
      <c r="E194" s="925"/>
      <c r="F194" s="926"/>
      <c r="G194" s="984">
        <v>0.02</v>
      </c>
      <c r="H194" s="984"/>
      <c r="I194" s="976">
        <v>160</v>
      </c>
      <c r="J194" s="976"/>
      <c r="N194" s="20"/>
      <c r="O194" s="20"/>
      <c r="P194" s="20"/>
      <c r="U194" s="20"/>
      <c r="V194" s="20"/>
      <c r="W194" s="20"/>
      <c r="X194" s="20"/>
      <c r="Y194" s="20"/>
    </row>
    <row r="195" spans="1:25">
      <c r="A195" s="20"/>
      <c r="B195" s="924" t="s">
        <v>247</v>
      </c>
      <c r="C195" s="925"/>
      <c r="D195" s="925"/>
      <c r="E195" s="925"/>
      <c r="F195" s="926"/>
      <c r="G195" s="984">
        <v>0.2</v>
      </c>
      <c r="H195" s="984"/>
      <c r="I195" s="976">
        <v>10</v>
      </c>
      <c r="J195" s="976"/>
      <c r="N195" s="20"/>
      <c r="O195" s="20"/>
      <c r="P195" s="20"/>
      <c r="U195" s="20"/>
      <c r="V195" s="20"/>
      <c r="W195" s="20"/>
      <c r="X195" s="20"/>
      <c r="Y195" s="20"/>
    </row>
    <row r="196" spans="1:25">
      <c r="A196" s="20"/>
      <c r="B196" s="924" t="s">
        <v>248</v>
      </c>
      <c r="C196" s="925"/>
      <c r="D196" s="925"/>
      <c r="E196" s="925"/>
      <c r="F196" s="926"/>
      <c r="G196" s="983">
        <f>SUMPRODUCT(G194:G195,I194:I195)/100</f>
        <v>5.2000000000000005E-2</v>
      </c>
      <c r="H196" s="983"/>
      <c r="I196" s="978">
        <f>SUM(I194:J195)</f>
        <v>170</v>
      </c>
      <c r="J196" s="978"/>
      <c r="N196" s="20"/>
      <c r="O196" s="20"/>
      <c r="P196" s="20"/>
      <c r="U196" s="20"/>
      <c r="V196" s="20"/>
      <c r="W196" s="20"/>
      <c r="X196" s="20"/>
      <c r="Y196" s="20"/>
    </row>
    <row r="197" spans="1:25">
      <c r="A197" s="20"/>
      <c r="B197" s="924" t="s">
        <v>249</v>
      </c>
      <c r="C197" s="925"/>
      <c r="D197" s="925"/>
      <c r="E197" s="925"/>
      <c r="F197" s="926"/>
      <c r="G197" s="983">
        <f>(I194*G194-I195*G195)/(I194-I195)</f>
        <v>8.0000000000000019E-3</v>
      </c>
      <c r="H197" s="983"/>
      <c r="K197" s="20"/>
      <c r="N197" s="20"/>
      <c r="O197" s="20"/>
      <c r="P197" s="20"/>
      <c r="U197" s="20"/>
      <c r="V197" s="20"/>
      <c r="W197" s="20"/>
      <c r="X197" s="20"/>
      <c r="Y197" s="20"/>
    </row>
    <row r="198" spans="1:25">
      <c r="A198" s="20"/>
      <c r="I198" s="58"/>
      <c r="J198" s="59"/>
      <c r="K198" s="20"/>
      <c r="N198" s="20"/>
      <c r="O198" s="20"/>
      <c r="P198" s="20"/>
      <c r="U198" s="20"/>
      <c r="V198" s="20"/>
      <c r="W198" s="20"/>
      <c r="X198" s="20"/>
      <c r="Y198" s="20"/>
    </row>
    <row r="199" spans="1:25">
      <c r="A199" s="20"/>
      <c r="B199" s="924" t="s">
        <v>244</v>
      </c>
      <c r="C199" s="925"/>
      <c r="D199" s="925"/>
      <c r="E199" s="925"/>
      <c r="F199" s="926"/>
      <c r="G199" s="982">
        <v>1.5</v>
      </c>
      <c r="H199" s="982"/>
      <c r="K199" s="20"/>
      <c r="N199" s="20"/>
      <c r="O199" s="20"/>
      <c r="P199" s="20"/>
      <c r="U199" s="20"/>
      <c r="V199" s="20"/>
      <c r="W199" s="20"/>
      <c r="X199" s="20"/>
      <c r="Y199" s="20"/>
    </row>
    <row r="200" spans="1:25">
      <c r="A200" s="20"/>
      <c r="B200" s="924" t="s">
        <v>245</v>
      </c>
      <c r="C200" s="925"/>
      <c r="D200" s="925"/>
      <c r="E200" s="925"/>
      <c r="F200" s="926"/>
      <c r="G200" s="983">
        <f>G197*G199</f>
        <v>1.2000000000000004E-2</v>
      </c>
      <c r="H200" s="983"/>
      <c r="K200" s="20"/>
      <c r="N200" s="20"/>
      <c r="O200" s="20"/>
      <c r="P200" s="20"/>
      <c r="U200" s="20"/>
      <c r="V200" s="20"/>
      <c r="W200" s="20"/>
      <c r="X200" s="20"/>
      <c r="Y200" s="20"/>
    </row>
    <row r="201" spans="1:25">
      <c r="A201" s="20"/>
      <c r="B201" s="924" t="s">
        <v>246</v>
      </c>
      <c r="C201" s="925"/>
      <c r="D201" s="925"/>
      <c r="E201" s="925"/>
      <c r="F201" s="926"/>
      <c r="G201" s="978">
        <f>G200*10000</f>
        <v>120.00000000000004</v>
      </c>
      <c r="H201" s="978"/>
      <c r="I201" s="24"/>
      <c r="J201" s="59"/>
      <c r="K201" s="20"/>
      <c r="N201" s="20"/>
      <c r="O201" s="20"/>
      <c r="P201" s="20"/>
      <c r="U201" s="20"/>
      <c r="V201" s="20"/>
      <c r="W201" s="20"/>
      <c r="X201" s="20"/>
      <c r="Y201" s="20"/>
    </row>
    <row r="202" spans="1:25">
      <c r="A202" s="20"/>
      <c r="B202" s="20"/>
      <c r="F202" s="20"/>
      <c r="K202" s="20"/>
      <c r="N202" s="20"/>
      <c r="O202" s="20"/>
      <c r="P202" s="20"/>
      <c r="Q202" s="20"/>
      <c r="R202" s="20"/>
      <c r="S202" s="20"/>
      <c r="U202" s="20"/>
      <c r="V202" s="20"/>
      <c r="W202" s="20"/>
      <c r="X202" s="20"/>
      <c r="Y202" s="20"/>
    </row>
    <row r="203" spans="1:25" ht="18.75">
      <c r="A203" s="48" t="s">
        <v>565</v>
      </c>
      <c r="B203" s="48" t="s">
        <v>564</v>
      </c>
      <c r="C203" s="51"/>
      <c r="D203" s="52"/>
      <c r="E203" s="52"/>
      <c r="F203" s="52"/>
      <c r="G203" s="52"/>
      <c r="H203" s="52"/>
      <c r="I203" s="52"/>
      <c r="J203" s="52"/>
      <c r="K203" s="52"/>
      <c r="L203" s="52"/>
      <c r="M203" s="52"/>
      <c r="N203" s="52"/>
      <c r="O203" s="52"/>
      <c r="P203" s="52"/>
      <c r="Q203" s="54"/>
      <c r="R203" s="20"/>
      <c r="S203" s="20"/>
      <c r="T203" s="20"/>
      <c r="U203" s="20"/>
      <c r="V203" s="20"/>
      <c r="W203" s="20"/>
      <c r="X203" s="20"/>
      <c r="Y203" s="20"/>
    </row>
    <row r="204" spans="1: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ht="12.75" customHeight="1">
      <c r="A205" s="20" t="s">
        <v>398</v>
      </c>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spans="1:25">
      <c r="A206" s="20" t="s">
        <v>399</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c r="A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spans="1:25">
      <c r="A208" s="20"/>
      <c r="B208" s="34"/>
      <c r="C208" s="20"/>
      <c r="D208" s="20"/>
      <c r="E208" s="20"/>
      <c r="F208" s="20"/>
      <c r="G208" s="20"/>
      <c r="H208" s="19" t="s">
        <v>402</v>
      </c>
      <c r="I208" s="20"/>
      <c r="J208" s="20"/>
      <c r="K208" s="20"/>
      <c r="L208" s="20"/>
      <c r="M208" s="20"/>
      <c r="N208" s="20"/>
      <c r="O208" s="20"/>
      <c r="P208" s="20"/>
      <c r="Q208" s="20"/>
      <c r="R208" s="20"/>
      <c r="S208" s="20"/>
      <c r="T208" s="20"/>
      <c r="U208" s="20"/>
      <c r="V208" s="20"/>
      <c r="W208" s="20"/>
      <c r="X208" s="20"/>
      <c r="Y208" s="20"/>
    </row>
    <row r="209" spans="1:25">
      <c r="A209" s="20"/>
      <c r="B209" s="34"/>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spans="1:25">
      <c r="A210" s="20"/>
      <c r="B210" s="34"/>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spans="1:25">
      <c r="A211" s="20"/>
      <c r="B211" s="34"/>
      <c r="C211" s="20"/>
      <c r="D211" s="20"/>
      <c r="E211" s="20"/>
      <c r="F211" s="20"/>
      <c r="G211" s="20"/>
      <c r="H211" s="19" t="s">
        <v>403</v>
      </c>
      <c r="I211" s="20"/>
      <c r="J211" s="20"/>
      <c r="K211" s="20"/>
      <c r="L211" s="20"/>
      <c r="M211" s="20"/>
      <c r="N211" s="20"/>
      <c r="O211" s="20"/>
      <c r="P211" s="20"/>
      <c r="Q211" s="20"/>
      <c r="R211" s="20"/>
      <c r="S211" s="20"/>
      <c r="T211" s="20"/>
      <c r="U211" s="20"/>
      <c r="V211" s="20"/>
      <c r="W211" s="20"/>
      <c r="X211" s="20"/>
      <c r="Y211" s="20"/>
    </row>
    <row r="212" spans="1:25">
      <c r="A212" s="20"/>
      <c r="B212" s="34"/>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spans="1:25">
      <c r="A213" s="20"/>
      <c r="B213" s="34"/>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c r="A214" s="20"/>
      <c r="B214" s="34"/>
      <c r="C214" s="20"/>
      <c r="D214" s="20"/>
      <c r="E214" s="20"/>
      <c r="F214" s="20"/>
      <c r="G214" s="20"/>
      <c r="H214" s="19" t="s">
        <v>404</v>
      </c>
      <c r="I214" s="20"/>
      <c r="J214" s="20"/>
      <c r="K214" s="20"/>
      <c r="L214" s="20"/>
      <c r="M214" s="20"/>
      <c r="N214" s="20"/>
      <c r="O214" s="20"/>
      <c r="P214" s="20"/>
      <c r="Q214" s="20"/>
      <c r="R214" s="20"/>
      <c r="S214" s="20"/>
      <c r="T214" s="20"/>
      <c r="U214" s="20"/>
      <c r="V214" s="20"/>
      <c r="W214" s="20"/>
      <c r="X214" s="20"/>
      <c r="Y214" s="20"/>
    </row>
    <row r="215" spans="1:25">
      <c r="A215" s="20"/>
      <c r="B215" s="34"/>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c r="A216" s="20" t="s">
        <v>253</v>
      </c>
      <c r="B216" s="34"/>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c r="A217" s="20" t="s">
        <v>12</v>
      </c>
      <c r="B217" s="34"/>
      <c r="C217" s="20" t="s">
        <v>257</v>
      </c>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c r="A218" s="20" t="s">
        <v>254</v>
      </c>
      <c r="B218" s="34"/>
      <c r="C218" s="20" t="s">
        <v>258</v>
      </c>
      <c r="D218" s="20"/>
      <c r="E218" s="20"/>
      <c r="F218" s="20"/>
      <c r="G218" s="20"/>
      <c r="H218" s="997" t="s">
        <v>400</v>
      </c>
      <c r="I218" s="997"/>
      <c r="J218" s="997"/>
      <c r="K218" s="997"/>
      <c r="L218" s="997"/>
      <c r="M218" s="997"/>
      <c r="N218" s="997"/>
      <c r="O218" s="997"/>
      <c r="P218" s="20"/>
      <c r="Q218" s="20"/>
      <c r="R218" s="20"/>
      <c r="S218" s="20"/>
      <c r="T218" s="20"/>
      <c r="U218" s="20"/>
      <c r="V218" s="20"/>
      <c r="W218" s="20"/>
      <c r="X218" s="20"/>
      <c r="Y218" s="20"/>
    </row>
    <row r="219" spans="1:25">
      <c r="A219" s="20" t="s">
        <v>255</v>
      </c>
      <c r="B219" s="31" t="s">
        <v>114</v>
      </c>
      <c r="C219" s="20" t="s">
        <v>276</v>
      </c>
      <c r="D219" s="20"/>
      <c r="E219" s="20"/>
      <c r="F219" s="20"/>
      <c r="G219" s="20"/>
      <c r="H219" s="997"/>
      <c r="I219" s="997"/>
      <c r="J219" s="997"/>
      <c r="K219" s="997"/>
      <c r="L219" s="997"/>
      <c r="M219" s="997"/>
      <c r="N219" s="997"/>
      <c r="O219" s="997"/>
      <c r="P219" s="20"/>
      <c r="Q219" s="20"/>
      <c r="R219" s="20"/>
      <c r="S219" s="20"/>
      <c r="T219" s="20"/>
      <c r="U219" s="20"/>
      <c r="V219" s="20"/>
      <c r="W219" s="20"/>
      <c r="X219" s="20"/>
      <c r="Y219" s="20"/>
    </row>
    <row r="220" spans="1:25">
      <c r="A220" s="20" t="s">
        <v>256</v>
      </c>
      <c r="B220" s="31"/>
      <c r="C220" s="20" t="s">
        <v>277</v>
      </c>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c r="A221" s="20"/>
      <c r="B221" s="31"/>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ht="18.75">
      <c r="A222" s="48" t="s">
        <v>567</v>
      </c>
      <c r="B222" s="48" t="s">
        <v>566</v>
      </c>
      <c r="C222" s="51"/>
      <c r="D222" s="52"/>
      <c r="E222" s="52"/>
      <c r="F222" s="52"/>
      <c r="G222" s="52"/>
      <c r="H222" s="52"/>
      <c r="I222" s="52"/>
      <c r="J222" s="52"/>
      <c r="K222" s="52"/>
      <c r="L222" s="52"/>
      <c r="M222" s="52"/>
      <c r="N222" s="52"/>
      <c r="O222" s="52"/>
      <c r="P222" s="52"/>
      <c r="Q222" s="54"/>
      <c r="R222" s="20"/>
      <c r="S222" s="20"/>
      <c r="T222" s="20"/>
      <c r="U222" s="20"/>
      <c r="V222" s="20"/>
      <c r="W222" s="20"/>
      <c r="X222" s="20"/>
      <c r="Y222" s="20"/>
    </row>
    <row r="223" spans="1:25">
      <c r="A223" s="20"/>
      <c r="B223" s="31"/>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ht="12.75" customHeight="1">
      <c r="A224" s="733" t="s">
        <v>299</v>
      </c>
      <c r="B224" s="733"/>
      <c r="C224" s="733"/>
      <c r="D224" s="733"/>
      <c r="E224" s="733"/>
      <c r="F224" s="733"/>
      <c r="G224" s="733"/>
      <c r="H224" s="85" t="s">
        <v>11</v>
      </c>
      <c r="I224" s="85" t="s">
        <v>25</v>
      </c>
      <c r="J224" s="85" t="s">
        <v>24</v>
      </c>
      <c r="K224" s="85" t="s">
        <v>297</v>
      </c>
      <c r="L224" s="85" t="s">
        <v>298</v>
      </c>
      <c r="M224" s="85" t="s">
        <v>294</v>
      </c>
      <c r="N224" s="1008" t="s">
        <v>35</v>
      </c>
      <c r="O224" s="1009"/>
      <c r="P224" s="1009"/>
      <c r="Q224" s="1010"/>
      <c r="R224" s="20"/>
      <c r="S224" s="20"/>
      <c r="T224" s="20"/>
      <c r="U224" s="20"/>
      <c r="V224" s="20"/>
      <c r="W224" s="20"/>
      <c r="X224" s="20"/>
      <c r="Y224" s="20"/>
    </row>
    <row r="225" spans="1:25" ht="12.75" customHeight="1">
      <c r="A225" s="932" t="s">
        <v>61</v>
      </c>
      <c r="B225" s="933"/>
      <c r="C225" s="974" t="s">
        <v>680</v>
      </c>
      <c r="D225" s="974"/>
      <c r="E225" s="974"/>
      <c r="F225" s="974"/>
      <c r="G225" s="975"/>
      <c r="H225" s="35">
        <v>1.98</v>
      </c>
      <c r="I225" s="35">
        <v>1.98</v>
      </c>
      <c r="J225" s="35">
        <v>1.65</v>
      </c>
      <c r="K225" s="35">
        <v>0.83</v>
      </c>
      <c r="L225" s="35">
        <v>0.83</v>
      </c>
      <c r="M225" s="94">
        <f>IF(Baseline!Kiln_System_ID=0,0,INDEX($H225:$L225,Baseline!Kiln_System_ID))</f>
        <v>1.98</v>
      </c>
      <c r="N225" s="971" t="s">
        <v>127</v>
      </c>
      <c r="O225" s="972"/>
      <c r="P225" s="972"/>
      <c r="Q225" s="973"/>
      <c r="R225" s="20"/>
      <c r="S225" s="20"/>
      <c r="T225" s="20"/>
      <c r="U225" s="20"/>
      <c r="V225" s="20"/>
      <c r="W225" s="20"/>
      <c r="X225" s="20"/>
      <c r="Y225" s="20"/>
    </row>
    <row r="226" spans="1:25" ht="12.75" customHeight="1">
      <c r="A226" s="977"/>
      <c r="B226" s="944"/>
      <c r="C226" s="974" t="s">
        <v>681</v>
      </c>
      <c r="D226" s="974"/>
      <c r="E226" s="974"/>
      <c r="F226" s="974"/>
      <c r="G226" s="975"/>
      <c r="H226" s="35">
        <v>0.26</v>
      </c>
      <c r="I226" s="35">
        <v>0.26</v>
      </c>
      <c r="J226" s="35">
        <v>0.22</v>
      </c>
      <c r="K226" s="35">
        <v>0.11</v>
      </c>
      <c r="L226" s="35">
        <v>0.11</v>
      </c>
      <c r="M226" s="327">
        <f>IF(Baseline!Kiln_System_ID=0,0,INDEX($H226:$L226,Baseline!Kiln_System_ID))</f>
        <v>0.26</v>
      </c>
      <c r="N226" s="971" t="s">
        <v>127</v>
      </c>
      <c r="O226" s="972"/>
      <c r="P226" s="972"/>
      <c r="Q226" s="973"/>
      <c r="R226" s="20"/>
      <c r="S226" s="20"/>
      <c r="T226" s="20"/>
      <c r="U226" s="20"/>
      <c r="V226" s="20"/>
      <c r="W226" s="20"/>
      <c r="X226" s="20"/>
      <c r="Y226" s="20"/>
    </row>
    <row r="227" spans="1:25" ht="12.75" customHeight="1">
      <c r="A227" s="935"/>
      <c r="B227" s="936"/>
      <c r="C227" s="939" t="s">
        <v>682</v>
      </c>
      <c r="D227" s="939"/>
      <c r="E227" s="939"/>
      <c r="F227" s="939"/>
      <c r="G227" s="940"/>
      <c r="H227" s="83">
        <v>5.7</v>
      </c>
      <c r="I227" s="27">
        <v>5.7</v>
      </c>
      <c r="J227" s="27">
        <v>5</v>
      </c>
      <c r="K227" s="27">
        <v>4.4000000000000004</v>
      </c>
      <c r="L227" s="27">
        <v>4.4000000000000004</v>
      </c>
      <c r="M227" s="326">
        <f>IF(Baseline!Kiln_System_ID=0,0,INDEX($H227:$L227,Baseline!Kiln_System_ID))</f>
        <v>5.7</v>
      </c>
      <c r="N227" s="971" t="s">
        <v>127</v>
      </c>
      <c r="O227" s="972"/>
      <c r="P227" s="972"/>
      <c r="Q227" s="973"/>
      <c r="R227" s="20"/>
      <c r="S227" s="20"/>
      <c r="T227" s="20"/>
      <c r="U227" s="20"/>
      <c r="V227" s="20"/>
      <c r="W227" s="20"/>
      <c r="X227" s="20"/>
      <c r="Y227" s="20"/>
    </row>
    <row r="228" spans="1:25" ht="12.75" customHeight="1">
      <c r="A228" s="932" t="s">
        <v>62</v>
      </c>
      <c r="B228" s="933"/>
      <c r="C228" s="974" t="s">
        <v>683</v>
      </c>
      <c r="D228" s="974"/>
      <c r="E228" s="974"/>
      <c r="F228" s="974"/>
      <c r="G228" s="975"/>
      <c r="H228" s="35">
        <v>2.15</v>
      </c>
      <c r="I228" s="35">
        <v>2.15</v>
      </c>
      <c r="J228" s="35">
        <v>2.15</v>
      </c>
      <c r="K228" s="35">
        <v>2.15</v>
      </c>
      <c r="L228" s="35">
        <v>2.15</v>
      </c>
      <c r="M228" s="327">
        <f>IF(Baseline!Kiln_System_ID=0,0,INDEX($H228:$L228,Baseline!Kiln_System_ID))</f>
        <v>2.15</v>
      </c>
      <c r="N228" s="971" t="s">
        <v>127</v>
      </c>
      <c r="O228" s="972"/>
      <c r="P228" s="972"/>
      <c r="Q228" s="973"/>
      <c r="R228" s="20"/>
      <c r="S228" s="20"/>
      <c r="T228" s="20"/>
      <c r="U228" s="20"/>
      <c r="V228" s="20"/>
      <c r="W228" s="20"/>
      <c r="X228" s="20"/>
      <c r="Y228" s="20"/>
    </row>
    <row r="229" spans="1:25" ht="12.75" customHeight="1">
      <c r="A229" s="977"/>
      <c r="B229" s="944"/>
      <c r="C229" s="974" t="s">
        <v>684</v>
      </c>
      <c r="D229" s="974"/>
      <c r="E229" s="974"/>
      <c r="F229" s="974"/>
      <c r="G229" s="975"/>
      <c r="H229" s="27">
        <v>1.1000000000000001</v>
      </c>
      <c r="I229" s="27">
        <v>1.1000000000000001</v>
      </c>
      <c r="J229" s="27">
        <v>1.1000000000000001</v>
      </c>
      <c r="K229" s="27">
        <v>1.1000000000000001</v>
      </c>
      <c r="L229" s="27">
        <v>1.1000000000000001</v>
      </c>
      <c r="M229" s="326">
        <f>IF(Baseline!Kiln_System_ID=0,0,INDEX($H229:$L229,Baseline!Kiln_System_ID))</f>
        <v>1.1000000000000001</v>
      </c>
      <c r="N229" s="971" t="s">
        <v>127</v>
      </c>
      <c r="O229" s="972"/>
      <c r="P229" s="972"/>
      <c r="Q229" s="973"/>
    </row>
    <row r="230" spans="1:25" ht="12.75" customHeight="1">
      <c r="A230" s="977"/>
      <c r="B230" s="944"/>
      <c r="C230" s="974" t="s">
        <v>685</v>
      </c>
      <c r="D230" s="974"/>
      <c r="E230" s="974"/>
      <c r="F230" s="974"/>
      <c r="G230" s="975"/>
      <c r="H230" s="27">
        <v>1.8</v>
      </c>
      <c r="I230" s="27">
        <v>1.8</v>
      </c>
      <c r="J230" s="27">
        <v>1.8</v>
      </c>
      <c r="K230" s="27">
        <v>1.8</v>
      </c>
      <c r="L230" s="27">
        <v>1.8</v>
      </c>
      <c r="M230" s="326">
        <f>IF(Baseline!Kiln_System_ID=0,0,INDEX($H230:$L230,Baseline!Kiln_System_ID))</f>
        <v>1.8</v>
      </c>
      <c r="N230" s="971" t="s">
        <v>127</v>
      </c>
      <c r="O230" s="972"/>
      <c r="P230" s="972"/>
      <c r="Q230" s="973"/>
    </row>
    <row r="231" spans="1:25" ht="12.75" customHeight="1">
      <c r="A231" s="977"/>
      <c r="B231" s="944"/>
      <c r="C231" s="974" t="s">
        <v>360</v>
      </c>
      <c r="D231" s="974"/>
      <c r="E231" s="974"/>
      <c r="F231" s="974"/>
      <c r="G231" s="975"/>
      <c r="H231" s="27">
        <v>1.2</v>
      </c>
      <c r="I231" s="27">
        <v>1.2</v>
      </c>
      <c r="J231" s="27">
        <v>1.2</v>
      </c>
      <c r="K231" s="27">
        <v>1.2</v>
      </c>
      <c r="L231" s="27">
        <v>1.2</v>
      </c>
      <c r="M231" s="326">
        <f>IF(Baseline!Kiln_System_ID=0,0,INDEX($H231:$L231,Baseline!Kiln_System_ID))</f>
        <v>1.2</v>
      </c>
      <c r="N231" s="971" t="s">
        <v>127</v>
      </c>
      <c r="O231" s="972"/>
      <c r="P231" s="972"/>
      <c r="Q231" s="973"/>
    </row>
    <row r="232" spans="1:25" ht="12.75" customHeight="1">
      <c r="A232" s="977"/>
      <c r="B232" s="944"/>
      <c r="C232" s="392" t="s">
        <v>741</v>
      </c>
      <c r="D232" s="392"/>
      <c r="E232" s="392"/>
      <c r="F232" s="392"/>
      <c r="G232" s="393"/>
      <c r="H232" s="27">
        <v>1</v>
      </c>
      <c r="I232" s="27">
        <v>1</v>
      </c>
      <c r="J232" s="27">
        <v>1</v>
      </c>
      <c r="K232" s="27">
        <v>1</v>
      </c>
      <c r="L232" s="27">
        <v>0.7</v>
      </c>
      <c r="M232" s="394">
        <f>IF(Baseline!Kiln_System_ID=0,0,INDEX($H232:$L232,Baseline!Kiln_System_ID))</f>
        <v>1</v>
      </c>
      <c r="N232" s="1011" t="s">
        <v>742</v>
      </c>
      <c r="O232" s="1012"/>
      <c r="P232" s="1012"/>
      <c r="Q232" s="1013"/>
    </row>
    <row r="233" spans="1:25" ht="12.75" customHeight="1">
      <c r="A233" s="977"/>
      <c r="B233" s="944"/>
      <c r="C233" s="974" t="s">
        <v>686</v>
      </c>
      <c r="D233" s="974"/>
      <c r="E233" s="974"/>
      <c r="F233" s="974"/>
      <c r="G233" s="975"/>
      <c r="H233" s="367">
        <v>35</v>
      </c>
      <c r="I233" s="373">
        <v>25</v>
      </c>
      <c r="J233" s="373">
        <v>0</v>
      </c>
      <c r="K233" s="367">
        <v>0</v>
      </c>
      <c r="L233" s="367">
        <v>0</v>
      </c>
      <c r="M233" s="110">
        <f>IF(Baseline!Kiln_System_ID=0,0,INDEX($H233:$L233,Baseline!Kiln_System_ID))</f>
        <v>35</v>
      </c>
      <c r="N233" s="971" t="s">
        <v>704</v>
      </c>
      <c r="O233" s="972"/>
      <c r="P233" s="972"/>
      <c r="Q233" s="973"/>
    </row>
    <row r="234" spans="1:25" ht="12.75" customHeight="1">
      <c r="A234" s="935"/>
      <c r="B234" s="936"/>
      <c r="C234" s="974" t="s">
        <v>687</v>
      </c>
      <c r="D234" s="974"/>
      <c r="E234" s="974"/>
      <c r="F234" s="974"/>
      <c r="G234" s="975"/>
      <c r="H234" s="108">
        <v>10</v>
      </c>
      <c r="I234" s="109">
        <v>20</v>
      </c>
      <c r="J234" s="109">
        <v>20</v>
      </c>
      <c r="K234" s="108">
        <v>0</v>
      </c>
      <c r="L234" s="108">
        <v>0</v>
      </c>
      <c r="M234" s="110">
        <f>IF(Baseline!Kiln_System_ID=0,0,INDEX($H234:$L234,Baseline!Kiln_System_ID))</f>
        <v>10</v>
      </c>
      <c r="N234" s="971" t="s">
        <v>661</v>
      </c>
      <c r="O234" s="972"/>
      <c r="P234" s="972"/>
      <c r="Q234" s="973"/>
    </row>
    <row r="235" spans="1:25" ht="12.75" customHeight="1">
      <c r="A235" s="932" t="s">
        <v>115</v>
      </c>
      <c r="B235" s="933"/>
      <c r="C235" s="974" t="s">
        <v>117</v>
      </c>
      <c r="D235" s="974"/>
      <c r="E235" s="974"/>
      <c r="F235" s="974"/>
      <c r="G235" s="975"/>
      <c r="H235" s="27">
        <v>2</v>
      </c>
      <c r="I235" s="27">
        <v>5.5</v>
      </c>
      <c r="J235" s="27">
        <v>5.5</v>
      </c>
      <c r="K235" s="27">
        <v>5.5</v>
      </c>
      <c r="L235" s="27">
        <v>5.5</v>
      </c>
      <c r="M235" s="326">
        <f>IF(Baseline!Kiln_System_ID=0,0,INDEX($H235:$L235,Baseline!Kiln_System_ID))</f>
        <v>2</v>
      </c>
      <c r="N235" s="971" t="s">
        <v>124</v>
      </c>
      <c r="O235" s="972"/>
      <c r="P235" s="972"/>
      <c r="Q235" s="973"/>
    </row>
    <row r="236" spans="1:25" ht="12.75" customHeight="1">
      <c r="A236" s="935"/>
      <c r="B236" s="936"/>
      <c r="C236" s="974" t="s">
        <v>118</v>
      </c>
      <c r="D236" s="974"/>
      <c r="E236" s="974"/>
      <c r="F236" s="974"/>
      <c r="G236" s="975"/>
      <c r="H236" s="108">
        <v>3</v>
      </c>
      <c r="I236" s="108">
        <v>4</v>
      </c>
      <c r="J236" s="108">
        <v>2</v>
      </c>
      <c r="K236" s="108">
        <v>10</v>
      </c>
      <c r="L236" s="108">
        <v>10</v>
      </c>
      <c r="M236" s="110">
        <f>IF(Baseline!Kiln_System_ID=0,0,INDEX($H236:$L236,Baseline!Kiln_System_ID))</f>
        <v>3</v>
      </c>
      <c r="N236" s="971" t="s">
        <v>688</v>
      </c>
      <c r="O236" s="972"/>
      <c r="P236" s="972"/>
      <c r="Q236" s="973"/>
    </row>
    <row r="237" spans="1:25" ht="12.75" customHeight="1">
      <c r="A237" s="81" t="s">
        <v>128</v>
      </c>
      <c r="B237" s="91"/>
      <c r="C237" s="91"/>
      <c r="D237" s="91"/>
      <c r="E237" s="91"/>
      <c r="F237" s="91"/>
      <c r="G237" s="91"/>
      <c r="H237" s="91"/>
      <c r="I237" s="91"/>
      <c r="J237" s="91"/>
      <c r="K237" s="91"/>
      <c r="L237" s="80"/>
      <c r="M237" s="323">
        <v>30</v>
      </c>
      <c r="N237" s="729" t="s">
        <v>323</v>
      </c>
      <c r="O237" s="730"/>
      <c r="P237" s="730"/>
      <c r="Q237" s="731"/>
    </row>
    <row r="239" spans="1:25" ht="18.75">
      <c r="A239" s="48" t="s">
        <v>569</v>
      </c>
      <c r="B239" s="48" t="s">
        <v>576</v>
      </c>
      <c r="C239" s="51"/>
      <c r="D239" s="52"/>
      <c r="E239" s="52"/>
      <c r="F239" s="52"/>
      <c r="G239" s="52"/>
      <c r="H239" s="52"/>
      <c r="I239" s="52"/>
      <c r="J239" s="52"/>
      <c r="K239" s="52"/>
      <c r="L239" s="52"/>
      <c r="M239" s="52"/>
      <c r="N239" s="52"/>
      <c r="O239" s="52"/>
      <c r="P239" s="52"/>
      <c r="Q239" s="54"/>
    </row>
    <row r="240" spans="1:25">
      <c r="A240" s="20"/>
      <c r="B240" s="31"/>
      <c r="C240" s="20"/>
      <c r="D240" s="20"/>
      <c r="E240" s="20"/>
      <c r="F240" s="20"/>
      <c r="G240" s="20"/>
      <c r="H240" s="20"/>
      <c r="I240" s="20"/>
      <c r="J240" s="20"/>
      <c r="K240" s="20"/>
      <c r="L240" s="20"/>
      <c r="M240" s="20"/>
      <c r="N240" s="20"/>
      <c r="O240" s="20"/>
      <c r="P240" s="20"/>
      <c r="Q240" s="20"/>
    </row>
    <row r="241" spans="1:21" ht="12.75" customHeight="1">
      <c r="A241" s="733" t="s">
        <v>299</v>
      </c>
      <c r="B241" s="733"/>
      <c r="C241" s="733"/>
      <c r="D241" s="733"/>
      <c r="E241" s="733"/>
      <c r="F241" s="733"/>
      <c r="G241" s="733"/>
      <c r="H241" s="302" t="s">
        <v>11</v>
      </c>
      <c r="I241" s="302" t="s">
        <v>25</v>
      </c>
      <c r="J241" s="302" t="s">
        <v>24</v>
      </c>
      <c r="K241" s="302" t="s">
        <v>297</v>
      </c>
      <c r="L241" s="302" t="s">
        <v>298</v>
      </c>
      <c r="M241" s="325" t="s">
        <v>294</v>
      </c>
      <c r="N241" s="1008" t="s">
        <v>35</v>
      </c>
      <c r="O241" s="1009"/>
      <c r="P241" s="1009"/>
      <c r="Q241" s="1010"/>
    </row>
    <row r="242" spans="1:21" ht="12.75" customHeight="1">
      <c r="A242" s="1006" t="s">
        <v>577</v>
      </c>
      <c r="B242" s="1007"/>
      <c r="C242" s="974" t="s">
        <v>119</v>
      </c>
      <c r="D242" s="974"/>
      <c r="E242" s="974"/>
      <c r="F242" s="974"/>
      <c r="G242" s="975"/>
      <c r="H242" s="108">
        <v>12</v>
      </c>
      <c r="I242" s="108">
        <v>30</v>
      </c>
      <c r="J242" s="108">
        <v>30</v>
      </c>
      <c r="K242" s="108">
        <v>30</v>
      </c>
      <c r="L242" s="108">
        <v>30</v>
      </c>
      <c r="M242" s="110">
        <f>IF(Baseline!Kiln_System_ID=0,0,INDEX($H242:$L242,Baseline!Kiln_System_ID))</f>
        <v>12</v>
      </c>
      <c r="N242" s="971" t="s">
        <v>127</v>
      </c>
      <c r="O242" s="972"/>
      <c r="P242" s="972"/>
      <c r="Q242" s="973"/>
    </row>
    <row r="243" spans="1:21" ht="12.75" customHeight="1">
      <c r="A243" s="1006"/>
      <c r="B243" s="1007"/>
      <c r="C243" s="974" t="s">
        <v>120</v>
      </c>
      <c r="D243" s="974"/>
      <c r="E243" s="974"/>
      <c r="F243" s="974"/>
      <c r="G243" s="975"/>
      <c r="H243" s="108">
        <v>30</v>
      </c>
      <c r="I243" s="108">
        <v>7</v>
      </c>
      <c r="J243" s="108">
        <v>0</v>
      </c>
      <c r="K243" s="108">
        <v>0</v>
      </c>
      <c r="L243" s="108">
        <v>0</v>
      </c>
      <c r="M243" s="110">
        <f>IF(Baseline!Kiln_System_ID=0,0,INDEX($H243:$L243,Baseline!Kiln_System_ID))</f>
        <v>30</v>
      </c>
      <c r="N243" s="971" t="s">
        <v>127</v>
      </c>
      <c r="O243" s="972"/>
      <c r="P243" s="972"/>
      <c r="Q243" s="973"/>
    </row>
    <row r="244" spans="1:21" ht="12.75" customHeight="1">
      <c r="A244" s="1006"/>
      <c r="B244" s="1007"/>
      <c r="C244" s="974" t="s">
        <v>717</v>
      </c>
      <c r="D244" s="974"/>
      <c r="E244" s="974"/>
      <c r="F244" s="974"/>
      <c r="G244" s="975"/>
      <c r="H244" s="108">
        <v>5</v>
      </c>
      <c r="I244" s="108">
        <v>15</v>
      </c>
      <c r="J244" s="108">
        <v>10</v>
      </c>
      <c r="K244" s="108">
        <v>20</v>
      </c>
      <c r="L244" s="108">
        <v>20</v>
      </c>
      <c r="M244" s="110">
        <f>IF(Baseline!Kiln_System_ID=0,0,INDEX($H244:$L244,Baseline!Kiln_System_ID))</f>
        <v>5</v>
      </c>
      <c r="N244" s="971" t="s">
        <v>127</v>
      </c>
      <c r="O244" s="972"/>
      <c r="P244" s="972"/>
      <c r="Q244" s="973"/>
    </row>
    <row r="245" spans="1:21" ht="12.75" customHeight="1">
      <c r="A245" s="1006" t="s">
        <v>116</v>
      </c>
      <c r="B245" s="1007"/>
      <c r="C245" s="939" t="s">
        <v>121</v>
      </c>
      <c r="D245" s="939"/>
      <c r="E245" s="939"/>
      <c r="F245" s="939"/>
      <c r="G245" s="940"/>
      <c r="H245" s="84">
        <v>300</v>
      </c>
      <c r="I245" s="108">
        <v>300</v>
      </c>
      <c r="J245" s="108">
        <v>600</v>
      </c>
      <c r="K245" s="108">
        <v>1000</v>
      </c>
      <c r="L245" s="108">
        <v>1000</v>
      </c>
      <c r="M245" s="110">
        <f>IF(Baseline!Kiln_System_ID=0,0,INDEX($H245:$L245,Baseline!Kiln_System_ID))</f>
        <v>300</v>
      </c>
      <c r="N245" s="971" t="s">
        <v>125</v>
      </c>
      <c r="O245" s="972"/>
      <c r="P245" s="972"/>
      <c r="Q245" s="973"/>
    </row>
    <row r="246" spans="1:21" ht="12.75" customHeight="1">
      <c r="A246" s="1006"/>
      <c r="B246" s="1007"/>
      <c r="C246" s="939" t="s">
        <v>122</v>
      </c>
      <c r="D246" s="939"/>
      <c r="E246" s="939"/>
      <c r="F246" s="939"/>
      <c r="G246" s="940"/>
      <c r="H246" s="83">
        <v>0.4</v>
      </c>
      <c r="I246" s="27">
        <v>0.5</v>
      </c>
      <c r="J246" s="27">
        <v>0.8</v>
      </c>
      <c r="K246" s="27">
        <v>0.8</v>
      </c>
      <c r="L246" s="27">
        <v>0.8</v>
      </c>
      <c r="M246" s="326">
        <f>IF(Baseline!Kiln_System_ID=0,0,INDEX($H246:$L246,Baseline!Kiln_System_ID))</f>
        <v>0.4</v>
      </c>
      <c r="N246" s="971" t="s">
        <v>126</v>
      </c>
      <c r="O246" s="972"/>
      <c r="P246" s="972"/>
      <c r="Q246" s="973"/>
    </row>
    <row r="247" spans="1:21" ht="12.75" customHeight="1">
      <c r="A247" s="1006"/>
      <c r="B247" s="1007"/>
      <c r="C247" s="939" t="s">
        <v>123</v>
      </c>
      <c r="D247" s="939"/>
      <c r="E247" s="939"/>
      <c r="F247" s="939"/>
      <c r="G247" s="940"/>
      <c r="H247" s="83">
        <v>2</v>
      </c>
      <c r="I247" s="27">
        <v>1.7</v>
      </c>
      <c r="J247" s="27">
        <v>1</v>
      </c>
      <c r="K247" s="27">
        <v>1.2</v>
      </c>
      <c r="L247" s="27">
        <v>1</v>
      </c>
      <c r="M247" s="326">
        <f>IF(Baseline!Kiln_System_ID=0,0,INDEX($H247:$L247,Baseline!Kiln_System_ID))</f>
        <v>2</v>
      </c>
      <c r="N247" s="971" t="s">
        <v>126</v>
      </c>
      <c r="O247" s="972"/>
      <c r="P247" s="972"/>
      <c r="Q247" s="973"/>
    </row>
    <row r="248" spans="1:21" ht="12.75" customHeight="1">
      <c r="A248" s="1006"/>
      <c r="B248" s="1007"/>
      <c r="C248" s="939" t="s">
        <v>331</v>
      </c>
      <c r="D248" s="939"/>
      <c r="E248" s="939"/>
      <c r="F248" s="939"/>
      <c r="G248" s="940"/>
      <c r="H248" s="83">
        <v>1.2</v>
      </c>
      <c r="I248" s="83">
        <v>1.2</v>
      </c>
      <c r="J248" s="83">
        <v>1.2</v>
      </c>
      <c r="K248" s="83">
        <v>1.2</v>
      </c>
      <c r="L248" s="83">
        <v>1.2</v>
      </c>
      <c r="M248" s="326">
        <f>IF(Baseline!Kiln_System_ID=0,0,INDEX($H248:$L248,Baseline!Kiln_System_ID))</f>
        <v>1.2</v>
      </c>
      <c r="N248" s="968" t="s">
        <v>667</v>
      </c>
      <c r="O248" s="969"/>
      <c r="P248" s="969"/>
      <c r="Q248" s="970"/>
    </row>
    <row r="249" spans="1:21" ht="12.75" customHeight="1">
      <c r="A249" s="1006"/>
      <c r="B249" s="1007"/>
      <c r="C249" s="974" t="s">
        <v>268</v>
      </c>
      <c r="D249" s="974"/>
      <c r="E249" s="974"/>
      <c r="F249" s="974"/>
      <c r="G249" s="975"/>
      <c r="H249" s="83">
        <v>1.5</v>
      </c>
      <c r="I249" s="83">
        <v>1.5</v>
      </c>
      <c r="J249" s="83">
        <v>1.5</v>
      </c>
      <c r="K249" s="83">
        <v>1.5</v>
      </c>
      <c r="L249" s="83">
        <v>1.5</v>
      </c>
      <c r="M249" s="326">
        <f>IF(Baseline!Kiln_System_ID=0,0,INDEX($H249:$L249,Baseline!Kiln_System_ID))</f>
        <v>1.5</v>
      </c>
      <c r="N249" s="968" t="s">
        <v>662</v>
      </c>
      <c r="O249" s="969"/>
      <c r="P249" s="969"/>
      <c r="Q249" s="970"/>
    </row>
    <row r="251" spans="1:21" ht="18.75">
      <c r="A251" s="48" t="s">
        <v>575</v>
      </c>
      <c r="B251" s="48" t="s">
        <v>751</v>
      </c>
      <c r="C251" s="51"/>
      <c r="D251" s="52"/>
      <c r="E251" s="52"/>
      <c r="F251" s="52"/>
      <c r="G251" s="52"/>
      <c r="H251" s="52"/>
      <c r="I251" s="52"/>
      <c r="J251" s="52"/>
      <c r="K251" s="52"/>
      <c r="L251" s="52"/>
      <c r="M251" s="52"/>
      <c r="N251" s="52"/>
      <c r="O251" s="52"/>
      <c r="P251" s="52"/>
      <c r="Q251" s="54"/>
    </row>
    <row r="252" spans="1:21">
      <c r="A252" s="25"/>
      <c r="B252" s="25"/>
      <c r="C252" s="25"/>
      <c r="D252" s="25"/>
      <c r="E252" s="25"/>
      <c r="F252" s="25"/>
      <c r="G252" s="25"/>
      <c r="H252" s="25"/>
      <c r="I252" s="25"/>
      <c r="J252" s="25"/>
      <c r="K252" s="25"/>
      <c r="L252" s="25"/>
      <c r="M252" s="25"/>
      <c r="N252" s="25"/>
      <c r="O252" s="25"/>
      <c r="P252" s="25"/>
      <c r="Q252" s="25"/>
      <c r="R252" s="25"/>
    </row>
    <row r="253" spans="1:21" ht="12.75" customHeight="1">
      <c r="A253" s="543" t="s">
        <v>810</v>
      </c>
      <c r="B253" s="542"/>
      <c r="C253" s="542"/>
      <c r="D253" s="542"/>
      <c r="E253" s="399"/>
      <c r="F253" s="400">
        <v>900</v>
      </c>
      <c r="G253" s="405" t="s">
        <v>743</v>
      </c>
      <c r="H253" s="407"/>
      <c r="J253" s="20"/>
      <c r="K253" s="20"/>
      <c r="L253" s="20"/>
      <c r="M253" s="20"/>
      <c r="N253" s="20"/>
      <c r="O253" s="20"/>
      <c r="P253" s="20"/>
      <c r="Q253" s="20"/>
      <c r="R253" s="20"/>
      <c r="S253" s="20"/>
      <c r="T253" s="20"/>
      <c r="U253" s="20"/>
    </row>
    <row r="254" spans="1:21">
      <c r="A254" s="543" t="s">
        <v>811</v>
      </c>
      <c r="B254" s="542"/>
      <c r="C254" s="542"/>
      <c r="D254" s="542"/>
      <c r="E254" s="399"/>
      <c r="F254" s="400">
        <v>1300</v>
      </c>
      <c r="G254" s="405" t="s">
        <v>743</v>
      </c>
      <c r="H254" s="407"/>
      <c r="J254" s="20"/>
      <c r="K254" s="20"/>
      <c r="L254" s="20"/>
      <c r="M254" s="20"/>
      <c r="N254" s="20"/>
      <c r="O254" s="20"/>
      <c r="P254" s="20"/>
      <c r="Q254" s="20"/>
      <c r="R254" s="20"/>
      <c r="S254" s="20"/>
      <c r="T254" s="20"/>
      <c r="U254" s="20"/>
    </row>
    <row r="255" spans="1:21">
      <c r="A255" s="543" t="s">
        <v>812</v>
      </c>
      <c r="B255" s="542"/>
      <c r="C255" s="542"/>
      <c r="D255" s="542"/>
      <c r="E255" s="399"/>
      <c r="F255" s="400">
        <v>1900</v>
      </c>
      <c r="G255" s="405" t="s">
        <v>743</v>
      </c>
      <c r="H255" s="407"/>
      <c r="J255" s="25"/>
      <c r="K255" s="25"/>
      <c r="L255" s="25"/>
      <c r="M255" s="25"/>
      <c r="N255" s="1014"/>
      <c r="O255" s="1014"/>
      <c r="P255" s="1014"/>
      <c r="Q255" s="1014"/>
      <c r="R255" s="25"/>
    </row>
    <row r="256" spans="1:21">
      <c r="A256" s="543" t="s">
        <v>813</v>
      </c>
      <c r="B256" s="542"/>
      <c r="C256" s="542"/>
      <c r="D256" s="542"/>
      <c r="E256" s="399"/>
      <c r="F256" s="400">
        <v>2600</v>
      </c>
      <c r="G256" s="405" t="s">
        <v>743</v>
      </c>
      <c r="H256" s="407"/>
      <c r="J256" s="25"/>
      <c r="K256" s="25"/>
      <c r="L256" s="25"/>
      <c r="M256" s="25"/>
      <c r="N256" s="1014"/>
      <c r="O256" s="1014"/>
      <c r="P256" s="1014"/>
      <c r="Q256" s="1014"/>
      <c r="R256" s="25"/>
    </row>
    <row r="257" spans="1:18">
      <c r="A257" s="543" t="s">
        <v>814</v>
      </c>
      <c r="B257" s="542"/>
      <c r="C257" s="542"/>
      <c r="D257" s="542"/>
      <c r="E257" s="399"/>
      <c r="F257" s="400">
        <v>3300</v>
      </c>
      <c r="G257" s="405" t="s">
        <v>743</v>
      </c>
      <c r="H257" s="407"/>
      <c r="J257" s="25"/>
      <c r="K257" s="25"/>
      <c r="L257" s="25"/>
      <c r="M257" s="25"/>
      <c r="N257" s="1014"/>
      <c r="O257" s="1014"/>
      <c r="P257" s="1014"/>
      <c r="Q257" s="1014"/>
      <c r="R257" s="25"/>
    </row>
    <row r="258" spans="1:18" ht="12.75" customHeight="1">
      <c r="A258" s="543" t="s">
        <v>807</v>
      </c>
      <c r="B258" s="542"/>
      <c r="C258" s="542"/>
      <c r="D258" s="542"/>
      <c r="E258" s="399"/>
      <c r="F258" s="400">
        <v>700</v>
      </c>
      <c r="G258" s="405" t="s">
        <v>743</v>
      </c>
      <c r="H258" s="407"/>
      <c r="J258" s="25"/>
      <c r="K258" s="25"/>
      <c r="R258" s="25"/>
    </row>
    <row r="259" spans="1:18">
      <c r="A259" s="543" t="s">
        <v>808</v>
      </c>
      <c r="B259" s="542"/>
      <c r="C259" s="542"/>
      <c r="D259" s="542"/>
      <c r="E259" s="399"/>
      <c r="F259" s="400">
        <v>250</v>
      </c>
      <c r="G259" s="405" t="s">
        <v>743</v>
      </c>
      <c r="H259" s="407"/>
      <c r="J259" s="25"/>
      <c r="K259" s="25"/>
      <c r="R259" s="25"/>
    </row>
    <row r="260" spans="1:18">
      <c r="A260" s="543" t="s">
        <v>809</v>
      </c>
      <c r="B260" s="542"/>
      <c r="C260" s="542"/>
      <c r="D260" s="542"/>
      <c r="E260" s="399"/>
      <c r="F260" s="400">
        <v>250</v>
      </c>
      <c r="G260" s="405" t="s">
        <v>743</v>
      </c>
      <c r="H260" s="407"/>
      <c r="J260" s="25"/>
      <c r="K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ht="18.75">
      <c r="A262" s="48" t="s">
        <v>748</v>
      </c>
      <c r="B262" s="48" t="s">
        <v>568</v>
      </c>
      <c r="C262" s="51"/>
      <c r="D262" s="52"/>
      <c r="E262" s="52"/>
      <c r="F262" s="52"/>
      <c r="G262" s="52"/>
      <c r="H262" s="52"/>
      <c r="I262" s="52"/>
      <c r="J262" s="52"/>
      <c r="K262" s="52"/>
      <c r="L262" s="52"/>
      <c r="M262" s="52"/>
      <c r="N262" s="52"/>
      <c r="O262" s="52"/>
      <c r="P262" s="52"/>
      <c r="Q262" s="54"/>
    </row>
    <row r="264" spans="1:18">
      <c r="A264" s="22" t="s">
        <v>516</v>
      </c>
    </row>
    <row r="265" spans="1:18">
      <c r="A265" s="303" t="s">
        <v>570</v>
      </c>
      <c r="B265" s="308"/>
      <c r="C265" s="308"/>
      <c r="D265" s="309"/>
      <c r="E265" s="307" t="s">
        <v>574</v>
      </c>
      <c r="F265" s="308"/>
      <c r="G265" s="308"/>
      <c r="H265" s="308"/>
      <c r="I265" s="308"/>
      <c r="J265" s="308"/>
      <c r="K265" s="308"/>
      <c r="L265" s="308"/>
      <c r="M265" s="308"/>
      <c r="N265" s="308"/>
      <c r="O265" s="308"/>
      <c r="P265" s="308"/>
      <c r="Q265" s="309"/>
    </row>
    <row r="266" spans="1:18">
      <c r="A266" s="304" t="s">
        <v>571</v>
      </c>
      <c r="B266" s="305"/>
      <c r="C266" s="305"/>
      <c r="D266" s="306"/>
      <c r="E266" s="317" t="s">
        <v>517</v>
      </c>
      <c r="F266" s="305"/>
      <c r="G266" s="305"/>
      <c r="H266" s="305"/>
      <c r="I266" s="305"/>
      <c r="J266" s="305"/>
      <c r="K266" s="305"/>
      <c r="L266" s="305"/>
      <c r="M266" s="305"/>
      <c r="N266" s="305"/>
      <c r="O266" s="305"/>
      <c r="P266" s="305"/>
      <c r="Q266" s="306"/>
    </row>
    <row r="267" spans="1:18">
      <c r="A267" s="317" t="s">
        <v>572</v>
      </c>
      <c r="B267" s="305"/>
      <c r="C267" s="305"/>
      <c r="D267" s="306"/>
      <c r="E267" s="317" t="s">
        <v>446</v>
      </c>
      <c r="F267" s="305"/>
      <c r="G267" s="305"/>
      <c r="H267" s="305"/>
      <c r="I267" s="305"/>
      <c r="J267" s="305"/>
      <c r="K267" s="305"/>
      <c r="L267" s="305"/>
      <c r="M267" s="305"/>
      <c r="N267" s="305"/>
      <c r="O267" s="305"/>
      <c r="P267" s="305"/>
      <c r="Q267" s="306"/>
    </row>
    <row r="268" spans="1:18">
      <c r="A268" s="317" t="s">
        <v>573</v>
      </c>
      <c r="B268" s="305"/>
      <c r="C268" s="305"/>
      <c r="D268" s="306"/>
      <c r="E268" s="317" t="s">
        <v>447</v>
      </c>
      <c r="F268" s="305"/>
      <c r="G268" s="305"/>
      <c r="H268" s="305"/>
      <c r="I268" s="305"/>
      <c r="J268" s="305"/>
      <c r="K268" s="305"/>
      <c r="L268" s="305"/>
      <c r="M268" s="305"/>
      <c r="N268" s="305"/>
      <c r="O268" s="305"/>
      <c r="P268" s="305"/>
      <c r="Q268" s="306"/>
    </row>
    <row r="269" spans="1:18">
      <c r="A269" s="23"/>
      <c r="B269" s="28"/>
    </row>
    <row r="270" spans="1:18">
      <c r="A270" s="28" t="s">
        <v>545</v>
      </c>
    </row>
    <row r="271" spans="1:18">
      <c r="A271" s="259" t="s">
        <v>518</v>
      </c>
    </row>
    <row r="272" spans="1:18">
      <c r="A272" s="259" t="s">
        <v>519</v>
      </c>
    </row>
    <row r="273" spans="1:1">
      <c r="A273" s="23"/>
    </row>
  </sheetData>
  <mergeCells count="339">
    <mergeCell ref="L122:M122"/>
    <mergeCell ref="L123:M123"/>
    <mergeCell ref="P125:Q125"/>
    <mergeCell ref="L125:M125"/>
    <mergeCell ref="P116:Q116"/>
    <mergeCell ref="P117:Q117"/>
    <mergeCell ref="P118:Q118"/>
    <mergeCell ref="P119:Q119"/>
    <mergeCell ref="P120:Q120"/>
    <mergeCell ref="P121:Q121"/>
    <mergeCell ref="P122:Q122"/>
    <mergeCell ref="N257:Q257"/>
    <mergeCell ref="N255:Q255"/>
    <mergeCell ref="N256:Q256"/>
    <mergeCell ref="N226:Q226"/>
    <mergeCell ref="N227:Q227"/>
    <mergeCell ref="F122:G122"/>
    <mergeCell ref="F123:G123"/>
    <mergeCell ref="F124:G124"/>
    <mergeCell ref="F125:G125"/>
    <mergeCell ref="H124:I124"/>
    <mergeCell ref="J124:K124"/>
    <mergeCell ref="H122:I122"/>
    <mergeCell ref="H123:I123"/>
    <mergeCell ref="L124:M124"/>
    <mergeCell ref="H125:I125"/>
    <mergeCell ref="P123:Q123"/>
    <mergeCell ref="N247:Q247"/>
    <mergeCell ref="N224:Q224"/>
    <mergeCell ref="N225:Q225"/>
    <mergeCell ref="G184:H184"/>
    <mergeCell ref="G186:H186"/>
    <mergeCell ref="J122:K122"/>
    <mergeCell ref="J123:K123"/>
    <mergeCell ref="P124:Q124"/>
    <mergeCell ref="A242:B244"/>
    <mergeCell ref="A235:B236"/>
    <mergeCell ref="C225:G225"/>
    <mergeCell ref="G179:H179"/>
    <mergeCell ref="N230:Q230"/>
    <mergeCell ref="A245:B249"/>
    <mergeCell ref="A241:G241"/>
    <mergeCell ref="N241:Q241"/>
    <mergeCell ref="C243:G243"/>
    <mergeCell ref="C244:G244"/>
    <mergeCell ref="C245:G245"/>
    <mergeCell ref="C246:G246"/>
    <mergeCell ref="C242:G242"/>
    <mergeCell ref="C249:G249"/>
    <mergeCell ref="C247:G247"/>
    <mergeCell ref="N228:Q228"/>
    <mergeCell ref="N232:Q232"/>
    <mergeCell ref="N236:Q236"/>
    <mergeCell ref="N237:Q237"/>
    <mergeCell ref="N248:Q248"/>
    <mergeCell ref="N243:Q243"/>
    <mergeCell ref="C231:G231"/>
    <mergeCell ref="G180:H180"/>
    <mergeCell ref="G181:H181"/>
    <mergeCell ref="Q108:Q109"/>
    <mergeCell ref="N108:N109"/>
    <mergeCell ref="P108:P109"/>
    <mergeCell ref="O108:O109"/>
    <mergeCell ref="K108:K109"/>
    <mergeCell ref="N118:O118"/>
    <mergeCell ref="H218:O219"/>
    <mergeCell ref="D123:E123"/>
    <mergeCell ref="D124:E124"/>
    <mergeCell ref="D125:E125"/>
    <mergeCell ref="B199:F199"/>
    <mergeCell ref="B200:F200"/>
    <mergeCell ref="B108:D108"/>
    <mergeCell ref="B109:D109"/>
    <mergeCell ref="A116:C116"/>
    <mergeCell ref="A117:C117"/>
    <mergeCell ref="A131:E131"/>
    <mergeCell ref="A130:E130"/>
    <mergeCell ref="A120:C120"/>
    <mergeCell ref="B181:F181"/>
    <mergeCell ref="B178:F178"/>
    <mergeCell ref="D122:E122"/>
    <mergeCell ref="F116:G116"/>
    <mergeCell ref="F117:G117"/>
    <mergeCell ref="M129:N129"/>
    <mergeCell ref="K142:L142"/>
    <mergeCell ref="K146:L146"/>
    <mergeCell ref="M131:N131"/>
    <mergeCell ref="M146:N146"/>
    <mergeCell ref="D117:E117"/>
    <mergeCell ref="D118:E118"/>
    <mergeCell ref="D119:E119"/>
    <mergeCell ref="D120:E120"/>
    <mergeCell ref="F118:G118"/>
    <mergeCell ref="F119:G119"/>
    <mergeCell ref="F120:G120"/>
    <mergeCell ref="F121:G121"/>
    <mergeCell ref="A136:E136"/>
    <mergeCell ref="A140:E140"/>
    <mergeCell ref="A129:E129"/>
    <mergeCell ref="I129:J129"/>
    <mergeCell ref="J119:K119"/>
    <mergeCell ref="J120:K120"/>
    <mergeCell ref="J121:K121"/>
    <mergeCell ref="J125:K125"/>
    <mergeCell ref="L117:M117"/>
    <mergeCell ref="L118:M118"/>
    <mergeCell ref="L119:M119"/>
    <mergeCell ref="L108:L109"/>
    <mergeCell ref="M108:M109"/>
    <mergeCell ref="E108:E109"/>
    <mergeCell ref="F108:F109"/>
    <mergeCell ref="G108:G109"/>
    <mergeCell ref="H108:H109"/>
    <mergeCell ref="J108:J109"/>
    <mergeCell ref="I108:I109"/>
    <mergeCell ref="D121:E121"/>
    <mergeCell ref="H118:I118"/>
    <mergeCell ref="H119:I119"/>
    <mergeCell ref="H120:I120"/>
    <mergeCell ref="H121:I121"/>
    <mergeCell ref="J116:K116"/>
    <mergeCell ref="J117:K117"/>
    <mergeCell ref="J118:K118"/>
    <mergeCell ref="D116:E116"/>
    <mergeCell ref="L116:M116"/>
    <mergeCell ref="L120:M120"/>
    <mergeCell ref="L121:M121"/>
    <mergeCell ref="K129:L129"/>
    <mergeCell ref="K153:Q153"/>
    <mergeCell ref="I133:J133"/>
    <mergeCell ref="K130:L130"/>
    <mergeCell ref="I131:J131"/>
    <mergeCell ref="I145:J145"/>
    <mergeCell ref="I130:J130"/>
    <mergeCell ref="I134:J134"/>
    <mergeCell ref="I136:J136"/>
    <mergeCell ref="I142:J142"/>
    <mergeCell ref="I143:J143"/>
    <mergeCell ref="I146:J146"/>
    <mergeCell ref="I141:J141"/>
    <mergeCell ref="I140:J140"/>
    <mergeCell ref="M147:N147"/>
    <mergeCell ref="M142:N142"/>
    <mergeCell ref="I132:J132"/>
    <mergeCell ref="M132:N132"/>
    <mergeCell ref="M134:N134"/>
    <mergeCell ref="M136:N136"/>
    <mergeCell ref="I138:J138"/>
    <mergeCell ref="O129:P129"/>
    <mergeCell ref="O130:P130"/>
    <mergeCell ref="O132:P132"/>
    <mergeCell ref="O131:P131"/>
    <mergeCell ref="K131:L131"/>
    <mergeCell ref="K132:L132"/>
    <mergeCell ref="M130:N130"/>
    <mergeCell ref="O133:P133"/>
    <mergeCell ref="M133:N133"/>
    <mergeCell ref="K133:L133"/>
    <mergeCell ref="I144:J144"/>
    <mergeCell ref="D162:G163"/>
    <mergeCell ref="A132:E132"/>
    <mergeCell ref="A134:E134"/>
    <mergeCell ref="A153:B153"/>
    <mergeCell ref="A139:E139"/>
    <mergeCell ref="A138:E138"/>
    <mergeCell ref="K154:Q155"/>
    <mergeCell ref="K156:Q157"/>
    <mergeCell ref="O142:P142"/>
    <mergeCell ref="K141:L141"/>
    <mergeCell ref="M137:N137"/>
    <mergeCell ref="M141:N141"/>
    <mergeCell ref="O136:P136"/>
    <mergeCell ref="K135:L135"/>
    <mergeCell ref="O141:P141"/>
    <mergeCell ref="M140:N140"/>
    <mergeCell ref="O140:P140"/>
    <mergeCell ref="K140:L140"/>
    <mergeCell ref="I137:J137"/>
    <mergeCell ref="O134:P134"/>
    <mergeCell ref="K134:L134"/>
    <mergeCell ref="O135:P135"/>
    <mergeCell ref="O139:P139"/>
    <mergeCell ref="K137:L137"/>
    <mergeCell ref="M135:N135"/>
    <mergeCell ref="O138:P138"/>
    <mergeCell ref="K139:L139"/>
    <mergeCell ref="O137:P137"/>
    <mergeCell ref="K138:L138"/>
    <mergeCell ref="H153:J153"/>
    <mergeCell ref="I194:J194"/>
    <mergeCell ref="I193:J193"/>
    <mergeCell ref="G185:H185"/>
    <mergeCell ref="K162:Q163"/>
    <mergeCell ref="G193:H193"/>
    <mergeCell ref="I179:J179"/>
    <mergeCell ref="I178:J178"/>
    <mergeCell ref="I176:J177"/>
    <mergeCell ref="I181:J181"/>
    <mergeCell ref="I182:J182"/>
    <mergeCell ref="G182:H182"/>
    <mergeCell ref="I180:J180"/>
    <mergeCell ref="G176:H177"/>
    <mergeCell ref="H162:J163"/>
    <mergeCell ref="D156:G157"/>
    <mergeCell ref="C230:G230"/>
    <mergeCell ref="A228:B234"/>
    <mergeCell ref="C228:G228"/>
    <mergeCell ref="A224:G224"/>
    <mergeCell ref="G197:H197"/>
    <mergeCell ref="M143:N143"/>
    <mergeCell ref="M145:N145"/>
    <mergeCell ref="K145:L145"/>
    <mergeCell ref="K144:L144"/>
    <mergeCell ref="G201:H201"/>
    <mergeCell ref="A162:C163"/>
    <mergeCell ref="B186:F186"/>
    <mergeCell ref="B194:F194"/>
    <mergeCell ref="B184:F184"/>
    <mergeCell ref="B185:F185"/>
    <mergeCell ref="N229:Q229"/>
    <mergeCell ref="B196:F196"/>
    <mergeCell ref="H154:J155"/>
    <mergeCell ref="O146:P146"/>
    <mergeCell ref="M144:N144"/>
    <mergeCell ref="O143:P143"/>
    <mergeCell ref="K143:L143"/>
    <mergeCell ref="G196:H196"/>
    <mergeCell ref="G194:H194"/>
    <mergeCell ref="I195:J195"/>
    <mergeCell ref="B195:F195"/>
    <mergeCell ref="A225:B227"/>
    <mergeCell ref="I196:J196"/>
    <mergeCell ref="C226:G226"/>
    <mergeCell ref="H116:I116"/>
    <mergeCell ref="C229:G229"/>
    <mergeCell ref="C227:G227"/>
    <mergeCell ref="G178:H178"/>
    <mergeCell ref="A146:E146"/>
    <mergeCell ref="B179:F179"/>
    <mergeCell ref="B180:F180"/>
    <mergeCell ref="B182:F182"/>
    <mergeCell ref="D160:G161"/>
    <mergeCell ref="A119:C119"/>
    <mergeCell ref="D158:G159"/>
    <mergeCell ref="A156:C161"/>
    <mergeCell ref="H117:I117"/>
    <mergeCell ref="B201:F201"/>
    <mergeCell ref="B197:F197"/>
    <mergeCell ref="G199:H199"/>
    <mergeCell ref="G200:H200"/>
    <mergeCell ref="G195:H195"/>
    <mergeCell ref="H158:J159"/>
    <mergeCell ref="N249:Q249"/>
    <mergeCell ref="N242:Q242"/>
    <mergeCell ref="N244:Q244"/>
    <mergeCell ref="N245:Q245"/>
    <mergeCell ref="C248:G248"/>
    <mergeCell ref="N231:Q231"/>
    <mergeCell ref="N234:Q234"/>
    <mergeCell ref="C236:G236"/>
    <mergeCell ref="N233:Q233"/>
    <mergeCell ref="C233:G233"/>
    <mergeCell ref="N246:Q246"/>
    <mergeCell ref="N235:Q235"/>
    <mergeCell ref="C235:G235"/>
    <mergeCell ref="C234:G234"/>
    <mergeCell ref="B35:E36"/>
    <mergeCell ref="B37:E38"/>
    <mergeCell ref="F35:F36"/>
    <mergeCell ref="F37:F38"/>
    <mergeCell ref="B39:C41"/>
    <mergeCell ref="D39:E39"/>
    <mergeCell ref="D40:E40"/>
    <mergeCell ref="D41:E41"/>
    <mergeCell ref="G35:Q36"/>
    <mergeCell ref="G37:Q38"/>
    <mergeCell ref="G39:Q41"/>
    <mergeCell ref="H69:Q72"/>
    <mergeCell ref="K158:Q159"/>
    <mergeCell ref="H160:J161"/>
    <mergeCell ref="K160:Q161"/>
    <mergeCell ref="D154:G155"/>
    <mergeCell ref="N116:O116"/>
    <mergeCell ref="A141:E141"/>
    <mergeCell ref="A142:E142"/>
    <mergeCell ref="A143:E143"/>
    <mergeCell ref="A137:E137"/>
    <mergeCell ref="I147:J147"/>
    <mergeCell ref="E69:F69"/>
    <mergeCell ref="A135:E135"/>
    <mergeCell ref="A145:E145"/>
    <mergeCell ref="O147:P147"/>
    <mergeCell ref="O145:P145"/>
    <mergeCell ref="K147:L147"/>
    <mergeCell ref="O144:P144"/>
    <mergeCell ref="H156:J157"/>
    <mergeCell ref="M138:N138"/>
    <mergeCell ref="I135:J135"/>
    <mergeCell ref="I139:J139"/>
    <mergeCell ref="M139:N139"/>
    <mergeCell ref="K136:L136"/>
    <mergeCell ref="E77:F77"/>
    <mergeCell ref="E78:F78"/>
    <mergeCell ref="E79:F79"/>
    <mergeCell ref="B77:D77"/>
    <mergeCell ref="A133:E133"/>
    <mergeCell ref="D153:G153"/>
    <mergeCell ref="A147:E147"/>
    <mergeCell ref="A144:E144"/>
    <mergeCell ref="A154:C155"/>
    <mergeCell ref="E82:F82"/>
    <mergeCell ref="E80:F80"/>
    <mergeCell ref="B78:D78"/>
    <mergeCell ref="B79:D79"/>
    <mergeCell ref="B80:D80"/>
    <mergeCell ref="B81:D81"/>
    <mergeCell ref="B82:D82"/>
    <mergeCell ref="E81:F81"/>
    <mergeCell ref="A121:C121"/>
    <mergeCell ref="A122:C122"/>
    <mergeCell ref="B106:D106"/>
    <mergeCell ref="A123:C123"/>
    <mergeCell ref="A125:C125"/>
    <mergeCell ref="A124:C124"/>
    <mergeCell ref="B69:D69"/>
    <mergeCell ref="B70:D70"/>
    <mergeCell ref="B71:D71"/>
    <mergeCell ref="B72:D72"/>
    <mergeCell ref="B73:D73"/>
    <mergeCell ref="B74:D74"/>
    <mergeCell ref="E75:F75"/>
    <mergeCell ref="E76:F76"/>
    <mergeCell ref="E70:F70"/>
    <mergeCell ref="B76:D76"/>
    <mergeCell ref="E71:F71"/>
    <mergeCell ref="E72:F72"/>
    <mergeCell ref="E73:F73"/>
    <mergeCell ref="E74:F74"/>
    <mergeCell ref="B75:D75"/>
  </mergeCells>
  <phoneticPr fontId="4" type="noConversion"/>
  <conditionalFormatting sqref="A237">
    <cfRule type="expression" dxfId="1" priority="1" stopIfTrue="1">
      <formula>#REF!="no"</formula>
    </cfRule>
    <cfRule type="expression" dxfId="0" priority="2" stopIfTrue="1">
      <formula>#REF!="yes"</formula>
    </cfRule>
  </conditionalFormatting>
  <printOptions horizontalCentered="1"/>
  <pageMargins left="0.39370078740157483" right="0.39370078740157483" top="0.39370078740157483" bottom="0.39370078740157483" header="0" footer="0"/>
  <pageSetup paperSize="9" fitToHeight="5" orientation="portrait" r:id="rId1"/>
  <headerFooter alignWithMargins="0"/>
  <rowBreaks count="1" manualBreakCount="1">
    <brk id="42" max="16383" man="1"/>
  </rowBreak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showGridLines="0" workbookViewId="0"/>
  </sheetViews>
  <sheetFormatPr defaultRowHeight="12.75"/>
  <cols>
    <col min="1" max="1" width="3.7109375" style="382" customWidth="1"/>
    <col min="2" max="2" width="23.85546875" style="382" bestFit="1" customWidth="1"/>
    <col min="3" max="5" width="9.140625" style="382"/>
    <col min="6" max="6" width="3.7109375" style="382" customWidth="1"/>
    <col min="7" max="16384" width="9.140625" style="382"/>
  </cols>
  <sheetData>
    <row r="2" spans="2:5">
      <c r="B2" s="527">
        <f>Liquids!D1</f>
        <v>0</v>
      </c>
      <c r="C2" s="528" t="s">
        <v>668</v>
      </c>
      <c r="D2" s="528" t="s">
        <v>669</v>
      </c>
      <c r="E2" s="528" t="s">
        <v>278</v>
      </c>
    </row>
    <row r="3" spans="2:5">
      <c r="B3" s="525" t="str">
        <f>Liquids!A23</f>
        <v>Coal</v>
      </c>
      <c r="C3" s="526">
        <f>-Liquids!K23</f>
        <v>-138</v>
      </c>
      <c r="D3" s="526">
        <f>Liquids!M23*Liquids!TTECpG</f>
        <v>140.8294823501206</v>
      </c>
      <c r="E3" s="526">
        <f>Liquids!W23/1000000</f>
        <v>0</v>
      </c>
    </row>
    <row r="4" spans="2:5">
      <c r="B4" s="525" t="str">
        <f>Liquids!A24</f>
        <v>Contaminated water</v>
      </c>
      <c r="C4" s="526">
        <f>-Liquids!K24</f>
        <v>67</v>
      </c>
      <c r="D4" s="526">
        <f>Liquids!M24*Liquids!TTECpG</f>
        <v>5.5227247980439452E-2</v>
      </c>
      <c r="E4" s="526">
        <f>Liquids!W24/1000000</f>
        <v>0.67055227247980431</v>
      </c>
    </row>
    <row r="5" spans="2:5">
      <c r="B5" s="525" t="str">
        <f>Liquids!A25</f>
        <v>Emulsion (Cl &lt; 0.4%)</v>
      </c>
      <c r="C5" s="526">
        <f>-Liquids!K25</f>
        <v>-65</v>
      </c>
      <c r="D5" s="526">
        <f>Liquids!M25*Liquids!TTECpG</f>
        <v>115.97722075892284</v>
      </c>
      <c r="E5" s="526">
        <f>Liquids!W25/1000000</f>
        <v>0.50977220758922837</v>
      </c>
    </row>
    <row r="6" spans="2:5">
      <c r="B6" s="525" t="str">
        <f>Liquids!A26</f>
        <v>Solvents (Cl &lt; 1.5%)</v>
      </c>
      <c r="C6" s="526">
        <f>-Liquids!K26</f>
        <v>-45</v>
      </c>
      <c r="D6" s="526">
        <f>Liquids!M26*Liquids!TTECpG</f>
        <v>127.02267035501073</v>
      </c>
      <c r="E6" s="526">
        <f>Liquids!W26/1000000</f>
        <v>0.82022670355010729</v>
      </c>
    </row>
    <row r="7" spans="2:5">
      <c r="B7" s="525">
        <f>Liquids!A27</f>
        <v>0</v>
      </c>
      <c r="C7" s="526">
        <f>-Liquids!K27</f>
        <v>0</v>
      </c>
      <c r="D7" s="526">
        <f>Liquids!M27*Liquids!TTECpG</f>
        <v>0</v>
      </c>
      <c r="E7" s="526">
        <f>Liquids!W27/1000000</f>
        <v>0</v>
      </c>
    </row>
    <row r="8" spans="2:5">
      <c r="B8" s="525">
        <f>Liquids!A28</f>
        <v>0</v>
      </c>
      <c r="C8" s="526">
        <f>-Liquids!K28</f>
        <v>0</v>
      </c>
      <c r="D8" s="526">
        <f>Liquids!M28*Liquids!TTECpG</f>
        <v>0</v>
      </c>
      <c r="E8" s="526">
        <f>Liquids!W28/1000000</f>
        <v>0</v>
      </c>
    </row>
    <row r="9" spans="2:5">
      <c r="B9" s="525">
        <f>Liquids!A29</f>
        <v>0</v>
      </c>
      <c r="C9" s="526">
        <f>-Liquids!K29</f>
        <v>0</v>
      </c>
      <c r="D9" s="526">
        <f>Liquids!M29*Liquids!TTECpG</f>
        <v>0</v>
      </c>
      <c r="E9" s="526">
        <f>Liquids!W29/1000000</f>
        <v>0</v>
      </c>
    </row>
    <row r="10" spans="2:5">
      <c r="B10" s="525">
        <f>Liquids!A30</f>
        <v>0</v>
      </c>
      <c r="C10" s="526">
        <f>-Liquids!K30</f>
        <v>0</v>
      </c>
      <c r="D10" s="526">
        <f>Liquids!M30*Liquids!TTECpG</f>
        <v>0</v>
      </c>
      <c r="E10" s="526">
        <f>Liquids!W30/1000000</f>
        <v>0</v>
      </c>
    </row>
    <row r="11" spans="2:5">
      <c r="B11" s="525">
        <f>Liquids!A31</f>
        <v>0</v>
      </c>
      <c r="C11" s="526">
        <f>-Liquids!K31</f>
        <v>0</v>
      </c>
      <c r="D11" s="526">
        <f>Liquids!M31*Liquids!TTECpG</f>
        <v>0</v>
      </c>
      <c r="E11" s="526">
        <f>Liquids!W31/1000000</f>
        <v>0</v>
      </c>
    </row>
    <row r="12" spans="2:5">
      <c r="B12" s="525">
        <f>Liquids!A32</f>
        <v>0</v>
      </c>
      <c r="C12" s="526">
        <f>-Liquids!K32</f>
        <v>0</v>
      </c>
      <c r="D12" s="526">
        <f>Liquids!M32*Liquids!TTECpG</f>
        <v>0</v>
      </c>
      <c r="E12" s="526">
        <f>Liquids!W32/1000000</f>
        <v>0</v>
      </c>
    </row>
    <row r="13" spans="2:5">
      <c r="B13" s="525">
        <f>Liquids!A33</f>
        <v>0</v>
      </c>
      <c r="C13" s="526">
        <f>-Liquids!K33</f>
        <v>0</v>
      </c>
      <c r="D13" s="526">
        <f>Liquids!M33*Liquids!TTECpG</f>
        <v>0</v>
      </c>
      <c r="E13" s="526">
        <f>Liquids!W33/1000000</f>
        <v>0</v>
      </c>
    </row>
    <row r="14" spans="2:5">
      <c r="B14" s="525">
        <f>Liquids!A34</f>
        <v>0</v>
      </c>
      <c r="C14" s="526">
        <f>-Liquids!K34</f>
        <v>0</v>
      </c>
      <c r="D14" s="526">
        <f>Liquids!M34*Liquids!TTECpG</f>
        <v>0</v>
      </c>
      <c r="E14" s="526">
        <f>Liquids!W34/1000000</f>
        <v>0</v>
      </c>
    </row>
    <row r="15" spans="2:5">
      <c r="B15" s="525">
        <f>Liquids!A35</f>
        <v>0</v>
      </c>
      <c r="C15" s="526">
        <f>-Liquids!K35</f>
        <v>0</v>
      </c>
      <c r="D15" s="526">
        <f>Liquids!M35*Liquids!TTECpG</f>
        <v>0</v>
      </c>
      <c r="E15" s="526">
        <f>Liquids!W35/1000000</f>
        <v>0</v>
      </c>
    </row>
    <row r="17" spans="2:5">
      <c r="B17" s="1017" t="s">
        <v>798</v>
      </c>
      <c r="C17" s="524">
        <v>0</v>
      </c>
      <c r="D17" s="523">
        <f>C17</f>
        <v>0</v>
      </c>
      <c r="E17" s="523">
        <v>1</v>
      </c>
    </row>
    <row r="18" spans="2:5">
      <c r="B18" s="1018"/>
      <c r="C18" s="524">
        <v>-200</v>
      </c>
      <c r="D18" s="523">
        <f>-C18</f>
        <v>200</v>
      </c>
      <c r="E18" s="523">
        <v>1</v>
      </c>
    </row>
    <row r="19" spans="2:5">
      <c r="B19" s="1019" t="s">
        <v>799</v>
      </c>
      <c r="C19" s="523">
        <f>C17</f>
        <v>0</v>
      </c>
      <c r="D19" s="523">
        <f>D17</f>
        <v>0</v>
      </c>
      <c r="E19" s="523">
        <v>1</v>
      </c>
    </row>
    <row r="20" spans="2:5">
      <c r="B20" s="1020"/>
      <c r="C20" s="523">
        <f>-C18</f>
        <v>200</v>
      </c>
      <c r="D20" s="523">
        <f>C20/2*3</f>
        <v>300</v>
      </c>
      <c r="E20" s="523">
        <v>1</v>
      </c>
    </row>
    <row r="21" spans="2:5">
      <c r="B21" s="1019" t="s">
        <v>797</v>
      </c>
      <c r="C21" s="523">
        <f>C17</f>
        <v>0</v>
      </c>
      <c r="D21" s="523">
        <f>D17</f>
        <v>0</v>
      </c>
      <c r="E21" s="523">
        <v>1</v>
      </c>
    </row>
    <row r="22" spans="2:5">
      <c r="B22" s="1020"/>
      <c r="C22" s="523">
        <f>-C18</f>
        <v>200</v>
      </c>
      <c r="D22" s="523">
        <f>C22/2</f>
        <v>100</v>
      </c>
      <c r="E22" s="523">
        <v>1</v>
      </c>
    </row>
  </sheetData>
  <mergeCells count="3">
    <mergeCell ref="B17:B18"/>
    <mergeCell ref="B19:B20"/>
    <mergeCell ref="B21:B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2.75"/>
  <cols>
    <col min="1" max="3" width="15.7109375" customWidth="1"/>
  </cols>
  <sheetData>
    <row r="1" spans="1:3" s="635" customFormat="1" ht="38.25">
      <c r="A1" s="634" t="s">
        <v>13</v>
      </c>
      <c r="B1" s="634" t="s">
        <v>874</v>
      </c>
      <c r="C1" s="634" t="s">
        <v>876</v>
      </c>
    </row>
    <row r="2" spans="1:3">
      <c r="A2" s="633"/>
      <c r="B2" s="633"/>
      <c r="C2" s="633"/>
    </row>
    <row r="3" spans="1:3">
      <c r="A3" s="633">
        <f>COUNT($E$22:$E$27)</f>
        <v>0</v>
      </c>
      <c r="B3" s="633">
        <f>COUNT($E$22:$E$32)</f>
        <v>0</v>
      </c>
      <c r="C3" s="633">
        <f>COUNT($E$22:$E$32)</f>
        <v>0</v>
      </c>
    </row>
    <row r="4" spans="1:3">
      <c r="A4" s="633" t="b">
        <f>$C$83=0</f>
        <v>1</v>
      </c>
      <c r="B4" s="633" t="b">
        <f>$C$83=0</f>
        <v>1</v>
      </c>
      <c r="C4" s="633" t="b">
        <f>$C$83=0</f>
        <v>1</v>
      </c>
    </row>
    <row r="5" spans="1:3">
      <c r="A5" s="633" t="b">
        <f>$E$22=$D$22</f>
        <v>1</v>
      </c>
      <c r="B5" s="633" t="b">
        <f>$E$22=$D$22</f>
        <v>1</v>
      </c>
      <c r="C5" s="633" t="b">
        <f>$E$22=$D$22</f>
        <v>1</v>
      </c>
    </row>
    <row r="6" spans="1:3">
      <c r="A6" s="633" t="b">
        <f t="array" ref="A6">$E$22:$E$27&lt;=$D$22:$D$27</f>
        <v>1</v>
      </c>
      <c r="B6" s="633" t="b">
        <f t="array" ref="B6">$E$22:$E$32&lt;=$D$22:$D$32</f>
        <v>1</v>
      </c>
      <c r="C6" s="633" t="b">
        <f t="array" ref="C6">$E$22:$E$32&lt;=$D$22:$D$32</f>
        <v>1</v>
      </c>
    </row>
    <row r="7" spans="1:3">
      <c r="A7" s="633" t="b">
        <f t="array" ref="A7">$E$22:$E$27&gt;=0</f>
        <v>1</v>
      </c>
      <c r="B7" s="633" t="b">
        <f t="array" ref="B7">$E$22:$E$32&gt;=0</f>
        <v>1</v>
      </c>
      <c r="C7" s="633" t="b">
        <f t="array" ref="C7">$E$22:$E$32&gt;=0</f>
        <v>1</v>
      </c>
    </row>
    <row r="8" spans="1:3">
      <c r="A8" s="633" t="b">
        <f>$M$76=40</f>
        <v>0</v>
      </c>
      <c r="B8" s="633" t="b">
        <f>$M$76=40</f>
        <v>0</v>
      </c>
      <c r="C8" s="633" t="b">
        <f>$M$76=40</f>
        <v>0</v>
      </c>
    </row>
    <row r="9" spans="1:3">
      <c r="A9" s="633">
        <f>{32767;32767;0.000001;0.01;FALSE;FALSE;TRUE;1;1;1;0.0001;TRUE}</f>
        <v>32767</v>
      </c>
      <c r="B9" s="633" t="e">
        <f>Cl&lt;=$K$98</f>
        <v>#NAME?</v>
      </c>
      <c r="C9" s="633" t="e">
        <f>Cl&lt;=$K$98</f>
        <v>#NAME?</v>
      </c>
    </row>
    <row r="10" spans="1:3">
      <c r="A10" s="633">
        <f>{0;0;1;100;0;FALSE;TRUE;0.075;0;0;FALSE;30}</f>
        <v>0</v>
      </c>
      <c r="B10" s="633" t="e">
        <f>LumpsSF&lt;=$E$98</f>
        <v>#NAME?</v>
      </c>
      <c r="C10" s="633" t="e">
        <f>LumpsSF&lt;=$E$98</f>
        <v>#NAME?</v>
      </c>
    </row>
    <row r="11" spans="1:3">
      <c r="B11" s="633">
        <f>{32767;32767;0.000001;0.01;FALSE;FALSE;TRUE;1;1;1;0.0001;TRUE}</f>
        <v>32767</v>
      </c>
      <c r="C11" s="633">
        <f>{32767;32767;0.000001;0.01;FALSE;FALSE;TRUE;1;1;1;0.0001;TRUE}</f>
        <v>32767</v>
      </c>
    </row>
    <row r="12" spans="1:3">
      <c r="B12" s="633">
        <f>{0;0;1;100;0;FALSE;TRUE;0.075;0;0;FALSE;30}</f>
        <v>0</v>
      </c>
      <c r="C12" s="633">
        <f>{0;0;1;100;0;FALSE;TRUE;0.075;0;0;FALSE;30}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200</vt:i4>
      </vt:variant>
    </vt:vector>
  </HeadingPairs>
  <TitlesOfParts>
    <vt:vector size="209" baseType="lpstr">
      <vt:lpstr>Help</vt:lpstr>
      <vt:lpstr>Baseline</vt:lpstr>
      <vt:lpstr>Liquids</vt:lpstr>
      <vt:lpstr>Solids+Liquids</vt:lpstr>
      <vt:lpstr>Solids+Liquids (CKD Extraction)</vt:lpstr>
      <vt:lpstr>Summary</vt:lpstr>
      <vt:lpstr>Guidelines</vt:lpstr>
      <vt:lpstr>NCB-SB-GAV</vt:lpstr>
      <vt:lpstr>Solver</vt:lpstr>
      <vt:lpstr>Help!ACTE</vt:lpstr>
      <vt:lpstr>Baseline!AHadj</vt:lpstr>
      <vt:lpstr>Liquids!AHadj</vt:lpstr>
      <vt:lpstr>'Solids+Liquids'!AHadj</vt:lpstr>
      <vt:lpstr>'Solids+Liquids (CKD Extraction)'!AHadj</vt:lpstr>
      <vt:lpstr>Baseline!AHaf</vt:lpstr>
      <vt:lpstr>Liquids!AHaf</vt:lpstr>
      <vt:lpstr>'Solids+Liquids'!AHaf</vt:lpstr>
      <vt:lpstr>'Solids+Liquids (CKD Extraction)'!AHaf</vt:lpstr>
      <vt:lpstr>Baseline!AHbp</vt:lpstr>
      <vt:lpstr>Liquids!AHbp</vt:lpstr>
      <vt:lpstr>'Solids+Liquids'!AHbp</vt:lpstr>
      <vt:lpstr>'Solids+Liquids (CKD Extraction)'!AHbp</vt:lpstr>
      <vt:lpstr>Baseline!AHfa</vt:lpstr>
      <vt:lpstr>Liquids!AHfa</vt:lpstr>
      <vt:lpstr>'Solids+Liquids'!AHfa</vt:lpstr>
      <vt:lpstr>'Solids+Liquids (CKD Extraction)'!AHfa</vt:lpstr>
      <vt:lpstr>Baseline!AHtf</vt:lpstr>
      <vt:lpstr>Liquids!AHtf</vt:lpstr>
      <vt:lpstr>'Solids+Liquids'!AHtf</vt:lpstr>
      <vt:lpstr>'Solids+Liquids (CKD Extraction)'!AHtf</vt:lpstr>
      <vt:lpstr>Baseline!ASHc</vt:lpstr>
      <vt:lpstr>Liquids!ASHc</vt:lpstr>
      <vt:lpstr>'Solids+Liquids'!ASHc</vt:lpstr>
      <vt:lpstr>'Solids+Liquids (CKD Extraction)'!ASHc</vt:lpstr>
      <vt:lpstr>Baseline!ASHt</vt:lpstr>
      <vt:lpstr>Liquids!ASHt</vt:lpstr>
      <vt:lpstr>'Solids+Liquids'!ASHt</vt:lpstr>
      <vt:lpstr>'Solids+Liquids (CKD Extraction)'!ASHt</vt:lpstr>
      <vt:lpstr>Baseline!ATECpG</vt:lpstr>
      <vt:lpstr>Liquids!ATECpG</vt:lpstr>
      <vt:lpstr>'Solids+Liquids'!ATECpG</vt:lpstr>
      <vt:lpstr>'Solids+Liquids (CKD Extraction)'!ATECpG</vt:lpstr>
      <vt:lpstr>Baseline!BZash</vt:lpstr>
      <vt:lpstr>Liquids!BZash</vt:lpstr>
      <vt:lpstr>'Solids+Liquids'!BZash</vt:lpstr>
      <vt:lpstr>'Solids+Liquids (CKD Extraction)'!BZash</vt:lpstr>
      <vt:lpstr>Baseline!BZh2o</vt:lpstr>
      <vt:lpstr>Liquids!BZh2o</vt:lpstr>
      <vt:lpstr>'Solids+Liquids'!BZh2o</vt:lpstr>
      <vt:lpstr>'Solids+Liquids (CKD Extraction)'!BZh2o</vt:lpstr>
      <vt:lpstr>Baseline!BZncv</vt:lpstr>
      <vt:lpstr>Liquids!BZncv</vt:lpstr>
      <vt:lpstr>'Solids+Liquids'!BZncv</vt:lpstr>
      <vt:lpstr>'Solids+Liquids (CKD Extraction)'!BZncv</vt:lpstr>
      <vt:lpstr>Help!CalcineType</vt:lpstr>
      <vt:lpstr>CalenderDays</vt:lpstr>
      <vt:lpstr>Baseline!Cl</vt:lpstr>
      <vt:lpstr>Liquids!Cl</vt:lpstr>
      <vt:lpstr>'Solids+Liquids'!Cl</vt:lpstr>
      <vt:lpstr>'Solids+Liquids (CKD Extraction)'!Cl</vt:lpstr>
      <vt:lpstr>Baseline!CLI</vt:lpstr>
      <vt:lpstr>Liquids!CLI</vt:lpstr>
      <vt:lpstr>'Solids+Liquids'!CLI</vt:lpstr>
      <vt:lpstr>'Solids+Liquids (CKD Extraction)'!CLI</vt:lpstr>
      <vt:lpstr>Baseline!CLIasratio</vt:lpstr>
      <vt:lpstr>Liquids!CLIasratio</vt:lpstr>
      <vt:lpstr>'Solids+Liquids'!CLIasratio</vt:lpstr>
      <vt:lpstr>'Solids+Liquids (CKD Extraction)'!CLIasratio</vt:lpstr>
      <vt:lpstr>Liquids!CLIloss</vt:lpstr>
      <vt:lpstr>'Solids+Liquids'!CLIloss</vt:lpstr>
      <vt:lpstr>'Solids+Liquids (CKD Extraction)'!CLIloss</vt:lpstr>
      <vt:lpstr>Baseline!CLIna2o</vt:lpstr>
      <vt:lpstr>Liquids!CLIna2o</vt:lpstr>
      <vt:lpstr>'Solids+Liquids'!CLIna2o</vt:lpstr>
      <vt:lpstr>'Solids+Liquids (CKD Extraction)'!CLIna2o</vt:lpstr>
      <vt:lpstr>Baseline!CLIso3</vt:lpstr>
      <vt:lpstr>Liquids!CLIso3</vt:lpstr>
      <vt:lpstr>'Solids+Liquids'!CLIso3</vt:lpstr>
      <vt:lpstr>'Solids+Liquids (CKD Extraction)'!CLIso3</vt:lpstr>
      <vt:lpstr>ClRemoval</vt:lpstr>
      <vt:lpstr>Baseline!CO2C</vt:lpstr>
      <vt:lpstr>Liquids!CO2C</vt:lpstr>
      <vt:lpstr>'Solids+Liquids'!CO2C</vt:lpstr>
      <vt:lpstr>'Solids+Liquids (CKD Extraction)'!CO2C</vt:lpstr>
      <vt:lpstr>Baseline!CoHH</vt:lpstr>
      <vt:lpstr>Liquids!CoHH</vt:lpstr>
      <vt:lpstr>'Solids+Liquids'!CoHH</vt:lpstr>
      <vt:lpstr>'Solids+Liquids (CKD Extraction)'!CoHH</vt:lpstr>
      <vt:lpstr>Help!False_air_impact</vt:lpstr>
      <vt:lpstr>Help!FiringLocation</vt:lpstr>
      <vt:lpstr>Help!FuelCategory</vt:lpstr>
      <vt:lpstr>Help!GAV</vt:lpstr>
      <vt:lpstr>Guidelines!GuideValue_PQ</vt:lpstr>
      <vt:lpstr>HotMealExtraction</vt:lpstr>
      <vt:lpstr>Baseline!IntCur</vt:lpstr>
      <vt:lpstr>Liquids!IntCur</vt:lpstr>
      <vt:lpstr>'Solids+Liquids'!IntCur</vt:lpstr>
      <vt:lpstr>'Solids+Liquids (CKD Extraction)'!IntCur</vt:lpstr>
      <vt:lpstr>Baseline!Kiln_System_ID</vt:lpstr>
      <vt:lpstr>Liquids!Kiln_System_ID</vt:lpstr>
      <vt:lpstr>'Solids+Liquids'!Kiln_System_ID</vt:lpstr>
      <vt:lpstr>'Solids+Liquids (CKD Extraction)'!Kiln_System_ID</vt:lpstr>
      <vt:lpstr>KilnGasBypass</vt:lpstr>
      <vt:lpstr>Help!KilnSystem</vt:lpstr>
      <vt:lpstr>Baseline!LocCur</vt:lpstr>
      <vt:lpstr>Liquids!LocCur</vt:lpstr>
      <vt:lpstr>'Solids+Liquids'!LocCur</vt:lpstr>
      <vt:lpstr>'Solids+Liquids (CKD Extraction)'!LocCur</vt:lpstr>
      <vt:lpstr>Baseline!LumpsSF</vt:lpstr>
      <vt:lpstr>Liquids!LumpsSF</vt:lpstr>
      <vt:lpstr>'Solids+Liquids'!LumpsSF</vt:lpstr>
      <vt:lpstr>'Solids+Liquids (CKD Extraction)'!LumpsSF</vt:lpstr>
      <vt:lpstr>Baseline!NCB</vt:lpstr>
      <vt:lpstr>Liquids!NCB</vt:lpstr>
      <vt:lpstr>'Solids+Liquids'!NCB</vt:lpstr>
      <vt:lpstr>'Solids+Liquids (CKD Extraction)'!NCB</vt:lpstr>
      <vt:lpstr>Guidelines!NCV</vt:lpstr>
      <vt:lpstr>NumberOfDays</vt:lpstr>
      <vt:lpstr>Help!Operational_GAV</vt:lpstr>
      <vt:lpstr>Help!Oxygen_correction</vt:lpstr>
      <vt:lpstr>Baseline!Print_Area</vt:lpstr>
      <vt:lpstr>Guidelines!Print_Area</vt:lpstr>
      <vt:lpstr>Help!Print_Area</vt:lpstr>
      <vt:lpstr>Liquids!Print_Area</vt:lpstr>
      <vt:lpstr>'Solids+Liquids'!Print_Area</vt:lpstr>
      <vt:lpstr>'Solids+Liquids (CKD Extraction)'!Print_Area</vt:lpstr>
      <vt:lpstr>Summary!Print_Area</vt:lpstr>
      <vt:lpstr>Help!ProcessQuality_Constraints</vt:lpstr>
      <vt:lpstr>Baseline!REF</vt:lpstr>
      <vt:lpstr>Liquids!REF</vt:lpstr>
      <vt:lpstr>'Solids+Liquids'!REF</vt:lpstr>
      <vt:lpstr>'Solids+Liquids (CKD Extraction)'!REF</vt:lpstr>
      <vt:lpstr>Help!ReportedData</vt:lpstr>
      <vt:lpstr>SACTE</vt:lpstr>
      <vt:lpstr>Baseline!SB</vt:lpstr>
      <vt:lpstr>Liquids!SB</vt:lpstr>
      <vt:lpstr>'Solids+Liquids'!SB</vt:lpstr>
      <vt:lpstr>'Solids+Liquids (CKD Extraction)'!SB</vt:lpstr>
      <vt:lpstr>Liquids!SimName</vt:lpstr>
      <vt:lpstr>'Solids+Liquids'!SimName</vt:lpstr>
      <vt:lpstr>'Solids+Liquids (CKD Extraction)'!SimName</vt:lpstr>
      <vt:lpstr>Baseline!SolidPasty5</vt:lpstr>
      <vt:lpstr>Liquids!SolidPasty5</vt:lpstr>
      <vt:lpstr>'Solids+Liquids'!SolidPasty5</vt:lpstr>
      <vt:lpstr>'Solids+Liquids (CKD Extraction)'!SolidPasty5</vt:lpstr>
      <vt:lpstr>Baseline!SolidPasty50</vt:lpstr>
      <vt:lpstr>Liquids!SolidPasty50</vt:lpstr>
      <vt:lpstr>'Solids+Liquids'!SolidPasty50</vt:lpstr>
      <vt:lpstr>'Solids+Liquids (CKD Extraction)'!SolidPasty50</vt:lpstr>
      <vt:lpstr>Baseline!SPC</vt:lpstr>
      <vt:lpstr>Help!SPC</vt:lpstr>
      <vt:lpstr>Liquids!SPC</vt:lpstr>
      <vt:lpstr>'Solids+Liquids'!SPC</vt:lpstr>
      <vt:lpstr>'Solids+Liquids (CKD Extraction)'!SPC</vt:lpstr>
      <vt:lpstr>Guidelines!StandardFuel</vt:lpstr>
      <vt:lpstr>Baseline!STEC</vt:lpstr>
      <vt:lpstr>Liquids!STEC</vt:lpstr>
      <vt:lpstr>'Solids+Liquids'!STEC</vt:lpstr>
      <vt:lpstr>'Solids+Liquids (CKD Extraction)'!STEC</vt:lpstr>
      <vt:lpstr>Baseline!STECsf</vt:lpstr>
      <vt:lpstr>Liquids!STECsf</vt:lpstr>
      <vt:lpstr>'Solids+Liquids'!STECsf</vt:lpstr>
      <vt:lpstr>'Solids+Liquids (CKD Extraction)'!STECsf</vt:lpstr>
      <vt:lpstr>Baseline!TECpG</vt:lpstr>
      <vt:lpstr>Liquids!TECpG</vt:lpstr>
      <vt:lpstr>'Solids+Liquids'!TECpG</vt:lpstr>
      <vt:lpstr>'Solids+Liquids (CKD Extraction)'!TECpG</vt:lpstr>
      <vt:lpstr>Baseline!TECpT</vt:lpstr>
      <vt:lpstr>Liquids!TECpT</vt:lpstr>
      <vt:lpstr>'Solids+Liquids'!TECpT</vt:lpstr>
      <vt:lpstr>'Solids+Liquids (CKD Extraction)'!TECpT</vt:lpstr>
      <vt:lpstr>Baseline!TECpY</vt:lpstr>
      <vt:lpstr>Liquids!TECpY</vt:lpstr>
      <vt:lpstr>'Solids+Liquids'!TECpY</vt:lpstr>
      <vt:lpstr>'Solids+Liquids (CKD Extraction)'!TECpY</vt:lpstr>
      <vt:lpstr>Baseline!TEE</vt:lpstr>
      <vt:lpstr>Help!TEE</vt:lpstr>
      <vt:lpstr>Liquids!TEE</vt:lpstr>
      <vt:lpstr>'Solids+Liquids'!TEE</vt:lpstr>
      <vt:lpstr>'Solids+Liquids (CKD Extraction)'!TEE</vt:lpstr>
      <vt:lpstr>Baseline!TotAF</vt:lpstr>
      <vt:lpstr>Liquids!TotAF</vt:lpstr>
      <vt:lpstr>'Solids+Liquids'!TotAF</vt:lpstr>
      <vt:lpstr>'Solids+Liquids (CKD Extraction)'!TotAF</vt:lpstr>
      <vt:lpstr>Baseline!TotTF</vt:lpstr>
      <vt:lpstr>Liquids!TotTF</vt:lpstr>
      <vt:lpstr>'Solids+Liquids'!TotTF</vt:lpstr>
      <vt:lpstr>'Solids+Liquids (CKD Extraction)'!TotTF</vt:lpstr>
      <vt:lpstr>Baseline!TSR</vt:lpstr>
      <vt:lpstr>Help!TSR</vt:lpstr>
      <vt:lpstr>Liquids!TSR</vt:lpstr>
      <vt:lpstr>'Solids+Liquids'!TSR</vt:lpstr>
      <vt:lpstr>'Solids+Liquids (CKD Extraction)'!TSR</vt:lpstr>
      <vt:lpstr>Baseline!TTECpG</vt:lpstr>
      <vt:lpstr>Liquids!TTECpG</vt:lpstr>
      <vt:lpstr>'Solids+Liquids'!TTECpG</vt:lpstr>
      <vt:lpstr>'Solids+Liquids (CKD Extraction)'!TTECpG</vt:lpstr>
      <vt:lpstr>Baseline!TTECpT</vt:lpstr>
      <vt:lpstr>Liquids!TTECpT</vt:lpstr>
      <vt:lpstr>'Solids+Liquids'!TTECpT</vt:lpstr>
      <vt:lpstr>'Solids+Liquids (CKD Extraction)'!TTECpT</vt:lpstr>
      <vt:lpstr>Baseline!TTECpY</vt:lpstr>
      <vt:lpstr>Liquids!TTECpY</vt:lpstr>
      <vt:lpstr>'Solids+Liquids'!TTECpY</vt:lpstr>
      <vt:lpstr>'Solids+Liquids (CKD Extraction)'!TTECpY</vt:lpstr>
      <vt:lpstr>Baseline!Xrate</vt:lpstr>
      <vt:lpstr>Liquids!Xrate</vt:lpstr>
      <vt:lpstr>'Solids+Liquids'!Xrate</vt:lpstr>
      <vt:lpstr>'Solids+Liquids (CKD Extraction)'!Xrate</vt:lpstr>
    </vt:vector>
  </TitlesOfParts>
  <Manager>rsphougat@hotmail.com</Manager>
  <Company>Holcim Technology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Mix Optimizer</dc:title>
  <dc:creator>rupinder.phougat@holcim.com</dc:creator>
  <cp:lastModifiedBy>Sven Ritschard</cp:lastModifiedBy>
  <cp:lastPrinted>2014-08-11T13:27:04Z</cp:lastPrinted>
  <dcterms:created xsi:type="dcterms:W3CDTF">2005-07-25T06:08:51Z</dcterms:created>
  <dcterms:modified xsi:type="dcterms:W3CDTF">2015-11-03T08:29:17Z</dcterms:modified>
</cp:coreProperties>
</file>