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BIL" sheetId="1" r:id="rId3"/>
    <sheet state="visible" name="Help" sheetId="2" r:id="rId4"/>
    <sheet state="visible" name="VA-1744" sheetId="3" r:id="rId5"/>
    <sheet state="hidden" name="Flowsheet" sheetId="4" r:id="rId6"/>
  </sheets>
  <definedNames>
    <definedName name="wikct">RMBIL!$E$30</definedName>
    <definedName name="matindex4">RMBIL!$F$395</definedName>
    <definedName name="cyc_eff">RMBIL!$I$53</definedName>
    <definedName name="sepfanpower">RMBIL!$E$26</definedName>
    <definedName name="grittemp">RMBIL!$L$289</definedName>
    <definedName name="kiln_prod">RMBIL!$D$51</definedName>
    <definedName name="_HGGfuel">RMBIL!$D$416</definedName>
    <definedName name="Vmexit_1">RMBIL!$E$244</definedName>
    <definedName name="arrayindex">RMBIL!$D$427</definedName>
    <definedName name="feedtemp2">RMBIL!$F$13</definedName>
    <definedName name="_disch">RMBIL!$D$423</definedName>
    <definedName name="Vsfresh">RMBIL!$D$37</definedName>
    <definedName name="upme">RMBIL!$I$22</definedName>
    <definedName name="coolergasaqua">RMBIL!$F$62</definedName>
    <definedName name="hotgasmax">RMBIL!$D$61</definedName>
    <definedName name="upkfi">RMBIL!$H$24</definedName>
    <definedName name="end_print_1">RMBIL!$I$121</definedName>
    <definedName name="mattype">RMBIL!$B$10</definedName>
    <definedName name="prodtemp">RMBIL!$F$18</definedName>
    <definedName name="_av_cp_prod">RMBIL!$I$17</definedName>
    <definedName name="case2_end">RMBIL!$R$154</definedName>
    <definedName name="dustload_me">RMBIL!$I$55</definedName>
    <definedName name="feedh2o4">RMBIL!$E$15</definedName>
    <definedName name="ffanpower_s">RMBIL!$E$380</definedName>
    <definedName name="pct_in_feed">RMBIL!$G$12:$G$16</definedName>
    <definedName name="millsize">RMBIL!$F$5</definedName>
    <definedName name="case6_end">RMBIL!$R$218</definedName>
    <definedName name="case2_start">RMBIL!$A$142</definedName>
    <definedName name="matindices">RMBIL!$C$395:$G$395</definedName>
    <definedName name="_languages">RMBIL!$C$427:$C$433</definedName>
    <definedName name="freshair_used">RMBIL!$D$82</definedName>
    <definedName name="_HGG_fuelrate">RMBIL!$E$336</definedName>
    <definedName name="milldriveeff">RMBIL!$F$22</definedName>
    <definedName name="_HGGsecair_usertemp">RMBIL!$I$418</definedName>
    <definedName name="_dustratio">RMBIL!$E$229</definedName>
    <definedName name="prodh2o">RMBIL!$E$18</definedName>
    <definedName name="air">RMBIL!$C$238:$R$238</definedName>
    <definedName name="CV_fuel">RMBIL!$E$335</definedName>
    <definedName name="_flowsheet_print_area">RMBIL!$G$427</definedName>
    <definedName name="_system_text">RMBIL!$F$401</definedName>
    <definedName name="_cairadd_text">RMBIL!$G$407:$G$409</definedName>
    <definedName name="septype">RMBIL!$H$423</definedName>
    <definedName name="_HGGsecair_rate">RMBIL!$E$328</definedName>
    <definedName name="_millgas_pos_text">RMBIL!$C$411:$C$413</definedName>
    <definedName name="_system">RMBIL!$E$401</definedName>
    <definedName name="CTexittemp">RMBIL!$E$32</definedName>
    <definedName name="coolergasmax">RMBIL!$D$62</definedName>
    <definedName name="_CV_fuel_average">RMBIL!$L$416:$L$421</definedName>
    <definedName name="case1_start">RMBIL!$A$126</definedName>
    <definedName name="ffanpower">RMBIL!$E$27</definedName>
    <definedName name="_ctpos">RMBIL!$D$407</definedName>
    <definedName name="mup_1">RMBIL!$I$68:$I$79</definedName>
    <definedName name="dr_2">RMBIL!$E$228</definedName>
    <definedName name="circ_load">RMBIL!$F$7</definedName>
    <definedName name="_page1_print_area">RMBIL!$G$428</definedName>
    <definedName name="rel_hum">RMBIL!$I$51</definedName>
    <definedName name="kilng_o2">RMBIL!$D$53</definedName>
    <definedName name="freshairmax">RMBIL!$D$63</definedName>
    <definedName name="_page2_print_area">RMBIL!$G$429</definedName>
    <definedName name="T_amb">RMBIL!$F$360</definedName>
    <definedName name="sepcirctype_text">RMBIL!$K$423:$K$425</definedName>
    <definedName name="temp_shell">RMBIL!$I$360</definedName>
    <definedName name="Vffi">RMBIL!$E$371</definedName>
    <definedName name="millsupplier">RMBIL!$F$6</definedName>
    <definedName name="feedtemp1">RMBIL!$F$12</definedName>
    <definedName name="altitude">RMBIL!$C$9</definedName>
    <definedName name="upmi">RMBIL!$H$22</definedName>
    <definedName name="watinj_c2">RMBIL!$D$43</definedName>
    <definedName name="case1_end">RMBIL!$R$138</definedName>
    <definedName name="feedh2o2">RMBIL!$E$13</definedName>
    <definedName name="_comp_text">RMBIL!$C$435:$C$436</definedName>
    <definedName name="it_v1">RMBIL!$L$404</definedName>
    <definedName name="millfaneff">RMBIL!$G$25</definedName>
    <definedName name="sums_wet">RMBIL!$G$441:$G$445</definedName>
    <definedName name="kilnfanpower">RMBIL!$E$24</definedName>
    <definedName name="sepfaneff">RMBIL!$G$26</definedName>
    <definedName name="_curdir">RMBIL!$D$438</definedName>
    <definedName name="feedtemp">RMBIL!$F$17</definedName>
    <definedName name="Vkfi">RMBIL!$C$371</definedName>
    <definedName name="dia_m">RMBIL!$I$6</definedName>
    <definedName name="array2">RMBIL!$C$383:$I$393</definedName>
    <definedName name="ffandriveeff">RMBIL!$F$27</definedName>
    <definedName name="feedh2o1">RMBIL!$E$12</definedName>
    <definedName name="volatiles_coal">RMBIL!$I$54</definedName>
    <definedName name="_comp_base">RMBIL!$D$435</definedName>
    <definedName name="case5_start">RMBIL!$A$190</definedName>
    <definedName name="feedtemp3">RMBIL!$F$14</definedName>
    <definedName name="sepfandriveeff">RMBIL!$F$26</definedName>
    <definedName name="matindex1">RMBIL!$C$395</definedName>
    <definedName name="Vmfi">RMBIL!$D$89</definedName>
    <definedName localSheetId="0" name="solver_adj">RMBIL!$E$236</definedName>
    <definedName name="kilng_n2">RMBIL!$G$355</definedName>
    <definedName name="kiln_system">RMBIL!$D$52</definedName>
    <definedName name="kilngasmax">RMBIL!$D$60</definedName>
    <definedName name="case6_start">RMBIL!$A$206</definedName>
    <definedName name="matindex2">RMBIL!$D$395</definedName>
    <definedName name="upffe">RMBIL!$I$27</definedName>
    <definedName name="_repeated_rows">RMBIL!$G$430</definedName>
    <definedName name="kilnfaneff">RMBIL!$G$24</definedName>
    <definedName name="comp_wet">RMBIL!$F$441:$F$445</definedName>
    <definedName name="Especmill">RMBIL!$D$22</definedName>
    <definedName name="wimill">RMBIL!$D$30</definedName>
    <definedName name="kilnfandriveeff">RMBIL!$F$24</definedName>
    <definedName name="diaphr_h2o">RMBIL!$I$56</definedName>
    <definedName name="fasystem">RMBIL!$F$31</definedName>
    <definedName name="system_sel_text">RMBIL!$C$401:$C$402</definedName>
    <definedName name="hotgasdust">RMBIL!$G$61</definedName>
    <definedName name="millexittemp">RMBIL!$F$35</definedName>
    <definedName name="fair_c1">RMBIL!$I$42</definedName>
    <definedName name="kgtemp">RMBIL!$E$60</definedName>
    <definedName name="comp_dry">RMBIL!$E$441:$E$445</definedName>
    <definedName name="feedh2o5">RMBIL!$E$16</definedName>
    <definedName name="septype_text">RMBIL!$G$423:$G$425</definedName>
    <definedName name="kgaqua">RMBIL!$F$60</definedName>
    <definedName name="_cp_feed1">RMBIL!$I$12</definedName>
    <definedName name="hotgastemp">RMBIL!$E$61</definedName>
    <definedName name="matindex5">RMBIL!$G$395</definedName>
    <definedName name="Especsep">RMBIL!$D$23</definedName>
    <definedName name="_millgas_pos">RMBIL!$D$411</definedName>
    <definedName name="kilng_co2">RMBIL!$G$354</definedName>
    <definedName name="mup_2">RMBIL!$I$81:$I$83</definedName>
    <definedName name="watertemp">RMBIL!$I$50</definedName>
    <definedName name="Amin">RMBIL!$E$332</definedName>
    <definedName name="coolergasdust">RMBIL!$G$62</definedName>
    <definedName name="Vmexit_Bm3h">RMBIL!$E$35</definedName>
    <definedName name="prod_dry">RMBIL!$D$18</definedName>
    <definedName name="kgmax">RMBIL!$D$60</definedName>
    <definedName name="matindex3">RMBIL!$E$395</definedName>
    <definedName name="prod_wet">RMBIL!$D$17</definedName>
    <definedName name="fakct">RMBIL!$E$31</definedName>
    <definedName name="upmfe">RMBIL!$I$25</definedName>
    <definedName name="_disch_text">RMBIL!$C$423:$C$424</definedName>
    <definedName name="Vsfi">RMBIL!$D$36</definedName>
    <definedName name="_ct_text">RMBIL!$C$407:$C$409</definedName>
    <definedName name="array1">RMBIL!$C$450:$I$572</definedName>
    <definedName name="sepcirctype">RMBIL!$L$423</definedName>
    <definedName name="Gas_direct_to_filter">Help!$A$204</definedName>
    <definedName name="feedh2o3">RMBIL!$E$14</definedName>
    <definedName name="watinj_c1">RMBIL!$D$42</definedName>
    <definedName name="visa">RMBIL!$I$4</definedName>
    <definedName name="case5_end">RMBIL!$R$202</definedName>
    <definedName name="freshairdust">RMBIL!$G$63</definedName>
    <definedName name="upffi">RMBIL!$H$27</definedName>
    <definedName name="feedh2o">RMBIL!$E$17</definedName>
    <definedName name="temp_shell_c1">RMBIL!$H$47</definedName>
    <definedName name="sepfanpower_s">RMBIL!$F$380</definedName>
    <definedName name="_cairadd_pos">RMBIL!$H$407</definedName>
    <definedName name="equipment">RMBIL!$C$4</definedName>
    <definedName name="recirc">RMBIL!$E$404</definedName>
    <definedName name="sf_sep">RMBIL!$I$52</definedName>
    <definedName name="_coalm_gasamount">RMBIL!$M$407</definedName>
    <definedName name="pr_amb">RMBIL!$C$357</definedName>
    <definedName name="case4_start">RMBIL!$A$174</definedName>
    <definedName name="coolergastemp">RMBIL!$E$62</definedName>
    <definedName name="_av_cp_feed">RMBIL!$H$17</definedName>
    <definedName name="kgdust">RMBIL!$G$60</definedName>
    <definedName name="_HGGfuel_txt">RMBIL!$C$416:$C$421</definedName>
    <definedName name="feedtemp5">RMBIL!$F$16</definedName>
    <definedName name="mup_end">RMBIL!$I$83</definedName>
    <definedName name="sfanpower_s">RMBIL!$F$380</definedName>
    <definedName name="Efficiencies_of_drives">Help!$A$214</definedName>
    <definedName name="hotg_c1">RMBIL!$H$42</definedName>
    <definedName name="freshairtemp">RMBIL!$E$63</definedName>
    <definedName name="hotgasaqua">RMBIL!$J$325</definedName>
    <definedName name="milltype">RMBIL!$C$5</definedName>
    <definedName name="surf_mill">RMBIL!$C$360</definedName>
    <definedName name="kilnfanpower_s">RMBIL!$C$380</definedName>
    <definedName name="H2O_in_feed">RMBIL!$E$12:$E$16</definedName>
    <definedName name="case4_end">RMBIL!$R$186</definedName>
    <definedName name="_case">RMBIL!$C$398</definedName>
    <definedName name="_CV_fuel_average_sel">RMBIL!$E$416</definedName>
    <definedName name="evap_mill_total">RMBIL!$D$95</definedName>
    <definedName name="false_air_filter">RMBIL!$G$31</definedName>
    <definedName name="upmfi">RMBIL!$H$25</definedName>
    <definedName name="start_print_1">RMBIL!$A$1</definedName>
    <definedName name="_case_range">RMBIL!$C$399</definedName>
    <definedName name="millfanpower_s">RMBIL!$D$380</definedName>
    <definedName name="heatloss">RMBIL!$I$364</definedName>
    <definedName name="date">RMBIL!$I$3</definedName>
    <definedName name="kheatc">RMBIL!$D$50</definedName>
    <definedName name="_Vmin_f">RMBIL!$K$416:$K$421</definedName>
    <definedName name="famill">RMBIL!$D$31</definedName>
    <definedName name="upkfe">RMBIL!$I$24</definedName>
    <definedName name="auto_redraw">RMBIL!$Z$576</definedName>
    <definedName name="_HGGsecair">RMBIL!$H$416</definedName>
    <definedName name="millpower">RMBIL!$E$22</definedName>
    <definedName name="_cp_feed4">RMBIL!$I$15</definedName>
    <definedName name="millfanpower">RMBIL!$E$25</definedName>
    <definedName name="_cp_feed3">RMBIL!$I$14</definedName>
    <definedName name="Especsepfan">RMBIL!$D$26</definedName>
    <definedName name="plant">RMBIL!$C$3</definedName>
    <definedName name="_dialog_start">RMBIL!$H$401</definedName>
    <definedName name="Vmexit">RMBIL!$D$35</definedName>
    <definedName name="T_exhair_sep">RMBIL!$L$290</definedName>
    <definedName name="CTexittemp_1">RMBIL!$L$230</definedName>
    <definedName name="_coalm_text">RMBIL!$K$407:$K$410</definedName>
    <definedName name="mup_start">RMBIL!$I$68</definedName>
    <definedName name="length_m">RMBIL!$I$7</definedName>
    <definedName name="_HGGsecair_temp">RMBIL!$I$416:$I$419</definedName>
    <definedName name="upsfi">RMBIL!$H$26</definedName>
    <definedName name="_HGG_heatsupply">RMBIL!$O$237</definedName>
    <definedName name="upsfe">RMBIL!$I$26</definedName>
    <definedName name="kilng_c1">RMBIL!$G$42</definedName>
    <definedName name="case3_end">RMBIL!$R$170</definedName>
    <definedName name="feedtemp4">RMBIL!$F$15</definedName>
    <definedName name="recirc_sel_text">RMBIL!$C$404:$C$405</definedName>
    <definedName name="_Amin">RMBIL!$J$416:$J$421</definedName>
    <definedName name="case3_start">RMBIL!$A$158</definedName>
    <definedName name="Flowsheet_center">RMBIL!$AG$594</definedName>
    <definedName name="freshairaqua">RMBIL!$F$63</definedName>
    <definedName name="millfandriveeff">RMBIL!$F$25</definedName>
    <definedName name="filterfaneff">RMBIL!$G$27</definedName>
    <definedName name="temp_shell_c2">RMBIL!$H$48</definedName>
    <definedName localSheetId="0" name="solver_opt">RMBIL!$M$246</definedName>
    <definedName name="_HGGsecair_txt">RMBIL!$G$416:$G$418</definedName>
    <definedName name="_coalm_pos">RMBIL!$L$407</definedName>
    <definedName name="Vmin_f">RMBIL!$E$333</definedName>
    <definedName name="recirc_sel">RMBIL!$C$404:$D$405</definedName>
    <definedName name="grits_c1">RMBIL!$F$42</definedName>
    <definedName name="_cp_feed2">RMBIL!$I$13</definedName>
    <definedName name="_cp_feed5">RMBIL!$I$16</definedName>
    <definedName name="sepdriveeff">RMBIL!$F$23</definedName>
    <definedName name="grheat_c1">RMBIL!$E$42</definedName>
    <definedName name="T_in_sep">RMBIL!$K$297</definedName>
    <definedName name="_printing_active">RMBIL!$G$431</definedName>
    <definedName name="lambda_HGG">RMBIL!$E$334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you may modify the contents of this cell
</t>
      </text>
    </comment>
    <comment authorId="0" ref="G10">
      <text>
        <t xml:space="preserve">Select in Dialog sheet 'Userform1', whether input values for feed composition should be based on mass wet or dry
</t>
      </text>
    </comment>
    <comment authorId="0" ref="E17">
      <text>
        <t xml:space="preserve">average feed moisture
</t>
      </text>
    </comment>
    <comment authorId="0" ref="F17">
      <text>
        <t xml:space="preserve">average feed temperature (calculated by function)
</t>
      </text>
    </comment>
    <comment authorId="0" ref="I17">
      <text>
        <t xml:space="preserve">average cp of feed
</t>
      </text>
    </comment>
    <comment authorId="0" ref="E18">
      <text>
        <t xml:space="preserve">product moisture
</t>
      </text>
    </comment>
    <comment authorId="0" ref="F18">
      <text>
        <t xml:space="preserve">temperature of material at mill exit ; is  normally less than mill exit gas temperature (cell F35)
</t>
      </text>
    </comment>
    <comment authorId="0" ref="D31">
      <text>
        <t xml:space="preserve">from mill inlet to mill outlet</t>
      </text>
    </comment>
    <comment authorId="0" ref="F31">
      <text>
        <t xml:space="preserve">from mill inlet to mill fan inlet</t>
      </text>
    </comment>
    <comment authorId="0" ref="G31">
      <text>
        <t xml:space="preserve">applicable only to 3-fan-system; for the 2-fan-system, use only "False air system" as input</t>
      </text>
    </comment>
    <comment authorId="0" ref="D35">
      <text>
        <t xml:space="preserve">gas flow at mill exit
</t>
      </text>
    </comment>
    <comment authorId="0" ref="F35">
      <text>
        <t xml:space="preserve">gas temperature at mill exit (temperature of solids at mill exit see cell F18)
</t>
      </text>
    </comment>
    <comment authorId="0" ref="F48">
      <text>
        <t xml:space="preserve">for end-discharge, this temperature does include mill false air
for center discharge, it does not</t>
      </text>
    </comment>
    <comment authorId="0" ref="G48">
      <text>
        <t xml:space="preserve">for end-discharge, this temperature does include mill false air
for center discharge, it does not</t>
      </text>
    </comment>
    <comment authorId="0" ref="I52">
      <text>
        <t xml:space="preserve">standard value is 3
do not change unless for good reasons
</t>
      </text>
    </comment>
    <comment authorId="0" ref="I53">
      <text>
        <t xml:space="preserve">normal range ~90-96 %
</t>
      </text>
    </comment>
    <comment authorId="0" ref="D54">
      <text>
        <t xml:space="preserve">this is an estimated value for the amount of available kiln gas
</t>
      </text>
    </comment>
    <comment authorId="0" ref="I54">
      <text>
        <t xml:space="preserve">required if one of the mill feed components is coal (influences cp-value)
</t>
      </text>
    </comment>
    <comment authorId="0" ref="I56">
      <text>
        <t xml:space="preserve">is higher or equal product moisture
is normally less than average feed moisture</t>
      </text>
    </comment>
    <comment authorId="0" ref="D60">
      <text>
        <t xml:space="preserve">if no kilngas is available, set value to 0.01 instead of Zero
</t>
      </text>
    </comment>
    <comment authorId="0" ref="D62">
      <text>
        <t xml:space="preserve">if HGG seconadry air is cooler gas, you must subtract the cooler gas required for HGG manually (amount see named cell  _HGGsecair_rate)
if no coolergas is available, set value to 0.01 instead of Zero</t>
      </text>
    </comment>
    <comment authorId="0" ref="D63">
      <text>
        <t xml:space="preserve">this is the prescribed minimum figure for fresh air to be used</t>
      </text>
    </comment>
    <comment authorId="0" ref="E86">
      <text>
        <t xml:space="preserve">at mill outlet
</t>
      </text>
    </comment>
    <comment authorId="0" ref="E87">
      <text>
        <t xml:space="preserve">at mill outlet
</t>
      </text>
    </comment>
    <comment authorId="0" ref="D96">
      <text>
        <t xml:space="preserve">dewp_H2O could also be used for calculation
</t>
      </text>
    </comment>
    <comment authorId="0" ref="D97">
      <text>
        <t xml:space="preserve">heat flow of gas ex HGG
(is equal to product of fuel rate x CV fuel only if secondary air temp = 20 C)</t>
      </text>
    </comment>
    <comment authorId="0" ref="F107">
      <text>
        <t xml:space="preserve">includes separator grits
</t>
      </text>
    </comment>
    <comment authorId="0" ref="F115">
      <text>
        <t xml:space="preserve">includes separator grits
</t>
      </text>
    </comment>
    <comment authorId="0" ref="E129">
      <text>
        <t xml:space="preserve">note that HGG may require cooler gas, which has to be subtracted</t>
      </text>
    </comment>
    <comment authorId="0" ref="L133">
      <text>
        <t xml:space="preserve">Temp. at CT exit with water inj. Zero
</t>
      </text>
    </comment>
    <comment authorId="0" ref="E146">
      <text>
        <t xml:space="preserve">note that HGG may require cooler gas, which has to be subtracted</t>
      </text>
    </comment>
    <comment authorId="0" ref="L150">
      <text>
        <t xml:space="preserve">Temp. at CT exit with water inj. Zero
</t>
      </text>
    </comment>
    <comment authorId="0" ref="L163">
      <text>
        <t xml:space="preserve">Temp. at CT exit with water inj. Zero
</t>
      </text>
    </comment>
    <comment authorId="0" ref="E167">
      <text>
        <t xml:space="preserve">note that HGG may require cooler gas, which has to be subtracted</t>
      </text>
    </comment>
    <comment authorId="0" ref="L180">
      <text>
        <t xml:space="preserve">Temp. at CT exit with water inj. Zero
note that in some cases an error is returned if water injection rate is set to exactly Zero
</t>
      </text>
    </comment>
    <comment authorId="0" ref="E183">
      <text>
        <t xml:space="preserve">note that HGG may require cooler gas, which has to be subtracted</t>
      </text>
    </comment>
    <comment authorId="0" ref="E196">
      <text>
        <t xml:space="preserve">note that HGG may require cooler gas, which has to be subtracted</t>
      </text>
    </comment>
    <comment authorId="0" ref="L200">
      <text>
        <t xml:space="preserve">Temp. at CT exit with water inj. Zero
</t>
      </text>
    </comment>
    <comment authorId="0" ref="E210">
      <text>
        <t xml:space="preserve">note that HGG may require cooler gas, which has to be subtracted</t>
      </text>
    </comment>
    <comment authorId="0" ref="L216">
      <text>
        <t xml:space="preserve">Temp. at CT exit with water inj. Zero
</t>
      </text>
    </comment>
    <comment authorId="0" ref="E230">
      <text>
        <t xml:space="preserve">linear first estimation for required flowrate of gas mix (for mills with no gas direct to filter, e.g. coal mills)</t>
      </text>
    </comment>
    <comment authorId="0" ref="E231">
      <text>
        <t xml:space="preserve">linear first estimation for 2-fan system with recirc and gas direct to filter</t>
      </text>
    </comment>
    <comment authorId="0" ref="Q236">
      <text>
        <t xml:space="preserve">keep value at zero; this line serves only as a dummy line
</t>
      </text>
    </comment>
    <comment authorId="0" ref="B241">
      <text>
        <t xml:space="preserve">Hin, Hout is not calculated, because its
effects are included in recirc air temperature</t>
      </text>
    </comment>
    <comment authorId="0" ref="Y246">
      <text>
        <t xml:space="preserve">heat of dust must still be subtracted
</t>
      </text>
    </comment>
    <comment authorId="0" ref="V250">
      <text>
        <t xml:space="preserve">zero, if balanced
</t>
      </text>
    </comment>
    <comment authorId="0" ref="E257">
      <text>
        <t xml:space="preserve">if no duct for "direct operation" is present, excess gas cannot go to filter
</t>
      </text>
    </comment>
    <comment authorId="0" ref="K260">
      <text>
        <t xml:space="preserve">old macro, formerly used
</t>
      </text>
    </comment>
    <comment authorId="0" ref="E263">
      <text>
        <t xml:space="preserve">if no duct for "direct operation" is present, excess gas cannot go to filter
</t>
      </text>
    </comment>
    <comment authorId="0" ref="K266">
      <text>
        <t xml:space="preserve">old macro, formerly used
</t>
      </text>
    </comment>
    <comment authorId="0" ref="K297">
      <text>
        <t xml:space="preserve">old macro, formerly used
</t>
      </text>
    </comment>
    <comment authorId="0" ref="E325">
      <text>
        <t xml:space="preserve">the fixed value is to avoid unnecessary iterations (gas composition is transferred to "hotgas to mill")</t>
      </text>
    </comment>
    <comment authorId="0" ref="E332">
      <text>
        <t xml:space="preserve">min. comb. Air
</t>
      </text>
    </comment>
    <comment authorId="0" ref="E333">
      <text>
        <t xml:space="preserve">comb. Gas
</t>
      </text>
    </comment>
    <comment authorId="0" ref="E335">
      <text>
        <t xml:space="preserve">the content of this cell is manipulated by userform
(dialog sheet)</t>
      </text>
    </comment>
    <comment authorId="0" ref="C351">
      <text>
        <t xml:space="preserve">O2 based on dry gas
Nm3/h dry per kg
</t>
      </text>
    </comment>
    <comment authorId="0" ref="C352">
      <text>
        <t xml:space="preserve">O2 based on dry gas
Nm3/h dry per kg
</t>
      </text>
    </comment>
    <comment authorId="0" ref="H386">
      <text>
        <t xml:space="preserve">loppa d'altoforno
scorie di altoforno ?</t>
      </text>
    </comment>
    <comment authorId="0" ref="C395">
      <text>
        <t xml:space="preserve">the content of this cell is manipulated by DropDown17</t>
      </text>
    </comment>
    <comment authorId="0" ref="D395">
      <text>
        <t xml:space="preserve">the content of this cell is manipulated by DropDown2
</t>
      </text>
    </comment>
    <comment authorId="0" ref="E395">
      <text>
        <t xml:space="preserve">the content of this cell is manipulated by DropDown16
</t>
      </text>
    </comment>
    <comment authorId="0" ref="F395">
      <text>
        <t xml:space="preserve">the content of this cell is manipulated by DropDown15
</t>
      </text>
    </comment>
    <comment authorId="0" ref="G395">
      <text>
        <t xml:space="preserve">the content of this cell is manipulated by DropDown18
</t>
      </text>
    </comment>
    <comment authorId="0" ref="E401">
      <text>
        <t xml:space="preserve">the content of this cell is manipulated by userform
(dialog sheet)</t>
      </text>
    </comment>
    <comment authorId="0" ref="H401">
      <text>
        <t xml:space="preserve">the content of this cell is manipulated by userform
(dialog sheet)
</t>
      </text>
    </comment>
    <comment authorId="0" ref="E404">
      <text>
        <t xml:space="preserve">the content of this cell is manipulated by userform
(dialog sheet)</t>
      </text>
    </comment>
    <comment authorId="0" ref="L404">
      <text>
        <t xml:space="preserve">it false, no gas direct to filter is possible and iteration of v_1 will be skipped
if true, a duct for direct operation is available
</t>
      </text>
    </comment>
    <comment authorId="0" ref="D407">
      <text>
        <t xml:space="preserve">the content of this cell is manipulated by userform
(dialog sheet)
</t>
      </text>
    </comment>
    <comment authorId="0" ref="H407">
      <text>
        <t xml:space="preserve">the content of this cell is manipulated by userform
(dialog sheet)
</t>
      </text>
    </comment>
    <comment authorId="0" ref="L407">
      <text>
        <t xml:space="preserve">the content of this cell is manipulated by userform
(dialog sheet)
</t>
      </text>
    </comment>
    <comment authorId="0" ref="M407">
      <text>
        <t xml:space="preserve">the content of this cell is manipulated by userform
(dialog sheet)</t>
      </text>
    </comment>
    <comment authorId="0" ref="D411">
      <text>
        <t xml:space="preserve">the content of this cell is manipulated by userform
(dialog sheet)
</t>
      </text>
    </comment>
    <comment authorId="0" ref="J415">
      <text>
        <t xml:space="preserve">bound to fuel types on left side
</t>
      </text>
    </comment>
    <comment authorId="0" ref="K415">
      <text>
        <t xml:space="preserve">bound to fuel types on left side
</t>
      </text>
    </comment>
    <comment authorId="0" ref="D416">
      <text>
        <t xml:space="preserve">the content of this cell is manipulated by userform
(dialog sheet)</t>
      </text>
    </comment>
    <comment authorId="0" ref="H416">
      <text>
        <t xml:space="preserve">the content of this cell is manipulated by userform
(dialog sheet)</t>
      </text>
    </comment>
    <comment authorId="0" ref="I418">
      <text>
        <t xml:space="preserve">the content of this cell is manipulated by userform
(dialog sheet)</t>
      </text>
    </comment>
    <comment authorId="0" ref="D423">
      <text>
        <t xml:space="preserve">the content of this cell is manipulated by userform
(dialog sheet)</t>
      </text>
    </comment>
    <comment authorId="0" ref="H423">
      <text>
        <t xml:space="preserve">the content of this cell is manipulated by userform
(dialog sheet)</t>
      </text>
    </comment>
    <comment authorId="0" ref="L423">
      <text>
        <t xml:space="preserve">the content of this cell is manipulated by userform
(dialog sheet)</t>
      </text>
    </comment>
    <comment authorId="0" ref="D427">
      <text>
        <t xml:space="preserve">the content of this cell is manipulated by the language-selection Combobox
</t>
      </text>
    </comment>
    <comment authorId="0" ref="G427">
      <text>
        <t xml:space="preserve">input cell for macro print_flowsheet</t>
      </text>
    </comment>
    <comment authorId="0" ref="G428">
      <text>
        <t xml:space="preserve">input cell for macro print_sheet
</t>
      </text>
    </comment>
    <comment authorId="0" ref="G429">
      <text>
        <t xml:space="preserve">input cell for macro print_sheet
</t>
      </text>
    </comment>
    <comment authorId="0" ref="G430">
      <text>
        <t xml:space="preserve">input cell for macro print_sheet
</t>
      </text>
    </comment>
    <comment authorId="0" ref="G431">
      <text>
        <t xml:space="preserve">the content of this cell is manipulated by Userform1 (Dialog sheet)</t>
      </text>
    </comment>
    <comment authorId="0" ref="D435">
      <text>
        <t xml:space="preserve">the content of this cell is manipulated by Userform1 (Dialog sheet)</t>
      </text>
    </comment>
    <comment authorId="0" ref="D438">
      <text>
        <t xml:space="preserve">the content of this cell is manipulated by Userform1 (Dialog sheet)</t>
      </text>
    </comment>
    <comment authorId="0" ref="G483">
      <text>
        <t xml:space="preserve">Pre Aquecimento ?
</t>
      </text>
    </comment>
    <comment authorId="0" ref="H483">
      <text>
        <t xml:space="preserve">preriscaldatore
</t>
      </text>
    </comment>
    <comment authorId="0" ref="H484">
      <text>
        <t xml:space="preserve">torre di condizionamento
</t>
      </text>
    </comment>
    <comment authorId="0" ref="I496">
      <text>
        <t xml:space="preserve">http://lingvo.yandex.ru/cgi-bin/lingvo.pl?CardId=67;65;6e;65;72;61;74;6f;72;0;50;6f;6c;79;74;65;63;68;6e;69;63;2d;45
</t>
      </text>
    </comment>
    <comment authorId="0" ref="I499">
      <text>
        <t xml:space="preserve">коэффициент полезного действия, кпд 
(Эффективность)</t>
      </text>
    </comment>
    <comment authorId="0" ref="H505">
      <text>
        <t xml:space="preserve">potenza
</t>
      </text>
    </comment>
    <comment authorId="0" ref="H510">
      <text>
        <t xml:space="preserve">translation :
§
dizionario dei termini tecnici
</t>
      </text>
    </comment>
    <comment authorId="0" ref="I519">
      <text>
        <t xml:space="preserve">коэффициент полезного действия, кпд 
</t>
      </text>
    </comment>
    <comment authorId="0" ref="I520">
      <text>
        <t xml:space="preserve">коэффициент полезного действия, кпд 
</t>
      </text>
    </comment>
    <comment authorId="0" ref="H527">
      <text>
        <t xml:space="preserve">see also Index 34,35
</t>
      </text>
    </comment>
    <comment authorId="0" ref="H550">
      <text>
        <t xml:space="preserve">aria di trasporto ?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6">
      <text>
        <t xml:space="preserve">the size of the workbook is approx. 1.1 MB with 1 calc. Sheet. Each additional copy adds ~250 kB </t>
      </text>
    </comment>
  </commentList>
</comments>
</file>

<file path=xl/sharedStrings.xml><?xml version="1.0" encoding="utf-8"?>
<sst xmlns="http://schemas.openxmlformats.org/spreadsheetml/2006/main" count="1765" uniqueCount="1325">
  <si>
    <t xml:space="preserve">      Language</t>
  </si>
  <si>
    <t>Holderbank</t>
  </si>
  <si>
    <t>CM</t>
  </si>
  <si>
    <t>KHB</t>
  </si>
  <si>
    <t>EDM</t>
  </si>
  <si>
    <t>4.4*15</t>
  </si>
  <si>
    <t>KHD</t>
  </si>
  <si>
    <t>cp</t>
  </si>
  <si>
    <t xml:space="preserve"> t/h </t>
  </si>
  <si>
    <t xml:space="preserve"> %H2O</t>
  </si>
  <si>
    <t xml:space="preserve"> °C</t>
  </si>
  <si>
    <t xml:space="preserve"> kJ/kg°C</t>
  </si>
  <si>
    <t>Click "Additional data input" for system definition etc.</t>
  </si>
  <si>
    <t>see Worksheet "Help" for useful hints</t>
  </si>
  <si>
    <t>Gasflows in Nm3/h refer to wet Gas</t>
  </si>
  <si>
    <t>Gasflows in actual m3/h refer to wet Gas</t>
  </si>
  <si>
    <t>Feed moistures refer to wet material</t>
  </si>
  <si>
    <t>Gas humidities refer to wet gas</t>
  </si>
  <si>
    <t xml:space="preserve"> kWh/t</t>
  </si>
  <si>
    <t xml:space="preserve"> kW</t>
  </si>
  <si>
    <t xml:space="preserve"> mbar</t>
  </si>
  <si>
    <t xml:space="preserve"> l/h</t>
  </si>
  <si>
    <t xml:space="preserve"> %</t>
  </si>
  <si>
    <t>Nm3/h w</t>
  </si>
  <si>
    <t>Bm3/h w</t>
  </si>
  <si>
    <t>l/h</t>
  </si>
  <si>
    <t>%</t>
  </si>
  <si>
    <t xml:space="preserve"> MJ/kg</t>
  </si>
  <si>
    <t xml:space="preserve"> t/d</t>
  </si>
  <si>
    <t>DS4</t>
  </si>
  <si>
    <t>surface factor separator</t>
  </si>
  <si>
    <t>-</t>
  </si>
  <si>
    <t>Nm3/h</t>
  </si>
  <si>
    <t>g/Nm3</t>
  </si>
  <si>
    <t xml:space="preserve"> Nm3/h w</t>
  </si>
  <si>
    <t xml:space="preserve"> g/Nm3 w</t>
  </si>
  <si>
    <t xml:space="preserve"> kJ/Nm3°C</t>
  </si>
  <si>
    <t xml:space="preserve"> m3/h w</t>
  </si>
  <si>
    <t xml:space="preserve"> g/Nm3w</t>
  </si>
  <si>
    <t xml:space="preserve"> % dry</t>
  </si>
  <si>
    <t xml:space="preserve"> kg/h</t>
  </si>
  <si>
    <t xml:space="preserve"> MJ/h</t>
  </si>
  <si>
    <t xml:space="preserve"> MW</t>
  </si>
  <si>
    <t>Qof=</t>
  </si>
  <si>
    <t>kJ/kg</t>
  </si>
  <si>
    <t>MJ/h</t>
  </si>
  <si>
    <t>Qhg=</t>
  </si>
  <si>
    <t>Qka=</t>
  </si>
  <si>
    <t>Qfr=</t>
  </si>
  <si>
    <t>Qfa=</t>
  </si>
  <si>
    <t>Qma=</t>
  </si>
  <si>
    <t>Qwa=</t>
  </si>
  <si>
    <t>Qmw=</t>
  </si>
  <si>
    <t>Qvd=</t>
  </si>
  <si>
    <t>Qs/k=</t>
  </si>
  <si>
    <t>Qrm=</t>
  </si>
  <si>
    <t>Qag=</t>
  </si>
  <si>
    <t>case 1 : CT before KF (i3=1), cooler gas before CT (i4=1), coalmill before/after CT (i5=1 / 2)</t>
  </si>
  <si>
    <t>water</t>
  </si>
  <si>
    <t>amount dry</t>
  </si>
  <si>
    <t>flow (wet)</t>
  </si>
  <si>
    <t>CO2</t>
  </si>
  <si>
    <t>H2O</t>
  </si>
  <si>
    <t>N2</t>
  </si>
  <si>
    <t>O2</t>
  </si>
  <si>
    <t>T in</t>
  </si>
  <si>
    <t>T out</t>
  </si>
  <si>
    <t>h in</t>
  </si>
  <si>
    <t>h out</t>
  </si>
  <si>
    <t>H in</t>
  </si>
  <si>
    <t>Hout</t>
  </si>
  <si>
    <t>Vmax</t>
  </si>
  <si>
    <t>dust</t>
  </si>
  <si>
    <t xml:space="preserve"> t/h</t>
  </si>
  <si>
    <t xml:space="preserve"> Nm3/h</t>
  </si>
  <si>
    <t xml:space="preserve"> Vol%</t>
  </si>
  <si>
    <t xml:space="preserve"> C</t>
  </si>
  <si>
    <t xml:space="preserve"> kJ/Nm3w</t>
  </si>
  <si>
    <t>case 2 : CT after KF (i3=2), cooler gas before CT (i4=1), coalmill before/after CT (i5=1 / 2)</t>
  </si>
  <si>
    <t>case 3 : CT before KF (i3=1), cooler gas after CT (i4=2), coalmill before/after CT (i5=1 / 2)</t>
  </si>
  <si>
    <t>case 4 : CT after KF (i3=2), cooler gas after CT (i4=2), coalmill before/after CT (i5=1 / 2)</t>
  </si>
  <si>
    <t>case 5 : CT after KF (i3=2), cooler gas before CT (i4=1), coalmill before/after CT (i5=1 / 2), gas to mill before CT, not including cooler gas</t>
  </si>
  <si>
    <t>residual</t>
  </si>
  <si>
    <t>case 6 : CT after KF (i3=2), cooler gas before CT (i4=1), coalmill before/after CT (i5=1 / 2), gas to mill before CT, not including cooler gas</t>
  </si>
  <si>
    <t>gas to mill (available)</t>
  </si>
  <si>
    <t>case 1</t>
  </si>
  <si>
    <t>case 2</t>
  </si>
  <si>
    <t>case 3</t>
  </si>
  <si>
    <t>case 4</t>
  </si>
  <si>
    <t>case 5</t>
  </si>
  <si>
    <t>case 6</t>
  </si>
  <si>
    <t>artificial dustratio dr_2</t>
  </si>
  <si>
    <t>ratio kilndust/total dust</t>
  </si>
  <si>
    <t>auxiliary</t>
  </si>
  <si>
    <t>t/h water injection rate</t>
  </si>
  <si>
    <t>temperature at CT exit with water injection zero</t>
  </si>
  <si>
    <t>Nm3/h ex CT</t>
  </si>
  <si>
    <t>checks</t>
  </si>
  <si>
    <t>2-fan system, recirc, direct to filter &gt;0</t>
  </si>
  <si>
    <t xml:space="preserve">mill balance </t>
  </si>
  <si>
    <t>Hin</t>
  </si>
  <si>
    <t>Hin net</t>
  </si>
  <si>
    <t>Hout net</t>
  </si>
  <si>
    <t>input gas mix</t>
  </si>
  <si>
    <t>dummy(Vmax must be zero !)</t>
  </si>
  <si>
    <t>Hot gas</t>
  </si>
  <si>
    <t>fresh air</t>
  </si>
  <si>
    <t>Recirc. air</t>
  </si>
  <si>
    <t>mill inlet air</t>
  </si>
  <si>
    <t>proportional Part of false air fan</t>
  </si>
  <si>
    <t>False air mill</t>
  </si>
  <si>
    <t>evap. Water</t>
  </si>
  <si>
    <t>mill exit</t>
  </si>
  <si>
    <t>mill inlet comp. 1</t>
  </si>
  <si>
    <t>mill inlet comp. 2</t>
  </si>
  <si>
    <t>required</t>
  </si>
  <si>
    <t>delivered</t>
  </si>
  <si>
    <t>3-fan-system</t>
  </si>
  <si>
    <t>false air from mill exit to fan inlet</t>
  </si>
  <si>
    <t>mill fan inlet</t>
  </si>
  <si>
    <t>mill fan outlet</t>
  </si>
  <si>
    <t>direct to filter or excess gas</t>
  </si>
  <si>
    <t>case 1-4</t>
  </si>
  <si>
    <t>2-fan-system</t>
  </si>
  <si>
    <t>mix mill exit+false air</t>
  </si>
  <si>
    <t>direct to filter</t>
  </si>
  <si>
    <t>liq out</t>
  </si>
  <si>
    <t>evap. Heat</t>
  </si>
  <si>
    <t>mill fan (=filter fan) inlet</t>
  </si>
  <si>
    <t>mill fan (=filter fan) outlet</t>
  </si>
  <si>
    <t>rad+evap loss</t>
  </si>
  <si>
    <t>grinding heat</t>
  </si>
  <si>
    <t>water injection mill</t>
  </si>
  <si>
    <t>separator grits</t>
  </si>
  <si>
    <t>Material1</t>
  </si>
  <si>
    <t>Material2</t>
  </si>
  <si>
    <t>Material3</t>
  </si>
  <si>
    <t>Material4</t>
  </si>
  <si>
    <t>Material5</t>
  </si>
  <si>
    <t>Material1_water</t>
  </si>
  <si>
    <t>Material2_water</t>
  </si>
  <si>
    <t>Material3_water</t>
  </si>
  <si>
    <t>Material4_water</t>
  </si>
  <si>
    <t>Material5_water</t>
  </si>
  <si>
    <t>Separator</t>
  </si>
  <si>
    <t>mill discharge</t>
  </si>
  <si>
    <t>separator power</t>
  </si>
  <si>
    <t>`</t>
  </si>
  <si>
    <t>fan power</t>
  </si>
  <si>
    <t>fresh/false air</t>
  </si>
  <si>
    <t>product</t>
  </si>
  <si>
    <t>heat loss</t>
  </si>
  <si>
    <t>air to filter</t>
  </si>
  <si>
    <t>separator recirculating air</t>
  </si>
  <si>
    <t>separator inlet</t>
  </si>
  <si>
    <t>3-fan system (filter)</t>
  </si>
  <si>
    <t>mill fan outlet minus recirc</t>
  </si>
  <si>
    <t>mix</t>
  </si>
  <si>
    <t>false air filter+fan</t>
  </si>
  <si>
    <t>filter fan inlet</t>
  </si>
  <si>
    <t>filter fan outlet</t>
  </si>
  <si>
    <t>direct operation</t>
  </si>
  <si>
    <t>kiln gas at CT exit</t>
  </si>
  <si>
    <t>false air</t>
  </si>
  <si>
    <t>Hot gas generator</t>
  </si>
  <si>
    <t>combustion Gas anthracite,coke</t>
  </si>
  <si>
    <t>comb. Gas bituminous coal , 1-2 % H2O</t>
  </si>
  <si>
    <t>comb. Gas lignite 10 % H2O</t>
  </si>
  <si>
    <t xml:space="preserve">combustion Gas light oil </t>
  </si>
  <si>
    <t>comb. Gas heavy oil</t>
  </si>
  <si>
    <t>comb. Gas natural gas (high CH4)</t>
  </si>
  <si>
    <t>excess air</t>
  </si>
  <si>
    <t>hot gas (1 Nm3)</t>
  </si>
  <si>
    <t>hot gas (actual rate)</t>
  </si>
  <si>
    <t>Amin</t>
  </si>
  <si>
    <t xml:space="preserve"> -</t>
  </si>
  <si>
    <t>Vmin f</t>
  </si>
  <si>
    <t>lambda (f)</t>
  </si>
  <si>
    <t>CV fuel</t>
  </si>
  <si>
    <t>fuel rate</t>
  </si>
  <si>
    <t>Product Temp.</t>
  </si>
  <si>
    <t>mass</t>
  </si>
  <si>
    <t>temp</t>
  </si>
  <si>
    <t>t/h</t>
  </si>
  <si>
    <t>mill filter inlet</t>
  </si>
  <si>
    <t>cyclone</t>
  </si>
  <si>
    <t xml:space="preserve">sep. </t>
  </si>
  <si>
    <t>sep. filter</t>
  </si>
  <si>
    <t>total</t>
  </si>
  <si>
    <t>product temperature</t>
  </si>
  <si>
    <t>actual case</t>
  </si>
  <si>
    <t>Auxiliary calc</t>
  </si>
  <si>
    <t xml:space="preserve"> Nm3/kg dry</t>
  </si>
  <si>
    <t>Nm3/kg wet</t>
  </si>
  <si>
    <t xml:space="preserve"> Nm3/kg</t>
  </si>
  <si>
    <t>Co2</t>
  </si>
  <si>
    <t xml:space="preserve"> % O2</t>
  </si>
  <si>
    <t>% CO2</t>
  </si>
  <si>
    <t xml:space="preserve"> Nm3/Nm3</t>
  </si>
  <si>
    <t>Co2max</t>
  </si>
  <si>
    <t xml:space="preserve"> % N2</t>
  </si>
  <si>
    <t>ambient pressure  mbar</t>
  </si>
  <si>
    <t>mill heat loss</t>
  </si>
  <si>
    <t>surface (m2)</t>
  </si>
  <si>
    <t>a_conv</t>
  </si>
  <si>
    <t>a_rad</t>
  </si>
  <si>
    <t>ambient Temp</t>
  </si>
  <si>
    <t>factor</t>
  </si>
  <si>
    <t>loss (MJ/h)</t>
  </si>
  <si>
    <t>temp_shell</t>
  </si>
  <si>
    <t>shell temp</t>
  </si>
  <si>
    <t>comp. 1</t>
  </si>
  <si>
    <t>comp. 2</t>
  </si>
  <si>
    <t>kiln fan</t>
  </si>
  <si>
    <t xml:space="preserve">mill fan </t>
  </si>
  <si>
    <t>filter fan</t>
  </si>
  <si>
    <t>separator fan</t>
  </si>
  <si>
    <t>delta_p  mbar</t>
  </si>
  <si>
    <t>p (fan inlet)</t>
  </si>
  <si>
    <t>fan effic</t>
  </si>
  <si>
    <t>inlet temp</t>
  </si>
  <si>
    <t>inlet flow air  Nm3/h</t>
  </si>
  <si>
    <t xml:space="preserve">                          Bm3/h</t>
  </si>
  <si>
    <t xml:space="preserve"> Bm3/Nm3</t>
  </si>
  <si>
    <t>kappa</t>
  </si>
  <si>
    <t>spec. fan power  kWh/Nm3 adiabatic</t>
  </si>
  <si>
    <t>spec. fan power  kWh/Nm3 simplified</t>
  </si>
  <si>
    <t>fan power shaft  kW adiabatic</t>
  </si>
  <si>
    <t>fan power  kW shaft by dp*V (simplified)</t>
  </si>
  <si>
    <t>spec. fanpower used for calculations</t>
  </si>
  <si>
    <t>materials</t>
  </si>
  <si>
    <t/>
  </si>
  <si>
    <t>(when adding materials, do not forget</t>
  </si>
  <si>
    <t>Kohle</t>
  </si>
  <si>
    <t>Coal</t>
  </si>
  <si>
    <t>Charbon</t>
  </si>
  <si>
    <t>Carbón</t>
  </si>
  <si>
    <t>Carvão</t>
  </si>
  <si>
    <t>Carbone</t>
  </si>
  <si>
    <t xml:space="preserve">Уголь    </t>
  </si>
  <si>
    <t>to update function cpSol)</t>
  </si>
  <si>
    <t>Klinker</t>
  </si>
  <si>
    <t>Clinker</t>
  </si>
  <si>
    <t>Clinquer</t>
  </si>
  <si>
    <t>цементный клинкер</t>
  </si>
  <si>
    <t>(when changing the sequence of the</t>
  </si>
  <si>
    <t>Schlacke</t>
  </si>
  <si>
    <t>Slag</t>
  </si>
  <si>
    <t>Laitier</t>
  </si>
  <si>
    <t>Escória</t>
  </si>
  <si>
    <t>Loppa d' altoforno</t>
  </si>
  <si>
    <t>печной шлак</t>
  </si>
  <si>
    <t xml:space="preserve">materials in the table, update cpSol </t>
  </si>
  <si>
    <t>Rohmaterial</t>
  </si>
  <si>
    <t>Rawmaterial</t>
  </si>
  <si>
    <t>Matière cru</t>
  </si>
  <si>
    <t>Crudo</t>
  </si>
  <si>
    <t>Cru</t>
  </si>
  <si>
    <t xml:space="preserve">Известняк   </t>
  </si>
  <si>
    <t>accordingly)</t>
  </si>
  <si>
    <t>Sand</t>
  </si>
  <si>
    <t>Sable</t>
  </si>
  <si>
    <t>Arena</t>
  </si>
  <si>
    <t>Areia</t>
  </si>
  <si>
    <t>Sabbia</t>
  </si>
  <si>
    <t xml:space="preserve">Песок  </t>
  </si>
  <si>
    <t>Puzzolan</t>
  </si>
  <si>
    <t>Pozzolana</t>
  </si>
  <si>
    <t>Puzolana</t>
  </si>
  <si>
    <t>Puzolane</t>
  </si>
  <si>
    <t>Пуццолан</t>
  </si>
  <si>
    <t>Gips</t>
  </si>
  <si>
    <t>Gypsum</t>
  </si>
  <si>
    <t>Gypse</t>
  </si>
  <si>
    <t>Yeso</t>
  </si>
  <si>
    <t>Gesso</t>
  </si>
  <si>
    <t xml:space="preserve">Гипс </t>
  </si>
  <si>
    <t>Kalkstein</t>
  </si>
  <si>
    <t>Limestone</t>
  </si>
  <si>
    <t>Chaux</t>
  </si>
  <si>
    <t>Caliza</t>
  </si>
  <si>
    <t>Calcária</t>
  </si>
  <si>
    <t>Calcare</t>
  </si>
  <si>
    <t>Flugasche</t>
  </si>
  <si>
    <t>Flyash</t>
  </si>
  <si>
    <t>Cendres volantes</t>
  </si>
  <si>
    <t>Cenizas volantes</t>
  </si>
  <si>
    <t>Cinza de mosca</t>
  </si>
  <si>
    <t>Cenere volatile</t>
  </si>
  <si>
    <t>Летучая зола</t>
  </si>
  <si>
    <t>Holz</t>
  </si>
  <si>
    <t>Wood</t>
  </si>
  <si>
    <t>matindices --&gt;</t>
  </si>
  <si>
    <t>actual</t>
  </si>
  <si>
    <t>case1</t>
  </si>
  <si>
    <t>case2</t>
  </si>
  <si>
    <t>case3</t>
  </si>
  <si>
    <t>case4</t>
  </si>
  <si>
    <t>case5</t>
  </si>
  <si>
    <t>case6</t>
  </si>
  <si>
    <t>case</t>
  </si>
  <si>
    <t>range of arrays</t>
  </si>
  <si>
    <t>system</t>
  </si>
  <si>
    <t>3-fan system</t>
  </si>
  <si>
    <t>2-fan system</t>
  </si>
  <si>
    <t>recirculation</t>
  </si>
  <si>
    <t>no recirc</t>
  </si>
  <si>
    <t>gas duct for direct operation available ?</t>
  </si>
  <si>
    <t>recirc allowed</t>
  </si>
  <si>
    <t>amount of gas to coalmill</t>
  </si>
  <si>
    <t>cooling tower position</t>
  </si>
  <si>
    <t>no CT</t>
  </si>
  <si>
    <t>cooler air</t>
  </si>
  <si>
    <t>no cooler gas</t>
  </si>
  <si>
    <t xml:space="preserve">gas to </t>
  </si>
  <si>
    <t>no coal mill</t>
  </si>
  <si>
    <t>before kiln fan</t>
  </si>
  <si>
    <t>coal mill</t>
  </si>
  <si>
    <t>after kiln fan</t>
  </si>
  <si>
    <t>at PH  exit</t>
  </si>
  <si>
    <t>withdrawal of gas to mill</t>
  </si>
  <si>
    <t>after CT</t>
  </si>
  <si>
    <t>before CT, without cooler gas</t>
  </si>
  <si>
    <t xml:space="preserve">before CT, including cooler gas </t>
  </si>
  <si>
    <t>CV MJ/kg</t>
  </si>
  <si>
    <t>HGG fuel type</t>
  </si>
  <si>
    <t>anthracite, coke</t>
  </si>
  <si>
    <t>HGG sec</t>
  </si>
  <si>
    <t>ambient air</t>
  </si>
  <si>
    <t>bituminous coal (low ash)</t>
  </si>
  <si>
    <t>cooler gas</t>
  </si>
  <si>
    <t>lignite 10 % H2O</t>
  </si>
  <si>
    <t>user-defined temp</t>
  </si>
  <si>
    <t>light oil</t>
  </si>
  <si>
    <t>recirculation gas</t>
  </si>
  <si>
    <t>heavy oil</t>
  </si>
  <si>
    <t>natural gas (high CH4)</t>
  </si>
  <si>
    <t>type of tube mill</t>
  </si>
  <si>
    <t>end discharge</t>
  </si>
  <si>
    <t>Separator type</t>
  </si>
  <si>
    <t>1st generation</t>
  </si>
  <si>
    <t>internal fan</t>
  </si>
  <si>
    <t>center discharge</t>
  </si>
  <si>
    <t>2nd generation</t>
  </si>
  <si>
    <t>cyclone air sep.</t>
  </si>
  <si>
    <t>airswept</t>
  </si>
  <si>
    <t>3rd generation</t>
  </si>
  <si>
    <t>single pass sep.</t>
  </si>
  <si>
    <t>German</t>
  </si>
  <si>
    <t>print areas</t>
  </si>
  <si>
    <t>flowsheet</t>
  </si>
  <si>
    <t>English</t>
  </si>
  <si>
    <t>balance page 1</t>
  </si>
  <si>
    <t>French</t>
  </si>
  <si>
    <t>balance page 2</t>
  </si>
  <si>
    <t>Spanish</t>
  </si>
  <si>
    <t>$1:$9</t>
  </si>
  <si>
    <t>rows to repeat at top</t>
  </si>
  <si>
    <t>Portuguese</t>
  </si>
  <si>
    <t>suppress yellow patterns</t>
  </si>
  <si>
    <t>Italian</t>
  </si>
  <si>
    <t>wet</t>
  </si>
  <si>
    <t>dry</t>
  </si>
  <si>
    <t>data directory</t>
  </si>
  <si>
    <t>D:\Users\sgross\Documents\Kurse &amp; Seminare\PE Kurs RA\HB Case Study</t>
  </si>
  <si>
    <t>H2O (wet)</t>
  </si>
  <si>
    <t>comp input</t>
  </si>
  <si>
    <t>comp dry</t>
  </si>
  <si>
    <t>comp wet</t>
  </si>
  <si>
    <t>sums wet</t>
  </si>
  <si>
    <t>add rows only at the end of the following list (range : array1), not between the lines</t>
  </si>
  <si>
    <t>(if you do otherwise, all indices referring to elements of the list after the inserted line must be manually modified/updated)</t>
  </si>
  <si>
    <t>Wärmebilanz</t>
  </si>
  <si>
    <t>Heat balance</t>
  </si>
  <si>
    <t>Bilan thermique</t>
  </si>
  <si>
    <t>Balance termico</t>
  </si>
  <si>
    <t xml:space="preserve">Balance térmico </t>
  </si>
  <si>
    <t>Bilancio termico</t>
  </si>
  <si>
    <t>тепловой баланс</t>
  </si>
  <si>
    <t>Werk:</t>
  </si>
  <si>
    <t>Plant:</t>
  </si>
  <si>
    <t>Usine:</t>
  </si>
  <si>
    <t>Planta:</t>
  </si>
  <si>
    <t>Stabilimento:</t>
  </si>
  <si>
    <t>Завод:</t>
  </si>
  <si>
    <t>Datum:</t>
  </si>
  <si>
    <t>Date:</t>
  </si>
  <si>
    <t>Fecha:</t>
  </si>
  <si>
    <t>Data:</t>
  </si>
  <si>
    <t>Дата:</t>
  </si>
  <si>
    <t>Anlage:</t>
  </si>
  <si>
    <t>Equipment:</t>
  </si>
  <si>
    <t>Equipement:</t>
  </si>
  <si>
    <t>Equipo:</t>
  </si>
  <si>
    <t>Equipamento:</t>
  </si>
  <si>
    <t>Impianto/Macchinario:</t>
  </si>
  <si>
    <t>Оборудование:</t>
  </si>
  <si>
    <t>Visum:</t>
  </si>
  <si>
    <t>Visa:</t>
  </si>
  <si>
    <t>Visto:</t>
  </si>
  <si>
    <t>Виза:</t>
  </si>
  <si>
    <t>Mühlentyp</t>
  </si>
  <si>
    <t>Mill type</t>
  </si>
  <si>
    <t>Type de broyeur</t>
  </si>
  <si>
    <t>Tipo de molino</t>
  </si>
  <si>
    <t>Tipo de moinho</t>
  </si>
  <si>
    <t>Tipo di molino</t>
  </si>
  <si>
    <t>Тип мельницы</t>
  </si>
  <si>
    <t>System</t>
  </si>
  <si>
    <t xml:space="preserve">Système </t>
  </si>
  <si>
    <t>Sistema</t>
  </si>
  <si>
    <t>Система</t>
  </si>
  <si>
    <t>Höhe Aufstellungsort</t>
  </si>
  <si>
    <t xml:space="preserve">Plant altitude </t>
  </si>
  <si>
    <t xml:space="preserve">Elévation usine </t>
  </si>
  <si>
    <t>Altitud de planta</t>
  </si>
  <si>
    <t>Altitude de planta</t>
  </si>
  <si>
    <t>Altitudine dell'impianto</t>
  </si>
  <si>
    <t>Высота завода</t>
  </si>
  <si>
    <t>Mühlengrösse</t>
  </si>
  <si>
    <t>Mill size</t>
  </si>
  <si>
    <t>Taille de broyeur</t>
  </si>
  <si>
    <t>Tamaño de molino</t>
  </si>
  <si>
    <t>Tamanho do moinho</t>
  </si>
  <si>
    <t>Modello</t>
  </si>
  <si>
    <t>Модель</t>
  </si>
  <si>
    <t>Hersteller</t>
  </si>
  <si>
    <t>Supplier</t>
  </si>
  <si>
    <t>Fournisseur</t>
  </si>
  <si>
    <t>Proveedor</t>
  </si>
  <si>
    <t>Fornecedor</t>
  </si>
  <si>
    <t>Fornitore</t>
  </si>
  <si>
    <t>Производитель</t>
  </si>
  <si>
    <t>Materialtyp</t>
  </si>
  <si>
    <t>Material type</t>
  </si>
  <si>
    <t>Type de matériaux</t>
  </si>
  <si>
    <t>Tipo de material</t>
  </si>
  <si>
    <t>Componenti principali</t>
  </si>
  <si>
    <t>Kомпоненты</t>
  </si>
  <si>
    <t>Mühlenaufgabe feucht</t>
  </si>
  <si>
    <t>Mill feed rate wet</t>
  </si>
  <si>
    <t>Alimentation broyeur humide</t>
  </si>
  <si>
    <t>Alimentación de molino base humeda</t>
  </si>
  <si>
    <t>Alimentacão úmida ao moinho</t>
  </si>
  <si>
    <t>Alimentazione del molino (umido)</t>
  </si>
  <si>
    <t>Подача мельница (Влажная)</t>
  </si>
  <si>
    <t>Mühlenaufgabe trocken</t>
  </si>
  <si>
    <t>Mill feed rate dry</t>
  </si>
  <si>
    <t>Alimentation broyeur sèche</t>
  </si>
  <si>
    <t>Alimentación de molino base seca</t>
  </si>
  <si>
    <t>Alimentacão seca ao moinho</t>
  </si>
  <si>
    <t>Alimentazione del molino (secco)</t>
  </si>
  <si>
    <t>Подача мельница (Сухой)</t>
  </si>
  <si>
    <t>Aufgabe</t>
  </si>
  <si>
    <t>Feed</t>
  </si>
  <si>
    <t>Alimentation</t>
  </si>
  <si>
    <t>Alimentación</t>
  </si>
  <si>
    <t>Alimentacão</t>
  </si>
  <si>
    <t>Alimentazione</t>
  </si>
  <si>
    <t>Подача</t>
  </si>
  <si>
    <t>Feuchte</t>
  </si>
  <si>
    <t>Humidity</t>
  </si>
  <si>
    <t>Humidité</t>
  </si>
  <si>
    <t>Humedad</t>
  </si>
  <si>
    <t>Umidade</t>
  </si>
  <si>
    <t>Umidità</t>
  </si>
  <si>
    <t>Влажность</t>
  </si>
  <si>
    <t>Temp.</t>
  </si>
  <si>
    <t>Température</t>
  </si>
  <si>
    <t>Temperatura</t>
  </si>
  <si>
    <t>Температура</t>
  </si>
  <si>
    <t>Sichter</t>
  </si>
  <si>
    <t>Séparateur</t>
  </si>
  <si>
    <t>Separador</t>
  </si>
  <si>
    <t>Separatore</t>
  </si>
  <si>
    <t>Cепаратор</t>
  </si>
  <si>
    <t xml:space="preserve">Mühlenventilator </t>
  </si>
  <si>
    <t xml:space="preserve">Mill fan </t>
  </si>
  <si>
    <t>Ventilateur broyeur</t>
  </si>
  <si>
    <t>Ventilador molino</t>
  </si>
  <si>
    <t>Ventilador moinho</t>
  </si>
  <si>
    <t>Ventilatore molino</t>
  </si>
  <si>
    <t>мельничный вентилятор</t>
  </si>
  <si>
    <t>Filterventilator</t>
  </si>
  <si>
    <t xml:space="preserve">Filter fan </t>
  </si>
  <si>
    <t>Ventilateur filtre</t>
  </si>
  <si>
    <t>Ventilador filtro</t>
  </si>
  <si>
    <t>Ventilatore filtro</t>
  </si>
  <si>
    <t>Вентилятор фильтра</t>
  </si>
  <si>
    <t>Mühle</t>
  </si>
  <si>
    <t>Mill</t>
  </si>
  <si>
    <t>Broyeur</t>
  </si>
  <si>
    <t>Molino</t>
  </si>
  <si>
    <t>Moinho</t>
  </si>
  <si>
    <t>мельница</t>
  </si>
  <si>
    <t>Wassereinspr.</t>
  </si>
  <si>
    <t>Water injection</t>
  </si>
  <si>
    <t>Injection d'eau</t>
  </si>
  <si>
    <t>Inyección de agua</t>
  </si>
  <si>
    <t>Injeção de agua</t>
  </si>
  <si>
    <t>Iniezione d'acqua</t>
  </si>
  <si>
    <t>Cкорость нагнетания воды</t>
  </si>
  <si>
    <t>Falschluftrate</t>
  </si>
  <si>
    <t>False air rate</t>
  </si>
  <si>
    <t>Débit d'air faux</t>
  </si>
  <si>
    <t>Aire falso</t>
  </si>
  <si>
    <t>Ar falso</t>
  </si>
  <si>
    <t>Portata Aria falsa</t>
  </si>
  <si>
    <t>Приток воздуха</t>
  </si>
  <si>
    <t>Verfügbare Gasmengen</t>
  </si>
  <si>
    <t>Available gases</t>
  </si>
  <si>
    <t>gaz disponibles</t>
  </si>
  <si>
    <t>Gases disponibles</t>
  </si>
  <si>
    <t>Gases disponíveis</t>
  </si>
  <si>
    <t>Gas disponibile</t>
  </si>
  <si>
    <t>Доступный газ</t>
  </si>
  <si>
    <t>Ofenabgas</t>
  </si>
  <si>
    <t>Kiln exhaust gases</t>
  </si>
  <si>
    <t>Gaz du four</t>
  </si>
  <si>
    <t>Gases del horno</t>
  </si>
  <si>
    <t>Gases do forno</t>
  </si>
  <si>
    <t>Gas del forno</t>
  </si>
  <si>
    <t>Печные газы</t>
  </si>
  <si>
    <t>Heissgas</t>
  </si>
  <si>
    <t>Hot gases</t>
  </si>
  <si>
    <t>Gaz chauds</t>
  </si>
  <si>
    <t>Gases caliente</t>
  </si>
  <si>
    <t>Gases quentes</t>
  </si>
  <si>
    <t>Gas caldo</t>
  </si>
  <si>
    <t>Горячий газ</t>
  </si>
  <si>
    <t>Kühlergas</t>
  </si>
  <si>
    <t>Cooler exhaust gases</t>
  </si>
  <si>
    <t>Gaz d'exhaure du refroidisseur</t>
  </si>
  <si>
    <t>Aire del enfriador</t>
  </si>
  <si>
    <t>Ar do resfriador</t>
  </si>
  <si>
    <t>Aria del raffreddatore</t>
  </si>
  <si>
    <t>выхлопные газы (охладитель)</t>
  </si>
  <si>
    <t>Frischluft</t>
  </si>
  <si>
    <t>Fresh air</t>
  </si>
  <si>
    <t>Air frais</t>
  </si>
  <si>
    <t>Aire fresco</t>
  </si>
  <si>
    <t>Ar fresco</t>
  </si>
  <si>
    <t>Aria fresca</t>
  </si>
  <si>
    <t xml:space="preserve">Приточный воздух </t>
  </si>
  <si>
    <t>Bypassgas</t>
  </si>
  <si>
    <t>Bypass gases</t>
  </si>
  <si>
    <t>Gaz du By-pass</t>
  </si>
  <si>
    <t>Gas del by-pass</t>
  </si>
  <si>
    <t>Gas de by-pass</t>
  </si>
  <si>
    <t>Gas del bypass</t>
  </si>
  <si>
    <t>байпас</t>
  </si>
  <si>
    <t>Vol.strom</t>
  </si>
  <si>
    <t>Flow rate</t>
  </si>
  <si>
    <t>Débit</t>
  </si>
  <si>
    <t>Caudal</t>
  </si>
  <si>
    <t xml:space="preserve">Vazão </t>
  </si>
  <si>
    <t>Portata</t>
  </si>
  <si>
    <t>Поток газа</t>
  </si>
  <si>
    <t>Staub</t>
  </si>
  <si>
    <t>Dust</t>
  </si>
  <si>
    <t>Poussière</t>
  </si>
  <si>
    <t>Polvo</t>
  </si>
  <si>
    <t>Pó</t>
  </si>
  <si>
    <t>Polvere</t>
  </si>
  <si>
    <t>Пыль</t>
  </si>
  <si>
    <t>Unterdruck</t>
  </si>
  <si>
    <t>Pressure</t>
  </si>
  <si>
    <t xml:space="preserve">Pression </t>
  </si>
  <si>
    <t xml:space="preserve">Presión </t>
  </si>
  <si>
    <t xml:space="preserve">Pressão </t>
  </si>
  <si>
    <t>Pressione</t>
  </si>
  <si>
    <t>Депрессия</t>
  </si>
  <si>
    <t>Temperatur</t>
  </si>
  <si>
    <t>Temperature</t>
  </si>
  <si>
    <t>Gasströme</t>
  </si>
  <si>
    <t>Gas Flows</t>
  </si>
  <si>
    <t>Flux de gaz</t>
  </si>
  <si>
    <t>Caudal de gas</t>
  </si>
  <si>
    <t>Vazão de gas</t>
  </si>
  <si>
    <t>Flusso di gas</t>
  </si>
  <si>
    <t>Ofenabgas nach Vorwärmer</t>
  </si>
  <si>
    <t>Kiln exhaust gases after PH</t>
  </si>
  <si>
    <t>Gaz d'exhaure tour préchauffeur</t>
  </si>
  <si>
    <t>Gases de horno salida Precal.</t>
  </si>
  <si>
    <t>Gases de escape forno saída PA</t>
  </si>
  <si>
    <t>Gas di scarico forno uscita PR</t>
  </si>
  <si>
    <t>Выход теплообменникa</t>
  </si>
  <si>
    <t>Ofenabgas nach Kühlturm</t>
  </si>
  <si>
    <t>Kiln exhaust gases after CT</t>
  </si>
  <si>
    <t>Gaz d'exhaure tour refroid.</t>
  </si>
  <si>
    <t>Gases de horno salida torre enfr.</t>
  </si>
  <si>
    <t>Gases de escape forno saída TR</t>
  </si>
  <si>
    <t xml:space="preserve">Gas di scarico forno uscita TC  </t>
  </si>
  <si>
    <t>Выход охлаждения колонны</t>
  </si>
  <si>
    <t>Mühleneintritt</t>
  </si>
  <si>
    <t>Mill inlet</t>
  </si>
  <si>
    <t>Entrée broyeur</t>
  </si>
  <si>
    <t>Entrada molino</t>
  </si>
  <si>
    <t>Entrada moinho</t>
  </si>
  <si>
    <t>Entrata molino</t>
  </si>
  <si>
    <t>Впуск мельницы</t>
  </si>
  <si>
    <t>Mühlenaustritt</t>
  </si>
  <si>
    <t>Mill outlet</t>
  </si>
  <si>
    <t>Sortie broyeur</t>
  </si>
  <si>
    <t>Salida molino</t>
  </si>
  <si>
    <t>Saída moinho</t>
  </si>
  <si>
    <t>Flusso di gas - uscita molino</t>
  </si>
  <si>
    <t>Выход мельницы</t>
  </si>
  <si>
    <t>Mühlenvent. Einlass</t>
  </si>
  <si>
    <t>Mill fan inlet</t>
  </si>
  <si>
    <t>Entrée ventilateur du broyeur</t>
  </si>
  <si>
    <t>Entrada ventilador molino</t>
  </si>
  <si>
    <t>Entrada ventilador moinho</t>
  </si>
  <si>
    <t>Entrata ventilatore molino</t>
  </si>
  <si>
    <t>Впуск (мельничный вентилятор)</t>
  </si>
  <si>
    <t>Mühlenvent. Auslass</t>
  </si>
  <si>
    <t>Mill fan outlet</t>
  </si>
  <si>
    <t>Sortie ventilateur du broyeur</t>
  </si>
  <si>
    <t>Salida ventilador molino</t>
  </si>
  <si>
    <t>Saída ventilador moinho</t>
  </si>
  <si>
    <t>Uscita ventilatore molino</t>
  </si>
  <si>
    <t xml:space="preserve">Выход (мельничный вентилятор) </t>
  </si>
  <si>
    <t>Filtervent. Eintritt</t>
  </si>
  <si>
    <t>Filter fan inlet</t>
  </si>
  <si>
    <t>Entrée ventilateur filtre</t>
  </si>
  <si>
    <t>Entrada ventilador filtro</t>
  </si>
  <si>
    <t>Entrata ventilatore filtro</t>
  </si>
  <si>
    <t>Впуск (вытяжной вентилятор)</t>
  </si>
  <si>
    <t>Filtervent. Austritt</t>
  </si>
  <si>
    <t>Filter fan outlet</t>
  </si>
  <si>
    <t xml:space="preserve">Sortie ventilateur filtre </t>
  </si>
  <si>
    <t>Salida ventilador  filtro</t>
  </si>
  <si>
    <t>Saída ventilador filtro</t>
  </si>
  <si>
    <t>Uscita ventilatore filtro</t>
  </si>
  <si>
    <t>Выход (вытяжной вентилятор)</t>
  </si>
  <si>
    <t>Gasrückführung</t>
  </si>
  <si>
    <t>Recirculating gases</t>
  </si>
  <si>
    <t>gaz de recirculation</t>
  </si>
  <si>
    <t>Gases de recirculación</t>
  </si>
  <si>
    <t>Gases de recirculação</t>
  </si>
  <si>
    <t>Gas di ricircolo</t>
  </si>
  <si>
    <t>Рециркуляция</t>
  </si>
  <si>
    <t>Falschluft Mühle</t>
  </si>
  <si>
    <t>Air faux</t>
  </si>
  <si>
    <t>Aria falsa nel molino</t>
  </si>
  <si>
    <t>приток воздуха (мельница)</t>
  </si>
  <si>
    <t>verdampftes Wasser (Mühle)</t>
  </si>
  <si>
    <t>Water evaporated in mill</t>
  </si>
  <si>
    <t>Eau évaporée dans le broyeur</t>
  </si>
  <si>
    <t>Agua evaporada</t>
  </si>
  <si>
    <t>Acqua evaporata</t>
  </si>
  <si>
    <t>Испарение  воды</t>
  </si>
  <si>
    <t xml:space="preserve">Taupunkt </t>
  </si>
  <si>
    <t xml:space="preserve">Dew point </t>
  </si>
  <si>
    <t xml:space="preserve">Point de rosée </t>
  </si>
  <si>
    <t xml:space="preserve">Punto de rocío </t>
  </si>
  <si>
    <t xml:space="preserve">Ponto de rocio </t>
  </si>
  <si>
    <t xml:space="preserve">Punto di rugiada </t>
  </si>
  <si>
    <t>Tочка росы</t>
  </si>
  <si>
    <t>Staubbeladung Mühlenaustritt</t>
  </si>
  <si>
    <t>Dust load mill outlet</t>
  </si>
  <si>
    <t>Charge de Poussière sortie broyeur</t>
  </si>
  <si>
    <t>Carga de polvo salida molino</t>
  </si>
  <si>
    <t>Carga de pó saída moinho</t>
  </si>
  <si>
    <t>Polvere nei gas di scarico molino</t>
  </si>
  <si>
    <t>Запыленность (выход мельницы)</t>
  </si>
  <si>
    <t>Heissgaserzeuger</t>
  </si>
  <si>
    <t>Générateur de gaz chauds</t>
  </si>
  <si>
    <t>Generador de gases caliente</t>
  </si>
  <si>
    <t>Gerador de ar quente</t>
  </si>
  <si>
    <t>Generatore di gas caldo</t>
  </si>
  <si>
    <t>Калорифер</t>
  </si>
  <si>
    <t>Welle</t>
  </si>
  <si>
    <t>shaft</t>
  </si>
  <si>
    <t>arbre</t>
  </si>
  <si>
    <t>eje</t>
  </si>
  <si>
    <t>eixo</t>
  </si>
  <si>
    <t>albero</t>
  </si>
  <si>
    <t>Вал</t>
  </si>
  <si>
    <t>Zähler</t>
  </si>
  <si>
    <t>counter</t>
  </si>
  <si>
    <t>compteur</t>
  </si>
  <si>
    <t>contador</t>
  </si>
  <si>
    <t>Contatore</t>
  </si>
  <si>
    <t>Cумматор</t>
  </si>
  <si>
    <t>Wkgd.</t>
  </si>
  <si>
    <t>Efficiency</t>
  </si>
  <si>
    <t>Rendement</t>
  </si>
  <si>
    <t xml:space="preserve">Eficiencia </t>
  </si>
  <si>
    <t xml:space="preserve">Rendimento </t>
  </si>
  <si>
    <t>Rendimento</t>
  </si>
  <si>
    <t>Кпд</t>
  </si>
  <si>
    <t>Antrieb</t>
  </si>
  <si>
    <t>Drive</t>
  </si>
  <si>
    <t>entrainem.</t>
  </si>
  <si>
    <t>accionam.</t>
  </si>
  <si>
    <t>acionam.</t>
  </si>
  <si>
    <t>comando</t>
  </si>
  <si>
    <t>Привод</t>
  </si>
  <si>
    <t>Frischluft+Falschluft</t>
  </si>
  <si>
    <t>Fresh air + False air</t>
  </si>
  <si>
    <t>Air frais + air faux</t>
  </si>
  <si>
    <t>Aire fresco + aire falso</t>
  </si>
  <si>
    <t>Ar fresco + ar falso</t>
  </si>
  <si>
    <t>Aria fresca + falso</t>
  </si>
  <si>
    <t xml:space="preserve">Воздух </t>
  </si>
  <si>
    <t>Material</t>
  </si>
  <si>
    <t>Matière</t>
  </si>
  <si>
    <t>Materiale</t>
  </si>
  <si>
    <t>материал</t>
  </si>
  <si>
    <t>Wasser</t>
  </si>
  <si>
    <t>Water</t>
  </si>
  <si>
    <t>Eau</t>
  </si>
  <si>
    <t>Agua</t>
  </si>
  <si>
    <t>Acqua</t>
  </si>
  <si>
    <t>Вода</t>
  </si>
  <si>
    <t>Mahlwärme</t>
  </si>
  <si>
    <t>Grinding heat</t>
  </si>
  <si>
    <t>Chaleur de broyage</t>
  </si>
  <si>
    <t>Calor de molienda</t>
  </si>
  <si>
    <t>Calor de moagem</t>
  </si>
  <si>
    <t>Calore di macinazione</t>
  </si>
  <si>
    <t xml:space="preserve">Размол высокой температуры  </t>
  </si>
  <si>
    <t>Vent. leistung</t>
  </si>
  <si>
    <t>Fan power</t>
  </si>
  <si>
    <t xml:space="preserve">Puissance du ventilateur </t>
  </si>
  <si>
    <t>Potencia de ventilador</t>
  </si>
  <si>
    <t>Potência de ventilador</t>
  </si>
  <si>
    <t>Potenza ventilatore</t>
  </si>
  <si>
    <t>Потребляемая мощность вент.</t>
  </si>
  <si>
    <t>Mühlenabgas</t>
  </si>
  <si>
    <t>Mill exhaust gases</t>
  </si>
  <si>
    <t>Gaz d'échappement de broyeur</t>
  </si>
  <si>
    <t>Gases salida molino</t>
  </si>
  <si>
    <t>Gases de escape moinho</t>
  </si>
  <si>
    <t>Gas di scarico molino</t>
  </si>
  <si>
    <t>Выхлопные газы (мельница)</t>
  </si>
  <si>
    <t>Verdampfungswärme</t>
  </si>
  <si>
    <t>Evaporation heat</t>
  </si>
  <si>
    <t>Chaleur d'évaporation</t>
  </si>
  <si>
    <t>Calor de evaporación</t>
  </si>
  <si>
    <t>Calor de vaporação</t>
  </si>
  <si>
    <t>Calore d'evaporazione</t>
  </si>
  <si>
    <t>теплота испарения</t>
  </si>
  <si>
    <t>Strahlung/Konvektion</t>
  </si>
  <si>
    <t>Radiation/Convection</t>
  </si>
  <si>
    <t>Radiation/convection</t>
  </si>
  <si>
    <t>Radiación/convección</t>
  </si>
  <si>
    <t>Radiação/convecção</t>
  </si>
  <si>
    <t>Radiazione/convezione</t>
  </si>
  <si>
    <t>Pадиация / конвекцией</t>
  </si>
  <si>
    <t xml:space="preserve"> m über Meeresspiegel</t>
  </si>
  <si>
    <t xml:space="preserve"> m above sea level</t>
  </si>
  <si>
    <t xml:space="preserve"> m au dessus du niveau de la mer</t>
  </si>
  <si>
    <t xml:space="preserve"> m sobre nivel del mar</t>
  </si>
  <si>
    <t xml:space="preserve"> m acima do nível do mar</t>
  </si>
  <si>
    <t>m sopra il livello del mare</t>
  </si>
  <si>
    <t xml:space="preserve">Метр выше морского уровня      </t>
  </si>
  <si>
    <t>Kühlturm</t>
  </si>
  <si>
    <t>Cooling tower</t>
  </si>
  <si>
    <t>Tour Refroid.</t>
  </si>
  <si>
    <t>Torre de enfr.</t>
  </si>
  <si>
    <t>TR</t>
  </si>
  <si>
    <t>Torre di condizionamento</t>
  </si>
  <si>
    <t>Охлаждениe колонны</t>
  </si>
  <si>
    <t>Filter</t>
  </si>
  <si>
    <t>Filtre</t>
  </si>
  <si>
    <t>Filtro</t>
  </si>
  <si>
    <t xml:space="preserve">Фильтр </t>
  </si>
  <si>
    <t>Zyklon</t>
  </si>
  <si>
    <t>Cyclone</t>
  </si>
  <si>
    <t xml:space="preserve">Cyclone </t>
  </si>
  <si>
    <t>Ciclón</t>
  </si>
  <si>
    <t>Ciclone</t>
  </si>
  <si>
    <t xml:space="preserve">Циклон  </t>
  </si>
  <si>
    <t>Mühlenvent.</t>
  </si>
  <si>
    <t>Mill fan</t>
  </si>
  <si>
    <t>Vent. de broyeur</t>
  </si>
  <si>
    <t>Vent. molino</t>
  </si>
  <si>
    <t>Vent. moinho</t>
  </si>
  <si>
    <t>Vent. Molino</t>
  </si>
  <si>
    <t xml:space="preserve">Мельничный вентилятор </t>
  </si>
  <si>
    <t>zum Filter</t>
  </si>
  <si>
    <t>aux filtre</t>
  </si>
  <si>
    <t>a filtro</t>
  </si>
  <si>
    <t>al filtro</t>
  </si>
  <si>
    <t>Kamin</t>
  </si>
  <si>
    <t>System exhaust</t>
  </si>
  <si>
    <t>Gaz d'exhaure système</t>
  </si>
  <si>
    <t>Escape de sistema</t>
  </si>
  <si>
    <t>Exaustão do sistema</t>
  </si>
  <si>
    <t>Gas di scarico sistema</t>
  </si>
  <si>
    <t>Bыхлопные газы (система)</t>
  </si>
  <si>
    <t>Filteraustritt</t>
  </si>
  <si>
    <t>Filter exhaust</t>
  </si>
  <si>
    <t>Gaz d'exhaure filtre</t>
  </si>
  <si>
    <t>Salida Filtro</t>
  </si>
  <si>
    <t>Saída filtro</t>
  </si>
  <si>
    <t>Gas di scarico filtro</t>
  </si>
  <si>
    <t>Bыхлопные газы (Фильтр )</t>
  </si>
  <si>
    <t>Vent.</t>
  </si>
  <si>
    <t>Fan</t>
  </si>
  <si>
    <t>Вентилятор</t>
  </si>
  <si>
    <t>Sauerstoff</t>
  </si>
  <si>
    <t>Oxygen</t>
  </si>
  <si>
    <t>Oxygéne</t>
  </si>
  <si>
    <t>Oxígeno</t>
  </si>
  <si>
    <t>Oxigênio</t>
  </si>
  <si>
    <t>Ossigeno</t>
  </si>
  <si>
    <t>Кислород</t>
  </si>
  <si>
    <t>Antr. Wkgd.</t>
  </si>
  <si>
    <t>Drive eff.</t>
  </si>
  <si>
    <t>Rendement de l'entrainement</t>
  </si>
  <si>
    <t>Eficiencia de accionamiento</t>
  </si>
  <si>
    <t>Rendimento de acionamento</t>
  </si>
  <si>
    <t>Rendimento del comando</t>
  </si>
  <si>
    <t>Кпд (привод)</t>
  </si>
  <si>
    <t>Vent. Wkgd.</t>
  </si>
  <si>
    <t>Fan eff.</t>
  </si>
  <si>
    <t>Rendement du ventilateur</t>
  </si>
  <si>
    <t>Eficiencia de ventilador</t>
  </si>
  <si>
    <t>Rendimento de ventilador</t>
  </si>
  <si>
    <t>Rendimento del ventilatore</t>
  </si>
  <si>
    <t>Кпд (вентилятор)</t>
  </si>
  <si>
    <t>Brennstoffbedarf</t>
  </si>
  <si>
    <t>Fuel consumption</t>
  </si>
  <si>
    <t>Consommation de combustible</t>
  </si>
  <si>
    <t>Consumo de combustible</t>
  </si>
  <si>
    <t>Consumo de combustível</t>
  </si>
  <si>
    <t>Consumo di combustibile</t>
  </si>
  <si>
    <t>Расход топлива</t>
  </si>
  <si>
    <t>Kohlenmühle</t>
  </si>
  <si>
    <t>Coalmill</t>
  </si>
  <si>
    <t>Moulin charbon</t>
  </si>
  <si>
    <t>Molino Carbón</t>
  </si>
  <si>
    <t>Moinho Carvão</t>
  </si>
  <si>
    <t>Molino Carbone</t>
  </si>
  <si>
    <t>Углеразмольная мельница</t>
  </si>
  <si>
    <t>Eintritt</t>
  </si>
  <si>
    <t>Inlet</t>
  </si>
  <si>
    <t>Entrée</t>
  </si>
  <si>
    <t>Entrada</t>
  </si>
  <si>
    <t>Entrata</t>
  </si>
  <si>
    <t>Впуск</t>
  </si>
  <si>
    <t>Austritt</t>
  </si>
  <si>
    <t>Outlet</t>
  </si>
  <si>
    <t>Sortie</t>
  </si>
  <si>
    <t xml:space="preserve">Salida </t>
  </si>
  <si>
    <t xml:space="preserve">Saída </t>
  </si>
  <si>
    <t>Uscita</t>
  </si>
  <si>
    <t>Выход</t>
  </si>
  <si>
    <t>Austrittstemperatur</t>
  </si>
  <si>
    <t>Outlet temperature</t>
  </si>
  <si>
    <t>Température sortie</t>
  </si>
  <si>
    <t>Temperatura salida</t>
  </si>
  <si>
    <t xml:space="preserve">Temperatura saída </t>
  </si>
  <si>
    <t>Temperatura uscita</t>
  </si>
  <si>
    <t>Tемпература на выходе</t>
  </si>
  <si>
    <t>Ofenventilator</t>
  </si>
  <si>
    <t>Kiln fan</t>
  </si>
  <si>
    <t>Ventilateur four</t>
  </si>
  <si>
    <t>Ventilador horno</t>
  </si>
  <si>
    <t>Ventilador forno</t>
  </si>
  <si>
    <t>Soffiante del forno</t>
  </si>
  <si>
    <t>Вентилятор печи</t>
  </si>
  <si>
    <t>Gase nach Kühlturm</t>
  </si>
  <si>
    <t>Gases after CT</t>
  </si>
  <si>
    <t>Gases salida torre enfr.</t>
  </si>
  <si>
    <t>Gases saída TR</t>
  </si>
  <si>
    <t>Gas di scarico uscita TC</t>
  </si>
  <si>
    <t>Bыход охлаждения колонны</t>
  </si>
  <si>
    <t>résiduel</t>
  </si>
  <si>
    <t>residuo</t>
  </si>
  <si>
    <t>Oстаточный газ</t>
  </si>
  <si>
    <t>Wassertemperatur</t>
  </si>
  <si>
    <t>Water temperature</t>
  </si>
  <si>
    <t>Température de l'eau</t>
  </si>
  <si>
    <t>Temperatura del agua</t>
  </si>
  <si>
    <t>Temperatura de água</t>
  </si>
  <si>
    <t>Temperatura dell' acqua</t>
  </si>
  <si>
    <t xml:space="preserve">Водная температура  </t>
  </si>
  <si>
    <t>Relative Luftfeuchte</t>
  </si>
  <si>
    <t>Relative humidity air</t>
  </si>
  <si>
    <t>Humidité relative d'air</t>
  </si>
  <si>
    <t>Humedad de aire</t>
  </si>
  <si>
    <t>Umidade relativa de ar</t>
  </si>
  <si>
    <t>Umidità relativa dell' aria</t>
  </si>
  <si>
    <t xml:space="preserve">Воздушная влажность    </t>
  </si>
  <si>
    <t>Wärmeverluste</t>
  </si>
  <si>
    <t>Heat loss</t>
  </si>
  <si>
    <t>Perte de chaleur</t>
  </si>
  <si>
    <t>Pérdida de calor</t>
  </si>
  <si>
    <t>Perda de calor</t>
  </si>
  <si>
    <t>Perdite termiche</t>
  </si>
  <si>
    <t>Tепловая потеря</t>
  </si>
  <si>
    <t>Abscheidegrad Zyklon</t>
  </si>
  <si>
    <t>Cyclone efficiency</t>
  </si>
  <si>
    <t>Efficacité de cyclone</t>
  </si>
  <si>
    <t>Eficacia del ciclón</t>
  </si>
  <si>
    <t>Eficiência do cyclone</t>
  </si>
  <si>
    <t>Efficienza del ciclone</t>
  </si>
  <si>
    <t xml:space="preserve">Эффективность (Циклон)  </t>
  </si>
  <si>
    <t>Kohle-flüchtige Best.teile</t>
  </si>
  <si>
    <t>Coal-volatile matter</t>
  </si>
  <si>
    <t>Charbon -matières volatiles</t>
  </si>
  <si>
    <t>Carbón-volátiles</t>
  </si>
  <si>
    <t>Carvão-volátiles</t>
  </si>
  <si>
    <t>Carbone - volatili</t>
  </si>
  <si>
    <t>Cодержание летучих-Уголь</t>
  </si>
  <si>
    <t>Ofen</t>
  </si>
  <si>
    <t>Kiln</t>
  </si>
  <si>
    <t>Four</t>
  </si>
  <si>
    <t>Horno</t>
  </si>
  <si>
    <t>Forno</t>
  </si>
  <si>
    <t>Печь</t>
  </si>
  <si>
    <t>Spez. Wärmeverbrauch</t>
  </si>
  <si>
    <t>Spec. heat consumption</t>
  </si>
  <si>
    <t>Cons. calorifique spécifique</t>
  </si>
  <si>
    <t>Consumo específico de calor</t>
  </si>
  <si>
    <t>Consumo específico do calor</t>
  </si>
  <si>
    <t>Consumo specifico di calore</t>
  </si>
  <si>
    <t>Удельный расход тепла</t>
  </si>
  <si>
    <t>Kapazität</t>
  </si>
  <si>
    <t>Capacity</t>
  </si>
  <si>
    <t>Capacité</t>
  </si>
  <si>
    <t>Capacidad</t>
  </si>
  <si>
    <t>Capacidade</t>
  </si>
  <si>
    <t>Capacità produttiva</t>
  </si>
  <si>
    <t>Hоминальная мощность</t>
  </si>
  <si>
    <t>Ofensystem</t>
  </si>
  <si>
    <t>Kiln type</t>
  </si>
  <si>
    <t>Type de four</t>
  </si>
  <si>
    <t>Tipo de horno</t>
  </si>
  <si>
    <t>Tipo do forno</t>
  </si>
  <si>
    <t>Tipo del forno</t>
  </si>
  <si>
    <t>Тип печи</t>
  </si>
  <si>
    <t>O2 nach Vorwärmer (trocken)</t>
  </si>
  <si>
    <t>O2 at preheater exit (dry)</t>
  </si>
  <si>
    <t>O2 -échappement tour PC (sec)</t>
  </si>
  <si>
    <t>O2 -salida torre PC (seco)</t>
  </si>
  <si>
    <t>O2-saída torre PA (seco)</t>
  </si>
  <si>
    <t>O2-uscita Preriscaldatore (secco)</t>
  </si>
  <si>
    <t>Кислород - выход теплообменникa</t>
  </si>
  <si>
    <t>unterer Heizwert</t>
  </si>
  <si>
    <t>net calorific value</t>
  </si>
  <si>
    <t>pouvoir calorif. Inférieure</t>
  </si>
  <si>
    <t>poder calorífico inferior</t>
  </si>
  <si>
    <t>potere calorifico</t>
  </si>
  <si>
    <t>Hизшая теплотворная способность</t>
  </si>
  <si>
    <t>Zusatzangaben</t>
  </si>
  <si>
    <t>Miscellaneous</t>
  </si>
  <si>
    <t>Indications supplémentaires</t>
  </si>
  <si>
    <t>Misceláneo</t>
  </si>
  <si>
    <t>Indicações adicionais</t>
  </si>
  <si>
    <t>Indicazioni supplementari</t>
  </si>
  <si>
    <t>Pазносторонний</t>
  </si>
  <si>
    <t>Mischluft HE</t>
  </si>
  <si>
    <t>HGG excess air</t>
  </si>
  <si>
    <t>air de excés</t>
  </si>
  <si>
    <t>aire de exceso</t>
  </si>
  <si>
    <t>ar excesso</t>
  </si>
  <si>
    <t>HGG Aria in eccesso</t>
  </si>
  <si>
    <t>Избыточный воздух</t>
  </si>
  <si>
    <t>Anteile</t>
  </si>
  <si>
    <t>Composition</t>
  </si>
  <si>
    <t>Porcentaje</t>
  </si>
  <si>
    <t>Composição</t>
  </si>
  <si>
    <t>Composizione</t>
  </si>
  <si>
    <t>Cостав</t>
  </si>
  <si>
    <t>% (nass)</t>
  </si>
  <si>
    <t>% (wet)</t>
  </si>
  <si>
    <t>% (humide)</t>
  </si>
  <si>
    <t>% (húmedo)</t>
  </si>
  <si>
    <t>% (húmido)</t>
  </si>
  <si>
    <t>% (umido)</t>
  </si>
  <si>
    <t>% (мокрый)</t>
  </si>
  <si>
    <t>% (trocken)</t>
  </si>
  <si>
    <t>% (dry)</t>
  </si>
  <si>
    <t>% (sec)</t>
  </si>
  <si>
    <t>% (seco)</t>
  </si>
  <si>
    <t>% (secco)</t>
  </si>
  <si>
    <t>% (сухой)</t>
  </si>
  <si>
    <t>INPUT :</t>
  </si>
  <si>
    <t>Подвод тепла :</t>
  </si>
  <si>
    <t>OUTPUT :</t>
  </si>
  <si>
    <t>Oтдача тепла :</t>
  </si>
  <si>
    <t>Austrag</t>
  </si>
  <si>
    <t>Discharge</t>
  </si>
  <si>
    <t>Décharge</t>
  </si>
  <si>
    <t>Descarga</t>
  </si>
  <si>
    <t>Descarga do moinho</t>
  </si>
  <si>
    <t>Scarico del molino</t>
  </si>
  <si>
    <t>Разгрузка</t>
  </si>
  <si>
    <t>Endaustragsmühle</t>
  </si>
  <si>
    <t>End discharge</t>
  </si>
  <si>
    <t>Broyeur à décharge frontale</t>
  </si>
  <si>
    <t>Molino de descarga final</t>
  </si>
  <si>
    <t>Moinho da discarga final</t>
  </si>
  <si>
    <t>Molino di scarico finale</t>
  </si>
  <si>
    <t xml:space="preserve">мельница с торцеваой выгрузкой </t>
  </si>
  <si>
    <t>Mittenaustragsmühle</t>
  </si>
  <si>
    <t>Center discharge</t>
  </si>
  <si>
    <t>Broyeur à décharge centrale</t>
  </si>
  <si>
    <t>Molino de descarga central</t>
  </si>
  <si>
    <t>Moinho da discarga central</t>
  </si>
  <si>
    <t>Molino di scarico centrale</t>
  </si>
  <si>
    <t>мельница с центральной разгрузкой</t>
  </si>
  <si>
    <t>Luftstrommühle</t>
  </si>
  <si>
    <t xml:space="preserve">Airswept </t>
  </si>
  <si>
    <t>Broyeur ventilé</t>
  </si>
  <si>
    <t>Molino ventilado</t>
  </si>
  <si>
    <t xml:space="preserve">Moinho ventilado </t>
  </si>
  <si>
    <t>Molino arieggiato</t>
  </si>
  <si>
    <t>Воздухоструйная мельница</t>
  </si>
  <si>
    <t>Sichterventilator</t>
  </si>
  <si>
    <t>Separator fan</t>
  </si>
  <si>
    <t>Ventilateur separateur</t>
  </si>
  <si>
    <t>Ventilador del separador</t>
  </si>
  <si>
    <t>Ventilador do separador</t>
  </si>
  <si>
    <t>Ventilatore del separatore</t>
  </si>
  <si>
    <t>Вентилятор сепаратора</t>
  </si>
  <si>
    <t>Kugelmühle</t>
  </si>
  <si>
    <t>Ball mill</t>
  </si>
  <si>
    <t>Broyeur tubulaire</t>
  </si>
  <si>
    <t>Molino tubular</t>
  </si>
  <si>
    <t>Moinho tubular</t>
  </si>
  <si>
    <t>Molino a sfere</t>
  </si>
  <si>
    <t xml:space="preserve">трубная мельница </t>
  </si>
  <si>
    <t>Durchmesser</t>
  </si>
  <si>
    <t>Diameter</t>
  </si>
  <si>
    <t>Diamètre</t>
  </si>
  <si>
    <t>Diámetro</t>
  </si>
  <si>
    <t>Diâmetro</t>
  </si>
  <si>
    <t>Diametro</t>
  </si>
  <si>
    <t>Диаметр</t>
  </si>
  <si>
    <t>Länge</t>
  </si>
  <si>
    <t>Length</t>
  </si>
  <si>
    <t>Longueur</t>
  </si>
  <si>
    <t>Longitud</t>
  </si>
  <si>
    <t>Comprimento</t>
  </si>
  <si>
    <t>Lunghezza</t>
  </si>
  <si>
    <t>Длина</t>
  </si>
  <si>
    <t>Umlaufende Last</t>
  </si>
  <si>
    <t>circulating load</t>
  </si>
  <si>
    <t>Charge de circ.</t>
  </si>
  <si>
    <t>Carga circulante</t>
  </si>
  <si>
    <t>Carga circulando</t>
  </si>
  <si>
    <t>Carico circolante</t>
  </si>
  <si>
    <t>Циркуляционная нагрузка</t>
  </si>
  <si>
    <t>Griesse Sichter</t>
  </si>
  <si>
    <t>Separator rejects</t>
  </si>
  <si>
    <t>Grossiers separateur</t>
  </si>
  <si>
    <t>Gruesos separador</t>
  </si>
  <si>
    <t xml:space="preserve">Rejeição do separador </t>
  </si>
  <si>
    <t xml:space="preserve">Scarico del separatore </t>
  </si>
  <si>
    <t>брак сепаратора</t>
  </si>
  <si>
    <t>Abmessungen Mühle</t>
  </si>
  <si>
    <t>Mill dimensions</t>
  </si>
  <si>
    <t>Dimensions d'broyeur</t>
  </si>
  <si>
    <t>Dimensiones de molino</t>
  </si>
  <si>
    <t>Dimensões do moinho</t>
  </si>
  <si>
    <t>Dimensioni del molino</t>
  </si>
  <si>
    <t>Размер мельницы</t>
  </si>
  <si>
    <t>Sichterventilator - Einlass</t>
  </si>
  <si>
    <t>Separator fan inlet</t>
  </si>
  <si>
    <t>Entrée ventilateur separateur</t>
  </si>
  <si>
    <t>Entrada ventilador separador</t>
  </si>
  <si>
    <t>Entrata ventilatore separatore</t>
  </si>
  <si>
    <t>Впуск (вентилятор cепаратора )</t>
  </si>
  <si>
    <t>Frischluft Sichter</t>
  </si>
  <si>
    <t>Separator fresh air</t>
  </si>
  <si>
    <t>Separateur - air frais</t>
  </si>
  <si>
    <t>Separador - aire fresco</t>
  </si>
  <si>
    <t>Separador - ar fresco</t>
  </si>
  <si>
    <t>Separatore - aria fresca</t>
  </si>
  <si>
    <t>Cепаратор - Приточный воздух</t>
  </si>
  <si>
    <t>Kammer 1</t>
  </si>
  <si>
    <t>Compartment 1</t>
  </si>
  <si>
    <t>Chambre 1</t>
  </si>
  <si>
    <t>Compartimiento 1</t>
  </si>
  <si>
    <t>Compartimento 1</t>
  </si>
  <si>
    <t>Camera 1</t>
  </si>
  <si>
    <t>камера 1</t>
  </si>
  <si>
    <t>Kammer 2</t>
  </si>
  <si>
    <t>Compartment 2</t>
  </si>
  <si>
    <t>Chambre 2</t>
  </si>
  <si>
    <t>Compartimiento 2</t>
  </si>
  <si>
    <t>Compartimento 2</t>
  </si>
  <si>
    <t>Camera 2</t>
  </si>
  <si>
    <t>камера 2</t>
  </si>
  <si>
    <t>Gas</t>
  </si>
  <si>
    <t>Gaz</t>
  </si>
  <si>
    <t>Газ</t>
  </si>
  <si>
    <t>solids</t>
  </si>
  <si>
    <t>Solides</t>
  </si>
  <si>
    <t>Sólidos</t>
  </si>
  <si>
    <t>Solidi</t>
  </si>
  <si>
    <t>Материал</t>
  </si>
  <si>
    <t>Подача мельница</t>
  </si>
  <si>
    <t>Griesse</t>
  </si>
  <si>
    <t>Rejects</t>
  </si>
  <si>
    <t>Grossiers</t>
  </si>
  <si>
    <t>Gruesos</t>
  </si>
  <si>
    <t>Rejeição</t>
  </si>
  <si>
    <t>Scarto</t>
  </si>
  <si>
    <t>брак</t>
  </si>
  <si>
    <t>Produkt</t>
  </si>
  <si>
    <t>Product</t>
  </si>
  <si>
    <t>Produit</t>
  </si>
  <si>
    <t>Producto</t>
  </si>
  <si>
    <t>Produto</t>
  </si>
  <si>
    <t>Prodotto</t>
  </si>
  <si>
    <t>Продукт</t>
  </si>
  <si>
    <t>Dust load mill exit</t>
  </si>
  <si>
    <t xml:space="preserve">Charge de Poussière sortie broyeur </t>
  </si>
  <si>
    <t>Carga de polvo (salida molino)</t>
  </si>
  <si>
    <t>Carga de pó (aaída moinho)</t>
  </si>
  <si>
    <t>Polvere nei gas di uscita molino</t>
  </si>
  <si>
    <t>Запыленность (Выход мельница)</t>
  </si>
  <si>
    <t>Mühlenmantel</t>
  </si>
  <si>
    <t>mill shell</t>
  </si>
  <si>
    <t>virole</t>
  </si>
  <si>
    <t>virola</t>
  </si>
  <si>
    <t>Virola Molino</t>
  </si>
  <si>
    <t>стеиа мельницы</t>
  </si>
  <si>
    <t>Gas zur Mühle</t>
  </si>
  <si>
    <t>Gas to mill</t>
  </si>
  <si>
    <t>Gaz au broyeur</t>
  </si>
  <si>
    <t>Gas al molino</t>
  </si>
  <si>
    <t xml:space="preserve">Gás ao moinho </t>
  </si>
  <si>
    <t>Γаз (-&gt;мельница)</t>
  </si>
  <si>
    <t>Gas zum Filter</t>
  </si>
  <si>
    <t>Gas to filter</t>
  </si>
  <si>
    <t>Gaz au filtre</t>
  </si>
  <si>
    <t>Gas al filtro</t>
  </si>
  <si>
    <t>Gás ao filtro</t>
  </si>
  <si>
    <t>Γаз (-&gt;Фильтр)</t>
  </si>
  <si>
    <t>Angen. Feuchte vor Austragswand K 1</t>
  </si>
  <si>
    <t>assumed moisture at outlet diaphr. comp. 1</t>
  </si>
  <si>
    <t>umidità calcolata all'uscita diaframma 1° camera</t>
  </si>
  <si>
    <t>Produktion</t>
  </si>
  <si>
    <t>Production</t>
  </si>
  <si>
    <t>Producción</t>
  </si>
  <si>
    <t>Produção</t>
  </si>
  <si>
    <t>Produzione</t>
  </si>
  <si>
    <t xml:space="preserve">Производство  </t>
  </si>
  <si>
    <t>cooler air :</t>
  </si>
  <si>
    <t>coalmill :</t>
  </si>
  <si>
    <t>unprotected/available to user</t>
  </si>
  <si>
    <t>CT :</t>
  </si>
  <si>
    <t>m3/h</t>
  </si>
  <si>
    <t>°C</t>
  </si>
  <si>
    <t>mbar</t>
  </si>
  <si>
    <t>Comp. 2</t>
  </si>
  <si>
    <t>Comp. 1</t>
  </si>
  <si>
    <t>kWh/t</t>
  </si>
  <si>
    <t xml:space="preserve">q:\cts\cad\drawings\grindingmanual\rawgrindingsystems\cc-0018E.dsf    </t>
  </si>
  <si>
    <t>q:\cts\cad\drawings\grindingmanual\rawgrindingsystems\cc-0025E.dsf    end-discharge mill</t>
  </si>
  <si>
    <t>q:\cts\cad\drawings\grindingmanual\rawgrindingsystems\cc-0028E.dsf    center-discharge mill</t>
  </si>
  <si>
    <t>General</t>
  </si>
  <si>
    <t>The spreadsheet is for internal use of HGRS-CTS-MPT only (no support is available to other users)</t>
  </si>
  <si>
    <t>The original calculation spreadsheet must be the first worksheet in this workbook</t>
  </si>
  <si>
    <t>(otherwise flowsheet update will not work, and the worksheet name in line 6, 7 and 11 is wrong)</t>
  </si>
  <si>
    <t>Do not delete or add lines or graphical symbols in the flowsheet (if you do, the macros in the Module 'Flowsheet' must be modified accordingly)</t>
  </si>
  <si>
    <t>Macros must be enabled when opening the Workbook</t>
  </si>
  <si>
    <t>required Settings in Tools-&gt;Options-&gt; Calculation : automatic calculation, iteration enabled, max. number of iterations 50 or higher</t>
  </si>
  <si>
    <t>To unprotect the worksheets, use Tools -&gt; Protection -&gt; unprotect worksheet (no password required)</t>
  </si>
  <si>
    <t xml:space="preserve">All gas flows refer to wet gas </t>
  </si>
  <si>
    <t>Feed composition refers to wet or dry material (can be selected by user, see below)</t>
  </si>
  <si>
    <t>Cells that require / allow user input look like</t>
  </si>
  <si>
    <t>- Font color : blue, Background white</t>
  </si>
  <si>
    <t>- Font color : blue, Background yellow</t>
  </si>
  <si>
    <t>Printing</t>
  </si>
  <si>
    <t>click buttons "Print Flowsheet" or "Print Sheet"</t>
  </si>
  <si>
    <t xml:space="preserve"> -because the printer is not known in advance, only the Print Preview screen appears</t>
  </si>
  <si>
    <t xml:space="preserve"> -the user must then select the correct printer options and finally print out the document via the Print Preview Menu</t>
  </si>
  <si>
    <t>another option is to set the desired print area via : File -&gt; Print Area -&gt; Set Print Area and to print via : File -&gt; Print or File -&gt; Print Preview</t>
  </si>
  <si>
    <t>Loading and saving input data</t>
  </si>
  <si>
    <t>click the buttons "save input data" or "load input data"</t>
  </si>
  <si>
    <t>saving the whole workbook is not an effective way of storing the results of calculations (the size of the workbook is &gt; 1 MB)</t>
  </si>
  <si>
    <t>it is recommended to store only the input data in a small textfile of ~1 kB size</t>
  </si>
  <si>
    <t>loading one of these files restores all input data used for the calculation</t>
  </si>
  <si>
    <t>Dialogsheet Userform1 (additional data input)</t>
  </si>
  <si>
    <t>Clicking the button "additional data input" opens the Dialogsheet "Userform1"</t>
  </si>
  <si>
    <t>Page1</t>
  </si>
  <si>
    <t>On page 1 (named "System"), the following options can be selected</t>
  </si>
  <si>
    <t xml:space="preserve">at the time being, only the 2-fan system can be used (for end discharge and center discharge mills, no recirculation is required) </t>
  </si>
  <si>
    <t xml:space="preserve">at the time being, only "no recirc" can be selected (for end discharge and center discharge mills, no recirculation is required) </t>
  </si>
  <si>
    <t xml:space="preserve"> - if a CT exists, the options are : before or after CT</t>
  </si>
  <si>
    <t xml:space="preserve"> - if no CT exists, the options are : before or after kiln fan</t>
  </si>
  <si>
    <t>- if gas to mill is drawn before the CT, some of the earlier options will be set to default values and the respective listboxes</t>
  </si>
  <si>
    <t xml:space="preserve">  will be locked (for a 2-fan-system, "no recirc" will be set / CT position will be set to "after kiln fan" / cooler air addition will be set to "before CT"</t>
  </si>
  <si>
    <t>- to unlock these listboxes again, select "gas to mill after CT"</t>
  </si>
  <si>
    <t>-Checkbox4 : a duct for gas direct to filter is available (standard for raw mills, but not present in coal-, cement and slag mills)</t>
  </si>
  <si>
    <t>if checked, it is assumed that excess kiln+cooler gas not required for drying goes directly to the filter</t>
  </si>
  <si>
    <t>normally, the checkbox must be left blank for e.g. cement mills, coal mills and mills for MIC</t>
  </si>
  <si>
    <t>if checked, the flowsheet is updated automatically each time that the system configuration is changed</t>
  </si>
  <si>
    <t xml:space="preserve">if not checked, the  flowsheet must be updated manually </t>
  </si>
  <si>
    <t xml:space="preserve">       (by clicking Button "Update Flowsheet" or alternatively by Ctrl - u)</t>
  </si>
  <si>
    <t>if checked, yellow patterns of input cells  in the default print area are suppressed</t>
  </si>
  <si>
    <t>if checked, Dialogsheet appears automatically after workbook is opened (recommended option)</t>
  </si>
  <si>
    <t>Page2</t>
  </si>
  <si>
    <t>On page 2 (named "mill+sep."), the following options can be selected</t>
  </si>
  <si>
    <t>(if "internal fan" is chosen, separator type is automatically set to 1st generation)</t>
  </si>
  <si>
    <t>Page3</t>
  </si>
  <si>
    <t>On page 3 (named "HGG"), the following options can be selected</t>
  </si>
  <si>
    <t>Page4</t>
  </si>
  <si>
    <t>On page 4 (named "System (graphical)"), the selected configuration is shown graphically</t>
  </si>
  <si>
    <t>All the definitions and inputs in the Dialog Sheet can also be done by manipulating the respective cells in the Worksheet</t>
  </si>
  <si>
    <t>Mill circulating load, mill main dimensions</t>
  </si>
  <si>
    <t>Feed material moistures, temperatures and proportions</t>
  </si>
  <si>
    <t>feed moistures in % refer to wet material</t>
  </si>
  <si>
    <t>feed proportions : User can select in Dialogsheet whether input values in % refer to wet or bone-dry mass (bone-dry = moisture zero)</t>
  </si>
  <si>
    <t>Product temperature, moisture and production rate dry</t>
  </si>
  <si>
    <t xml:space="preserve"> - when a mill is drying, this product temperature is normally less than the mill exit gas temperature, but higher than the dewpoint temperature </t>
  </si>
  <si>
    <t>spec. energy mill, fan power, drive efficiencies, underpressure at fan inlets/outlets and mill inlet/outlet</t>
  </si>
  <si>
    <t xml:space="preserve">- fan power at counter is calculated using drive efficiency, fan efficiency, pressure differences and gas flow rates </t>
  </si>
  <si>
    <t>- fan power is calculated by the exact adiabatic formula, which should always be applied for pressure differences higher than approx. 20 mbar</t>
  </si>
  <si>
    <t>water injection, cooling tower outlet temperature</t>
  </si>
  <si>
    <t>False air rates</t>
  </si>
  <si>
    <t>False air filter (3-fan system) enters between mill fan exit and filter fan inlet</t>
  </si>
  <si>
    <t>Mill exit temperature, mill exit gas flow, separator gas flow</t>
  </si>
  <si>
    <t>it is possible to enforce a lower mill exit gas flow by decreasing the amount of available kiln gas and cooler gas (mill will then take more hotgas)</t>
  </si>
  <si>
    <t>guide values for mill exit gasflow depending on grindability, product type and product fineness see Spreadsheet vm_calculations.xls in Q:\cts\mpt\_mill\spreadsheets\vertical mill</t>
  </si>
  <si>
    <t>- separator fresh air is up to 100 % of gas flow at separator fan inlet for single-pass separators</t>
  </si>
  <si>
    <t>- separator fresh air is 5 to 10 % of gas flow at separator fan inlet for cyclone-air separators and separators with internal fan</t>
  </si>
  <si>
    <t>Compartment 1 and 2 : water injection, grinding heat, grits, hot gases, fresh air, average mill shell temperature</t>
  </si>
  <si>
    <t xml:space="preserve"> - the standard value for the surface factor is 3, i.e. the total surface of the separator circuit is assumed to be 3x the mill shell surface</t>
  </si>
  <si>
    <t>- volatiles may be as low as 1 % for anthracite and as high as 35 % for lignite)</t>
  </si>
  <si>
    <t>Available gases (max. amount, temperatures, dust contents, moisture content)</t>
  </si>
  <si>
    <t>kiln exhaust gas</t>
  </si>
  <si>
    <t xml:space="preserve"> - if no kiln exhaust gas is available, enter 0.01or 0.001 rather than Zero</t>
  </si>
  <si>
    <t xml:space="preserve"> - false air and heatloss between PH exit and CT inlet or kiln fan inlet (whatever is first) are assumed to be zero</t>
  </si>
  <si>
    <t xml:space="preserve"> - guide values for water content are ~ 60 [g/Nm3w] for oil or coal firing, ~120 [g/Nm3w] for gas firing</t>
  </si>
  <si>
    <t>cooler exhaust gas</t>
  </si>
  <si>
    <t xml:space="preserve"> - if no cooler gas is available, enter 0.01or 0.001 rather than Zero</t>
  </si>
  <si>
    <t xml:space="preserve"> - note that amount of cooler exhaust gases should be manually decreased by the appropriate amount if hot gas generator secondary air is cooler gas</t>
  </si>
  <si>
    <t xml:space="preserve"> - (an untried option is to enter a formula , e.g. =50000-_HGGsecair_rate, if 50000 Nm3/h cooler gas are available)</t>
  </si>
  <si>
    <t xml:space="preserve"> - water content of cooler exhaust gas is assumed to be the same as for ambient air</t>
  </si>
  <si>
    <t>note : the indicated max. amounts of kiln gas and cooler gas are system input ; excess gas not used by the mill goes directly to the filter</t>
  </si>
  <si>
    <t>(if a duct for "direct operation" exists)</t>
  </si>
  <si>
    <t>hot gases</t>
  </si>
  <si>
    <t>available amount of hot gas is assumed to be unlimited, no user input is required</t>
  </si>
  <si>
    <t xml:space="preserve"> - water content of hot gas is automatically calculated via type of selected fuel (user input in Dialogsheet "Userform1")</t>
  </si>
  <si>
    <t xml:space="preserve"> - temperature of HGG excess air can be selected in Dialogsheet "Userform1" (influences HGG fuel consumption strongly)</t>
  </si>
  <si>
    <t xml:space="preserve"> - recirculation gas as excess air can be selected for e.g. coalmills ("self-inertization")</t>
  </si>
  <si>
    <t xml:space="preserve">   -- (in the last case, it is assumed that the burner is installed in the recirculation duct)</t>
  </si>
  <si>
    <t>in case that max. amount of kiln and cooler gas is insufficient for drying, the required amount of hot gas is calculated automatically</t>
  </si>
  <si>
    <t>Underpressures at miscellaneous points in the circuit</t>
  </si>
  <si>
    <t xml:space="preserve"> (despite underpressures at kiln fan inlet and outlet were prescribed earlier, they cannot easily be automatically placed in the respective row, because</t>
  </si>
  <si>
    <t>the rows in which gas flows at kiln fan inlet and outlet appear are depending on the system configuration)</t>
  </si>
  <si>
    <t>Gas direct to filter</t>
  </si>
  <si>
    <t>for a raw mill with</t>
  </si>
  <si>
    <t xml:space="preserve"> - two-fan system</t>
  </si>
  <si>
    <t xml:space="preserve"> - recirculation</t>
  </si>
  <si>
    <t xml:space="preserve"> - more available kiln gas than required for drying</t>
  </si>
  <si>
    <t>there is excess gas that goes directly to the filter via the duct for direct operation</t>
  </si>
  <si>
    <t xml:space="preserve">(gas to mill is then calculated by an iteration loop in macro mill_2) </t>
  </si>
  <si>
    <t xml:space="preserve">for coal mills or cement mills however, there is no such duct to the process filter, and therefore this iteration loop must be skipped </t>
  </si>
  <si>
    <t>the available amount of kiln and cooler gas must then be adjusted manually such that gas flow direct to filter (excess gas) is zero</t>
  </si>
  <si>
    <t>Efficiencies of drives</t>
  </si>
  <si>
    <t>Eff. Mechanical</t>
  </si>
  <si>
    <t>total efficiency</t>
  </si>
  <si>
    <t>mill drive</t>
  </si>
  <si>
    <t>gearbox</t>
  </si>
  <si>
    <t>&lt; 500  kW</t>
  </si>
  <si>
    <t>500-2500 kW</t>
  </si>
  <si>
    <t>&gt;2500 kW</t>
  </si>
  <si>
    <t>central drive</t>
  </si>
  <si>
    <t>planetary</t>
  </si>
  <si>
    <t>spur gear</t>
  </si>
  <si>
    <t>double pinion</t>
  </si>
  <si>
    <t>single pinion</t>
  </si>
  <si>
    <t>Combiflex</t>
  </si>
  <si>
    <t>roller press</t>
  </si>
  <si>
    <t>roller mill</t>
  </si>
  <si>
    <t>Electrical motors</t>
  </si>
  <si>
    <t>70 - 100 % of nominal load</t>
  </si>
  <si>
    <t>High voltage</t>
  </si>
  <si>
    <t>Efficiency electr.</t>
  </si>
  <si>
    <t>cos phi</t>
  </si>
  <si>
    <t>Low voltage</t>
  </si>
  <si>
    <t>1 kW</t>
  </si>
  <si>
    <t>300 kW</t>
  </si>
  <si>
    <t>DC motors + variable speed</t>
  </si>
  <si>
    <t>&lt; 1500 kW</t>
  </si>
  <si>
    <t>Datenbankblatt 1744 (M. Suter, 22.06.1999, further information see Report PT 99/14623/E)</t>
  </si>
  <si>
    <t>R=1.5 (ca. 3.2 % Asche auf Klinker bezogen)</t>
  </si>
  <si>
    <t>0 % Bypass</t>
  </si>
  <si>
    <t>Modern Cooler</t>
  </si>
  <si>
    <t>Vertical mill</t>
  </si>
  <si>
    <t>Drying (kiln gas)</t>
  </si>
  <si>
    <t>Drying (cooler waste gas)</t>
  </si>
  <si>
    <t>Quelle</t>
  </si>
  <si>
    <t>Nstage</t>
  </si>
  <si>
    <t>Q fuel</t>
  </si>
  <si>
    <t>V kilngas</t>
  </si>
  <si>
    <t>Tkilngas</t>
  </si>
  <si>
    <t>V cooler</t>
  </si>
  <si>
    <t>V waste</t>
  </si>
  <si>
    <t>T waste</t>
  </si>
  <si>
    <t>M*product</t>
  </si>
  <si>
    <t>x water</t>
  </si>
  <si>
    <t>[-]</t>
  </si>
  <si>
    <t>[MJ/kgcli]</t>
  </si>
  <si>
    <t>[Nm3/kgcli]</t>
  </si>
  <si>
    <t>[C]</t>
  </si>
  <si>
    <t>[t/h]</t>
  </si>
  <si>
    <t>[wt-%]</t>
  </si>
  <si>
    <t>[%kg/kgwet]</t>
  </si>
  <si>
    <t>Fort Collins</t>
  </si>
  <si>
    <t>Simulation</t>
  </si>
  <si>
    <t>Laegerdorf</t>
  </si>
  <si>
    <t>H-Gruppe</t>
  </si>
  <si>
    <t>Ramos Arizpe</t>
  </si>
  <si>
    <t>30 % Bypass</t>
  </si>
  <si>
    <t>Spec. Gasflow of PC kilns after preheater (wet, 4 % O2, 1.8 Nm3/kg cli cooler air)</t>
  </si>
  <si>
    <t>Nstages</t>
  </si>
  <si>
    <t>kiln gas, 0 % bypass</t>
  </si>
  <si>
    <t>kiln gas, 30 % bypass</t>
  </si>
  <si>
    <t>cooler gas, 0 % bypass</t>
  </si>
  <si>
    <t>cooler gas, 30 % bypass</t>
  </si>
  <si>
    <t>Nm3/kgcli</t>
  </si>
  <si>
    <t>total specific heat consumption of Precalciner kilns</t>
  </si>
  <si>
    <t>Gas temperatures of PC kilns after preheater and cooler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</si>
</sst>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General_)"/>
    <numFmt numFmtId="165" formatCode="0.0000"/>
    <numFmt numFmtId="166" formatCode="0.00_)"/>
    <numFmt numFmtId="167" formatCode="0.0000E+00"/>
    <numFmt numFmtId="168" formatCode="0.0_)"/>
    <numFmt numFmtId="169" formatCode="0_)"/>
    <numFmt numFmtId="170" formatCode="0.0_);0.0_);"/>
    <numFmt numFmtId="171" formatCode="0.0"/>
    <numFmt numFmtId="172" formatCode="0.0000_)"/>
    <numFmt numFmtId="173" formatCode="0.000_)"/>
    <numFmt numFmtId="174" formatCode="0.0;0.0;"/>
    <numFmt numFmtId="175" formatCode="0.000000E+00"/>
    <numFmt numFmtId="176" formatCode="_(* #\'##0_);_(* \(#\'##0\);_(* &quot;-&quot;??_);_(@_)"/>
    <numFmt numFmtId="177" formatCode="#,##0_)"/>
    <numFmt numFmtId="178" formatCode="#,##0_);\-#,##0_);"/>
    <numFmt numFmtId="179" formatCode="0.0_);0.0\);"/>
    <numFmt numFmtId="180" formatCode="_(* #\'##0.00_);_(* \(#\'##0.00\);_(* &quot;-&quot;??_);_(@_)"/>
    <numFmt numFmtId="181" formatCode="0.000"/>
    <numFmt numFmtId="182" formatCode="#,##0.00_);[Red]\-#,##0.00_)"/>
    <numFmt numFmtId="183" formatCode="#,##0_);[Red]\-#,##0_)"/>
    <numFmt numFmtId="184" formatCode=";;;"/>
  </numFmts>
  <fonts count="40">
    <font>
      <sz val="10.0"/>
      <color rgb="FF000000"/>
      <name val="Arial"/>
    </font>
    <font>
      <sz val="10.0"/>
      <name val="Arial"/>
    </font>
    <font>
      <b/>
      <sz val="16.0"/>
      <name val="Arial"/>
    </font>
    <font>
      <b/>
      <sz val="14.0"/>
      <color rgb="FF0000FF"/>
      <name val="Arial"/>
    </font>
    <font>
      <b/>
      <sz val="11.0"/>
      <name val="Arial"/>
    </font>
    <font>
      <sz val="20.0"/>
      <name val="Arial"/>
    </font>
    <font>
      <b/>
      <sz val="11.0"/>
      <color rgb="FF0000FF"/>
      <name val="Arial"/>
    </font>
    <font>
      <sz val="10.0"/>
      <color rgb="FFFF0000"/>
      <name val="Arimo"/>
    </font>
    <font>
      <sz val="11.0"/>
      <name val="Arial"/>
    </font>
    <font>
      <sz val="11.0"/>
      <color rgb="FF0000FF"/>
      <name val="Arial"/>
    </font>
    <font>
      <sz val="11.0"/>
      <name val="Arimo"/>
    </font>
    <font>
      <sz val="11.0"/>
      <color rgb="FFFF0000"/>
      <name val="Arimo"/>
    </font>
    <font>
      <b/>
      <sz val="11.0"/>
      <name val="Arimo"/>
    </font>
    <font>
      <sz val="11.0"/>
      <color rgb="FF000000"/>
      <name val="Arimo"/>
    </font>
    <font>
      <sz val="11.0"/>
      <color rgb="FFFF0000"/>
      <name val="Arial"/>
    </font>
    <font>
      <sz val="11.0"/>
      <color rgb="FF000000"/>
      <name val="Arial"/>
    </font>
    <font>
      <sz val="10.0"/>
      <name val="Arimo"/>
    </font>
    <font>
      <sz val="10.0"/>
      <color rgb="FF0000FF"/>
      <name val="Arimo"/>
    </font>
    <font>
      <b/>
      <sz val="10.0"/>
      <name val="Arial"/>
    </font>
    <font>
      <strike/>
      <sz val="11.0"/>
      <name val="Arial"/>
    </font>
    <font>
      <b/>
      <sz val="10.0"/>
      <name val="Arimo"/>
    </font>
    <font>
      <sz val="10.0"/>
      <color rgb="FFFF0000"/>
      <name val="Arial"/>
    </font>
    <font>
      <sz val="10.0"/>
      <color rgb="FF000000"/>
      <name val="Arimo"/>
    </font>
    <font>
      <b/>
      <sz val="10.0"/>
      <color rgb="FF008000"/>
      <name val="Arimo"/>
    </font>
    <font>
      <b/>
      <sz val="10.0"/>
      <color rgb="FF000000"/>
      <name val="Arimo"/>
    </font>
    <font>
      <sz val="10.0"/>
      <color rgb="FF008000"/>
      <name val="Arial"/>
    </font>
    <font>
      <sz val="10.0"/>
      <color rgb="FF008080"/>
      <name val="Arial"/>
    </font>
    <font>
      <sz val="10.0"/>
      <name val="Noto Sans Symbols"/>
    </font>
    <font>
      <sz val="10.0"/>
      <color rgb="FF000000"/>
      <name val="Times New Roman"/>
    </font>
    <font>
      <sz val="10.0"/>
      <name val="Times New Roman"/>
    </font>
    <font>
      <u/>
      <sz val="10.0"/>
      <color rgb="FF0000FF"/>
      <name val="Arial"/>
    </font>
    <font>
      <sz val="10.0"/>
      <color rgb="FF0000FF"/>
      <name val="Arial"/>
    </font>
    <font>
      <sz val="8.0"/>
      <name val="Arimo"/>
    </font>
    <font>
      <b/>
      <sz val="14.0"/>
      <name val="Arial"/>
    </font>
    <font>
      <i/>
      <sz val="10.0"/>
      <name val="Arial"/>
    </font>
    <font>
      <b/>
      <i/>
      <sz val="14.0"/>
      <name val="Arial"/>
    </font>
    <font>
      <b/>
      <i/>
      <sz val="10.0"/>
      <name val="Arial"/>
    </font>
    <font>
      <sz val="11.0"/>
      <color rgb="FF0000FF"/>
      <name val="Arimo"/>
    </font>
    <font>
      <strike/>
      <sz val="10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3E3E3"/>
        <bgColor rgb="FFE3E3E3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C0"/>
        <bgColor rgb="FFFFFFC0"/>
      </patternFill>
    </fill>
  </fills>
  <borders count="24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383">
    <xf borderId="0" fillId="0" fontId="0" numFmtId="164" xfId="0" applyAlignment="1" applyFont="1" applyNumberFormat="1">
      <alignment/>
    </xf>
    <xf borderId="0" fillId="0" fontId="1" numFmtId="164" xfId="0" applyFont="1" applyNumberFormat="1"/>
    <xf borderId="0" fillId="0" fontId="2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1" numFmtId="164" xfId="0" applyFont="1" applyNumberFormat="1"/>
    <xf borderId="1" fillId="2" fontId="4" numFmtId="164" xfId="0" applyAlignment="1" applyBorder="1" applyFill="1" applyFont="1" applyNumberFormat="1">
      <alignment horizontal="left" vertical="top"/>
    </xf>
    <xf borderId="0" fillId="2" fontId="1" numFmtId="164" xfId="0" applyBorder="1" applyFont="1" applyNumberFormat="1"/>
    <xf borderId="0" fillId="2" fontId="5" numFmtId="2" xfId="0" applyBorder="1" applyFont="1" applyNumberFormat="1"/>
    <xf borderId="2" fillId="0" fontId="2" numFmtId="164" xfId="0" applyAlignment="1" applyBorder="1" applyFont="1" applyNumberFormat="1">
      <alignment horizontal="left" vertical="center"/>
    </xf>
    <xf borderId="2" fillId="0" fontId="3" numFmtId="164" xfId="0" applyAlignment="1" applyBorder="1" applyFont="1" applyNumberFormat="1">
      <alignment horizontal="left" vertical="center"/>
    </xf>
    <xf borderId="2" fillId="0" fontId="1" numFmtId="164" xfId="0" applyBorder="1" applyFont="1" applyNumberFormat="1"/>
    <xf borderId="0" fillId="2" fontId="4" numFmtId="164" xfId="0" applyAlignment="1" applyBorder="1" applyFont="1" applyNumberFormat="1">
      <alignment horizontal="left" vertical="top"/>
    </xf>
    <xf borderId="3" fillId="0" fontId="1" numFmtId="164" xfId="0" applyBorder="1" applyFont="1" applyNumberFormat="1"/>
    <xf borderId="1" fillId="0" fontId="4" numFmtId="164" xfId="0" applyAlignment="1" applyBorder="1" applyFont="1" applyNumberFormat="1">
      <alignment horizontal="left"/>
    </xf>
    <xf borderId="1" fillId="3" fontId="6" numFmtId="164" xfId="0" applyBorder="1" applyFill="1" applyFont="1" applyNumberFormat="1"/>
    <xf borderId="1" fillId="0" fontId="1" numFmtId="164" xfId="0" applyBorder="1" applyFont="1" applyNumberFormat="1"/>
    <xf borderId="1" fillId="0" fontId="4" numFmtId="164" xfId="0" applyBorder="1" applyFont="1" applyNumberFormat="1"/>
    <xf borderId="4" fillId="3" fontId="6" numFmtId="15" xfId="0" applyBorder="1" applyFont="1" applyNumberFormat="1"/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left"/>
    </xf>
    <xf borderId="5" fillId="0" fontId="1" numFmtId="164" xfId="0" applyBorder="1" applyFont="1" applyNumberFormat="1"/>
    <xf borderId="0" fillId="0" fontId="4" numFmtId="164" xfId="0" applyFont="1" applyNumberFormat="1"/>
    <xf borderId="0" fillId="3" fontId="6" numFmtId="164" xfId="0" applyAlignment="1" applyBorder="1" applyFont="1" applyNumberFormat="1">
      <alignment horizontal="left"/>
    </xf>
    <xf borderId="6" fillId="3" fontId="6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 vertical="center"/>
    </xf>
    <xf borderId="1" fillId="0" fontId="8" numFmtId="164" xfId="0" applyBorder="1" applyFont="1" applyNumberFormat="1"/>
    <xf borderId="1" fillId="3" fontId="9" numFmtId="164" xfId="0" applyAlignment="1" applyBorder="1" applyFont="1" applyNumberFormat="1">
      <alignment horizontal="left"/>
    </xf>
    <xf borderId="1" fillId="0" fontId="8" numFmtId="164" xfId="0" applyAlignment="1" applyBorder="1" applyFont="1" applyNumberFormat="1">
      <alignment horizontal="right"/>
    </xf>
    <xf borderId="1" fillId="3" fontId="9" numFmtId="164" xfId="0" applyBorder="1" applyFont="1" applyNumberFormat="1"/>
    <xf borderId="1" fillId="0" fontId="9" numFmtId="164" xfId="0" applyBorder="1" applyFont="1" applyNumberFormat="1"/>
    <xf borderId="4" fillId="0" fontId="9" numFmtId="164" xfId="0" applyBorder="1" applyFont="1" applyNumberFormat="1"/>
    <xf borderId="0" fillId="0" fontId="1" numFmtId="166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/>
    </xf>
    <xf borderId="0" fillId="0" fontId="1" numFmtId="166" xfId="0" applyFont="1" applyNumberFormat="1"/>
    <xf borderId="0" fillId="0" fontId="8" numFmtId="164" xfId="0" applyFont="1" applyNumberFormat="1"/>
    <xf borderId="0" fillId="0" fontId="8" numFmtId="164" xfId="0" applyAlignment="1" applyFont="1" applyNumberFormat="1">
      <alignment horizontal="left"/>
    </xf>
    <xf borderId="0" fillId="0" fontId="8" numFmtId="164" xfId="0" applyAlignment="1" applyFont="1" applyNumberFormat="1">
      <alignment horizontal="right"/>
    </xf>
    <xf borderId="0" fillId="3" fontId="9" numFmtId="164" xfId="0" applyBorder="1" applyFont="1" applyNumberFormat="1"/>
    <xf borderId="0" fillId="0" fontId="9" numFmtId="164" xfId="0" applyFont="1" applyNumberFormat="1"/>
    <xf borderId="7" fillId="3" fontId="9" numFmtId="168" xfId="0" applyBorder="1" applyFont="1" applyNumberFormat="1"/>
    <xf borderId="0" fillId="2" fontId="1" numFmtId="164" xfId="0" applyAlignment="1" applyBorder="1" applyFont="1" applyNumberFormat="1">
      <alignment horizontal="left"/>
    </xf>
    <xf borderId="0" fillId="3" fontId="9" numFmtId="168" xfId="0" applyAlignment="1" applyBorder="1" applyFont="1" applyNumberFormat="1">
      <alignment horizontal="right"/>
    </xf>
    <xf borderId="7" fillId="3" fontId="9" numFmtId="168" xfId="0" applyAlignment="1" applyBorder="1" applyFont="1" applyNumberFormat="1">
      <alignment horizontal="right"/>
    </xf>
    <xf borderId="7" fillId="0" fontId="8" numFmtId="164" xfId="0" applyBorder="1" applyFont="1" applyNumberFormat="1"/>
    <xf borderId="0" fillId="3" fontId="9" numFmtId="1" xfId="0" applyBorder="1" applyFont="1" applyNumberFormat="1"/>
    <xf borderId="4" fillId="0" fontId="8" numFmtId="164" xfId="0" applyBorder="1" applyFont="1" applyNumberFormat="1"/>
    <xf borderId="3" fillId="0" fontId="8" numFmtId="164" xfId="0" applyAlignment="1" applyBorder="1" applyFont="1" applyNumberFormat="1">
      <alignment horizontal="center"/>
    </xf>
    <xf borderId="8" fillId="0" fontId="8" numFmtId="164" xfId="0" applyAlignment="1" applyBorder="1" applyFont="1" applyNumberFormat="1">
      <alignment horizontal="center"/>
    </xf>
    <xf borderId="0" fillId="4" fontId="10" numFmtId="164" xfId="0" applyBorder="1" applyFill="1" applyFont="1" applyNumberFormat="1"/>
    <xf borderId="0" fillId="4" fontId="1" numFmtId="164" xfId="0" applyBorder="1" applyFont="1" applyNumberFormat="1"/>
    <xf borderId="0" fillId="4" fontId="1" numFmtId="166" xfId="0" applyBorder="1" applyFont="1" applyNumberFormat="1"/>
    <xf borderId="9" fillId="0" fontId="8" numFmtId="164" xfId="0" applyAlignment="1" applyBorder="1" applyFont="1" applyNumberFormat="1">
      <alignment horizontal="center"/>
    </xf>
    <xf borderId="10" fillId="0" fontId="8" numFmtId="164" xfId="0" applyAlignment="1" applyBorder="1" applyFont="1" applyNumberFormat="1">
      <alignment horizontal="center"/>
    </xf>
    <xf borderId="0" fillId="4" fontId="11" numFmtId="164" xfId="0" applyAlignment="1" applyBorder="1" applyFont="1" applyNumberFormat="1">
      <alignment horizontal="left"/>
    </xf>
    <xf borderId="5" fillId="0" fontId="8" numFmtId="168" xfId="0" applyAlignment="1" applyBorder="1" applyFont="1" applyNumberFormat="1">
      <alignment horizontal="right"/>
    </xf>
    <xf borderId="5" fillId="3" fontId="9" numFmtId="168" xfId="0" applyAlignment="1" applyBorder="1" applyFont="1" applyNumberFormat="1">
      <alignment horizontal="right"/>
    </xf>
    <xf borderId="5" fillId="3" fontId="9" numFmtId="169" xfId="0" applyAlignment="1" applyBorder="1" applyFont="1" applyNumberFormat="1">
      <alignment horizontal="right"/>
    </xf>
    <xf borderId="5" fillId="0" fontId="8" numFmtId="166" xfId="0" applyAlignment="1" applyBorder="1" applyFont="1" applyNumberFormat="1">
      <alignment horizontal="right"/>
    </xf>
    <xf borderId="8" fillId="0" fontId="8" numFmtId="166" xfId="0" applyAlignment="1" applyBorder="1" applyFont="1" applyNumberFormat="1">
      <alignment horizontal="right"/>
    </xf>
    <xf borderId="0" fillId="4" fontId="12" numFmtId="164" xfId="0" applyBorder="1" applyFont="1" applyNumberFormat="1"/>
    <xf borderId="5" fillId="0" fontId="8" numFmtId="170" xfId="0" applyAlignment="1" applyBorder="1" applyFont="1" applyNumberFormat="1">
      <alignment horizontal="right"/>
    </xf>
    <xf borderId="11" fillId="0" fontId="8" numFmtId="166" xfId="0" applyAlignment="1" applyBorder="1" applyFont="1" applyNumberFormat="1">
      <alignment horizontal="right"/>
    </xf>
    <xf borderId="0" fillId="4" fontId="1" numFmtId="0" xfId="0" applyBorder="1" applyFont="1"/>
    <xf borderId="9" fillId="0" fontId="1" numFmtId="164" xfId="0" applyBorder="1" applyFont="1" applyNumberFormat="1"/>
    <xf borderId="10" fillId="0" fontId="8" numFmtId="166" xfId="0" applyAlignment="1" applyBorder="1" applyFont="1" applyNumberFormat="1">
      <alignment horizontal="right"/>
    </xf>
    <xf borderId="3" fillId="0" fontId="8" numFmtId="168" xfId="0" applyAlignment="1" applyBorder="1" applyFont="1" applyNumberFormat="1">
      <alignment horizontal="right"/>
    </xf>
    <xf borderId="3" fillId="0" fontId="8" numFmtId="166" xfId="0" applyAlignment="1" applyBorder="1" applyFont="1" applyNumberFormat="1">
      <alignment horizontal="right"/>
    </xf>
    <xf borderId="3" fillId="0" fontId="8" numFmtId="169" xfId="0" applyAlignment="1" applyBorder="1" applyFont="1" applyNumberFormat="1">
      <alignment horizontal="right"/>
    </xf>
    <xf borderId="3" fillId="0" fontId="8" numFmtId="171" xfId="0" applyAlignment="1" applyBorder="1" applyFont="1" applyNumberFormat="1">
      <alignment horizontal="right"/>
    </xf>
    <xf borderId="8" fillId="0" fontId="8" numFmtId="166" xfId="0" applyBorder="1" applyFont="1" applyNumberFormat="1"/>
    <xf borderId="0" fillId="4" fontId="1" numFmtId="166" xfId="0" applyAlignment="1" applyBorder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left" vertical="center"/>
    </xf>
    <xf borderId="2" fillId="0" fontId="8" numFmtId="164" xfId="0" applyBorder="1" applyFont="1" applyNumberFormat="1"/>
    <xf borderId="9" fillId="3" fontId="9" numFmtId="164" xfId="0" applyAlignment="1" applyBorder="1" applyFont="1" applyNumberFormat="1">
      <alignment horizontal="right"/>
    </xf>
    <xf borderId="9" fillId="3" fontId="9" numFmtId="168" xfId="0" applyAlignment="1" applyBorder="1" applyFont="1" applyNumberFormat="1">
      <alignment horizontal="right"/>
    </xf>
    <xf borderId="9" fillId="3" fontId="9" numFmtId="169" xfId="0" applyAlignment="1" applyBorder="1" applyFont="1" applyNumberFormat="1">
      <alignment horizontal="right"/>
    </xf>
    <xf borderId="9" fillId="0" fontId="8" numFmtId="172" xfId="0" applyAlignment="1" applyBorder="1" applyFont="1" applyNumberFormat="1">
      <alignment horizontal="center"/>
    </xf>
    <xf borderId="10" fillId="0" fontId="8" numFmtId="164" xfId="0" applyBorder="1" applyFont="1" applyNumberFormat="1"/>
    <xf borderId="0" fillId="4" fontId="13" numFmtId="166" xfId="0" applyBorder="1" applyFont="1" applyNumberFormat="1"/>
    <xf borderId="0" fillId="4" fontId="1" numFmtId="173" xfId="0" applyBorder="1" applyFont="1" applyNumberFormat="1"/>
    <xf borderId="0" fillId="0" fontId="1" numFmtId="173" xfId="0" applyFont="1" applyNumberFormat="1"/>
    <xf borderId="12" fillId="2" fontId="1" numFmtId="164" xfId="0" applyBorder="1" applyFont="1" applyNumberFormat="1"/>
    <xf borderId="13" fillId="2" fontId="8" numFmtId="164" xfId="0" applyBorder="1" applyFont="1" applyNumberFormat="1"/>
    <xf borderId="13" fillId="2" fontId="14" numFmtId="164" xfId="0" applyBorder="1" applyFont="1" applyNumberFormat="1"/>
    <xf borderId="14" fillId="2" fontId="8" numFmtId="164" xfId="0" applyBorder="1" applyFont="1" applyNumberFormat="1"/>
    <xf borderId="5" fillId="0" fontId="8" numFmtId="164" xfId="0" applyAlignment="1" applyBorder="1" applyFont="1" applyNumberFormat="1">
      <alignment horizontal="center"/>
    </xf>
    <xf borderId="11" fillId="0" fontId="8" numFmtId="164" xfId="0" applyAlignment="1" applyBorder="1" applyFont="1" applyNumberFormat="1">
      <alignment horizontal="center"/>
    </xf>
    <xf borderId="0" fillId="0" fontId="9" numFmtId="169" xfId="0" applyFont="1" applyNumberFormat="1"/>
    <xf borderId="5" fillId="0" fontId="15" numFmtId="164" xfId="0" applyAlignment="1" applyBorder="1" applyFont="1" applyNumberFormat="1">
      <alignment horizontal="center"/>
    </xf>
    <xf borderId="0" fillId="0" fontId="16" numFmtId="166" xfId="0" applyFont="1" applyNumberFormat="1"/>
    <xf borderId="1" fillId="0" fontId="8" numFmtId="164" xfId="0" applyAlignment="1" applyBorder="1" applyFont="1" applyNumberFormat="1">
      <alignment horizontal="left"/>
    </xf>
    <xf borderId="3" fillId="3" fontId="9" numFmtId="171" xfId="0" applyAlignment="1" applyBorder="1" applyFont="1" applyNumberFormat="1">
      <alignment horizontal="right"/>
    </xf>
    <xf borderId="3" fillId="0" fontId="15" numFmtId="169" xfId="0" applyAlignment="1" applyBorder="1" applyFont="1" applyNumberFormat="1">
      <alignment horizontal="right"/>
    </xf>
    <xf borderId="3" fillId="3" fontId="9" numFmtId="166" xfId="0" applyAlignment="1" applyBorder="1" applyFont="1" applyNumberFormat="1">
      <alignment horizontal="right"/>
    </xf>
    <xf borderId="3" fillId="4" fontId="8" numFmtId="166" xfId="0" applyAlignment="1" applyBorder="1" applyFont="1" applyNumberFormat="1">
      <alignment horizontal="right"/>
    </xf>
    <xf borderId="3" fillId="3" fontId="9" numFmtId="168" xfId="0" applyBorder="1" applyFont="1" applyNumberFormat="1"/>
    <xf borderId="8" fillId="3" fontId="9" numFmtId="168" xfId="0" applyBorder="1" applyFont="1" applyNumberFormat="1"/>
    <xf borderId="3" fillId="4" fontId="1" numFmtId="164" xfId="0" applyBorder="1" applyFont="1" applyNumberFormat="1"/>
    <xf borderId="1" fillId="4" fontId="1" numFmtId="164" xfId="0" applyBorder="1" applyFont="1" applyNumberFormat="1"/>
    <xf borderId="4" fillId="4" fontId="1" numFmtId="164" xfId="0" applyBorder="1" applyFont="1" applyNumberFormat="1"/>
    <xf borderId="5" fillId="3" fontId="9" numFmtId="171" xfId="0" applyAlignment="1" applyBorder="1" applyFont="1" applyNumberFormat="1">
      <alignment horizontal="right"/>
    </xf>
    <xf borderId="5" fillId="4" fontId="8" numFmtId="169" xfId="0" applyAlignment="1" applyBorder="1" applyFont="1" applyNumberFormat="1">
      <alignment horizontal="right"/>
    </xf>
    <xf borderId="5" fillId="3" fontId="9" numFmtId="166" xfId="0" applyAlignment="1" applyBorder="1" applyFont="1" applyNumberFormat="1">
      <alignment horizontal="right"/>
    </xf>
    <xf borderId="5" fillId="4" fontId="8" numFmtId="166" xfId="0" applyAlignment="1" applyBorder="1" applyFont="1" applyNumberFormat="1">
      <alignment horizontal="right"/>
    </xf>
    <xf borderId="11" fillId="4" fontId="8" numFmtId="166" xfId="0" applyAlignment="1" applyBorder="1" applyFont="1" applyNumberFormat="1">
      <alignment horizontal="right"/>
    </xf>
    <xf borderId="5" fillId="4" fontId="1" numFmtId="164" xfId="0" applyBorder="1" applyFont="1" applyNumberFormat="1"/>
    <xf borderId="7" fillId="4" fontId="1" numFmtId="164" xfId="0" applyBorder="1" applyFont="1" applyNumberFormat="1"/>
    <xf borderId="5" fillId="0" fontId="8" numFmtId="174" xfId="0" applyAlignment="1" applyBorder="1" applyFont="1" applyNumberFormat="1">
      <alignment horizontal="right"/>
    </xf>
    <xf borderId="11" fillId="3" fontId="9" numFmtId="168" xfId="0" applyAlignment="1" applyBorder="1" applyFont="1" applyNumberFormat="1">
      <alignment horizontal="right"/>
    </xf>
    <xf borderId="5" fillId="4" fontId="17" numFmtId="164" xfId="0" applyBorder="1" applyFont="1" applyNumberFormat="1"/>
    <xf borderId="5" fillId="0" fontId="18" numFmtId="164" xfId="0" applyAlignment="1" applyBorder="1" applyFont="1" applyNumberFormat="1">
      <alignment horizontal="left"/>
    </xf>
    <xf borderId="5" fillId="0" fontId="8" numFmtId="169" xfId="0" applyAlignment="1" applyBorder="1" applyFont="1" applyNumberFormat="1">
      <alignment horizontal="right"/>
    </xf>
    <xf borderId="0" fillId="4" fontId="1" numFmtId="164" xfId="0" applyAlignment="1" applyBorder="1" applyFont="1" applyNumberFormat="1">
      <alignment vertical="center"/>
    </xf>
    <xf borderId="5" fillId="4" fontId="16" numFmtId="165" xfId="0" applyBorder="1" applyFont="1" applyNumberFormat="1"/>
    <xf borderId="0" fillId="4" fontId="16" numFmtId="164" xfId="0" applyBorder="1" applyFont="1" applyNumberFormat="1"/>
    <xf borderId="12" fillId="0" fontId="1" numFmtId="164" xfId="0" applyBorder="1" applyFont="1" applyNumberFormat="1"/>
    <xf borderId="0" fillId="0" fontId="15" numFmtId="164" xfId="0" applyAlignment="1" applyFont="1" applyNumberFormat="1">
      <alignment horizontal="right"/>
    </xf>
    <xf borderId="8" fillId="0" fontId="8" numFmtId="169" xfId="0" applyAlignment="1" applyBorder="1" applyFont="1" applyNumberFormat="1">
      <alignment horizontal="right"/>
    </xf>
    <xf borderId="5" fillId="0" fontId="8" numFmtId="164" xfId="0" applyAlignment="1" applyBorder="1" applyFont="1" applyNumberFormat="1">
      <alignment horizontal="right"/>
    </xf>
    <xf borderId="5" fillId="4" fontId="7" numFmtId="2" xfId="0" applyBorder="1" applyFont="1" applyNumberFormat="1"/>
    <xf borderId="0" fillId="4" fontId="7" numFmtId="164" xfId="0" applyBorder="1" applyFont="1" applyNumberFormat="1"/>
    <xf borderId="5" fillId="0" fontId="9" numFmtId="168" xfId="0" applyAlignment="1" applyBorder="1" applyFont="1" applyNumberFormat="1">
      <alignment horizontal="center"/>
    </xf>
    <xf borderId="5" fillId="4" fontId="7" numFmtId="165" xfId="0" applyBorder="1" applyFont="1" applyNumberFormat="1"/>
    <xf borderId="7" fillId="0" fontId="15" numFmtId="164" xfId="0" applyAlignment="1" applyBorder="1" applyFont="1" applyNumberFormat="1">
      <alignment horizontal="right"/>
    </xf>
    <xf borderId="11" fillId="0" fontId="9" numFmtId="168" xfId="0" applyAlignment="1" applyBorder="1" applyFont="1" applyNumberFormat="1">
      <alignment horizontal="right"/>
    </xf>
    <xf borderId="7" fillId="3" fontId="9" numFmtId="169" xfId="0" applyAlignment="1" applyBorder="1" applyFont="1" applyNumberFormat="1">
      <alignment horizontal="right"/>
    </xf>
    <xf borderId="11" fillId="0" fontId="8" numFmtId="168" xfId="0" applyAlignment="1" applyBorder="1" applyFont="1" applyNumberFormat="1">
      <alignment horizontal="right"/>
    </xf>
    <xf borderId="5" fillId="4" fontId="7" numFmtId="168" xfId="0" applyBorder="1" applyFont="1" applyNumberFormat="1"/>
    <xf borderId="4" fillId="0" fontId="15" numFmtId="164" xfId="0" applyAlignment="1" applyBorder="1" applyFont="1" applyNumberFormat="1">
      <alignment horizontal="right"/>
    </xf>
    <xf borderId="8" fillId="0" fontId="9" numFmtId="168" xfId="0" applyAlignment="1" applyBorder="1" applyFont="1" applyNumberFormat="1">
      <alignment horizontal="right"/>
    </xf>
    <xf borderId="5" fillId="4" fontId="7" numFmtId="164" xfId="0" applyBorder="1" applyFont="1" applyNumberFormat="1"/>
    <xf borderId="0" fillId="4" fontId="7" numFmtId="175" xfId="0" applyBorder="1" applyFont="1" applyNumberFormat="1"/>
    <xf borderId="11" fillId="0" fontId="8" numFmtId="168" xfId="0" applyAlignment="1" applyBorder="1" applyFont="1" applyNumberFormat="1">
      <alignment horizontal="center"/>
    </xf>
    <xf borderId="5" fillId="4" fontId="7" numFmtId="164" xfId="0" applyAlignment="1" applyBorder="1" applyFont="1" applyNumberFormat="1">
      <alignment horizontal="right"/>
    </xf>
    <xf borderId="4" fillId="0" fontId="8" numFmtId="164" xfId="0" applyAlignment="1" applyBorder="1" applyFont="1" applyNumberFormat="1">
      <alignment horizontal="right"/>
    </xf>
    <xf borderId="8" fillId="4" fontId="8" numFmtId="176" xfId="0" applyAlignment="1" applyBorder="1" applyFont="1" applyNumberFormat="1">
      <alignment horizontal="right"/>
    </xf>
    <xf borderId="4" fillId="3" fontId="9" numFmtId="176" xfId="0" applyAlignment="1" applyBorder="1" applyFont="1" applyNumberFormat="1">
      <alignment horizontal="right"/>
    </xf>
    <xf borderId="8" fillId="3" fontId="9" numFmtId="169" xfId="0" applyAlignment="1" applyBorder="1" applyFont="1" applyNumberFormat="1">
      <alignment horizontal="right"/>
    </xf>
    <xf borderId="8" fillId="0" fontId="8" numFmtId="164" xfId="0" applyAlignment="1" applyBorder="1" applyFont="1" applyNumberFormat="1">
      <alignment horizontal="right"/>
    </xf>
    <xf borderId="3" fillId="0" fontId="8" numFmtId="164" xfId="0" applyBorder="1" applyFont="1" applyNumberFormat="1"/>
    <xf borderId="11" fillId="3" fontId="9" numFmtId="176" xfId="0" applyAlignment="1" applyBorder="1" applyFont="1" applyNumberFormat="1">
      <alignment horizontal="right"/>
    </xf>
    <xf borderId="11" fillId="4" fontId="8" numFmtId="176" xfId="0" applyAlignment="1" applyBorder="1" applyFont="1" applyNumberFormat="1">
      <alignment horizontal="right"/>
    </xf>
    <xf borderId="11" fillId="0" fontId="15" numFmtId="168" xfId="0" applyAlignment="1" applyBorder="1" applyFont="1" applyNumberFormat="1">
      <alignment horizontal="right"/>
    </xf>
    <xf borderId="7" fillId="0" fontId="8" numFmtId="164" xfId="0" applyAlignment="1" applyBorder="1" applyFont="1" applyNumberFormat="1">
      <alignment horizontal="right"/>
    </xf>
    <xf borderId="5" fillId="0" fontId="8" numFmtId="164" xfId="0" applyBorder="1" applyFont="1" applyNumberFormat="1"/>
    <xf borderId="10" fillId="3" fontId="9" numFmtId="176" xfId="0" applyAlignment="1" applyBorder="1" applyFont="1" applyNumberFormat="1">
      <alignment horizontal="right"/>
    </xf>
    <xf borderId="10" fillId="4" fontId="8" numFmtId="176" xfId="0" applyAlignment="1" applyBorder="1" applyFont="1" applyNumberFormat="1">
      <alignment horizontal="right"/>
    </xf>
    <xf borderId="10" fillId="0" fontId="8" numFmtId="164" xfId="0" applyAlignment="1" applyBorder="1" applyFont="1" applyNumberFormat="1">
      <alignment horizontal="right"/>
    </xf>
    <xf borderId="6" fillId="0" fontId="8" numFmtId="164" xfId="0" applyAlignment="1" applyBorder="1" applyFont="1" applyNumberFormat="1">
      <alignment horizontal="right"/>
    </xf>
    <xf borderId="9" fillId="0" fontId="8" numFmtId="164" xfId="0" applyBorder="1" applyFont="1" applyNumberFormat="1"/>
    <xf borderId="6" fillId="0" fontId="8" numFmtId="164" xfId="0" applyBorder="1" applyFont="1" applyNumberFormat="1"/>
    <xf borderId="12" fillId="4" fontId="8" numFmtId="176" xfId="0" applyAlignment="1" applyBorder="1" applyFont="1" applyNumberFormat="1">
      <alignment horizontal="center"/>
    </xf>
    <xf borderId="15" fillId="4" fontId="8" numFmtId="176" xfId="0" applyAlignment="1" applyBorder="1" applyFont="1" applyNumberFormat="1">
      <alignment horizontal="center"/>
    </xf>
    <xf borderId="14" fillId="0" fontId="8" numFmtId="164" xfId="0" applyAlignment="1" applyBorder="1" applyFont="1" applyNumberFormat="1">
      <alignment horizontal="center"/>
    </xf>
    <xf borderId="10" fillId="0" fontId="8" numFmtId="169" xfId="0" applyAlignment="1" applyBorder="1" applyFont="1" applyNumberFormat="1">
      <alignment horizontal="right"/>
    </xf>
    <xf borderId="1" fillId="0" fontId="14" numFmtId="164" xfId="0" applyBorder="1" applyFont="1" applyNumberFormat="1"/>
    <xf borderId="3" fillId="0" fontId="8" numFmtId="164" xfId="0" applyAlignment="1" applyBorder="1" applyFont="1" applyNumberFormat="1">
      <alignment horizontal="center" wrapText="1"/>
    </xf>
    <xf borderId="3" fillId="4" fontId="8" numFmtId="176" xfId="0" applyAlignment="1" applyBorder="1" applyFont="1" applyNumberFormat="1">
      <alignment horizontal="center" wrapText="1"/>
    </xf>
    <xf borderId="8" fillId="0" fontId="8" numFmtId="164" xfId="0" applyAlignment="1" applyBorder="1" applyFont="1" applyNumberFormat="1">
      <alignment horizontal="center" wrapText="1"/>
    </xf>
    <xf borderId="2" fillId="0" fontId="14" numFmtId="164" xfId="0" applyBorder="1" applyFont="1" applyNumberFormat="1"/>
    <xf borderId="9" fillId="4" fontId="8" numFmtId="176" xfId="0" applyAlignment="1" applyBorder="1" applyFont="1" applyNumberFormat="1">
      <alignment horizontal="center"/>
    </xf>
    <xf borderId="11" fillId="3" fontId="9" numFmtId="169" xfId="0" applyBorder="1" applyFont="1" applyNumberFormat="1"/>
    <xf borderId="11" fillId="3" fontId="9" numFmtId="164" xfId="0" applyBorder="1" applyFont="1" applyNumberFormat="1"/>
    <xf borderId="10" fillId="3" fontId="9" numFmtId="169" xfId="0" applyBorder="1" applyFont="1" applyNumberFormat="1"/>
    <xf borderId="9" fillId="4" fontId="8" numFmtId="169" xfId="0" applyAlignment="1" applyBorder="1" applyFont="1" applyNumberFormat="1">
      <alignment horizontal="right"/>
    </xf>
    <xf borderId="10" fillId="4" fontId="8" numFmtId="169" xfId="0" applyAlignment="1" applyBorder="1" applyFont="1" applyNumberFormat="1">
      <alignment horizontal="right"/>
    </xf>
    <xf borderId="0" fillId="0" fontId="14" numFmtId="164" xfId="0" applyFont="1" applyNumberFormat="1"/>
    <xf borderId="8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right"/>
    </xf>
    <xf borderId="13" fillId="2" fontId="4" numFmtId="164" xfId="0" applyBorder="1" applyFont="1" applyNumberFormat="1"/>
    <xf borderId="7" fillId="3" fontId="9" numFmtId="164" xfId="0" applyBorder="1" applyFont="1" applyNumberFormat="1"/>
    <xf borderId="5" fillId="4" fontId="16" numFmtId="1" xfId="0" applyBorder="1" applyFont="1" applyNumberFormat="1"/>
    <xf borderId="5" fillId="4" fontId="16" numFmtId="164" xfId="0" applyBorder="1" applyFont="1" applyNumberFormat="1"/>
    <xf borderId="11" fillId="3" fontId="9" numFmtId="164" xfId="0" applyAlignment="1" applyBorder="1" applyFont="1" applyNumberFormat="1">
      <alignment horizontal="right"/>
    </xf>
    <xf borderId="0" fillId="0" fontId="19" numFmtId="164" xfId="0" applyFont="1" applyNumberFormat="1"/>
    <xf borderId="7" fillId="0" fontId="19" numFmtId="164" xfId="0" applyAlignment="1" applyBorder="1" applyFont="1" applyNumberFormat="1">
      <alignment horizontal="right"/>
    </xf>
    <xf borderId="0" fillId="0" fontId="7" numFmtId="166" xfId="0" applyAlignment="1" applyFont="1" applyNumberFormat="1">
      <alignment horizontal="center"/>
    </xf>
    <xf borderId="0" fillId="0" fontId="7" numFmtId="164" xfId="0" applyFont="1" applyNumberFormat="1"/>
    <xf borderId="9" fillId="4" fontId="7" numFmtId="164" xfId="0" applyBorder="1" applyFont="1" applyNumberFormat="1"/>
    <xf borderId="2" fillId="4" fontId="7" numFmtId="164" xfId="0" applyBorder="1" applyFont="1" applyNumberFormat="1"/>
    <xf borderId="2" fillId="4" fontId="1" numFmtId="164" xfId="0" applyBorder="1" applyFont="1" applyNumberFormat="1"/>
    <xf borderId="6" fillId="4" fontId="1" numFmtId="164" xfId="0" applyBorder="1" applyFont="1" applyNumberFormat="1"/>
    <xf borderId="5" fillId="3" fontId="9" numFmtId="176" xfId="0" applyBorder="1" applyFont="1" applyNumberFormat="1"/>
    <xf borderId="5" fillId="3" fontId="9" numFmtId="169" xfId="0" applyBorder="1" applyFont="1" applyNumberFormat="1"/>
    <xf borderId="5" fillId="0" fontId="8" numFmtId="168" xfId="0" applyBorder="1" applyFont="1" applyNumberFormat="1"/>
    <xf borderId="11" fillId="0" fontId="8" numFmtId="166" xfId="0" applyBorder="1" applyFont="1" applyNumberFormat="1"/>
    <xf borderId="5" fillId="0" fontId="8" numFmtId="176" xfId="0" applyBorder="1" applyFont="1" applyNumberFormat="1"/>
    <xf borderId="5" fillId="0" fontId="8" numFmtId="169" xfId="0" applyBorder="1" applyFont="1" applyNumberFormat="1"/>
    <xf borderId="0" fillId="4" fontId="1" numFmtId="2" xfId="0" applyBorder="1" applyFont="1" applyNumberFormat="1"/>
    <xf borderId="5" fillId="0" fontId="15" numFmtId="169" xfId="0" applyBorder="1" applyFont="1" applyNumberFormat="1"/>
    <xf borderId="0" fillId="0" fontId="1" numFmtId="164" xfId="0" applyAlignment="1" applyFont="1" applyNumberFormat="1">
      <alignment horizontal="center" vertical="center"/>
    </xf>
    <xf borderId="3" fillId="2" fontId="1" numFmtId="164" xfId="0" applyBorder="1" applyFont="1" applyNumberFormat="1"/>
    <xf borderId="1" fillId="2" fontId="4" numFmtId="164" xfId="0" applyBorder="1" applyFont="1" applyNumberFormat="1"/>
    <xf borderId="1" fillId="2" fontId="8" numFmtId="164" xfId="0" applyBorder="1" applyFont="1" applyNumberFormat="1"/>
    <xf borderId="4" fillId="2" fontId="8" numFmtId="164" xfId="0" applyBorder="1" applyFont="1" applyNumberFormat="1"/>
    <xf borderId="0" fillId="4" fontId="17" numFmtId="164" xfId="0" applyBorder="1" applyFont="1" applyNumberFormat="1"/>
    <xf borderId="9" fillId="2" fontId="1" numFmtId="164" xfId="0" applyBorder="1" applyFont="1" applyNumberFormat="1"/>
    <xf borderId="2" fillId="2" fontId="4" numFmtId="164" xfId="0" applyBorder="1" applyFont="1" applyNumberFormat="1"/>
    <xf borderId="2" fillId="2" fontId="8" numFmtId="164" xfId="0" applyBorder="1" applyFont="1" applyNumberFormat="1"/>
    <xf borderId="6" fillId="2" fontId="8" numFmtId="164" xfId="0" applyBorder="1" applyFont="1" applyNumberFormat="1"/>
    <xf borderId="0" fillId="4" fontId="1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right"/>
    </xf>
    <xf borderId="9" fillId="0" fontId="8" numFmtId="176" xfId="0" applyBorder="1" applyFont="1" applyNumberFormat="1"/>
    <xf borderId="9" fillId="0" fontId="8" numFmtId="169" xfId="0" applyBorder="1" applyFont="1" applyNumberFormat="1"/>
    <xf borderId="9" fillId="0" fontId="8" numFmtId="168" xfId="0" applyBorder="1" applyFont="1" applyNumberFormat="1"/>
    <xf borderId="10" fillId="3" fontId="9" numFmtId="164" xfId="0" applyBorder="1" applyFont="1" applyNumberFormat="1"/>
    <xf borderId="11" fillId="4" fontId="9" numFmtId="164" xfId="0" applyBorder="1" applyFont="1" applyNumberFormat="1"/>
    <xf borderId="0" fillId="0" fontId="15" numFmtId="164" xfId="0" applyFont="1" applyNumberFormat="1"/>
    <xf borderId="11" fillId="4" fontId="8" numFmtId="164" xfId="0" applyBorder="1" applyFont="1" applyNumberFormat="1"/>
    <xf borderId="0" fillId="0" fontId="1" numFmtId="169" xfId="0" applyFont="1" applyNumberFormat="1"/>
    <xf borderId="10" fillId="4" fontId="15" numFmtId="164" xfId="0" applyBorder="1" applyFont="1" applyNumberFormat="1"/>
    <xf borderId="0" fillId="4" fontId="1" numFmtId="171" xfId="0" applyBorder="1" applyFont="1" applyNumberFormat="1"/>
    <xf borderId="0" fillId="0" fontId="8" numFmtId="176" xfId="0" applyFont="1" applyNumberFormat="1"/>
    <xf borderId="0" fillId="0" fontId="8" numFmtId="168" xfId="0" applyFont="1" applyNumberFormat="1"/>
    <xf borderId="0" fillId="4" fontId="20" numFmtId="164" xfId="0" applyAlignment="1" applyBorder="1" applyFont="1" applyNumberFormat="1">
      <alignment horizontal="left"/>
    </xf>
    <xf borderId="2" fillId="0" fontId="8" numFmtId="169" xfId="0" applyBorder="1" applyFont="1" applyNumberFormat="1"/>
    <xf borderId="13" fillId="0" fontId="4" numFmtId="164" xfId="0" applyAlignment="1" applyBorder="1" applyFont="1" applyNumberFormat="1">
      <alignment horizontal="left" vertical="center"/>
    </xf>
    <xf borderId="13" fillId="0" fontId="8" numFmtId="164" xfId="0" applyBorder="1" applyFont="1" applyNumberFormat="1"/>
    <xf borderId="14" fillId="0" fontId="8" numFmtId="164" xfId="0" applyBorder="1" applyFont="1" applyNumberFormat="1"/>
    <xf borderId="0" fillId="0" fontId="8" numFmtId="169" xfId="0" applyAlignment="1" applyFont="1" applyNumberFormat="1">
      <alignment horizontal="right"/>
    </xf>
    <xf borderId="0" fillId="0" fontId="8" numFmtId="169" xfId="0" applyFont="1" applyNumberFormat="1"/>
    <xf borderId="0" fillId="0" fontId="8" numFmtId="177" xfId="0" applyFont="1" applyNumberFormat="1"/>
    <xf borderId="0" fillId="0" fontId="8" numFmtId="178" xfId="0" applyFont="1" applyNumberFormat="1"/>
    <xf borderId="0" fillId="0" fontId="8" numFmtId="179" xfId="0" applyFont="1" applyNumberFormat="1"/>
    <xf borderId="13" fillId="2" fontId="4" numFmtId="164" xfId="0" applyAlignment="1" applyBorder="1" applyFont="1" applyNumberFormat="1">
      <alignment horizontal="left" vertical="center"/>
    </xf>
    <xf borderId="13" fillId="2" fontId="4" numFmtId="164" xfId="0" applyAlignment="1" applyBorder="1" applyFont="1" applyNumberFormat="1">
      <alignment vertical="center"/>
    </xf>
    <xf borderId="13" fillId="2" fontId="8" numFmtId="169" xfId="0" applyBorder="1" applyFont="1" applyNumberFormat="1"/>
    <xf borderId="13" fillId="2" fontId="8" numFmtId="178" xfId="0" applyBorder="1" applyFont="1" applyNumberFormat="1"/>
    <xf borderId="13" fillId="2" fontId="8" numFmtId="168" xfId="0" applyBorder="1" applyFont="1" applyNumberFormat="1"/>
    <xf borderId="13" fillId="2" fontId="8" numFmtId="179" xfId="0" applyBorder="1" applyFont="1" applyNumberFormat="1"/>
    <xf borderId="0" fillId="0" fontId="8" numFmtId="164" xfId="0" applyAlignment="1" applyFont="1" applyNumberFormat="1">
      <alignment vertical="center"/>
    </xf>
    <xf borderId="7" fillId="0" fontId="8" numFmtId="168" xfId="0" applyBorder="1" applyFont="1" applyNumberFormat="1"/>
    <xf borderId="14" fillId="2" fontId="8" numFmtId="168" xfId="0" applyBorder="1" applyFont="1" applyNumberFormat="1"/>
    <xf borderId="0" fillId="0" fontId="20" numFmtId="164" xfId="0" applyFont="1" applyNumberFormat="1"/>
    <xf borderId="16" fillId="0" fontId="1" numFmtId="164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8" xfId="0" applyFont="1" applyNumberFormat="1"/>
    <xf borderId="0" fillId="0" fontId="1" numFmtId="171" xfId="0" applyFont="1" applyNumberFormat="1"/>
    <xf borderId="16" fillId="0" fontId="1" numFmtId="164" xfId="0" applyBorder="1" applyFont="1" applyNumberFormat="1"/>
    <xf borderId="0" fillId="0" fontId="1" numFmtId="0" xfId="0" applyFont="1"/>
    <xf borderId="0" fillId="0" fontId="16" numFmtId="164" xfId="0" applyFont="1" applyNumberFormat="1"/>
    <xf borderId="16" fillId="0" fontId="1" numFmtId="168" xfId="0" applyBorder="1" applyFont="1" applyNumberFormat="1"/>
    <xf borderId="0" fillId="0" fontId="16" numFmtId="168" xfId="0" applyFont="1" applyNumberFormat="1"/>
    <xf borderId="0" fillId="0" fontId="7" numFmtId="168" xfId="0" applyFont="1" applyNumberFormat="1"/>
    <xf borderId="0" fillId="0" fontId="21" numFmtId="164" xfId="0" applyFont="1" applyNumberFormat="1"/>
    <xf borderId="0" fillId="5" fontId="1" numFmtId="164" xfId="0" applyBorder="1" applyFill="1" applyFont="1" applyNumberFormat="1"/>
    <xf borderId="17" fillId="0" fontId="20" numFmtId="164" xfId="0" applyBorder="1" applyFont="1" applyNumberFormat="1"/>
    <xf borderId="18" fillId="0" fontId="1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20" fillId="0" fontId="1" numFmtId="164" xfId="0" applyAlignment="1" applyBorder="1" applyFont="1" applyNumberFormat="1">
      <alignment horizontal="left"/>
    </xf>
    <xf borderId="16" fillId="0" fontId="1" numFmtId="166" xfId="0" applyBorder="1" applyFont="1" applyNumberFormat="1"/>
    <xf borderId="0" fillId="0" fontId="22" numFmtId="168" xfId="0" applyFont="1" applyNumberFormat="1"/>
    <xf borderId="16" fillId="0" fontId="1" numFmtId="2" xfId="0" applyBorder="1" applyFont="1" applyNumberFormat="1"/>
    <xf borderId="0" fillId="0" fontId="16" numFmtId="2" xfId="0" applyFont="1" applyNumberFormat="1"/>
    <xf borderId="20" fillId="0" fontId="1" numFmtId="164" xfId="0" applyBorder="1" applyFont="1" applyNumberFormat="1"/>
    <xf borderId="0" fillId="0" fontId="23" numFmtId="164" xfId="0" applyFont="1" applyNumberFormat="1"/>
    <xf borderId="20" fillId="0" fontId="24" numFmtId="164" xfId="0" applyBorder="1" applyFont="1" applyNumberFormat="1"/>
    <xf borderId="0" fillId="0" fontId="21" numFmtId="2" xfId="0" applyFont="1" applyNumberFormat="1"/>
    <xf borderId="20" fillId="0" fontId="20" numFmtId="164" xfId="0" applyBorder="1" applyFont="1" applyNumberFormat="1"/>
    <xf borderId="0" fillId="0" fontId="25" numFmtId="164" xfId="0" applyFont="1" applyNumberFormat="1"/>
    <xf borderId="0" fillId="0" fontId="1" numFmtId="180" xfId="0" applyFont="1" applyNumberFormat="1"/>
    <xf borderId="21" fillId="0" fontId="1" numFmtId="164" xfId="0" applyBorder="1" applyFont="1" applyNumberFormat="1"/>
    <xf borderId="22" fillId="0" fontId="1" numFmtId="181" xfId="0" applyBorder="1" applyFont="1" applyNumberFormat="1"/>
    <xf borderId="22" fillId="0" fontId="1" numFmtId="2" xfId="0" applyBorder="1" applyFont="1" applyNumberFormat="1"/>
    <xf borderId="22" fillId="0" fontId="1" numFmtId="168" xfId="0" applyBorder="1" applyFont="1" applyNumberFormat="1"/>
    <xf borderId="22" fillId="0" fontId="1" numFmtId="164" xfId="0" applyBorder="1" applyFont="1" applyNumberFormat="1"/>
    <xf borderId="23" fillId="0" fontId="1" numFmtId="2" xfId="0" applyBorder="1" applyFont="1" applyNumberFormat="1"/>
    <xf borderId="0" fillId="0" fontId="26" numFmtId="164" xfId="0" applyFont="1" applyNumberFormat="1"/>
    <xf borderId="17" fillId="0" fontId="18" numFmtId="164" xfId="0" applyBorder="1" applyFont="1" applyNumberFormat="1"/>
    <xf borderId="18" fillId="0" fontId="1" numFmtId="164" xfId="0" applyBorder="1" applyFont="1" applyNumberFormat="1"/>
    <xf borderId="18" fillId="0" fontId="1" numFmtId="2" xfId="0" applyBorder="1" applyFont="1" applyNumberFormat="1"/>
    <xf borderId="19" fillId="0" fontId="1" numFmtId="164" xfId="0" applyBorder="1" applyFont="1" applyNumberFormat="1"/>
    <xf borderId="22" fillId="0" fontId="1" numFmtId="166" xfId="0" applyBorder="1" applyFont="1" applyNumberFormat="1"/>
    <xf borderId="23" fillId="0" fontId="1" numFmtId="164" xfId="0" applyBorder="1" applyFont="1" applyNumberFormat="1"/>
    <xf borderId="0" fillId="0" fontId="1" numFmtId="2" xfId="0" applyAlignment="1" applyFont="1" applyNumberFormat="1">
      <alignment horizontal="center"/>
    </xf>
    <xf borderId="0" fillId="0" fontId="7" numFmtId="2" xfId="0" applyFont="1" applyNumberFormat="1"/>
    <xf borderId="0" fillId="0" fontId="7" numFmtId="171" xfId="0" applyFont="1" applyNumberFormat="1"/>
    <xf borderId="0" fillId="0" fontId="7" numFmtId="173" xfId="0" applyFont="1" applyNumberFormat="1"/>
    <xf borderId="0" fillId="0" fontId="7" numFmtId="166" xfId="0" applyFont="1" applyNumberFormat="1"/>
    <xf borderId="16" fillId="0" fontId="7" numFmtId="164" xfId="0" applyBorder="1" applyFont="1" applyNumberFormat="1"/>
    <xf borderId="17" fillId="0" fontId="1" numFmtId="164" xfId="0" applyBorder="1" applyFont="1" applyNumberFormat="1"/>
    <xf borderId="18" fillId="0" fontId="1" numFmtId="2" xfId="0" applyAlignment="1" applyBorder="1" applyFont="1" applyNumberFormat="1">
      <alignment horizontal="center"/>
    </xf>
    <xf borderId="0" fillId="0" fontId="22" numFmtId="166" xfId="0" applyFont="1" applyNumberFormat="1"/>
    <xf borderId="0" fillId="0" fontId="1" numFmtId="165" xfId="0" applyFont="1" applyNumberFormat="1"/>
    <xf borderId="0" fillId="3" fontId="1" numFmtId="164" xfId="0" applyBorder="1" applyFont="1" applyNumberFormat="1"/>
    <xf borderId="0" fillId="0" fontId="1" numFmtId="181" xfId="0" applyFont="1" applyNumberFormat="1"/>
    <xf borderId="0" fillId="0" fontId="27" numFmtId="164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21" numFmtId="169" xfId="0" applyFont="1" applyNumberFormat="1"/>
    <xf borderId="0" fillId="0" fontId="21" numFmtId="166" xfId="0" applyFont="1" applyNumberFormat="1"/>
    <xf borderId="0" fillId="0" fontId="1" numFmtId="182" xfId="0" applyFont="1" applyNumberFormat="1"/>
    <xf borderId="0" fillId="0" fontId="1" numFmtId="183" xfId="0" applyFont="1" applyNumberFormat="1"/>
    <xf borderId="0" fillId="0" fontId="7" numFmtId="183" xfId="0" applyFont="1" applyNumberFormat="1"/>
    <xf borderId="0" fillId="0" fontId="7" numFmtId="182" xfId="0" applyFont="1" applyNumberFormat="1"/>
    <xf borderId="0" fillId="0" fontId="7" numFmtId="165" xfId="0" applyFont="1" applyNumberFormat="1"/>
    <xf borderId="0" fillId="0" fontId="7" numFmtId="164" xfId="0" applyAlignment="1" applyFont="1" applyNumberFormat="1">
      <alignment horizontal="left"/>
    </xf>
    <xf borderId="16" fillId="0" fontId="1" numFmtId="164" xfId="0" applyAlignment="1" applyBorder="1" applyFont="1" applyNumberFormat="1">
      <alignment horizontal="left" vertical="top"/>
    </xf>
    <xf borderId="16" fillId="0" fontId="1" numFmtId="164" xfId="0" applyAlignment="1" applyBorder="1" applyFont="1" applyNumberFormat="1">
      <alignment vertical="top" wrapText="1"/>
    </xf>
    <xf borderId="0" fillId="0" fontId="28" numFmtId="164" xfId="0" applyAlignment="1" applyFont="1" applyNumberFormat="1">
      <alignment horizontal="left" wrapText="1"/>
    </xf>
    <xf borderId="0" fillId="0" fontId="29" numFmtId="164" xfId="0" applyAlignment="1" applyFont="1" applyNumberFormat="1">
      <alignment horizontal="left" wrapText="1"/>
    </xf>
    <xf borderId="0" fillId="6" fontId="1" numFmtId="164" xfId="0" applyBorder="1" applyFill="1" applyFont="1" applyNumberFormat="1"/>
    <xf borderId="0" fillId="0" fontId="22" numFmtId="164" xfId="0" applyFont="1" applyNumberFormat="1"/>
    <xf borderId="0" fillId="0" fontId="30" numFmtId="164" xfId="0" applyAlignment="1" applyFont="1" applyNumberFormat="1">
      <alignment vertical="top" wrapText="1"/>
    </xf>
    <xf borderId="0" fillId="0" fontId="1" numFmtId="164" xfId="0" applyAlignment="1" applyFont="1" applyNumberFormat="1">
      <alignment vertical="top"/>
    </xf>
    <xf borderId="0" fillId="0" fontId="1" numFmtId="164" xfId="0" applyAlignment="1" applyFont="1" applyNumberFormat="1">
      <alignment horizontal="left" vertical="top" wrapText="1"/>
    </xf>
    <xf borderId="0" fillId="0" fontId="21" numFmtId="164" xfId="0" applyAlignment="1" applyFont="1" applyNumberFormat="1">
      <alignment vertical="top"/>
    </xf>
    <xf borderId="0" fillId="0" fontId="1" numFmtId="164" xfId="0" applyAlignment="1" applyFont="1" applyNumberFormat="1">
      <alignment vertical="top" wrapText="1"/>
    </xf>
    <xf borderId="0" fillId="0" fontId="18" numFmtId="164" xfId="0" applyAlignment="1" applyFont="1" applyNumberFormat="1">
      <alignment vertical="top" wrapText="1"/>
    </xf>
    <xf borderId="0" fillId="0" fontId="16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 vertical="top"/>
    </xf>
    <xf borderId="0" fillId="0" fontId="31" numFmtId="164" xfId="0" applyFont="1" applyNumberFormat="1"/>
    <xf borderId="0" fillId="0" fontId="18" numFmtId="164" xfId="0" applyFont="1" applyNumberFormat="1"/>
    <xf borderId="0" fillId="2" fontId="16" numFmtId="164" xfId="0" applyBorder="1" applyFont="1" applyNumberFormat="1"/>
    <xf borderId="0" fillId="2" fontId="32" numFmtId="164" xfId="0" applyBorder="1" applyFont="1" applyNumberFormat="1"/>
    <xf borderId="1" fillId="0" fontId="33" numFmtId="164" xfId="0" applyBorder="1" applyFont="1" applyNumberFormat="1"/>
    <xf borderId="1" fillId="0" fontId="34" numFmtId="164" xfId="0" applyAlignment="1" applyBorder="1" applyFont="1" applyNumberFormat="1">
      <alignment horizontal="left"/>
    </xf>
    <xf borderId="0" fillId="4" fontId="16" numFmtId="166" xfId="0" applyBorder="1" applyFont="1" applyNumberFormat="1"/>
    <xf borderId="0" fillId="0" fontId="35" numFmtId="164" xfId="0" applyFont="1" applyNumberFormat="1"/>
    <xf borderId="0" fillId="0" fontId="18" numFmtId="164" xfId="0" applyAlignment="1" applyFont="1" applyNumberFormat="1">
      <alignment horizontal="right"/>
    </xf>
    <xf borderId="0" fillId="0" fontId="34" numFmtId="164" xfId="0" applyAlignment="1" applyFont="1" applyNumberFormat="1">
      <alignment horizontal="left"/>
    </xf>
    <xf borderId="0" fillId="0" fontId="34" numFmtId="164" xfId="0" applyAlignment="1" applyFont="1" applyNumberFormat="1">
      <alignment horizontal="right"/>
    </xf>
    <xf borderId="0" fillId="0" fontId="18" numFmtId="164" xfId="0" applyAlignment="1" applyFont="1" applyNumberFormat="1">
      <alignment horizontal="center"/>
    </xf>
    <xf borderId="0" fillId="0" fontId="1" numFmtId="38" xfId="0" applyAlignment="1" applyFont="1" applyNumberFormat="1">
      <alignment horizontal="right"/>
    </xf>
    <xf borderId="0" fillId="0" fontId="1" numFmtId="3" xfId="0" applyFont="1" applyNumberFormat="1"/>
    <xf borderId="0" fillId="0" fontId="1" numFmtId="38" xfId="0" applyFont="1" applyNumberFormat="1"/>
    <xf borderId="0" fillId="0" fontId="36" numFmtId="164" xfId="0" applyAlignment="1" applyFont="1" applyNumberFormat="1">
      <alignment horizontal="left"/>
    </xf>
    <xf borderId="0" fillId="0" fontId="34" numFmtId="164" xfId="0" applyFont="1" applyNumberFormat="1"/>
    <xf borderId="0" fillId="0" fontId="1" numFmtId="1" xfId="0" applyFont="1" applyNumberFormat="1"/>
    <xf borderId="0" fillId="0" fontId="1" numFmtId="184" xfId="0" applyFont="1" applyNumberFormat="1"/>
    <xf borderId="0" fillId="0" fontId="1" numFmtId="171" xfId="0" applyAlignment="1" applyFont="1" applyNumberFormat="1">
      <alignment horizontal="left"/>
    </xf>
    <xf borderId="0" fillId="4" fontId="1" numFmtId="3" xfId="0" applyBorder="1" applyFont="1" applyNumberFormat="1"/>
    <xf borderId="5" fillId="0" fontId="1" numFmtId="38" xfId="0" applyBorder="1" applyFont="1" applyNumberFormat="1"/>
    <xf borderId="5" fillId="0" fontId="1" numFmtId="164" xfId="0" applyAlignment="1" applyBorder="1" applyFont="1" applyNumberFormat="1">
      <alignment horizontal="left"/>
    </xf>
    <xf borderId="5" fillId="0" fontId="1" numFmtId="169" xfId="0" applyBorder="1" applyFont="1" applyNumberFormat="1"/>
    <xf borderId="5" fillId="0" fontId="1" numFmtId="168" xfId="0" applyBorder="1" applyFont="1" applyNumberFormat="1"/>
    <xf borderId="0" fillId="0" fontId="18" numFmtId="164" xfId="0" applyAlignment="1" applyFont="1" applyNumberFormat="1">
      <alignment horizontal="left"/>
    </xf>
    <xf borderId="0" fillId="4" fontId="18" numFmtId="164" xfId="0" applyAlignment="1" applyBorder="1" applyFont="1" applyNumberFormat="1">
      <alignment horizontal="center"/>
    </xf>
    <xf borderId="0" fillId="4" fontId="1" numFmtId="3" xfId="0" applyAlignment="1" applyBorder="1" applyFont="1" applyNumberFormat="1">
      <alignment horizontal="right"/>
    </xf>
    <xf borderId="5" fillId="0" fontId="18" numFmtId="164" xfId="0" applyAlignment="1" applyBorder="1" applyFont="1" applyNumberFormat="1">
      <alignment horizontal="right"/>
    </xf>
    <xf borderId="0" fillId="0" fontId="34" numFmtId="164" xfId="0" applyAlignment="1" applyFont="1" applyNumberFormat="1">
      <alignment horizontal="center"/>
    </xf>
    <xf borderId="0" fillId="0" fontId="1" numFmtId="177" xfId="0" applyFont="1" applyNumberFormat="1"/>
    <xf borderId="5" fillId="0" fontId="1" numFmtId="168" xfId="0" applyAlignment="1" applyBorder="1" applyFont="1" applyNumberFormat="1">
      <alignment horizontal="right"/>
    </xf>
    <xf borderId="5" fillId="0" fontId="1" numFmtId="177" xfId="0" applyBorder="1" applyFont="1" applyNumberFormat="1"/>
    <xf borderId="5" fillId="0" fontId="1" numFmtId="38" xfId="0" applyAlignment="1" applyBorder="1" applyFont="1" applyNumberFormat="1">
      <alignment horizontal="right"/>
    </xf>
    <xf borderId="9" fillId="4" fontId="1" numFmtId="164" xfId="0" applyBorder="1" applyFont="1" applyNumberFormat="1"/>
    <xf borderId="9" fillId="0" fontId="1" numFmtId="169" xfId="0" applyBorder="1" applyFont="1" applyNumberFormat="1"/>
    <xf borderId="2" fillId="0" fontId="1" numFmtId="38" xfId="0" applyBorder="1" applyFont="1" applyNumberFormat="1"/>
    <xf borderId="0" fillId="4" fontId="20" numFmtId="164" xfId="0" applyBorder="1" applyFont="1" applyNumberFormat="1"/>
    <xf borderId="0" fillId="4" fontId="1" numFmtId="166" xfId="0" applyAlignment="1" applyBorder="1" applyFont="1" applyNumberFormat="1">
      <alignment horizontal="center"/>
    </xf>
    <xf borderId="0" fillId="4" fontId="1" numFmtId="166" xfId="0" applyAlignment="1" applyBorder="1" applyFont="1" applyNumberFormat="1">
      <alignment horizontal="left"/>
    </xf>
    <xf borderId="0" fillId="4" fontId="16" numFmtId="166" xfId="0" applyAlignment="1" applyBorder="1" applyFont="1" applyNumberFormat="1">
      <alignment horizontal="left"/>
    </xf>
    <xf borderId="0" fillId="4" fontId="17" numFmtId="166" xfId="0" applyBorder="1" applyFont="1" applyNumberFormat="1"/>
    <xf borderId="0" fillId="4" fontId="37" numFmtId="164" xfId="0" applyBorder="1" applyFont="1" applyNumberFormat="1"/>
    <xf borderId="0" fillId="4" fontId="1" numFmtId="164" xfId="0" applyAlignment="1" applyBorder="1" applyFont="1" applyNumberFormat="1">
      <alignment horizontal="center"/>
    </xf>
    <xf borderId="0" fillId="4" fontId="38" numFmtId="164" xfId="0" applyBorder="1" applyFont="1" applyNumberFormat="1"/>
    <xf borderId="0" fillId="4" fontId="38" numFmtId="166" xfId="0" applyBorder="1" applyFont="1" applyNumberFormat="1"/>
    <xf borderId="0" fillId="4" fontId="7" numFmtId="166" xfId="0" applyBorder="1" applyFont="1" applyNumberFormat="1"/>
    <xf borderId="0" fillId="4" fontId="18" numFmtId="164" xfId="0" applyBorder="1" applyFont="1" applyNumberFormat="1"/>
    <xf borderId="0" fillId="4" fontId="1" numFmtId="169" xfId="0" applyBorder="1" applyFont="1" applyNumberFormat="1"/>
    <xf borderId="0" fillId="4" fontId="20" numFmtId="0" xfId="0" applyBorder="1" applyFont="1"/>
    <xf borderId="0" fillId="4" fontId="31" numFmtId="166" xfId="0" applyAlignment="1" applyBorder="1" applyFont="1" applyNumberFormat="1">
      <alignment vertical="center"/>
    </xf>
    <xf borderId="0" fillId="4" fontId="31" numFmtId="166" xfId="0" applyBorder="1" applyFont="1" applyNumberFormat="1"/>
    <xf borderId="0" fillId="4" fontId="7" numFmtId="166" xfId="0" applyAlignment="1" applyBorder="1" applyFont="1" applyNumberFormat="1">
      <alignment vertical="center"/>
    </xf>
    <xf borderId="0" fillId="4" fontId="21" numFmtId="166" xfId="0" applyBorder="1" applyFont="1" applyNumberFormat="1"/>
    <xf borderId="15" fillId="4" fontId="1" numFmtId="164" xfId="0" applyBorder="1" applyFont="1" applyNumberFormat="1"/>
    <xf borderId="12" fillId="4" fontId="1" numFmtId="164" xfId="0" applyAlignment="1" applyBorder="1" applyFont="1" applyNumberFormat="1">
      <alignment horizontal="center"/>
    </xf>
    <xf borderId="13" fillId="0" fontId="39" numFmtId="0" xfId="0" applyBorder="1" applyFont="1"/>
    <xf borderId="14" fillId="0" fontId="39" numFmtId="0" xfId="0" applyBorder="1" applyFont="1"/>
    <xf borderId="12" fillId="4" fontId="1" numFmtId="164" xfId="0" applyBorder="1" applyFont="1" applyNumberFormat="1"/>
    <xf borderId="15" fillId="4" fontId="1" numFmtId="164" xfId="0" applyAlignment="1" applyBorder="1" applyFont="1" applyNumberFormat="1">
      <alignment horizontal="center"/>
    </xf>
    <xf borderId="11" fillId="4" fontId="1" numFmtId="164" xfId="0" applyBorder="1" applyFont="1" applyNumberFormat="1"/>
    <xf borderId="11" fillId="4" fontId="1" numFmtId="164" xfId="0" applyAlignment="1" applyBorder="1" applyFont="1" applyNumberFormat="1">
      <alignment horizontal="center"/>
    </xf>
    <xf borderId="10" fillId="4" fontId="1" numFmtId="164" xfId="0" applyBorder="1" applyFont="1" applyNumberFormat="1"/>
    <xf borderId="10" fillId="4" fontId="1" numFmtId="164" xfId="0" applyAlignment="1" applyBorder="1" applyFont="1" applyNumberFormat="1">
      <alignment horizontal="center"/>
    </xf>
    <xf borderId="13" fillId="4" fontId="1" numFmtId="164" xfId="0" applyBorder="1" applyFont="1" applyNumberFormat="1"/>
    <xf borderId="13" fillId="4" fontId="1" numFmtId="164" xfId="0" applyAlignment="1" applyBorder="1" applyFont="1" applyNumberFormat="1">
      <alignment horizontal="center"/>
    </xf>
    <xf borderId="8" fillId="4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color rgb="FFFFFFFF"/>
      </font>
      <fill>
        <patternFill patternType="none"/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C0"/>
          <bgColor rgb="FFFFFFC0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Spec. Gasflow of PC kilns after preheater (wet, 4 % O2, 1.8 Nm3/kg cli cooler air)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'VA-1744'!$L$33:$L$38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'VA-1744'!$M$33:$M$38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'VA-1744'!$N$33:$N$38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'VA-1744'!$O$33:$O$38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297417"/>
        <c:axId val="444406730"/>
      </c:scatterChart>
      <c:valAx>
        <c:axId val="181929741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44406730"/>
      </c:valAx>
      <c:valAx>
        <c:axId val="44440673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spec. Gasflow [Nm3/kg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1929741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total specific heat consumption of Precalciner kilns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'VA-1744'!$C$63:$C$68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'VA-1744'!$C$74:$C$77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506314"/>
        <c:axId val="1744441848"/>
      </c:scatterChart>
      <c:valAx>
        <c:axId val="198950631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44441848"/>
      </c:valAx>
      <c:valAx>
        <c:axId val="174444184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spec. Heat cons. [MJ/kg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8950631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Gas temperatures of PC kilns after preheater and cooler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'VA-1744'!$E$63:$E$68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'VA-1744'!$E$74:$E$77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'VA-1744'!$H$63:$H$68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'VA-1744'!$H$74:$H$77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511130"/>
        <c:axId val="1139164578"/>
      </c:scatterChart>
      <c:valAx>
        <c:axId val="99051113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39164578"/>
      </c:valAx>
      <c:valAx>
        <c:axId val="113916457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temperature [Ci]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051113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15.png"/><Relationship Id="rId13" Type="http://schemas.openxmlformats.org/officeDocument/2006/relationships/image" Target="../media/image13.png"/><Relationship Id="rId12" Type="http://schemas.openxmlformats.org/officeDocument/2006/relationships/image" Target="../media/image09.png"/><Relationship Id="rId1" Type="http://schemas.openxmlformats.org/officeDocument/2006/relationships/image" Target="../media/image04.png"/><Relationship Id="rId2" Type="http://schemas.openxmlformats.org/officeDocument/2006/relationships/image" Target="../media/image02.png"/><Relationship Id="rId3" Type="http://schemas.openxmlformats.org/officeDocument/2006/relationships/image" Target="../media/image05.png"/><Relationship Id="rId4" Type="http://schemas.openxmlformats.org/officeDocument/2006/relationships/image" Target="../media/image07.png"/><Relationship Id="rId9" Type="http://schemas.openxmlformats.org/officeDocument/2006/relationships/image" Target="../media/image00.png"/><Relationship Id="rId15" Type="http://schemas.openxmlformats.org/officeDocument/2006/relationships/image" Target="../media/image14.png"/><Relationship Id="rId14" Type="http://schemas.openxmlformats.org/officeDocument/2006/relationships/image" Target="../media/image16.png"/><Relationship Id="rId17" Type="http://schemas.openxmlformats.org/officeDocument/2006/relationships/image" Target="../media/image11.png"/><Relationship Id="rId16" Type="http://schemas.openxmlformats.org/officeDocument/2006/relationships/image" Target="../media/image12.png"/><Relationship Id="rId5" Type="http://schemas.openxmlformats.org/officeDocument/2006/relationships/image" Target="../media/image01.png"/><Relationship Id="rId6" Type="http://schemas.openxmlformats.org/officeDocument/2006/relationships/image" Target="../media/image06.png"/><Relationship Id="rId18" Type="http://schemas.openxmlformats.org/officeDocument/2006/relationships/image" Target="../media/image17.png"/><Relationship Id="rId7" Type="http://schemas.openxmlformats.org/officeDocument/2006/relationships/image" Target="../media/image08.png"/><Relationship Id="rId8" Type="http://schemas.openxmlformats.org/officeDocument/2006/relationships/image" Target="../media/image03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40</xdr:col>
      <xdr:colOff>476250</xdr:colOff>
      <xdr:row>615</xdr:row>
      <xdr:rowOff>57150</xdr:rowOff>
    </xdr:from>
    <xdr:to>
      <xdr:col>41</xdr:col>
      <xdr:colOff>342900</xdr:colOff>
      <xdr:row>622</xdr:row>
      <xdr:rowOff>38100</xdr:rowOff>
    </xdr:to>
    <xdr:pic>
      <xdr:nvPicPr>
        <xdr:cNvPr id="0" name="image04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1114425"/>
        </a:xfrm>
        <a:prstGeom prst="rect">
          <a:avLst/>
        </a:prstGeom>
        <a:noFill/>
      </xdr:spPr>
    </xdr:pic>
    <xdr:clientData fLocksWithSheet="0"/>
  </xdr:twoCellAnchor>
  <xdr:twoCellAnchor>
    <xdr:from>
      <xdr:col>36</xdr:col>
      <xdr:colOff>76200</xdr:colOff>
      <xdr:row>604</xdr:row>
      <xdr:rowOff>95250</xdr:rowOff>
    </xdr:from>
    <xdr:to>
      <xdr:col>37</xdr:col>
      <xdr:colOff>323850</xdr:colOff>
      <xdr:row>611</xdr:row>
      <xdr:rowOff>133350</xdr:rowOff>
    </xdr:to>
    <xdr:pic>
      <xdr:nvPicPr>
        <xdr:cNvPr id="0" name="image02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71500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35</xdr:col>
      <xdr:colOff>247650</xdr:colOff>
      <xdr:row>579</xdr:row>
      <xdr:rowOff>19050</xdr:rowOff>
    </xdr:from>
    <xdr:to>
      <xdr:col>37</xdr:col>
      <xdr:colOff>9525</xdr:colOff>
      <xdr:row>582</xdr:row>
      <xdr:rowOff>133350</xdr:rowOff>
    </xdr:to>
    <xdr:pic>
      <xdr:nvPicPr>
        <xdr:cNvPr id="0" name="image05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619125" cy="600075"/>
        </a:xfrm>
        <a:prstGeom prst="rect">
          <a:avLst/>
        </a:prstGeom>
        <a:noFill/>
      </xdr:spPr>
    </xdr:pic>
    <xdr:clientData fLocksWithSheet="0"/>
  </xdr:twoCellAnchor>
  <xdr:twoCellAnchor>
    <xdr:from>
      <xdr:col>32</xdr:col>
      <xdr:colOff>247650</xdr:colOff>
      <xdr:row>579</xdr:row>
      <xdr:rowOff>38100</xdr:rowOff>
    </xdr:from>
    <xdr:to>
      <xdr:col>33</xdr:col>
      <xdr:colOff>38100</xdr:colOff>
      <xdr:row>581</xdr:row>
      <xdr:rowOff>57150</xdr:rowOff>
    </xdr:to>
    <xdr:pic>
      <xdr:nvPicPr>
        <xdr:cNvPr id="0" name="image07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323850" cy="3429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504825</xdr:colOff>
      <xdr:row>606</xdr:row>
      <xdr:rowOff>47625</xdr:rowOff>
    </xdr:from>
    <xdr:to>
      <xdr:col>40</xdr:col>
      <xdr:colOff>295275</xdr:colOff>
      <xdr:row>608</xdr:row>
      <xdr:rowOff>85725</xdr:rowOff>
    </xdr:to>
    <xdr:pic>
      <xdr:nvPicPr>
        <xdr:cNvPr id="0" name="image01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32385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190500</xdr:colOff>
      <xdr:row>0</xdr:row>
      <xdr:rowOff>57150</xdr:rowOff>
    </xdr:from>
    <xdr:to>
      <xdr:col>6</xdr:col>
      <xdr:colOff>857250</xdr:colOff>
      <xdr:row>0</xdr:row>
      <xdr:rowOff>361950</xdr:rowOff>
    </xdr:to>
    <xdr:pic>
      <xdr:nvPicPr>
        <xdr:cNvPr id="0" name="image06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666750" cy="304800"/>
        </a:xfrm>
        <a:prstGeom prst="rect">
          <a:avLst/>
        </a:prstGeom>
        <a:noFill/>
      </xdr:spPr>
    </xdr:pic>
    <xdr:clientData fLocksWithSheet="0"/>
  </xdr:twoCellAnchor>
  <xdr:twoCellAnchor>
    <xdr:from>
      <xdr:col>38</xdr:col>
      <xdr:colOff>152400</xdr:colOff>
      <xdr:row>577</xdr:row>
      <xdr:rowOff>57150</xdr:rowOff>
    </xdr:from>
    <xdr:to>
      <xdr:col>39</xdr:col>
      <xdr:colOff>152400</xdr:colOff>
      <xdr:row>579</xdr:row>
      <xdr:rowOff>66675</xdr:rowOff>
    </xdr:to>
    <xdr:pic>
      <xdr:nvPicPr>
        <xdr:cNvPr id="0" name="image08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323850" cy="3524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495300</xdr:colOff>
      <xdr:row>0</xdr:row>
      <xdr:rowOff>114300</xdr:rowOff>
    </xdr:from>
    <xdr:to>
      <xdr:col>8</xdr:col>
      <xdr:colOff>771525</xdr:colOff>
      <xdr:row>1</xdr:row>
      <xdr:rowOff>38100</xdr:rowOff>
    </xdr:to>
    <xdr:pic>
      <xdr:nvPicPr>
        <xdr:cNvPr id="0" name="image03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19062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25</xdr:col>
      <xdr:colOff>133350</xdr:colOff>
      <xdr:row>576</xdr:row>
      <xdr:rowOff>133350</xdr:rowOff>
    </xdr:from>
    <xdr:to>
      <xdr:col>27</xdr:col>
      <xdr:colOff>123825</xdr:colOff>
      <xdr:row>579</xdr:row>
      <xdr:rowOff>114300</xdr:rowOff>
    </xdr:to>
    <xdr:pic>
      <xdr:nvPicPr>
        <xdr:cNvPr id="0" name="image03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05727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247650</xdr:colOff>
      <xdr:row>588</xdr:row>
      <xdr:rowOff>0</xdr:rowOff>
    </xdr:from>
    <xdr:to>
      <xdr:col>28</xdr:col>
      <xdr:colOff>85725</xdr:colOff>
      <xdr:row>591</xdr:row>
      <xdr:rowOff>19050</xdr:rowOff>
    </xdr:to>
    <xdr:pic>
      <xdr:nvPicPr>
        <xdr:cNvPr id="0" name="image00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371475" cy="50482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19050</xdr:colOff>
      <xdr:row>599</xdr:row>
      <xdr:rowOff>152400</xdr:rowOff>
    </xdr:from>
    <xdr:to>
      <xdr:col>30</xdr:col>
      <xdr:colOff>9525</xdr:colOff>
      <xdr:row>602</xdr:row>
      <xdr:rowOff>38100</xdr:rowOff>
    </xdr:to>
    <xdr:pic>
      <xdr:nvPicPr>
        <xdr:cNvPr id="0" name="image15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1057275" cy="37147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19050</xdr:colOff>
      <xdr:row>599</xdr:row>
      <xdr:rowOff>57150</xdr:rowOff>
    </xdr:from>
    <xdr:to>
      <xdr:col>30</xdr:col>
      <xdr:colOff>9525</xdr:colOff>
      <xdr:row>602</xdr:row>
      <xdr:rowOff>95250</xdr:rowOff>
    </xdr:to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1057275" cy="523875"/>
        </a:xfrm>
        <a:prstGeom prst="rect">
          <a:avLst/>
        </a:prstGeom>
        <a:noFill/>
      </xdr:spPr>
    </xdr:pic>
    <xdr:clientData fLocksWithSheet="0"/>
  </xdr:twoCellAnchor>
  <xdr:twoCellAnchor>
    <xdr:from>
      <xdr:col>33</xdr:col>
      <xdr:colOff>247650</xdr:colOff>
      <xdr:row>616</xdr:row>
      <xdr:rowOff>0</xdr:rowOff>
    </xdr:from>
    <xdr:to>
      <xdr:col>35</xdr:col>
      <xdr:colOff>485775</xdr:colOff>
      <xdr:row>618</xdr:row>
      <xdr:rowOff>114300</xdr:rowOff>
    </xdr:to>
    <xdr:pic>
      <xdr:nvPicPr>
        <xdr:cNvPr id="0" name="image09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1304925" cy="438150"/>
        </a:xfrm>
        <a:prstGeom prst="rect">
          <a:avLst/>
        </a:prstGeom>
        <a:noFill/>
      </xdr:spPr>
    </xdr:pic>
    <xdr:clientData fLocksWithSheet="0"/>
  </xdr:twoCellAnchor>
  <xdr:twoCellAnchor>
    <xdr:from>
      <xdr:col>30</xdr:col>
      <xdr:colOff>352425</xdr:colOff>
      <xdr:row>582</xdr:row>
      <xdr:rowOff>0</xdr:rowOff>
    </xdr:from>
    <xdr:to>
      <xdr:col>30</xdr:col>
      <xdr:colOff>504825</xdr:colOff>
      <xdr:row>585</xdr:row>
      <xdr:rowOff>0</xdr:rowOff>
    </xdr:to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152400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390525</xdr:colOff>
      <xdr:row>605</xdr:row>
      <xdr:rowOff>85725</xdr:rowOff>
    </xdr:from>
    <xdr:to>
      <xdr:col>27</xdr:col>
      <xdr:colOff>9525</xdr:colOff>
      <xdr:row>606</xdr:row>
      <xdr:rowOff>85725</xdr:rowOff>
    </xdr:to>
    <xdr:pic>
      <xdr:nvPicPr>
        <xdr:cNvPr id="0" name="image16.png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381000</xdr:colOff>
      <xdr:row>582</xdr:row>
      <xdr:rowOff>19050</xdr:rowOff>
    </xdr:from>
    <xdr:to>
      <xdr:col>27</xdr:col>
      <xdr:colOff>0</xdr:colOff>
      <xdr:row>583</xdr:row>
      <xdr:rowOff>19050</xdr:rowOff>
    </xdr:to>
    <xdr:pic>
      <xdr:nvPicPr>
        <xdr:cNvPr id="0" name="image14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37</xdr:col>
      <xdr:colOff>161925</xdr:colOff>
      <xdr:row>592</xdr:row>
      <xdr:rowOff>57150</xdr:rowOff>
    </xdr:from>
    <xdr:to>
      <xdr:col>38</xdr:col>
      <xdr:colOff>209550</xdr:colOff>
      <xdr:row>596</xdr:row>
      <xdr:rowOff>19050</xdr:rowOff>
    </xdr:to>
    <xdr:pic>
      <xdr:nvPicPr>
        <xdr:cNvPr id="0" name="image12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581025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85725</xdr:colOff>
      <xdr:row>591</xdr:row>
      <xdr:rowOff>152400</xdr:rowOff>
    </xdr:from>
    <xdr:to>
      <xdr:col>39</xdr:col>
      <xdr:colOff>390525</xdr:colOff>
      <xdr:row>594</xdr:row>
      <xdr:rowOff>28575</xdr:rowOff>
    </xdr:to>
    <xdr:pic>
      <xdr:nvPicPr>
        <xdr:cNvPr id="0" name="image11.png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x="30480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133350</xdr:colOff>
      <xdr:row>588</xdr:row>
      <xdr:rowOff>0</xdr:rowOff>
    </xdr:from>
    <xdr:to>
      <xdr:col>27</xdr:col>
      <xdr:colOff>485775</xdr:colOff>
      <xdr:row>591</xdr:row>
      <xdr:rowOff>19050</xdr:rowOff>
    </xdr:to>
    <xdr:pic>
      <xdr:nvPicPr>
        <xdr:cNvPr id="0" name="image17.png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x="352425" cy="5048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276225</xdr:colOff>
      <xdr:row>0</xdr:row>
      <xdr:rowOff>95250</xdr:rowOff>
    </xdr:from>
    <xdr:to>
      <xdr:col>14</xdr:col>
      <xdr:colOff>228600</xdr:colOff>
      <xdr:row>3</xdr:row>
      <xdr:rowOff>114300</xdr:rowOff>
    </xdr:to>
    <xdr:pic>
      <xdr:nvPicPr>
        <xdr:cNvPr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19175" cy="504825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85725</xdr:colOff>
      <xdr:row>26</xdr:row>
      <xdr:rowOff>57150</xdr:rowOff>
    </xdr:from>
    <xdr:to>
      <xdr:col>8</xdr:col>
      <xdr:colOff>438150</xdr:colOff>
      <xdr:row>56</xdr:row>
      <xdr:rowOff>76200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514350</xdr:colOff>
      <xdr:row>59</xdr:row>
      <xdr:rowOff>0</xdr:rowOff>
    </xdr:from>
    <xdr:to>
      <xdr:col>7</xdr:col>
      <xdr:colOff>514350</xdr:colOff>
      <xdr:row>89</xdr:row>
      <xdr:rowOff>0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0</xdr:colOff>
      <xdr:row>59</xdr:row>
      <xdr:rowOff>0</xdr:rowOff>
    </xdr:from>
    <xdr:to>
      <xdr:col>16</xdr:col>
      <xdr:colOff>314325</xdr:colOff>
      <xdr:row>89</xdr:row>
      <xdr:rowOff>0</xdr:rowOff>
    </xdr:to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ultitran.ru/cgi-bin/MtSrv.exe?q=&#1088;&#1091;&#1089;&#1089;&#1082;&#1080;&#1081;&amp;SP=1&amp;SL=1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31.86"/>
    <col customWidth="1" min="3" max="9" width="13.71"/>
    <col customWidth="1" min="10" max="10" width="8.0"/>
    <col customWidth="1" min="11" max="11" width="13.0"/>
    <col customWidth="1" min="12" max="12" width="13.29"/>
    <col customWidth="1" min="13" max="14" width="9.57"/>
    <col customWidth="1" min="15" max="15" width="10.43"/>
    <col customWidth="1" min="16" max="21" width="8.0"/>
    <col customWidth="1" min="22" max="22" width="10.43"/>
    <col customWidth="1" min="23" max="36" width="8.0"/>
    <col customWidth="1" min="37" max="37" width="4.86"/>
    <col customWidth="1" min="38" max="38" width="8.0"/>
    <col customWidth="1" min="39" max="39" width="4.86"/>
    <col customWidth="1" min="40" max="43" width="8.0"/>
  </cols>
  <sheetData>
    <row r="1" ht="49.5" customHeight="1">
      <c r="A1" s="1"/>
      <c r="B1" s="2" t="str">
        <f t="array" ref="B1">CONCATENATE(INDEX(array1,1,arrayindex)," - ",INDEX(array1,103,arrayindex))</f>
        <v>Heat balance - Ball mill</v>
      </c>
      <c r="C1" s="3"/>
      <c r="D1" s="3"/>
      <c r="E1" s="3" t="str">
        <f>CONCATENATE(D52,", ",TEXT(feedh2o,"0.0")," % H2O, ",C6)</f>
        <v>DS4, 2.6 % H2O, 2-fan system</v>
      </c>
      <c r="F1" s="4"/>
      <c r="G1" s="4"/>
      <c r="H1" s="4"/>
      <c r="I1" s="4"/>
      <c r="J1" s="5" t="s">
        <v>0</v>
      </c>
      <c r="K1" s="5"/>
      <c r="L1" s="5"/>
      <c r="M1" s="6"/>
      <c r="N1" s="7"/>
      <c r="O1" s="7"/>
      <c r="P1" s="7"/>
      <c r="Q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M1" s="1"/>
    </row>
    <row r="2" ht="9.75" customHeight="1">
      <c r="A2" s="4"/>
      <c r="B2" s="8"/>
      <c r="C2" s="9"/>
      <c r="D2" s="10"/>
      <c r="E2" s="10"/>
      <c r="F2" s="10"/>
      <c r="G2" s="10"/>
      <c r="H2" s="10"/>
      <c r="I2" s="4"/>
      <c r="J2" s="11"/>
      <c r="K2" s="11"/>
      <c r="L2" s="11"/>
      <c r="M2" s="6"/>
      <c r="N2" s="7"/>
      <c r="O2" s="7"/>
      <c r="P2" s="7"/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M2" s="1"/>
    </row>
    <row r="3" ht="15.0" customHeight="1">
      <c r="A3" s="12"/>
      <c r="B3" s="13" t="str">
        <f t="array" ref="B3">INDEX(array1,2,arrayindex)</f>
        <v>Plant:</v>
      </c>
      <c r="C3" s="14" t="s">
        <v>1</v>
      </c>
      <c r="D3" s="15"/>
      <c r="E3" s="15"/>
      <c r="F3" s="15"/>
      <c r="G3" s="15"/>
      <c r="H3" s="16" t="str">
        <f t="array" ref="H3">INDEX(array1,3,arrayindex)</f>
        <v>Date:</v>
      </c>
      <c r="I3" s="17">
        <v>40817.0</v>
      </c>
      <c r="J3" s="6"/>
      <c r="K3" s="6"/>
      <c r="L3" s="6"/>
      <c r="M3" s="6"/>
      <c r="N3" s="6"/>
      <c r="O3" s="7"/>
      <c r="P3" s="7"/>
      <c r="Q3" s="7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9"/>
      <c r="AJ3" s="4"/>
      <c r="AK3" s="4"/>
      <c r="AM3" s="1"/>
    </row>
    <row r="4" ht="15.0" customHeight="1">
      <c r="A4" s="20"/>
      <c r="B4" s="21" t="str">
        <f t="array" ref="B4">INDEX(array1,4,arrayindex)</f>
        <v>Equipment:</v>
      </c>
      <c r="C4" s="22" t="s">
        <v>2</v>
      </c>
      <c r="D4" s="4"/>
      <c r="E4" s="4"/>
      <c r="F4" s="4"/>
      <c r="G4" s="4"/>
      <c r="H4" s="21" t="str">
        <f t="array" ref="H4">INDEX(array1,5,arrayindex)</f>
        <v>Visa:</v>
      </c>
      <c r="I4" s="23" t="s">
        <v>3</v>
      </c>
      <c r="J4" s="6"/>
      <c r="K4" s="6"/>
      <c r="L4" s="6"/>
      <c r="M4" s="6"/>
      <c r="N4" s="6"/>
      <c r="O4" s="6"/>
      <c r="P4" s="6"/>
      <c r="Q4" s="6"/>
      <c r="R4" s="18"/>
      <c r="S4" s="18"/>
      <c r="T4" s="24"/>
      <c r="U4" s="25"/>
      <c r="V4" s="24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  <c r="AJ4" s="4"/>
      <c r="AK4" s="4"/>
      <c r="AM4" s="1"/>
    </row>
    <row r="5" ht="13.5" customHeight="1">
      <c r="A5" s="12"/>
      <c r="B5" s="26" t="str">
        <f t="array" ref="B5">INDEX(array1,6,arrayindex)</f>
        <v>Mill type</v>
      </c>
      <c r="C5" s="27" t="s">
        <v>4</v>
      </c>
      <c r="D5" s="26"/>
      <c r="E5" s="28" t="str">
        <f t="array" ref="E5">INDEX(array1,9,arrayindex)</f>
        <v>Mill size</v>
      </c>
      <c r="F5" s="29" t="s">
        <v>5</v>
      </c>
      <c r="G5" s="30"/>
      <c r="H5" s="26" t="str">
        <f t="array" ref="H5">INDEX(array1,108,arrayindex)</f>
        <v>Mill dimensions</v>
      </c>
      <c r="I5" s="31"/>
      <c r="J5" s="6"/>
      <c r="K5" s="6"/>
      <c r="L5" s="6"/>
      <c r="M5" s="6"/>
      <c r="N5" s="6"/>
      <c r="O5" s="6"/>
      <c r="P5" s="6"/>
      <c r="Q5" s="6"/>
      <c r="R5" s="32"/>
      <c r="S5" s="32"/>
      <c r="T5" s="32"/>
      <c r="U5" s="33"/>
      <c r="V5" s="34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19"/>
      <c r="AJ5" s="35"/>
      <c r="AK5" s="35"/>
      <c r="AM5" s="1"/>
    </row>
    <row r="6" ht="13.5" customHeight="1">
      <c r="A6" s="20"/>
      <c r="B6" s="36" t="str">
        <f t="array" ref="B6">INDEX(array1,7,arrayindex)</f>
        <v>System</v>
      </c>
      <c r="C6" s="37" t="str">
        <f t="array" ref="C6">INDEX(system_sel_text,_system+1)</f>
        <v>2-fan system</v>
      </c>
      <c r="D6" s="36"/>
      <c r="E6" s="38" t="str">
        <f t="array" ref="E6">INDEX(array1,10,arrayindex)</f>
        <v>Supplier</v>
      </c>
      <c r="F6" s="39" t="s">
        <v>6</v>
      </c>
      <c r="G6" s="40"/>
      <c r="H6" s="37" t="str">
        <f t="array" ref="H6">INDEX(array1,104,arrayindex)</f>
        <v>Diameter</v>
      </c>
      <c r="I6" s="41">
        <v>4.4</v>
      </c>
      <c r="J6" s="6"/>
      <c r="K6" s="6"/>
      <c r="L6" s="6"/>
      <c r="M6" s="42"/>
      <c r="N6" s="6"/>
      <c r="O6" s="6"/>
      <c r="P6" s="6"/>
      <c r="Q6" s="6"/>
      <c r="R6" s="32"/>
      <c r="S6" s="32"/>
      <c r="T6" s="32"/>
      <c r="U6" s="33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19"/>
      <c r="AJ6" s="35"/>
      <c r="AK6" s="35"/>
      <c r="AM6" s="1"/>
    </row>
    <row r="7" ht="13.5" customHeight="1">
      <c r="A7" s="20"/>
      <c r="B7" s="36" t="str">
        <f t="array" ref="B7">INDEX(array1,17,arrayindex)</f>
        <v>Separator</v>
      </c>
      <c r="C7" s="37" t="str">
        <f t="array" ref="C7">INDEX(septype_text,septype+1)</f>
        <v>3rd generation</v>
      </c>
      <c r="D7" s="36"/>
      <c r="E7" s="38" t="str">
        <f t="array" ref="E7">INDEX(array1,106,arrayindex)</f>
        <v>circulating load</v>
      </c>
      <c r="F7" s="43">
        <v>3.0</v>
      </c>
      <c r="G7" s="40"/>
      <c r="H7" s="37" t="str">
        <f t="array" ref="H7">INDEX(array1,105,arrayindex)</f>
        <v>Length</v>
      </c>
      <c r="I7" s="44">
        <v>14.5</v>
      </c>
      <c r="J7" s="6"/>
      <c r="K7" s="6"/>
      <c r="L7" s="6"/>
      <c r="M7" s="42"/>
      <c r="N7" s="6"/>
      <c r="O7" s="6"/>
      <c r="P7" s="6"/>
      <c r="Q7" s="6"/>
      <c r="R7" s="32"/>
      <c r="S7" s="32"/>
      <c r="T7" s="32"/>
      <c r="U7" s="3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19"/>
      <c r="AJ7" s="35"/>
      <c r="AK7" s="35"/>
      <c r="AM7" s="1"/>
    </row>
    <row r="8" ht="13.5" customHeight="1">
      <c r="A8" s="20"/>
      <c r="B8" s="36" t="str">
        <f t="array" ref="B8">INDEX(array1,98,arrayindex)</f>
        <v>Discharge</v>
      </c>
      <c r="C8" s="37" t="str">
        <f t="array" ref="C8">INDEX(array1,98+_disch+1,arrayindex)</f>
        <v>End discharge</v>
      </c>
      <c r="D8" s="36"/>
      <c r="E8" s="36"/>
      <c r="F8" s="36"/>
      <c r="G8" s="40"/>
      <c r="H8" s="37"/>
      <c r="I8" s="45"/>
      <c r="J8" s="6"/>
      <c r="K8" s="6"/>
      <c r="L8" s="6"/>
      <c r="M8" s="42"/>
      <c r="N8" s="6"/>
      <c r="O8" s="6"/>
      <c r="P8" s="6"/>
      <c r="Q8" s="6"/>
      <c r="R8" s="32"/>
      <c r="S8" s="32"/>
      <c r="T8" s="32"/>
      <c r="U8" s="33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19"/>
      <c r="AJ8" s="35"/>
      <c r="AK8" s="35"/>
      <c r="AM8" s="1"/>
    </row>
    <row r="9" ht="13.5" customHeight="1">
      <c r="A9" s="20"/>
      <c r="B9" s="36" t="str">
        <f t="array" ref="B9">INDEX(array1,8,arrayindex)</f>
        <v>Plant altitude </v>
      </c>
      <c r="C9" s="46">
        <v>540.0</v>
      </c>
      <c r="D9" s="36" t="str">
        <f t="array" ref="D9">INDEX(array1,60,arrayindex)</f>
        <v> m above sea level</v>
      </c>
      <c r="E9" s="36"/>
      <c r="F9" s="36"/>
      <c r="G9" s="36"/>
      <c r="H9" s="36"/>
      <c r="I9" s="45"/>
      <c r="J9" s="6"/>
      <c r="K9" s="6"/>
      <c r="L9" s="6"/>
      <c r="M9" s="6"/>
      <c r="N9" s="6"/>
      <c r="O9" s="6"/>
      <c r="P9" s="6"/>
      <c r="Q9" s="6"/>
      <c r="R9" s="4"/>
      <c r="S9" s="4"/>
      <c r="T9" s="32"/>
      <c r="U9" s="3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M9" s="1"/>
    </row>
    <row r="10" ht="13.5" customHeight="1">
      <c r="A10" s="12"/>
      <c r="B10" s="26" t="str">
        <f t="array" ref="B10">INDEX(array1,11,arrayindex)</f>
        <v>Material type</v>
      </c>
      <c r="C10" s="47"/>
      <c r="D10" s="48" t="str">
        <f t="array" ref="D10">INDEX(array1,14,arrayindex)</f>
        <v>Feed</v>
      </c>
      <c r="E10" s="48" t="str">
        <f t="array" ref="E10">INDEX(array1,15,arrayindex)</f>
        <v>Humidity</v>
      </c>
      <c r="F10" s="48" t="str">
        <f t="array" ref="F10">INDEX(array1,32,arrayindex)</f>
        <v>Temperature</v>
      </c>
      <c r="G10" s="48" t="str">
        <f t="array" ref="G10">INDEX(array1,93,arrayindex)</f>
        <v>Composition</v>
      </c>
      <c r="H10" s="48" t="str">
        <f t="array" ref="H10">INDEX(array1,93,arrayindex)</f>
        <v>Composition</v>
      </c>
      <c r="I10" s="49" t="s">
        <v>7</v>
      </c>
      <c r="J10" s="50" t="str">
        <f>filename(NOW())</f>
        <v>#NAME?</v>
      </c>
      <c r="K10" s="51"/>
      <c r="L10" s="51"/>
      <c r="M10" s="51"/>
      <c r="N10" s="51"/>
      <c r="O10" s="51"/>
      <c r="P10" s="52"/>
      <c r="Q10" s="52"/>
      <c r="R10" s="35"/>
      <c r="S10" s="35"/>
      <c r="T10" s="32"/>
      <c r="U10" s="33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4"/>
      <c r="AI10" s="19"/>
      <c r="AJ10" s="4"/>
      <c r="AK10" s="4"/>
      <c r="AM10" s="1"/>
    </row>
    <row r="11" ht="13.5" customHeight="1">
      <c r="A11" s="20"/>
      <c r="B11" s="36"/>
      <c r="C11" s="37"/>
      <c r="D11" s="53" t="s">
        <v>8</v>
      </c>
      <c r="E11" s="53" t="s">
        <v>9</v>
      </c>
      <c r="F11" s="53" t="s">
        <v>10</v>
      </c>
      <c r="G11" s="53" t="str">
        <f t="array" ref="G11">INDEX(array1,94+_comp_base,arrayindex)</f>
        <v>% (wet)</v>
      </c>
      <c r="H11" s="53" t="str">
        <f t="array" ref="H11">INDEX(array1,95-_comp_base,arrayindex)</f>
        <v>% (dry)</v>
      </c>
      <c r="I11" s="54" t="s">
        <v>11</v>
      </c>
      <c r="J11" s="55" t="s">
        <v>12</v>
      </c>
      <c r="K11" s="51"/>
      <c r="L11" s="51"/>
      <c r="M11" s="51"/>
      <c r="N11" s="51"/>
      <c r="O11" s="51"/>
      <c r="P11" s="52"/>
      <c r="Q11" s="52"/>
      <c r="R11" s="35"/>
      <c r="S11" s="35"/>
      <c r="T11" s="32"/>
      <c r="U11" s="3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4"/>
      <c r="AI11" s="19"/>
      <c r="AJ11" s="35"/>
      <c r="AK11" s="35"/>
      <c r="AM11" s="1"/>
    </row>
    <row r="12" ht="15.75" customHeight="1">
      <c r="A12" s="20"/>
      <c r="B12" s="36" t="str">
        <f t="array" ref="B12">INDEX(array2,matindex1,arrayindex)</f>
        <v>Clinker</v>
      </c>
      <c r="C12" s="36"/>
      <c r="D12" s="56" t="str">
        <f t="array" ref="D12">prod_wet*INDEX(comp_wet,1)/100</f>
        <v>60.9 </v>
      </c>
      <c r="E12" s="57">
        <v>0.0</v>
      </c>
      <c r="F12" s="58">
        <v>130.0</v>
      </c>
      <c r="G12" s="57">
        <v>54.0</v>
      </c>
      <c r="H12" s="59" t="str">
        <f t="array" ref="H12">IF(_comp_base=0,INDEX(comp_dry,1),INDEX(comp_wet,1))</f>
        <v>55.42 </v>
      </c>
      <c r="I12" s="60" t="str">
        <f>cpSol(feedtemp1,volatiles_coal,matindex1)</f>
        <v>#NAME?</v>
      </c>
      <c r="J12" s="61" t="s">
        <v>13</v>
      </c>
      <c r="K12" s="51"/>
      <c r="L12" s="51"/>
      <c r="M12" s="51"/>
      <c r="N12" s="51"/>
      <c r="O12" s="51"/>
      <c r="P12" s="52"/>
      <c r="Q12" s="52"/>
      <c r="R12" s="35"/>
      <c r="S12" s="35"/>
      <c r="T12" s="32"/>
      <c r="U12" s="33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4"/>
      <c r="AI12" s="19"/>
      <c r="AJ12" s="35"/>
      <c r="AK12" s="35"/>
      <c r="AM12" s="1"/>
    </row>
    <row r="13" ht="15.75" customHeight="1">
      <c r="A13" s="20"/>
      <c r="B13" s="37" t="str">
        <f t="array" ref="B13">INDEX(array2,matindex2,arrayindex)</f>
        <v>Slag</v>
      </c>
      <c r="C13" s="36"/>
      <c r="D13" s="62" t="str">
        <f t="array" ref="D13">prod_wet*INDEX(comp_wet,2)/100</f>
        <v>45.1 </v>
      </c>
      <c r="E13" s="57">
        <v>5.5</v>
      </c>
      <c r="F13" s="58">
        <v>20.0</v>
      </c>
      <c r="G13" s="57">
        <v>40.0</v>
      </c>
      <c r="H13" s="59" t="str">
        <f t="array" ref="H13">IF(_comp_base=0,INDEX(comp_dry,2),INDEX(comp_wet,2))</f>
        <v>38.79 </v>
      </c>
      <c r="I13" s="63" t="str">
        <f>cpSol(feedtemp2,volatiles_coal,matindex2)</f>
        <v>#NAME?</v>
      </c>
      <c r="J13" s="50" t="s">
        <v>14</v>
      </c>
      <c r="K13" s="51"/>
      <c r="L13" s="51"/>
      <c r="M13" s="51"/>
      <c r="N13" s="51"/>
      <c r="O13" s="64"/>
      <c r="P13" s="52"/>
      <c r="Q13" s="52"/>
      <c r="R13" s="35"/>
      <c r="S13" s="35"/>
      <c r="T13" s="32"/>
      <c r="U13" s="33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4"/>
      <c r="AI13" s="19"/>
      <c r="AJ13" s="35"/>
      <c r="AK13" s="35"/>
      <c r="AM13" s="1"/>
    </row>
    <row r="14" ht="15.75" customHeight="1">
      <c r="A14" s="20"/>
      <c r="B14" s="37" t="str">
        <f t="array" ref="B14">INDEX(array2,matindex3,arrayindex)</f>
        <v>Gypsum</v>
      </c>
      <c r="C14" s="36"/>
      <c r="D14" s="62" t="str">
        <f t="array" ref="D14">prod_wet*INDEX(comp_wet,3)/100</f>
        <v>6.8 </v>
      </c>
      <c r="E14" s="57">
        <v>6.0</v>
      </c>
      <c r="F14" s="58">
        <v>20.0</v>
      </c>
      <c r="G14" s="57">
        <v>6.0</v>
      </c>
      <c r="H14" s="59" t="str">
        <f t="array" ref="H14">IF(_comp_base=0,INDEX(comp_dry,3),INDEX(comp_wet,3))</f>
        <v>5.79 </v>
      </c>
      <c r="I14" s="63" t="str">
        <f>cpSol(feedtemp3,volatiles_coal,matindex3)</f>
        <v>#NAME?</v>
      </c>
      <c r="J14" s="50" t="s">
        <v>15</v>
      </c>
      <c r="K14" s="51"/>
      <c r="L14" s="51"/>
      <c r="M14" s="51"/>
      <c r="N14" s="51"/>
      <c r="O14" s="51"/>
      <c r="P14" s="52"/>
      <c r="Q14" s="52"/>
      <c r="R14" s="35"/>
      <c r="S14" s="35"/>
      <c r="T14" s="32"/>
      <c r="U14" s="33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"/>
      <c r="AI14" s="19"/>
      <c r="AJ14" s="35"/>
      <c r="AK14" s="35"/>
      <c r="AM14" s="1"/>
    </row>
    <row r="15" ht="15.75" customHeight="1">
      <c r="A15" s="20"/>
      <c r="B15" s="37" t="str">
        <f t="array" ref="B15">INDEX(array2,matindex4,arrayindex)</f>
        <v/>
      </c>
      <c r="C15" s="36"/>
      <c r="D15" s="62" t="str">
        <f t="array" ref="D15">prod_wet*INDEX(comp_wet,4)/100</f>
        <v/>
      </c>
      <c r="E15" s="57">
        <v>18.0</v>
      </c>
      <c r="F15" s="58">
        <v>20.0</v>
      </c>
      <c r="G15" s="57">
        <v>0.0</v>
      </c>
      <c r="H15" s="59" t="str">
        <f t="array" ref="H15">IF(_comp_base=0,INDEX(comp_dry,4),INDEX(comp_wet,4))</f>
        <v>0.00 </v>
      </c>
      <c r="I15" s="63" t="str">
        <f>cpSol(feedtemp4,volatiles_coal,matindex4)</f>
        <v>#NAME?</v>
      </c>
      <c r="J15" s="50" t="s">
        <v>16</v>
      </c>
      <c r="K15" s="51"/>
      <c r="L15" s="51"/>
      <c r="M15" s="51"/>
      <c r="N15" s="51"/>
      <c r="O15" s="51"/>
      <c r="P15" s="52"/>
      <c r="Q15" s="52"/>
      <c r="R15" s="35"/>
      <c r="S15" s="35"/>
      <c r="T15" s="32"/>
      <c r="U15" s="33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4"/>
      <c r="AI15" s="19"/>
      <c r="AJ15" s="35"/>
      <c r="AK15" s="35"/>
      <c r="AM15" s="1"/>
    </row>
    <row r="16" ht="15.75" customHeight="1">
      <c r="A16" s="65"/>
      <c r="B16" s="37" t="str">
        <f t="array" ref="B16">INDEX(array2,matindex5,arrayindex)</f>
        <v/>
      </c>
      <c r="C16" s="36"/>
      <c r="D16" s="62" t="str">
        <f t="array" ref="D16">prod_wet*INDEX(comp_wet,5)/100</f>
        <v/>
      </c>
      <c r="E16" s="57">
        <v>0.2</v>
      </c>
      <c r="F16" s="58">
        <v>30.0</v>
      </c>
      <c r="G16" s="57">
        <v>0.0</v>
      </c>
      <c r="H16" s="59" t="str">
        <f t="array" ref="H16">IF(_comp_base=0,INDEX(comp_dry,5),INDEX(comp_wet,5))</f>
        <v>0.00 </v>
      </c>
      <c r="I16" s="66" t="str">
        <f>cpSol(feedtemp5,volatiles_coal,matindex5)</f>
        <v>#NAME?</v>
      </c>
      <c r="J16" s="50" t="str">
        <f t="array" ref="J16">CONCATENATE("Feed composition refers to ",INDEX(_comp_text,_comp_base+1)," material")</f>
        <v>Feed composition refers to wet material</v>
      </c>
      <c r="K16" s="51"/>
      <c r="L16" s="51"/>
      <c r="M16" s="51"/>
      <c r="N16" s="51"/>
      <c r="O16" s="51"/>
      <c r="P16" s="52"/>
      <c r="Q16" s="52"/>
      <c r="R16" s="35"/>
      <c r="S16" s="35"/>
      <c r="T16" s="32"/>
      <c r="U16" s="33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4"/>
      <c r="AI16" s="19"/>
      <c r="AJ16" s="35"/>
      <c r="AK16" s="35"/>
      <c r="AM16" s="1"/>
    </row>
    <row r="17" ht="13.5" customHeight="1">
      <c r="A17" s="20"/>
      <c r="B17" s="26" t="str">
        <f t="array" ref="B17">INDEX(array1,12,arrayindex)</f>
        <v>Mill feed rate wet</v>
      </c>
      <c r="C17" s="26"/>
      <c r="D17" s="67" t="str">
        <f>prod_dry*(100-prodh2o)/(100-feedh2o)</f>
        <v>112.8 </v>
      </c>
      <c r="E17" s="68" t="str">
        <f>SUMPRODUCT(H2O_in_feed,comp_wet)/100</f>
        <v>2.56 </v>
      </c>
      <c r="F17" s="69" t="str">
        <f>calc_feedtemp(D12:H16,matindex1:matindex5,5,volatiles_coal,prodtemp)</f>
        <v>#NAME?</v>
      </c>
      <c r="G17" s="70" t="str">
        <f t="shared" ref="G17:H17" si="1">SUM(G12:G16)</f>
        <v>100.0</v>
      </c>
      <c r="H17" s="68" t="str">
        <f t="shared" si="1"/>
        <v>100.00 </v>
      </c>
      <c r="I17" s="71" t="str">
        <f t="array" ref="I17">INDEX(calc_feedtemp(D12:H16,matindex1:matindex5,5,volatiles_coal,prodtemp),2)</f>
        <v>#REF!</v>
      </c>
      <c r="J17" s="50" t="s">
        <v>17</v>
      </c>
      <c r="K17" s="51"/>
      <c r="L17" s="51"/>
      <c r="M17" s="51"/>
      <c r="N17" s="51"/>
      <c r="O17" s="51"/>
      <c r="P17" s="72"/>
      <c r="Q17" s="72"/>
      <c r="R17" s="73"/>
      <c r="S17" s="73"/>
      <c r="T17" s="32"/>
      <c r="U17" s="3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4"/>
      <c r="AI17" s="75"/>
      <c r="AJ17" s="73"/>
      <c r="AK17" s="73"/>
      <c r="AM17" s="1"/>
    </row>
    <row r="18" ht="13.5" customHeight="1">
      <c r="A18" s="65"/>
      <c r="B18" s="76" t="str">
        <f t="array" ref="B18">INDEX(array1,123,arrayindex)</f>
        <v>Production</v>
      </c>
      <c r="C18" s="76"/>
      <c r="D18" s="77">
        <v>110.0</v>
      </c>
      <c r="E18" s="78">
        <v>0.1</v>
      </c>
      <c r="F18" s="79">
        <v>90.0</v>
      </c>
      <c r="G18" s="80"/>
      <c r="H18" s="80"/>
      <c r="I18" s="81"/>
      <c r="J18" s="8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K18" s="51"/>
      <c r="L18" s="51"/>
      <c r="M18" s="51"/>
      <c r="N18" s="51"/>
      <c r="O18" s="51"/>
      <c r="P18" s="83"/>
      <c r="Q18" s="83"/>
      <c r="R18" s="84"/>
      <c r="S18" s="84"/>
      <c r="T18" s="32"/>
      <c r="U18" s="33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4"/>
      <c r="AI18" s="19"/>
      <c r="AJ18" s="35"/>
      <c r="AK18" s="35"/>
      <c r="AM18" s="1"/>
    </row>
    <row r="19" ht="13.5" customHeight="1">
      <c r="A19" s="85"/>
      <c r="B19" s="86"/>
      <c r="C19" s="86"/>
      <c r="D19" s="87"/>
      <c r="E19" s="86"/>
      <c r="F19" s="86"/>
      <c r="G19" s="86"/>
      <c r="H19" s="86"/>
      <c r="I19" s="88"/>
      <c r="J19" s="61"/>
      <c r="K19" s="51"/>
      <c r="L19" s="51"/>
      <c r="M19" s="51"/>
      <c r="N19" s="51"/>
      <c r="O19" s="51"/>
      <c r="P19" s="51"/>
      <c r="Q19" s="51"/>
      <c r="R19" s="4"/>
      <c r="S19" s="4"/>
      <c r="T19" s="32"/>
      <c r="U19" s="3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M19" s="1"/>
    </row>
    <row r="20" ht="13.5" customHeight="1">
      <c r="A20" s="20"/>
      <c r="B20" s="36"/>
      <c r="C20" s="36"/>
      <c r="D20" s="89" t="str">
        <f t="array" ref="D20">INDEX(array1,49,arrayindex)</f>
        <v>counter</v>
      </c>
      <c r="E20" s="89" t="str">
        <f t="array" ref="E20">INDEX(array1,49,arrayindex)</f>
        <v>counter</v>
      </c>
      <c r="F20" s="90" t="str">
        <f t="array" ref="F20">INDEX(array1,50,arrayindex)</f>
        <v>Efficiency</v>
      </c>
      <c r="G20" s="90" t="str">
        <f t="array" ref="G20">INDEX(array1,50,arrayindex)</f>
        <v>Efficiency</v>
      </c>
      <c r="H20" s="90" t="str">
        <f t="array" ref="H20">INDEX(array1,74,arrayindex)</f>
        <v>Inlet</v>
      </c>
      <c r="I20" s="90" t="str">
        <f t="array" ref="I20">INDEX(array1,75,arrayindex)</f>
        <v>Outlet</v>
      </c>
      <c r="J20" s="51"/>
      <c r="K20" s="51"/>
      <c r="L20" s="51"/>
      <c r="M20" s="51"/>
      <c r="N20" s="51"/>
      <c r="O20" s="51"/>
      <c r="P20" s="51"/>
      <c r="Q20" s="51"/>
      <c r="R20" s="4"/>
      <c r="S20" s="4"/>
      <c r="T20" s="32"/>
      <c r="U20" s="3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M20" s="1"/>
    </row>
    <row r="21" ht="13.5" customHeight="1">
      <c r="A21" s="65"/>
      <c r="B21" s="37"/>
      <c r="C21" s="91"/>
      <c r="D21" s="89" t="s">
        <v>18</v>
      </c>
      <c r="E21" s="89" t="s">
        <v>19</v>
      </c>
      <c r="F21" s="92" t="str">
        <f t="array" ref="F21">INDEX(array1,51,arrayindex)</f>
        <v>Drive</v>
      </c>
      <c r="G21" s="89" t="str">
        <f t="array" ref="G21">INDEX(array1,68,arrayindex)</f>
        <v>Fan</v>
      </c>
      <c r="H21" s="89" t="s">
        <v>20</v>
      </c>
      <c r="I21" s="90" t="s">
        <v>20</v>
      </c>
      <c r="J21" s="51"/>
      <c r="K21" s="93" t="str">
        <f>CONCATENATE("Cells in range ",TEXT(ADDRESS(ROW(K22),COLUMN(K22),4),"0")," - ",TEXT(ADDRESS(ROW(N54),COLUMN(N54),4),"0")," are unprotected / available to user")</f>
        <v>Cells in range K22 - N54 are unprotected / available to user</v>
      </c>
      <c r="L21" s="51"/>
      <c r="M21" s="51"/>
      <c r="N21" s="51"/>
      <c r="O21" s="51"/>
      <c r="P21" s="51"/>
      <c r="Q21" s="51"/>
      <c r="R21" s="4"/>
      <c r="S21" s="4"/>
      <c r="T21" s="32"/>
      <c r="U21" s="3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M21" s="1"/>
    </row>
    <row r="22" ht="13.5" customHeight="1">
      <c r="A22" s="20"/>
      <c r="B22" s="94" t="str">
        <f t="array" ref="B22">INDEX(array1,20,arrayindex)</f>
        <v>Mill</v>
      </c>
      <c r="C22" s="30"/>
      <c r="D22" s="95">
        <v>31.8</v>
      </c>
      <c r="E22" s="96" t="str">
        <f>D22*prod_dry</f>
        <v>3498 </v>
      </c>
      <c r="F22" s="97">
        <v>0.93</v>
      </c>
      <c r="G22" s="98"/>
      <c r="H22" s="99">
        <v>-2.0</v>
      </c>
      <c r="I22" s="100">
        <v>-12.0</v>
      </c>
      <c r="J22" s="51"/>
      <c r="K22" s="101"/>
      <c r="L22" s="102"/>
      <c r="M22" s="102"/>
      <c r="N22" s="103"/>
      <c r="O22" s="51"/>
      <c r="P22" s="51"/>
      <c r="Q22" s="51"/>
      <c r="R22" s="4"/>
      <c r="S22" s="4"/>
      <c r="T22" s="32"/>
      <c r="U22" s="3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M22" s="1"/>
    </row>
    <row r="23" ht="13.5" customHeight="1">
      <c r="A23" s="20"/>
      <c r="B23" s="37" t="str">
        <f t="array" ref="B23">INDEX(array1,17,arrayindex)</f>
        <v>Separator</v>
      </c>
      <c r="C23" s="40"/>
      <c r="D23" s="104">
        <v>2.0</v>
      </c>
      <c r="E23" s="105" t="str">
        <f>D23*prod_dry</f>
        <v>220 </v>
      </c>
      <c r="F23" s="106">
        <v>0.94</v>
      </c>
      <c r="G23" s="107"/>
      <c r="H23" s="107"/>
      <c r="I23" s="108"/>
      <c r="J23" s="51"/>
      <c r="K23" s="109"/>
      <c r="L23" s="51"/>
      <c r="M23" s="51"/>
      <c r="N23" s="110"/>
      <c r="O23" s="51"/>
      <c r="P23" s="51"/>
      <c r="Q23" s="51"/>
      <c r="R23" s="4"/>
      <c r="S23" s="4"/>
      <c r="T23" s="32"/>
      <c r="U23" s="3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M23" s="1"/>
    </row>
    <row r="24" ht="13.5" customHeight="1">
      <c r="A24" s="20"/>
      <c r="B24" s="37" t="str">
        <f t="array" ref="B24">INDEX(array1,77,arrayindex)</f>
        <v>Kiln fan</v>
      </c>
      <c r="C24" s="40"/>
      <c r="D24" s="111" t="str">
        <f>kilnfanpower/prod_dry</f>
        <v>0.0</v>
      </c>
      <c r="E24" s="105" t="str">
        <f>IF(ISERROR(Vkfi),100,kilnfanpower_s*Vkfi/kilnfandriveeff)</f>
        <v>0 </v>
      </c>
      <c r="F24" s="106">
        <v>0.94</v>
      </c>
      <c r="G24" s="106">
        <v>0.8</v>
      </c>
      <c r="H24" s="57">
        <v>-5.0</v>
      </c>
      <c r="I24" s="112">
        <v>-5.0</v>
      </c>
      <c r="J24" s="51"/>
      <c r="K24" s="113"/>
      <c r="L24" s="51"/>
      <c r="M24" s="51"/>
      <c r="N24" s="110"/>
      <c r="O24" s="51"/>
      <c r="P24" s="51"/>
      <c r="Q24" s="51"/>
      <c r="R24" s="4"/>
      <c r="S24" s="4"/>
      <c r="T24" s="32"/>
      <c r="U24" s="33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M24" s="1"/>
    </row>
    <row r="25" ht="13.5" customHeight="1">
      <c r="A25" s="20"/>
      <c r="B25" s="37" t="str">
        <f t="array" ref="B25">INDEX(array1,18,arrayindex)</f>
        <v>Mill fan </v>
      </c>
      <c r="C25" s="91"/>
      <c r="D25" s="111" t="str">
        <f>millfanpower/prod_dry</f>
        <v>0.9</v>
      </c>
      <c r="E25" s="105" t="str">
        <f>IF(ISERROR(Vmfi),100,millfanpower_s*Vmfi/millfandriveeff)</f>
        <v>100 </v>
      </c>
      <c r="F25" s="106">
        <v>0.94</v>
      </c>
      <c r="G25" s="106">
        <v>0.8</v>
      </c>
      <c r="H25" s="57">
        <v>-28.0</v>
      </c>
      <c r="I25" s="112">
        <v>0.0</v>
      </c>
      <c r="J25" s="51"/>
      <c r="K25" s="114"/>
      <c r="L25" s="51"/>
      <c r="M25" s="51"/>
      <c r="N25" s="110"/>
      <c r="O25" s="51"/>
      <c r="P25" s="51"/>
      <c r="Q25" s="51"/>
      <c r="R25" s="4"/>
      <c r="S25" s="4"/>
      <c r="T25" s="32"/>
      <c r="U25" s="3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5"/>
      <c r="AK25" s="35"/>
      <c r="AM25" s="1"/>
    </row>
    <row r="26" ht="13.5" customHeight="1">
      <c r="A26" s="20"/>
      <c r="B26" s="37" t="str">
        <f t="array" ref="B26">INDEX(array1,102,arrayindex)</f>
        <v>Separator fan</v>
      </c>
      <c r="C26" s="91"/>
      <c r="D26" s="111" t="str">
        <f>sepfanpower/prod_dry</f>
        <v>2.1</v>
      </c>
      <c r="E26" s="105" t="str">
        <f>IF(ISERROR(Vsfi),100,sfanpower_s*Vsfi/sepfandriveeff)</f>
        <v>230 </v>
      </c>
      <c r="F26" s="106">
        <v>0.94</v>
      </c>
      <c r="G26" s="106">
        <v>0.8</v>
      </c>
      <c r="H26" s="57">
        <v>-33.0</v>
      </c>
      <c r="I26" s="112">
        <v>-1.0</v>
      </c>
      <c r="J26" s="51"/>
      <c r="K26" s="20"/>
      <c r="L26" s="51"/>
      <c r="M26" s="51"/>
      <c r="N26" s="110"/>
      <c r="O26" s="51"/>
      <c r="P26" s="51"/>
      <c r="Q26" s="51"/>
      <c r="R26" s="4"/>
      <c r="S26" s="4"/>
      <c r="T26" s="32"/>
      <c r="U26" s="3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5"/>
      <c r="AK26" s="35"/>
      <c r="AM26" s="1"/>
    </row>
    <row r="27" ht="13.5" customHeight="1">
      <c r="A27" s="20"/>
      <c r="B27" s="36" t="str">
        <f t="array" ref="B27">INDEX(array1,19,arrayindex)</f>
        <v>Filter fan </v>
      </c>
      <c r="C27" s="36"/>
      <c r="D27" s="111" t="str">
        <f>ffanpower/prod_dry</f>
        <v>0.9</v>
      </c>
      <c r="E27" s="115" t="str">
        <f>IF(ISERROR(Vffi),100,ffanpower_s*Vffi/filterfaneff)</f>
        <v>100 </v>
      </c>
      <c r="F27" s="106">
        <v>0.94</v>
      </c>
      <c r="G27" s="106">
        <v>0.8</v>
      </c>
      <c r="H27" s="57">
        <v>-20.0</v>
      </c>
      <c r="I27" s="112">
        <v>-2.0</v>
      </c>
      <c r="J27" s="51"/>
      <c r="K27" s="109"/>
      <c r="L27" s="1"/>
      <c r="M27" s="51"/>
      <c r="N27" s="110"/>
      <c r="O27" s="51"/>
      <c r="P27" s="116"/>
      <c r="Q27" s="116"/>
      <c r="R27" s="74"/>
      <c r="S27" s="74"/>
      <c r="T27" s="32"/>
      <c r="U27" s="33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3"/>
      <c r="AJ27" s="73"/>
      <c r="AK27" s="74"/>
      <c r="AM27" s="1"/>
    </row>
    <row r="28" ht="13.5" customHeight="1">
      <c r="A28" s="85"/>
      <c r="B28" s="86"/>
      <c r="C28" s="86"/>
      <c r="D28" s="86"/>
      <c r="E28" s="86"/>
      <c r="F28" s="86"/>
      <c r="G28" s="86"/>
      <c r="H28" s="86"/>
      <c r="I28" s="88"/>
      <c r="J28" s="51"/>
      <c r="K28" s="117"/>
      <c r="L28" s="118"/>
      <c r="M28" s="118"/>
      <c r="N28" s="110"/>
      <c r="O28" s="51"/>
      <c r="P28" s="51"/>
      <c r="Q28" s="51"/>
      <c r="R28" s="4"/>
      <c r="S28" s="4"/>
      <c r="T28" s="32"/>
      <c r="U28" s="3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M28" s="1"/>
    </row>
    <row r="29" ht="13.5" customHeight="1">
      <c r="A29" s="119"/>
      <c r="B29" s="76"/>
      <c r="C29" s="76"/>
      <c r="D29" s="53" t="str">
        <f t="array" ref="D29">INDEX(array1,20,arrayindex)</f>
        <v>Mill</v>
      </c>
      <c r="E29" s="53" t="str">
        <f>CHOOSE(arrayindex,"Kuehlturm","Cooling Tower","Tour Refr.","Torre Enfr.","TR","Torre Cond.","Kолонна")</f>
        <v>Cooling Tower</v>
      </c>
      <c r="F29" s="53" t="str">
        <f t="array" ref="F29">INDEX(array1,7,arrayindex)</f>
        <v>System</v>
      </c>
      <c r="G29" s="53" t="str">
        <f t="array" ref="G29">INDEX(array1,62,arrayindex)</f>
        <v>Filter</v>
      </c>
      <c r="H29" s="48"/>
      <c r="I29" s="45"/>
      <c r="J29" s="51"/>
      <c r="K29" s="117"/>
      <c r="L29" s="118"/>
      <c r="M29" s="118"/>
      <c r="N29" s="110"/>
      <c r="O29" s="51"/>
      <c r="P29" s="51"/>
      <c r="Q29" s="51"/>
      <c r="R29" s="4"/>
      <c r="S29" s="4"/>
      <c r="T29" s="32"/>
      <c r="U29" s="3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M29" s="1"/>
    </row>
    <row r="30" ht="13.5" customHeight="1">
      <c r="A30" s="20"/>
      <c r="B30" s="37" t="str">
        <f t="array" ref="B30">INDEX(array1,21,arrayindex)</f>
        <v>Water injection</v>
      </c>
      <c r="C30" s="120" t="s">
        <v>21</v>
      </c>
      <c r="D30" s="121" t="str">
        <f>watinj_c1+watinj_c2</f>
        <v>0 </v>
      </c>
      <c r="E30" s="121" t="str">
        <f>ROUND(1000*(L229),0)</f>
        <v>1 </v>
      </c>
      <c r="F30" s="122" t="str">
        <f>IF(fasystem&lt;famill,"invalid","")</f>
        <v/>
      </c>
      <c r="G30" s="122"/>
      <c r="H30" s="89"/>
      <c r="I30" s="45"/>
      <c r="J30" s="51"/>
      <c r="K30" s="123"/>
      <c r="L30" s="124"/>
      <c r="M30" s="51"/>
      <c r="N30" s="110"/>
      <c r="O30" s="51"/>
      <c r="P30" s="51"/>
      <c r="Q30" s="51"/>
      <c r="R30" s="4"/>
      <c r="S30" s="4"/>
      <c r="T30" s="32"/>
      <c r="U30" s="3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M30" s="1"/>
    </row>
    <row r="31" ht="13.5" customHeight="1">
      <c r="A31" s="20"/>
      <c r="B31" s="36" t="str">
        <f t="array" ref="B31">INDEX(array1,22,arrayindex)</f>
        <v>False air rate</v>
      </c>
      <c r="C31" s="120" t="s">
        <v>22</v>
      </c>
      <c r="D31" s="57">
        <v>10.0</v>
      </c>
      <c r="E31" s="57">
        <v>0.0</v>
      </c>
      <c r="F31" s="57">
        <v>20.0</v>
      </c>
      <c r="G31" s="57">
        <v>5.0</v>
      </c>
      <c r="H31" s="125"/>
      <c r="I31" s="45"/>
      <c r="J31" s="51"/>
      <c r="K31" s="126"/>
      <c r="L31" s="124"/>
      <c r="M31" s="51"/>
      <c r="N31" s="110"/>
      <c r="O31" s="51"/>
      <c r="P31" s="51"/>
      <c r="Q31" s="51"/>
      <c r="R31" s="4"/>
      <c r="S31" s="4"/>
      <c r="T31" s="32"/>
      <c r="U31" s="3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M31" s="1"/>
    </row>
    <row r="32" ht="13.5" customHeight="1">
      <c r="A32" s="20"/>
      <c r="B32" s="36" t="str">
        <f t="array" ref="B32">IF(CTexittemp&lt;=CTexittemp_1,INDEX(array1,76,arrayindex),"set CT exit temp &lt;= "&amp;TEXT(CTexittemp_1,"0.000")&amp;" °C")</f>
        <v>#REF!</v>
      </c>
      <c r="C32" s="127" t="s">
        <v>10</v>
      </c>
      <c r="D32" s="128"/>
      <c r="E32" s="129" t="str">
        <f>CTexittemp_1</f>
        <v>#REF!</v>
      </c>
      <c r="F32" s="130"/>
      <c r="G32" s="128"/>
      <c r="H32" s="125"/>
      <c r="I32" s="45"/>
      <c r="J32" s="51"/>
      <c r="K32" s="131"/>
      <c r="L32" s="124"/>
      <c r="M32" s="51"/>
      <c r="N32" s="110"/>
      <c r="O32" s="51"/>
      <c r="P32" s="51"/>
      <c r="Q32" s="51"/>
      <c r="R32" s="4"/>
      <c r="S32" s="4"/>
      <c r="T32" s="32"/>
      <c r="U32" s="3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M32" s="1"/>
    </row>
    <row r="33" ht="13.5" customHeight="1">
      <c r="A33" s="12"/>
      <c r="B33" s="26"/>
      <c r="C33" s="132"/>
      <c r="D33" s="49" t="str">
        <f t="array" ref="D33">INDEX(array1,29,arrayindex)</f>
        <v>Flow rate</v>
      </c>
      <c r="E33" s="49" t="str">
        <f t="array" ref="E33">INDEX(array1,29,arrayindex)</f>
        <v>Flow rate</v>
      </c>
      <c r="F33" s="48" t="str">
        <f t="array" ref="F33">INDEX(array1,32,arrayindex)</f>
        <v>Temperature</v>
      </c>
      <c r="G33" s="133"/>
      <c r="H33" s="125"/>
      <c r="I33" s="45"/>
      <c r="J33" s="51"/>
      <c r="K33" s="134"/>
      <c r="L33" s="135"/>
      <c r="M33" s="51"/>
      <c r="N33" s="110"/>
      <c r="O33" s="51"/>
      <c r="P33" s="51"/>
      <c r="Q33" s="51"/>
      <c r="R33" s="4"/>
      <c r="S33" s="4"/>
      <c r="T33" s="32"/>
      <c r="U33" s="3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M33" s="1"/>
    </row>
    <row r="34" ht="13.5" customHeight="1">
      <c r="A34" s="20"/>
      <c r="B34" s="36"/>
      <c r="C34" s="127"/>
      <c r="D34" s="136" t="s">
        <v>23</v>
      </c>
      <c r="E34" s="136" t="s">
        <v>24</v>
      </c>
      <c r="F34" s="89" t="s">
        <v>10</v>
      </c>
      <c r="G34" s="128"/>
      <c r="H34" s="125"/>
      <c r="I34" s="45"/>
      <c r="J34" s="51"/>
      <c r="K34" s="137"/>
      <c r="L34" s="124"/>
      <c r="M34" s="51"/>
      <c r="N34" s="110"/>
      <c r="O34" s="51"/>
      <c r="P34" s="51"/>
      <c r="Q34" s="51"/>
      <c r="R34" s="4"/>
      <c r="S34" s="4"/>
      <c r="T34" s="32"/>
      <c r="U34" s="3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M34" s="1"/>
    </row>
    <row r="35" ht="13.5" customHeight="1">
      <c r="A35" s="12"/>
      <c r="B35" s="26" t="str">
        <f t="array" ref="B35">IF((Vmexit_1-Vmexit)^2&lt;1,INDEX(array1,37,arrayindex),CONCATENATE("increase to &gt;= ",TEXT(Vmexit_1,"0.00")," Nm3/h"))</f>
        <v>#REF!</v>
      </c>
      <c r="C35" s="138"/>
      <c r="D35" s="139" t="str">
        <f>E35*((pr_amb+upme)/1013)*273/(273+millexittemp)</f>
        <v>  29'550 </v>
      </c>
      <c r="E35" s="140">
        <v>42000.0</v>
      </c>
      <c r="F35" s="141">
        <v>85.0</v>
      </c>
      <c r="G35" s="142"/>
      <c r="H35" s="143"/>
      <c r="I35" s="47"/>
      <c r="J35" s="51"/>
      <c r="K35" s="134"/>
      <c r="L35" s="124"/>
      <c r="M35" s="51"/>
      <c r="N35" s="110"/>
      <c r="O35" s="51"/>
      <c r="P35" s="51"/>
      <c r="Q35" s="51"/>
      <c r="R35" s="4"/>
      <c r="S35" s="4"/>
      <c r="T35" s="32"/>
      <c r="U35" s="3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M35" s="1"/>
    </row>
    <row r="36" ht="13.5" customHeight="1">
      <c r="A36" s="20"/>
      <c r="B36" s="36" t="str">
        <f t="array" ref="B36">INDEX(array1,109,arrayindex)</f>
        <v>Separator fan inlet</v>
      </c>
      <c r="C36" s="38"/>
      <c r="D36" s="144">
        <v>130000.0</v>
      </c>
      <c r="E36" s="145" t="str">
        <f>D36*(1013/(pr_amb+upsfi))*(273+F36)/273</f>
        <v>  196'939 </v>
      </c>
      <c r="F36" s="146" t="str">
        <f>IF(ISNUMBER(T_exhair_sep),T_exhair_sep,100)</f>
        <v>100.0 </v>
      </c>
      <c r="G36" s="147"/>
      <c r="H36" s="148"/>
      <c r="I36" s="45"/>
      <c r="J36" s="51"/>
      <c r="K36" s="137"/>
      <c r="L36" s="124"/>
      <c r="M36" s="51"/>
      <c r="N36" s="110"/>
      <c r="O36" s="51"/>
      <c r="P36" s="51"/>
      <c r="Q36" s="51"/>
      <c r="R36" s="4"/>
      <c r="S36" s="4"/>
      <c r="T36" s="32"/>
      <c r="U36" s="3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M36" s="1"/>
    </row>
    <row r="37" ht="13.5" customHeight="1">
      <c r="A37" s="20"/>
      <c r="B37" s="36" t="str">
        <f t="array" ref="B37">INDEX(array1,110,arrayindex)</f>
        <v>Separator fresh air</v>
      </c>
      <c r="C37" s="38"/>
      <c r="D37" s="149">
        <v>10000.0</v>
      </c>
      <c r="E37" s="150" t="str">
        <f>D37*(1013/(pr_amb+upsfi))*(273+F37)/273</f>
        <v>  11'900 </v>
      </c>
      <c r="F37" s="151" t="str">
        <f>freshairtemp</f>
        <v>20 </v>
      </c>
      <c r="G37" s="152"/>
      <c r="H37" s="153"/>
      <c r="I37" s="154"/>
      <c r="J37" s="51"/>
      <c r="K37" s="134"/>
      <c r="L37" s="124"/>
      <c r="M37" s="51"/>
      <c r="N37" s="110"/>
      <c r="O37" s="51"/>
      <c r="P37" s="51"/>
      <c r="Q37" s="51"/>
      <c r="R37" s="4"/>
      <c r="S37" s="4"/>
      <c r="T37" s="32"/>
      <c r="U37" s="3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M37" s="1"/>
    </row>
    <row r="38" ht="13.5" customHeight="1">
      <c r="A38" s="20"/>
      <c r="B38" s="36"/>
      <c r="C38" s="38"/>
      <c r="D38" s="155" t="str">
        <f t="array" ref="D38">INDEX(array1,115,arrayindex)</f>
        <v> Feed </v>
      </c>
      <c r="E38" s="155" t="str">
        <f t="array" ref="E38">CONCATENATE(INDEX(array1,74,arrayindex)," (",INDEX(array1,113,arrayindex),")")</f>
        <v> Inlet (Gas) </v>
      </c>
      <c r="F38" s="156" t="str">
        <f t="array" ref="F38">INDEX(array1,116,arrayindex)</f>
        <v> Rejects </v>
      </c>
      <c r="G38" s="157" t="str">
        <f t="array" ref="G38">INDEX(array1,117,arrayindex)</f>
        <v>Product</v>
      </c>
      <c r="H38" s="148"/>
      <c r="I38" s="45"/>
      <c r="J38" s="51"/>
      <c r="K38" s="134"/>
      <c r="L38" s="124"/>
      <c r="M38" s="51"/>
      <c r="N38" s="110"/>
      <c r="O38" s="51"/>
      <c r="P38" s="51"/>
      <c r="Q38" s="51"/>
      <c r="R38" s="4"/>
      <c r="S38" s="4"/>
      <c r="T38" s="32"/>
      <c r="U38" s="3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M38" s="1"/>
    </row>
    <row r="39" ht="13.5" customHeight="1">
      <c r="A39" s="20"/>
      <c r="B39" s="37" t="str">
        <f t="array" ref="B39">CONCATENATE(INDEX(array1,32,arrayindex)," ",INDEX(array1,17,arrayindex))</f>
        <v>Temperature Separator</v>
      </c>
      <c r="C39" s="127" t="s">
        <v>10</v>
      </c>
      <c r="D39" s="158" t="str">
        <f>prodtemp</f>
        <v>90 </v>
      </c>
      <c r="E39" s="158" t="str">
        <f>T_in_sep</f>
        <v>#NAME?</v>
      </c>
      <c r="F39" s="158" t="str">
        <f>L289</f>
        <v>#REF!</v>
      </c>
      <c r="G39" s="158" t="str">
        <f>T_exhair_sep</f>
        <v>#NAME?</v>
      </c>
      <c r="H39" s="148"/>
      <c r="I39" s="45"/>
      <c r="J39" s="51"/>
      <c r="K39" s="134"/>
      <c r="L39" s="124"/>
      <c r="M39" s="51"/>
      <c r="N39" s="110"/>
      <c r="O39" s="51"/>
      <c r="P39" s="51"/>
      <c r="Q39" s="51"/>
      <c r="R39" s="4"/>
      <c r="S39" s="4"/>
      <c r="T39" s="32"/>
      <c r="U39" s="3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M39" s="1"/>
    </row>
    <row r="40" ht="27.75" customHeight="1">
      <c r="A40" s="12"/>
      <c r="B40" s="159"/>
      <c r="C40" s="138"/>
      <c r="D40" s="160" t="str">
        <f t="array" ref="D40">INDEX(array1,21,arrayindex)</f>
        <v>Water injection</v>
      </c>
      <c r="E40" s="161" t="str">
        <f t="array" ref="E40">INDEX(array1,55,arrayindex)</f>
        <v> Grinding heat </v>
      </c>
      <c r="F40" s="160" t="str">
        <f t="array" ref="F40">INDEX(array1,107,arrayindex)</f>
        <v>Separator rejects</v>
      </c>
      <c r="G40" s="160" t="str">
        <f t="array" ref="G40">CONCATENATE(INDEX(array1,25,arrayindex)," ",INDEX(array1,85,arrayindex))</f>
        <v>Hot gases Kiln</v>
      </c>
      <c r="H40" s="160" t="str">
        <f t="array" ref="H40">CONCATENATE(INDEX(array1,25,arrayindex)," HGG")</f>
        <v>Hot gases HGG</v>
      </c>
      <c r="I40" s="162" t="str">
        <f t="array" ref="I40">INDEX(array1,27,arrayindex)</f>
        <v>Fresh air</v>
      </c>
      <c r="J40" s="51"/>
      <c r="K40" s="134"/>
      <c r="L40" s="124"/>
      <c r="M40" s="51"/>
      <c r="N40" s="110"/>
      <c r="O40" s="51"/>
      <c r="P40" s="51"/>
      <c r="Q40" s="51"/>
      <c r="R40" s="4"/>
      <c r="S40" s="4"/>
      <c r="T40" s="32"/>
      <c r="U40" s="3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M40" s="1"/>
    </row>
    <row r="41" ht="13.5" customHeight="1">
      <c r="A41" s="65"/>
      <c r="B41" s="163"/>
      <c r="C41" s="152"/>
      <c r="D41" s="53" t="s">
        <v>25</v>
      </c>
      <c r="E41" s="164" t="s">
        <v>26</v>
      </c>
      <c r="F41" s="53" t="s">
        <v>26</v>
      </c>
      <c r="G41" s="53" t="s">
        <v>26</v>
      </c>
      <c r="H41" s="53" t="s">
        <v>26</v>
      </c>
      <c r="I41" s="54" t="s">
        <v>26</v>
      </c>
      <c r="J41" s="51"/>
      <c r="K41" s="134"/>
      <c r="L41" s="124"/>
      <c r="M41" s="51"/>
      <c r="N41" s="110"/>
      <c r="O41" s="51"/>
      <c r="P41" s="51"/>
      <c r="Q41" s="51"/>
      <c r="R41" s="4"/>
      <c r="S41" s="4"/>
      <c r="T41" s="32"/>
      <c r="U41" s="3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M41" s="1"/>
    </row>
    <row r="42" ht="13.5" customHeight="1">
      <c r="A42" s="20"/>
      <c r="B42" s="36" t="str">
        <f t="array" ref="B42">INDEX(array1,111,arrayindex)</f>
        <v>Compartment 1</v>
      </c>
      <c r="C42" s="38"/>
      <c r="D42" s="165">
        <v>0.0</v>
      </c>
      <c r="E42" s="166">
        <v>30.0</v>
      </c>
      <c r="F42" s="166">
        <v>100.0</v>
      </c>
      <c r="G42" s="166">
        <v>100.0</v>
      </c>
      <c r="H42" s="166">
        <v>100.0</v>
      </c>
      <c r="I42" s="166">
        <v>100.0</v>
      </c>
      <c r="J42" s="51"/>
      <c r="K42" s="134"/>
      <c r="L42" s="124"/>
      <c r="M42" s="51"/>
      <c r="N42" s="110"/>
      <c r="O42" s="51"/>
      <c r="P42" s="51"/>
      <c r="Q42" s="51"/>
      <c r="R42" s="4"/>
      <c r="S42" s="4"/>
      <c r="T42" s="32"/>
      <c r="U42" s="3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M42" s="1"/>
    </row>
    <row r="43" ht="13.5" customHeight="1">
      <c r="A43" s="65"/>
      <c r="B43" s="76" t="str">
        <f t="array" ref="B43">INDEX(array1,112,arrayindex)</f>
        <v>Compartment 2</v>
      </c>
      <c r="C43" s="152"/>
      <c r="D43" s="167">
        <v>0.0</v>
      </c>
      <c r="E43" s="168" t="str">
        <f t="shared" ref="E43:I43" si="2">100-E42</f>
        <v>70 </v>
      </c>
      <c r="F43" s="168" t="str">
        <f t="shared" si="2"/>
        <v>0 </v>
      </c>
      <c r="G43" s="168" t="str">
        <f t="shared" si="2"/>
        <v>0 </v>
      </c>
      <c r="H43" s="168" t="str">
        <f t="shared" si="2"/>
        <v>0 </v>
      </c>
      <c r="I43" s="169" t="str">
        <f t="shared" si="2"/>
        <v>0 </v>
      </c>
      <c r="J43" s="51"/>
      <c r="K43" s="134"/>
      <c r="L43" s="124"/>
      <c r="M43" s="51"/>
      <c r="N43" s="110"/>
      <c r="O43" s="51"/>
      <c r="P43" s="51"/>
      <c r="Q43" s="51"/>
      <c r="R43" s="4"/>
      <c r="S43" s="4"/>
      <c r="T43" s="32"/>
      <c r="U43" s="3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M43" s="1"/>
    </row>
    <row r="44" ht="13.5" customHeight="1">
      <c r="A44" s="20"/>
      <c r="B44" s="170" t="str">
        <f>IF(E235&lt;0,CONCATENATE("increase total water inj to: ",TEXT(wimill+calc_H2Oevap($P$282-$O$282,wimill,watertemp,millexittemp,Vmexit,evap_mill_total,_system,recirc,millfanpower_s,famill,fasystem,GAS1,GAS2,GAS3,air,it_v1),"0.000")," litres/h"),"")</f>
        <v>#NAME?</v>
      </c>
      <c r="C44" s="38"/>
      <c r="D44" s="171" t="str">
        <f t="array" ref="D44">INDEX(array1,74,arrayindex)</f>
        <v>Inlet</v>
      </c>
      <c r="E44" s="171" t="str">
        <f t="array" ref="E44">INDEX(array1,74,arrayindex)</f>
        <v>Inlet</v>
      </c>
      <c r="F44" s="171" t="str">
        <f t="array" ref="F44">INDEX(array1,75,arrayindex)</f>
        <v>Outlet</v>
      </c>
      <c r="G44" s="171" t="str">
        <f t="array" ref="G44">INDEX(array1,75,arrayindex)</f>
        <v>Outlet</v>
      </c>
      <c r="H44" s="49" t="str">
        <f t="array" ref="H44">INDEX(array1,32,arrayindex)</f>
        <v>Temperature</v>
      </c>
      <c r="I44" s="47"/>
      <c r="J44" s="51"/>
      <c r="K44" s="134"/>
      <c r="L44" s="124"/>
      <c r="M44" s="51"/>
      <c r="N44" s="110"/>
      <c r="O44" s="51"/>
      <c r="P44" s="51"/>
      <c r="Q44" s="51"/>
      <c r="R44" s="4"/>
      <c r="S44" s="4"/>
      <c r="T44" s="32"/>
      <c r="U44" s="3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M44" s="1"/>
    </row>
    <row r="45" ht="13.5" customHeight="1">
      <c r="A45" s="20"/>
      <c r="B45" s="36"/>
      <c r="C45" s="38"/>
      <c r="D45" s="172" t="str">
        <f t="array" ref="D45">INDEX(array1,114,arrayindex)</f>
        <v>solids</v>
      </c>
      <c r="E45" s="172" t="str">
        <f t="array" ref="E45">INDEX(array1,113,arrayindex)</f>
        <v>Gas</v>
      </c>
      <c r="F45" s="172" t="str">
        <f t="array" ref="F45">INDEX(array1,114,arrayindex)</f>
        <v>solids</v>
      </c>
      <c r="G45" s="172" t="str">
        <f t="array" ref="G45">INDEX(array1,113,arrayindex)</f>
        <v>Gas</v>
      </c>
      <c r="H45" s="172" t="str">
        <f t="array" ref="H45">INDEX(array1,119,arrayindex)</f>
        <v>mill shell</v>
      </c>
      <c r="I45" s="45"/>
      <c r="J45" s="51"/>
      <c r="K45" s="134"/>
      <c r="L45" s="124"/>
      <c r="M45" s="51"/>
      <c r="N45" s="110"/>
      <c r="O45" s="51"/>
      <c r="P45" s="51"/>
      <c r="Q45" s="51"/>
      <c r="R45" s="4"/>
      <c r="S45" s="4"/>
      <c r="T45" s="32"/>
      <c r="U45" s="3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M45" s="1"/>
    </row>
    <row r="46" ht="13.5" customHeight="1">
      <c r="A46" s="20"/>
      <c r="B46" s="36"/>
      <c r="C46" s="38"/>
      <c r="D46" s="54" t="s">
        <v>10</v>
      </c>
      <c r="E46" s="54" t="s">
        <v>10</v>
      </c>
      <c r="F46" s="54" t="s">
        <v>10</v>
      </c>
      <c r="G46" s="54" t="s">
        <v>10</v>
      </c>
      <c r="H46" s="54" t="s">
        <v>10</v>
      </c>
      <c r="I46" s="154"/>
      <c r="J46" s="51"/>
      <c r="K46" s="134"/>
      <c r="L46" s="124"/>
      <c r="M46" s="51"/>
      <c r="N46" s="110"/>
      <c r="O46" s="51"/>
      <c r="P46" s="51"/>
      <c r="Q46" s="51"/>
      <c r="R46" s="4"/>
      <c r="S46" s="4"/>
      <c r="T46" s="32"/>
      <c r="U46" s="3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M46" s="1"/>
    </row>
    <row r="47" ht="13.5" customHeight="1">
      <c r="A47" s="12"/>
      <c r="B47" s="26" t="str">
        <f t="array" ref="B47">INDEX(array1,111,arrayindex)</f>
        <v>Compartment 1</v>
      </c>
      <c r="C47" s="138"/>
      <c r="D47" s="105" t="str">
        <f t="array" ref="D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3),0)</f>
        <v>#NAME?</v>
      </c>
      <c r="E47" s="105" t="str">
        <f t="array" ref="E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2),0)</f>
        <v>#NAME?</v>
      </c>
      <c r="F47" s="105" t="str">
        <f>IF((($P$282-$O$282)-($O$246-$P$246))&lt;0.1,temp_OD1(100,$D$12:$F$16,comp_dry,matindex1:matindex5,volatiles_coal,prodh2o,diaphr_h2o,GAS1,GAS2,GAS3,air,millpower*milldriveeff*3.6*($E$42/100),heatloss*($E$42/100),grittemp,(circ_load-1)*$F$42,$D$42,watertemp,$G$42,$H$42,$I$42),0)</f>
        <v>#NAME?</v>
      </c>
      <c r="G47" s="173" t="str">
        <f>F47</f>
        <v>#NAME?</v>
      </c>
      <c r="H47" s="166">
        <v>80.0</v>
      </c>
      <c r="I47" s="45"/>
      <c r="J47" s="51"/>
      <c r="K47" s="131"/>
      <c r="L47" s="124"/>
      <c r="M47" s="51"/>
      <c r="N47" s="110"/>
      <c r="O47" s="51"/>
      <c r="P47" s="51"/>
      <c r="Q47" s="51"/>
      <c r="R47" s="4"/>
      <c r="S47" s="4"/>
      <c r="T47" s="32"/>
      <c r="U47" s="3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M47" s="1"/>
    </row>
    <row r="48" ht="13.5" customHeight="1">
      <c r="A48" s="20"/>
      <c r="B48" s="36" t="str">
        <f t="array" ref="B48">INDEX(array1,112,arrayindex)</f>
        <v>Compartment 2</v>
      </c>
      <c r="C48" s="38"/>
      <c r="D48" s="168" t="str">
        <f t="array" ref="D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3),$F$47)</f>
        <v>#NAME?</v>
      </c>
      <c r="E48" s="168" t="str">
        <f t="array" ref="E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2),$G$47)</f>
        <v>#NAME?</v>
      </c>
      <c r="F48" s="168" t="str">
        <f>IF(AND((($P$282-$O$282)-($O$246-$P$246))&lt;0.1,_disch=1),temp_OD1(0,$D$12:$F$16,comp_dry,matindex1:matindex5,volatiles_coal,prodh2o,diaphr_h2o,GAS1,GAS2,GAS3,air,millpower*milldriveeff*3.6*($E$43/100),heatloss*($E$43/100),grittemp,(circ_load-1)*$F$43,$D$43,watertemp,$G$43,$H$43,$I$43),prodtemp)</f>
        <v>#NAME?</v>
      </c>
      <c r="G48" s="169" t="str">
        <f>IF(_disch=1,F48,millexittemp)</f>
        <v>85 </v>
      </c>
      <c r="H48" s="166">
        <v>85.0</v>
      </c>
      <c r="I48" s="154"/>
      <c r="J48" s="51"/>
      <c r="K48" s="134"/>
      <c r="L48" s="124"/>
      <c r="M48" s="51"/>
      <c r="N48" s="110"/>
      <c r="O48" s="51"/>
      <c r="P48" s="51"/>
      <c r="Q48" s="51"/>
      <c r="R48" s="4"/>
      <c r="S48" s="4"/>
      <c r="T48" s="32"/>
      <c r="U48" s="3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M48" s="1"/>
    </row>
    <row r="49" ht="13.5" customHeight="1">
      <c r="A49" s="85"/>
      <c r="B49" s="174" t="str">
        <f t="array" ref="B49">INDEX(array1,85,arrayindex)</f>
        <v>Kiln</v>
      </c>
      <c r="C49" s="86"/>
      <c r="D49" s="86"/>
      <c r="E49" s="86"/>
      <c r="F49" s="174" t="str">
        <f t="array" ref="F49">INDEX(array1,91,arrayindex)</f>
        <v>Miscellaneous</v>
      </c>
      <c r="G49" s="86"/>
      <c r="H49" s="86"/>
      <c r="I49" s="88"/>
      <c r="J49" s="51"/>
      <c r="K49" s="109"/>
      <c r="L49" s="124"/>
      <c r="M49" s="51"/>
      <c r="N49" s="110"/>
      <c r="O49" s="51"/>
      <c r="P49" s="51"/>
      <c r="Q49" s="51"/>
      <c r="R49" s="4"/>
      <c r="S49" s="4"/>
      <c r="T49" s="32"/>
      <c r="U49" s="3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M49" s="1"/>
    </row>
    <row r="50" ht="13.5" customHeight="1">
      <c r="A50" s="20"/>
      <c r="B50" s="36" t="str">
        <f t="array" ref="B50">INDEX(array1,86,arrayindex)</f>
        <v>Spec. heat consumption</v>
      </c>
      <c r="C50" s="147" t="s">
        <v>27</v>
      </c>
      <c r="D50" s="166">
        <v>3.3</v>
      </c>
      <c r="E50" s="36"/>
      <c r="F50" s="36" t="str">
        <f t="array" ref="F50">INDEX(array1,80,arrayindex)</f>
        <v>Water temperature</v>
      </c>
      <c r="G50" s="36"/>
      <c r="H50" s="147" t="s">
        <v>10</v>
      </c>
      <c r="I50" s="175">
        <v>22.0</v>
      </c>
      <c r="J50" s="51"/>
      <c r="K50" s="176"/>
      <c r="L50" s="118"/>
      <c r="M50" s="51"/>
      <c r="N50" s="110"/>
      <c r="O50" s="51"/>
      <c r="P50" s="51"/>
      <c r="Q50" s="51"/>
      <c r="R50" s="4"/>
      <c r="S50" s="4"/>
      <c r="T50" s="32"/>
      <c r="U50" s="3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M50" s="1"/>
    </row>
    <row r="51" ht="13.5" customHeight="1">
      <c r="A51" s="20"/>
      <c r="B51" s="36" t="str">
        <f t="array" ref="B51">INDEX(array1,87,arrayindex)</f>
        <v>Capacity</v>
      </c>
      <c r="C51" s="147" t="s">
        <v>28</v>
      </c>
      <c r="D51" s="166">
        <v>3000.0</v>
      </c>
      <c r="E51" s="36"/>
      <c r="F51" s="36" t="str">
        <f t="array" ref="F51">INDEX(array1,81,arrayindex)</f>
        <v>Relative humidity air</v>
      </c>
      <c r="G51" s="36"/>
      <c r="H51" s="147" t="s">
        <v>22</v>
      </c>
      <c r="I51" s="175">
        <v>60.0</v>
      </c>
      <c r="J51" s="51"/>
      <c r="K51" s="177"/>
      <c r="L51" s="118"/>
      <c r="M51" s="51"/>
      <c r="N51" s="110"/>
      <c r="O51" s="51"/>
      <c r="P51" s="51"/>
      <c r="Q51" s="51"/>
      <c r="R51" s="4"/>
      <c r="S51" s="4"/>
      <c r="T51" s="32"/>
      <c r="U51" s="3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M51" s="1"/>
    </row>
    <row r="52" ht="13.5" customHeight="1">
      <c r="A52" s="20"/>
      <c r="B52" s="36" t="str">
        <f t="array" ref="B52">INDEX(array1,88,arrayindex)</f>
        <v>Kiln type</v>
      </c>
      <c r="C52" s="45"/>
      <c r="D52" s="178" t="s">
        <v>29</v>
      </c>
      <c r="E52" s="36"/>
      <c r="F52" s="170" t="s">
        <v>30</v>
      </c>
      <c r="G52" s="179"/>
      <c r="H52" s="180" t="s">
        <v>31</v>
      </c>
      <c r="I52" s="175">
        <v>3.0</v>
      </c>
      <c r="J52" s="51"/>
      <c r="K52" s="134"/>
      <c r="L52" s="124"/>
      <c r="M52" s="51"/>
      <c r="N52" s="110"/>
      <c r="O52" s="51"/>
      <c r="P52" s="51"/>
      <c r="Q52" s="51"/>
      <c r="R52" s="4"/>
      <c r="S52" s="4"/>
      <c r="T52" s="181"/>
      <c r="U52" s="25"/>
      <c r="V52" s="182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M52" s="1"/>
    </row>
    <row r="53" ht="13.5" customHeight="1">
      <c r="A53" s="20"/>
      <c r="B53" s="36" t="str">
        <f t="array" ref="B53">INDEX(array1,89,arrayindex)</f>
        <v>O2 at preheater exit (dry)</v>
      </c>
      <c r="C53" s="147" t="s">
        <v>22</v>
      </c>
      <c r="D53" s="178">
        <v>3.5</v>
      </c>
      <c r="E53" s="36"/>
      <c r="F53" s="36" t="str">
        <f t="array" ref="F53">INDEX(array1,83,arrayindex)</f>
        <v>Cyclone efficiency</v>
      </c>
      <c r="G53" s="36"/>
      <c r="H53" s="147" t="s">
        <v>22</v>
      </c>
      <c r="I53" s="175">
        <v>95.0</v>
      </c>
      <c r="J53" s="51"/>
      <c r="K53" s="123"/>
      <c r="L53" s="124"/>
      <c r="M53" s="51"/>
      <c r="N53" s="110"/>
      <c r="O53" s="51"/>
      <c r="P53" s="51"/>
      <c r="Q53" s="51"/>
      <c r="R53" s="4"/>
      <c r="S53" s="4"/>
      <c r="T53" s="3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M53" s="1"/>
    </row>
    <row r="54" ht="13.5" customHeight="1">
      <c r="A54" s="20"/>
      <c r="B54" s="36" t="str">
        <f t="array" ref="B54">INDEX(array1,24,arrayindex)</f>
        <v>Kiln exhaust gases</v>
      </c>
      <c r="C54" s="147" t="s">
        <v>32</v>
      </c>
      <c r="D54" s="145" t="str">
        <f>C351*kiln_prod*1000/24/(1-G126/100)</f>
        <v>  175'153 </v>
      </c>
      <c r="E54" s="36"/>
      <c r="F54" s="36" t="str">
        <f t="array" ref="F54">INDEX(array1,84,arrayindex)</f>
        <v>Coal-volatile matter</v>
      </c>
      <c r="G54" s="36"/>
      <c r="H54" s="147" t="s">
        <v>22</v>
      </c>
      <c r="I54" s="175">
        <v>20.0</v>
      </c>
      <c r="J54" s="51"/>
      <c r="K54" s="183"/>
      <c r="L54" s="184"/>
      <c r="M54" s="185"/>
      <c r="N54" s="186"/>
      <c r="O54" s="51"/>
      <c r="P54" s="51"/>
      <c r="Q54" s="51"/>
      <c r="R54" s="4"/>
      <c r="S54" s="4"/>
      <c r="T54" s="3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M54" s="1"/>
    </row>
    <row r="55" ht="13.5" customHeight="1">
      <c r="A55" s="20"/>
      <c r="B55" s="36"/>
      <c r="C55" s="38"/>
      <c r="D55" s="145"/>
      <c r="E55" s="36" t="str">
        <f t="array" ref="E55">INDEX(array1,118,arrayindex)</f>
        <v>Dust load mill exit</v>
      </c>
      <c r="F55" s="36"/>
      <c r="G55" s="36"/>
      <c r="H55" s="147" t="s">
        <v>33</v>
      </c>
      <c r="I55" s="175">
        <v>200.0</v>
      </c>
      <c r="J55" s="51"/>
      <c r="K55" s="124"/>
      <c r="L55" s="124"/>
      <c r="M55" s="51"/>
      <c r="N55" s="51"/>
      <c r="O55" s="51"/>
      <c r="P55" s="51"/>
      <c r="Q55" s="51"/>
      <c r="R55" s="4"/>
      <c r="S55" s="4"/>
      <c r="T55" s="32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M55" s="1"/>
    </row>
    <row r="56" ht="13.5" customHeight="1">
      <c r="A56" s="20"/>
      <c r="B56" s="36"/>
      <c r="C56" s="36"/>
      <c r="D56" s="81"/>
      <c r="E56" s="36" t="str">
        <f t="array" ref="E56">INDEX(array1,122,arrayindex)</f>
        <v>assumed moisture at outlet diaphr. comp. 1</v>
      </c>
      <c r="F56" s="36"/>
      <c r="G56" s="36"/>
      <c r="H56" s="152" t="s">
        <v>26</v>
      </c>
      <c r="I56" s="175">
        <v>3.0</v>
      </c>
      <c r="J56" s="51"/>
      <c r="K56" s="124"/>
      <c r="L56" s="124"/>
      <c r="M56" s="51"/>
      <c r="N56" s="51"/>
      <c r="O56" s="51"/>
      <c r="P56" s="51"/>
      <c r="Q56" s="51"/>
      <c r="R56" s="4"/>
      <c r="S56" s="4"/>
      <c r="T56" s="32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M56" s="1"/>
    </row>
    <row r="57" ht="13.5" customHeight="1">
      <c r="A57" s="85"/>
      <c r="B57" s="174" t="str">
        <f t="array" ref="B57">INDEX(array1,23,arrayindex)</f>
        <v>Available gases</v>
      </c>
      <c r="C57" s="86"/>
      <c r="D57" s="86"/>
      <c r="E57" s="86"/>
      <c r="F57" s="86"/>
      <c r="G57" s="86"/>
      <c r="H57" s="86"/>
      <c r="I57" s="88"/>
      <c r="J57" s="51"/>
      <c r="K57" s="124"/>
      <c r="L57" s="124"/>
      <c r="M57" s="51"/>
      <c r="N57" s="51"/>
      <c r="O57" s="51"/>
      <c r="P57" s="51"/>
      <c r="Q57" s="51"/>
      <c r="R57" s="4"/>
      <c r="S57" s="4"/>
      <c r="T57" s="3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M57" s="1"/>
    </row>
    <row r="58" ht="13.5" customHeight="1">
      <c r="A58" s="20"/>
      <c r="B58" s="21"/>
      <c r="C58" s="21"/>
      <c r="D58" s="89" t="str">
        <f t="array" ref="D58">INDEX(array1,29,arrayindex)</f>
        <v>Flow rate</v>
      </c>
      <c r="E58" s="89" t="str">
        <f t="array" ref="E58">INDEX(array1,32,arrayindex)</f>
        <v>Temperature</v>
      </c>
      <c r="F58" s="89" t="str">
        <f t="array" ref="F58">INDEX(array1,15,arrayindex)</f>
        <v>Humidity</v>
      </c>
      <c r="G58" s="89" t="str">
        <f t="array" ref="G58">INDEX(array1,30,arrayindex)</f>
        <v>Dust</v>
      </c>
      <c r="H58" s="89" t="str">
        <f t="array" ref="H58">INDEX(array1,69,arrayindex)</f>
        <v>Oxygen</v>
      </c>
      <c r="I58" s="90" t="s">
        <v>7</v>
      </c>
      <c r="J58" s="51"/>
      <c r="K58" s="51"/>
      <c r="L58" s="51"/>
      <c r="M58" s="51"/>
      <c r="N58" s="51"/>
      <c r="O58" s="51"/>
      <c r="P58" s="51"/>
      <c r="Q58" s="51"/>
      <c r="R58" s="4"/>
      <c r="S58" s="4"/>
      <c r="T58" s="32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M58" s="1"/>
    </row>
    <row r="59" ht="13.5" customHeight="1">
      <c r="A59" s="65"/>
      <c r="B59" s="76"/>
      <c r="C59" s="76"/>
      <c r="D59" s="53" t="s">
        <v>34</v>
      </c>
      <c r="E59" s="53" t="s">
        <v>10</v>
      </c>
      <c r="F59" s="53" t="s">
        <v>35</v>
      </c>
      <c r="G59" s="53" t="s">
        <v>35</v>
      </c>
      <c r="H59" s="53" t="s">
        <v>22</v>
      </c>
      <c r="I59" s="54" t="s">
        <v>36</v>
      </c>
      <c r="J59" s="51"/>
      <c r="K59" s="51"/>
      <c r="L59" s="51"/>
      <c r="M59" s="51"/>
      <c r="N59" s="51"/>
      <c r="O59" s="51"/>
      <c r="P59" s="51"/>
      <c r="Q59" s="51"/>
      <c r="R59" s="4"/>
      <c r="S59" s="4"/>
      <c r="T59" s="32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M59" s="1"/>
    </row>
    <row r="60" ht="13.5" customHeight="1">
      <c r="A60" s="20"/>
      <c r="B60" s="36" t="str">
        <f t="array" ref="B60">INDEX(array1,24,arrayindex)</f>
        <v>Kiln exhaust gases</v>
      </c>
      <c r="C60" s="36"/>
      <c r="D60" s="187">
        <v>0.01</v>
      </c>
      <c r="E60" s="188">
        <v>360.0</v>
      </c>
      <c r="F60" s="188">
        <v>50.0</v>
      </c>
      <c r="G60" s="188">
        <v>50.0</v>
      </c>
      <c r="H60" s="189" t="str">
        <f>kilng_o2</f>
        <v>3.5 </v>
      </c>
      <c r="I60" s="190" t="str">
        <f>IF(kgtemp=20,1.4452,M126/(kgtemp-20))</f>
        <v>#NAME?</v>
      </c>
      <c r="J60" s="51"/>
      <c r="K60" s="51"/>
      <c r="L60" s="51"/>
      <c r="M60" s="51"/>
      <c r="N60" s="51"/>
      <c r="O60" s="51"/>
      <c r="P60" s="51"/>
      <c r="Q60" s="51"/>
      <c r="T60" s="32"/>
      <c r="U60" s="19"/>
      <c r="V60" s="19"/>
      <c r="W60" s="19"/>
      <c r="Z60" s="18"/>
      <c r="AA60" s="18"/>
      <c r="AB60" s="18"/>
      <c r="AC60" s="18"/>
      <c r="AD60" s="18"/>
      <c r="AE60" s="18"/>
      <c r="AF60" s="4"/>
      <c r="AG60" s="4"/>
      <c r="AH60" s="4"/>
      <c r="AI60" s="4"/>
      <c r="AJ60" s="4"/>
      <c r="AK60" s="4"/>
      <c r="AM60" s="1"/>
    </row>
    <row r="61" ht="13.5" customHeight="1">
      <c r="A61" s="20"/>
      <c r="B61" s="37" t="str">
        <f t="array" ref="B61">INDEX(array1,25,arrayindex)</f>
        <v>Hot gases</v>
      </c>
      <c r="C61" s="36"/>
      <c r="D61" s="191"/>
      <c r="E61" s="188">
        <v>600.0</v>
      </c>
      <c r="F61" s="192" t="str">
        <f>hotgasaqua</f>
        <v>#REF!</v>
      </c>
      <c r="G61" s="188">
        <v>0.0</v>
      </c>
      <c r="H61" s="189" t="str">
        <f>I325*100/(100-G325)</f>
        <v>#REF!</v>
      </c>
      <c r="I61" s="190" t="str">
        <f>IF(hotgastemp=20,1.3671,N329/(hotgastemp-20))</f>
        <v>#REF!</v>
      </c>
      <c r="J61" s="51"/>
      <c r="K61" s="193"/>
      <c r="L61" s="51"/>
      <c r="M61" s="51"/>
      <c r="N61" s="51"/>
      <c r="O61" s="51"/>
      <c r="P61" s="51"/>
      <c r="Q61" s="51"/>
      <c r="T61" s="32"/>
      <c r="U61" s="19"/>
      <c r="V61" s="19"/>
      <c r="W61" s="19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M61" s="1"/>
    </row>
    <row r="62" ht="13.5" customHeight="1">
      <c r="A62" s="20"/>
      <c r="B62" s="36" t="str">
        <f t="array" ref="B62">INDEX(array1,26,arrayindex)</f>
        <v>Cooler exhaust gases</v>
      </c>
      <c r="C62" s="170" t="str">
        <f>IF(AND(_cairadd_pos=0,coolergasmax&gt;0.01),"set flow&lt;=0.01","")</f>
        <v/>
      </c>
      <c r="D62" s="187">
        <v>0.0</v>
      </c>
      <c r="E62" s="188">
        <v>330.0</v>
      </c>
      <c r="F62" s="194" t="str">
        <f>freshairaqua</f>
        <v>#NAME?</v>
      </c>
      <c r="G62" s="188">
        <v>30.0</v>
      </c>
      <c r="H62" s="192">
        <v>21.0</v>
      </c>
      <c r="I62" s="190" t="str">
        <f>IF(coolergastemp=20,1.29,(h_air(coolergastemp)-h_air(20))/(coolergastemp-20)*1000/22.41)</f>
        <v>#NAME?</v>
      </c>
      <c r="J62" s="51"/>
      <c r="K62" s="51"/>
      <c r="L62" s="51"/>
      <c r="M62" s="51"/>
      <c r="N62" s="51"/>
      <c r="O62" s="51"/>
      <c r="P62" s="51"/>
      <c r="Q62" s="51"/>
      <c r="T62" s="32"/>
      <c r="U62" s="19"/>
      <c r="V62" s="1"/>
      <c r="W62" s="19"/>
      <c r="Z62" s="19"/>
      <c r="AA62" s="4"/>
      <c r="AB62" s="19"/>
      <c r="AC62" s="19"/>
      <c r="AD62" s="4"/>
      <c r="AE62" s="4"/>
      <c r="AF62" s="4"/>
      <c r="AG62" s="4"/>
      <c r="AH62" s="19"/>
      <c r="AI62" s="195"/>
      <c r="AJ62" s="4"/>
      <c r="AK62" s="4"/>
      <c r="AM62" s="1"/>
    </row>
    <row r="63" ht="13.5" customHeight="1">
      <c r="A63" s="20"/>
      <c r="B63" s="36" t="str">
        <f t="array" ref="B63">INDEX(array1,27,arrayindex)</f>
        <v>Fresh air</v>
      </c>
      <c r="C63" s="36"/>
      <c r="D63" s="187">
        <v>0.0</v>
      </c>
      <c r="E63" s="188">
        <v>20.0</v>
      </c>
      <c r="F63" s="194" t="str">
        <f>aq_gpnm3(pr_amb,rel_hum,freshairtemp)</f>
        <v>#NAME?</v>
      </c>
      <c r="G63" s="188">
        <v>0.0</v>
      </c>
      <c r="H63" s="148">
        <v>21.0</v>
      </c>
      <c r="I63" s="190" t="str">
        <f>IF(freshairtemp=20,1.29,(h_air(freshairtemp)-h_air(19.999))/(freshairtemp-19.999)*1000/22.41)</f>
        <v>1.29 </v>
      </c>
      <c r="J63" s="51"/>
      <c r="K63" s="51"/>
      <c r="L63" s="51"/>
      <c r="M63" s="51"/>
      <c r="N63" s="51"/>
      <c r="O63" s="51"/>
      <c r="P63" s="51"/>
      <c r="Q63" s="51"/>
      <c r="U63" s="19"/>
      <c r="V63" s="19"/>
      <c r="W63" s="19"/>
      <c r="Z63" s="19"/>
      <c r="AA63" s="4"/>
      <c r="AB63" s="19"/>
      <c r="AC63" s="19"/>
      <c r="AD63" s="4"/>
      <c r="AE63" s="4"/>
      <c r="AF63" s="4"/>
      <c r="AG63" s="4"/>
      <c r="AH63" s="19"/>
      <c r="AI63" s="195"/>
      <c r="AJ63" s="4"/>
      <c r="AK63" s="4"/>
      <c r="AM63" s="1"/>
    </row>
    <row r="64" ht="13.5" customHeight="1">
      <c r="A64" s="196"/>
      <c r="B64" s="197"/>
      <c r="C64" s="198"/>
      <c r="D64" s="198"/>
      <c r="E64" s="198"/>
      <c r="F64" s="198"/>
      <c r="G64" s="198"/>
      <c r="H64" s="198"/>
      <c r="I64" s="199"/>
      <c r="J64" s="51"/>
      <c r="K64" s="200"/>
      <c r="L64" s="51"/>
      <c r="M64" s="51"/>
      <c r="N64" s="51"/>
      <c r="O64" s="51"/>
      <c r="P64" s="51"/>
      <c r="Q64" s="51"/>
      <c r="V64" s="1"/>
      <c r="W64" s="19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M64" s="1"/>
    </row>
    <row r="65" ht="13.5" customHeight="1">
      <c r="A65" s="201"/>
      <c r="B65" s="202" t="str">
        <f t="array" ref="B65">INDEX(array1,33,arrayindex)</f>
        <v>Gas Flows</v>
      </c>
      <c r="C65" s="203"/>
      <c r="D65" s="203"/>
      <c r="E65" s="203"/>
      <c r="F65" s="203"/>
      <c r="G65" s="203"/>
      <c r="H65" s="203"/>
      <c r="I65" s="204"/>
      <c r="J65" s="51"/>
      <c r="K65" s="200"/>
      <c r="L65" s="51"/>
      <c r="M65" s="51"/>
      <c r="N65" s="51"/>
      <c r="O65" s="51"/>
      <c r="P65" s="51"/>
      <c r="Q65" s="51"/>
      <c r="V65" s="1"/>
      <c r="W65" s="19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M65" s="1"/>
    </row>
    <row r="66" ht="13.5" customHeight="1">
      <c r="A66" s="20"/>
      <c r="B66" s="21"/>
      <c r="C66" s="89" t="str">
        <f t="array" ref="C66">INDEX(array1,29,arrayindex)</f>
        <v>Flow rate</v>
      </c>
      <c r="D66" s="89" t="str">
        <f t="array" ref="D66">INDEX(array1,29,arrayindex)</f>
        <v>Flow rate</v>
      </c>
      <c r="E66" s="89" t="str">
        <f t="array" ref="E66">INDEX(array1,32,arrayindex)</f>
        <v>Temperature</v>
      </c>
      <c r="F66" s="89" t="str">
        <f t="array" ref="F66">INDEX(array1,15,arrayindex)</f>
        <v>Humidity</v>
      </c>
      <c r="G66" s="89" t="str">
        <f t="array" ref="G66">INDEX(array1,30,arrayindex)</f>
        <v>Dust</v>
      </c>
      <c r="H66" s="89" t="str">
        <f t="array" ref="H66">INDEX(array1,69,arrayindex)</f>
        <v>Oxygen</v>
      </c>
      <c r="I66" s="90" t="str">
        <f t="array" ref="I66">INDEX(array1,31,arrayindex)</f>
        <v>Pressure</v>
      </c>
      <c r="J66" s="51"/>
      <c r="K66" s="200"/>
      <c r="L66" s="51"/>
      <c r="M66" s="205"/>
      <c r="N66" s="51"/>
      <c r="O66" s="51"/>
      <c r="P66" s="51"/>
      <c r="Q66" s="51"/>
      <c r="U66" s="19"/>
      <c r="V66" s="1"/>
      <c r="W66" s="19"/>
      <c r="Z66" s="19"/>
      <c r="AA66" s="4"/>
      <c r="AB66" s="4"/>
      <c r="AC66" s="4"/>
      <c r="AD66" s="4"/>
      <c r="AE66" s="19"/>
      <c r="AF66" s="4"/>
      <c r="AG66" s="4"/>
      <c r="AH66" s="4"/>
      <c r="AI66" s="4"/>
      <c r="AJ66" s="4"/>
      <c r="AK66" s="4"/>
      <c r="AM66" s="1"/>
    </row>
    <row r="67" ht="13.5" customHeight="1">
      <c r="A67" s="20"/>
      <c r="B67" s="76"/>
      <c r="C67" s="53" t="s">
        <v>37</v>
      </c>
      <c r="D67" s="53" t="s">
        <v>34</v>
      </c>
      <c r="E67" s="53" t="s">
        <v>10</v>
      </c>
      <c r="F67" s="53" t="s">
        <v>35</v>
      </c>
      <c r="G67" s="53" t="s">
        <v>38</v>
      </c>
      <c r="H67" s="53" t="s">
        <v>39</v>
      </c>
      <c r="I67" s="54" t="s">
        <v>20</v>
      </c>
      <c r="J67" s="51"/>
      <c r="K67" s="200"/>
      <c r="L67" s="51"/>
      <c r="M67" s="51"/>
      <c r="N67" s="51"/>
      <c r="O67" s="51"/>
      <c r="P67" s="51"/>
      <c r="Q67" s="51"/>
      <c r="U67" s="19"/>
      <c r="V67" s="19"/>
      <c r="W67" s="19"/>
      <c r="Z67" s="195"/>
      <c r="AA67" s="195"/>
      <c r="AB67" s="74"/>
      <c r="AC67" s="4"/>
      <c r="AD67" s="74"/>
      <c r="AE67" s="195"/>
      <c r="AF67" s="4"/>
      <c r="AG67" s="74"/>
      <c r="AH67" s="74"/>
      <c r="AI67" s="74"/>
      <c r="AJ67" s="74"/>
      <c r="AK67" s="74"/>
      <c r="AM67" s="1"/>
    </row>
    <row r="68" ht="13.5" customHeight="1">
      <c r="A68" s="12"/>
      <c r="B68" s="36" t="str">
        <f t="array" ref="B68">INDEX(array1,34,arrayindex)</f>
        <v>Kiln exhaust gases after PH</v>
      </c>
      <c r="C68" s="191" t="str">
        <f>D68*((273+E68)/273)*1013/(pr_amb+I68)</f>
        <v>  '0 </v>
      </c>
      <c r="D68" s="191" t="str">
        <f>kgmax</f>
        <v>  '0 </v>
      </c>
      <c r="E68" s="192" t="str">
        <f>kgtemp</f>
        <v>360 </v>
      </c>
      <c r="F68" s="192" t="str">
        <f>kgaqua</f>
        <v>50 </v>
      </c>
      <c r="G68" s="192" t="str">
        <f>kgdust</f>
        <v>50 </v>
      </c>
      <c r="H68" s="189" t="str">
        <f>kilng_o2</f>
        <v>3.5 </v>
      </c>
      <c r="I68" s="166">
        <v>-5.0</v>
      </c>
      <c r="J68" s="51">
        <v>1.0</v>
      </c>
      <c r="K68" s="200"/>
      <c r="L68" s="51"/>
      <c r="M68" s="51"/>
      <c r="N68" s="51"/>
      <c r="O68" s="51"/>
      <c r="P68" s="51"/>
      <c r="Q68" s="51"/>
      <c r="S68" s="19"/>
      <c r="T68" s="19"/>
      <c r="U68" s="19"/>
      <c r="V68" s="19"/>
      <c r="W68" s="19"/>
      <c r="Z68" s="19"/>
      <c r="AA68" s="4"/>
      <c r="AB68" s="206"/>
      <c r="AC68" s="195"/>
      <c r="AD68" s="19"/>
      <c r="AE68" s="19"/>
      <c r="AF68" s="195"/>
      <c r="AG68" s="19"/>
      <c r="AH68" s="4"/>
      <c r="AI68" s="4"/>
      <c r="AJ68" s="4"/>
      <c r="AK68" s="4"/>
      <c r="AM68" s="1"/>
    </row>
    <row r="69" ht="13.5" customHeight="1">
      <c r="A69" s="20"/>
      <c r="B69" s="36" t="str">
        <f>VLOOKUP($J69,INDIRECT(_case_range),2,FALSE)</f>
        <v>Cooler exhaust gases</v>
      </c>
      <c r="C69" s="191" t="str">
        <f>D69*((273+E69)/273)*1013/(pr_amb+I69)</f>
        <v>  -   </v>
      </c>
      <c r="D69" s="191" t="str">
        <f>VLOOKUP($J69,INDIRECT(_case_range),5,FALSE)</f>
        <v>  -   </v>
      </c>
      <c r="E69" s="192" t="str">
        <f>VLOOKUP($J69,INDIRECT(_case_range),11,FALSE)</f>
        <v>330 </v>
      </c>
      <c r="F69" s="192" t="str">
        <f>VLOOKUP($J69,INDIRECT(_case_range),10,FALSE)</f>
        <v>#NAME?</v>
      </c>
      <c r="G69" s="192" t="str">
        <f>VLOOKUP($J69,INDIRECT(_case_range),18,FALSE)</f>
        <v>30 </v>
      </c>
      <c r="H69" s="189" t="str">
        <f>IF(VLOOKUP($J69,INDIRECT(_case_range),9,FALSE)&lt;=0,0,VLOOKUP($J69,INDIRECT(_case_range),9,FALSE)*100/(100-VLOOKUP($J69,INDIRECT(_case_range),7,FALSE)))</f>
        <v>#NAME?</v>
      </c>
      <c r="I69" s="166"/>
      <c r="J69" s="51" t="str">
        <f>VLOOKUP(MAX(J$68:J68)+1,INDIRECT(_case_range),1,FALSE)</f>
        <v>2 </v>
      </c>
      <c r="K69" s="200"/>
      <c r="L69" s="124"/>
      <c r="M69" s="51"/>
      <c r="N69" s="51"/>
      <c r="O69" s="51"/>
      <c r="P69" s="51"/>
      <c r="Q69" s="51"/>
      <c r="S69" s="19"/>
      <c r="T69" s="19"/>
      <c r="U69" s="19"/>
      <c r="V69" s="19"/>
      <c r="W69" s="19"/>
      <c r="Z69" s="19"/>
      <c r="AA69" s="4"/>
      <c r="AB69" s="206"/>
      <c r="AC69" s="195"/>
      <c r="AD69" s="19"/>
      <c r="AE69" s="19"/>
      <c r="AF69" s="195"/>
      <c r="AG69" s="19"/>
      <c r="AH69" s="4"/>
      <c r="AI69" s="4"/>
      <c r="AJ69" s="4"/>
      <c r="AK69" s="4"/>
      <c r="AM69" s="1"/>
    </row>
    <row r="70" ht="13.5" customHeight="1">
      <c r="A70" s="20"/>
      <c r="B70" s="36" t="str">
        <f>VLOOKUP($J70,INDIRECT(_case_range),2,FALSE)</f>
        <v>Cooling tower - Inlet</v>
      </c>
      <c r="C70" s="191" t="str">
        <f>D70*((273+E70)/273)*1013/(pr_amb+I70)</f>
        <v>#NAME?</v>
      </c>
      <c r="D70" s="191" t="str">
        <f>VLOOKUP($J70,INDIRECT(_case_range),5,FALSE)</f>
        <v>  '0 </v>
      </c>
      <c r="E70" s="192" t="str">
        <f>VLOOKUP($J70,INDIRECT(_case_range),11,FALSE)</f>
        <v>#NAME?</v>
      </c>
      <c r="F70" s="192" t="str">
        <f>VLOOKUP($J70,INDIRECT(_case_range),10,FALSE)</f>
        <v>#NAME?</v>
      </c>
      <c r="G70" s="192" t="str">
        <f>VLOOKUP($J70,INDIRECT(_case_range),18,FALSE)</f>
        <v>50 </v>
      </c>
      <c r="H70" s="189" t="str">
        <f>IF(VLOOKUP($J70,INDIRECT(_case_range),9,FALSE)&lt;=0,0,VLOOKUP($J70,INDIRECT(_case_range),9,FALSE)*100/(100-VLOOKUP($J70,INDIRECT(_case_range),7,FALSE)))</f>
        <v>#NAME?</v>
      </c>
      <c r="I70" s="166">
        <v>-5.0</v>
      </c>
      <c r="J70" s="51" t="str">
        <f>VLOOKUP(MAX(J$68:J69)+1,INDIRECT(_case_range),1,FALSE)</f>
        <v>3 </v>
      </c>
      <c r="K70" s="200"/>
      <c r="L70" s="51"/>
      <c r="M70" s="51"/>
      <c r="N70" s="51"/>
      <c r="O70" s="51"/>
      <c r="P70" s="51"/>
      <c r="Q70" s="51"/>
      <c r="S70" s="19"/>
      <c r="T70" s="19"/>
      <c r="U70" s="19"/>
      <c r="V70" s="19"/>
      <c r="W70" s="19"/>
      <c r="Z70" s="19"/>
      <c r="AA70" s="4"/>
      <c r="AB70" s="206"/>
      <c r="AC70" s="195"/>
      <c r="AD70" s="19"/>
      <c r="AE70" s="19"/>
      <c r="AF70" s="195"/>
      <c r="AG70" s="19"/>
      <c r="AH70" s="4"/>
      <c r="AI70" s="4"/>
      <c r="AJ70" s="4"/>
      <c r="AK70" s="4"/>
      <c r="AM70" s="1"/>
    </row>
    <row r="71" ht="13.5" customHeight="1">
      <c r="A71" s="20"/>
      <c r="B71" s="36" t="str">
        <f>VLOOKUP($J71,INDIRECT(_case_range),2,FALSE)</f>
        <v>Water injection Cooling tower</v>
      </c>
      <c r="C71" s="191" t="str">
        <f>D71*((273+E71)/273)*1013/(pr_amb+I71)</f>
        <v>  '1 </v>
      </c>
      <c r="D71" s="191" t="str">
        <f>VLOOKUP($J71,INDIRECT(_case_range),5,FALSE)</f>
        <v>  '1 </v>
      </c>
      <c r="E71" s="192" t="str">
        <f>VLOOKUP($J71,INDIRECT(_case_range),11,FALSE)</f>
        <v>22 </v>
      </c>
      <c r="F71" s="192" t="str">
        <f>VLOOKUP($J71,INDIRECT(_case_range),10,FALSE)</f>
        <v>803 </v>
      </c>
      <c r="G71" s="192" t="str">
        <f>VLOOKUP($J71,INDIRECT(_case_range),18,FALSE)</f>
        <v/>
      </c>
      <c r="H71" s="189" t="str">
        <f>IF(VLOOKUP($J71,INDIRECT(_case_range),9,FALSE)&lt;=0,0,VLOOKUP($J71,INDIRECT(_case_range),9,FALSE)*100/(100-VLOOKUP($J71,INDIRECT(_case_range),7,FALSE)))</f>
        <v>0.0 </v>
      </c>
      <c r="I71" s="166"/>
      <c r="J71" s="51" t="str">
        <f>VLOOKUP(MAX(J$68:J70)+1,INDIRECT(_case_range),1,FALSE)</f>
        <v>4 </v>
      </c>
      <c r="K71" s="51"/>
      <c r="L71" s="51"/>
      <c r="M71" s="51"/>
      <c r="N71" s="51"/>
      <c r="O71" s="51"/>
      <c r="P71" s="51"/>
      <c r="Q71" s="51"/>
      <c r="V71" s="19"/>
      <c r="W71" s="19"/>
      <c r="Z71" s="19"/>
      <c r="AA71" s="4"/>
      <c r="AB71" s="206"/>
      <c r="AC71" s="4"/>
      <c r="AD71" s="19"/>
      <c r="AE71" s="19"/>
      <c r="AF71" s="4"/>
      <c r="AG71" s="19"/>
      <c r="AH71" s="4"/>
      <c r="AI71" s="4"/>
      <c r="AJ71" s="4"/>
      <c r="AK71" s="4"/>
      <c r="AM71" s="1"/>
    </row>
    <row r="72" ht="13.5" customHeight="1">
      <c r="A72" s="20"/>
      <c r="B72" s="36" t="str">
        <f>VLOOKUP($J72,INDIRECT(_case_range),2,FALSE)</f>
        <v>False air rate Cooling tower</v>
      </c>
      <c r="C72" s="191" t="str">
        <f>D72*((273+E72)/273)*1013/(pr_amb+I72)</f>
        <v>  -   </v>
      </c>
      <c r="D72" s="191" t="str">
        <f>VLOOKUP($J72,INDIRECT(_case_range),5,FALSE)</f>
        <v>  -   </v>
      </c>
      <c r="E72" s="192" t="str">
        <f>VLOOKUP($J72,INDIRECT(_case_range),11,FALSE)</f>
        <v>20 </v>
      </c>
      <c r="F72" s="192" t="str">
        <f>VLOOKUP($J72,INDIRECT(_case_range),10,FALSE)</f>
        <v>#NAME?</v>
      </c>
      <c r="G72" s="192" t="str">
        <f>VLOOKUP($J72,INDIRECT(_case_range),18,FALSE)</f>
        <v/>
      </c>
      <c r="H72" s="189" t="str">
        <f>IF(VLOOKUP($J72,INDIRECT(_case_range),9,FALSE)&lt;=0,0,VLOOKUP($J72,INDIRECT(_case_range),9,FALSE)*100/(100-VLOOKUP($J72,INDIRECT(_case_range),7,FALSE)))</f>
        <v>#NAME?</v>
      </c>
      <c r="I72" s="166"/>
      <c r="J72" s="51" t="str">
        <f>VLOOKUP(MAX(J$68:J71)+1,INDIRECT(_case_range),1,FALSE)</f>
        <v>5 </v>
      </c>
      <c r="K72" s="51"/>
      <c r="L72" s="51"/>
      <c r="M72" s="51"/>
      <c r="N72" s="51"/>
      <c r="O72" s="51"/>
      <c r="P72" s="51"/>
      <c r="Q72" s="51"/>
      <c r="V72" s="19"/>
      <c r="W72" s="19"/>
      <c r="Z72" s="19"/>
      <c r="AA72" s="4"/>
      <c r="AB72" s="206"/>
      <c r="AC72" s="4"/>
      <c r="AD72" s="19"/>
      <c r="AE72" s="19"/>
      <c r="AF72" s="4"/>
      <c r="AG72" s="19"/>
      <c r="AH72" s="4"/>
      <c r="AI72" s="4"/>
      <c r="AJ72" s="4"/>
      <c r="AK72" s="4"/>
      <c r="AM72" s="1"/>
    </row>
    <row r="73" ht="13.5" customHeight="1">
      <c r="A73" s="20"/>
      <c r="B73" s="36" t="str">
        <f>VLOOKUP($J73,INDIRECT(_case_range),2,FALSE)</f>
        <v>Gases after CT</v>
      </c>
      <c r="C73" s="191" t="str">
        <f>D73*((273+E73)/273)*1013/(pr_amb+I73)</f>
        <v>#REF!</v>
      </c>
      <c r="D73" s="191" t="str">
        <f>VLOOKUP($J73,INDIRECT(_case_range),5,FALSE)</f>
        <v>  '1 </v>
      </c>
      <c r="E73" s="192" t="str">
        <f>VLOOKUP($J73,INDIRECT(_case_range),11,FALSE)</f>
        <v>#REF!</v>
      </c>
      <c r="F73" s="192" t="str">
        <f>VLOOKUP($J73,INDIRECT(_case_range),10,FALSE)</f>
        <v>#NAME?</v>
      </c>
      <c r="G73" s="192" t="str">
        <f>VLOOKUP($J73,INDIRECT(_case_range),18,FALSE)</f>
        <v>0 </v>
      </c>
      <c r="H73" s="189" t="str">
        <f>IF(VLOOKUP($J73,INDIRECT(_case_range),9,FALSE)&lt;=0,0,VLOOKUP($J73,INDIRECT(_case_range),9,FALSE)*100/(100-VLOOKUP($J73,INDIRECT(_case_range),7,FALSE)))</f>
        <v>#NAME?</v>
      </c>
      <c r="I73" s="166">
        <v>-5.0</v>
      </c>
      <c r="J73" s="51" t="str">
        <f>VLOOKUP(MAX(J$68:J72)+1,INDIRECT(_case_range),1,FALSE)</f>
        <v>6 </v>
      </c>
      <c r="K73" s="124"/>
      <c r="L73" s="124"/>
      <c r="M73" s="51"/>
      <c r="N73" s="51"/>
      <c r="O73" s="51"/>
      <c r="P73" s="51"/>
      <c r="Q73" s="51"/>
      <c r="V73" s="19"/>
      <c r="W73" s="19"/>
      <c r="Z73" s="19"/>
      <c r="AA73" s="4"/>
      <c r="AB73" s="206"/>
      <c r="AC73" s="4"/>
      <c r="AD73" s="19"/>
      <c r="AE73" s="19"/>
      <c r="AF73" s="4"/>
      <c r="AG73" s="19"/>
      <c r="AH73" s="4"/>
      <c r="AI73" s="4"/>
      <c r="AJ73" s="4"/>
      <c r="AK73" s="4"/>
      <c r="AM73" s="1"/>
    </row>
    <row r="74" ht="13.5" customHeight="1">
      <c r="A74" s="20"/>
      <c r="B74" s="36" t="str">
        <f>VLOOKUP($J74,INDIRECT(_case_range),2,FALSE)</f>
        <v>Kiln fan - Outlet</v>
      </c>
      <c r="C74" s="191" t="str">
        <f>D74*((273+E74)/273)*1013/(pr_amb+I74)</f>
        <v>#NAME?</v>
      </c>
      <c r="D74" s="191" t="str">
        <f>VLOOKUP($J74,INDIRECT(_case_range),5,FALSE)</f>
        <v>  '1 </v>
      </c>
      <c r="E74" s="192" t="str">
        <f>VLOOKUP($J74,INDIRECT(_case_range),11,FALSE)</f>
        <v>#NAME?</v>
      </c>
      <c r="F74" s="192" t="str">
        <f>VLOOKUP($J74,INDIRECT(_case_range),10,FALSE)</f>
        <v>#NAME?</v>
      </c>
      <c r="G74" s="192" t="str">
        <f>VLOOKUP($J74,INDIRECT(_case_range),18,FALSE)</f>
        <v>0 </v>
      </c>
      <c r="H74" s="189" t="str">
        <f>IF(VLOOKUP($J74,INDIRECT(_case_range),9,FALSE)&lt;=0,0,VLOOKUP($J74,INDIRECT(_case_range),9,FALSE)*100/(100-VLOOKUP($J74,INDIRECT(_case_range),7,FALSE)))</f>
        <v>#NAME?</v>
      </c>
      <c r="I74" s="166">
        <v>-5.0</v>
      </c>
      <c r="J74" s="51" t="str">
        <f>VLOOKUP(MAX(J$68:J73)+1,INDIRECT(_case_range),1,FALSE)</f>
        <v>7 </v>
      </c>
      <c r="K74" s="51"/>
      <c r="L74" s="124"/>
      <c r="M74" s="51"/>
      <c r="N74" s="51"/>
      <c r="O74" s="51"/>
      <c r="P74" s="51"/>
      <c r="Q74" s="51"/>
      <c r="V74" s="19"/>
      <c r="W74" s="19"/>
      <c r="Z74" s="19"/>
      <c r="AA74" s="4"/>
      <c r="AB74" s="206"/>
      <c r="AC74" s="4"/>
      <c r="AD74" s="19"/>
      <c r="AE74" s="19"/>
      <c r="AF74" s="4"/>
      <c r="AG74" s="19"/>
      <c r="AH74" s="4"/>
      <c r="AI74" s="4"/>
      <c r="AJ74" s="4"/>
      <c r="AK74" s="4"/>
      <c r="AM74" s="1"/>
    </row>
    <row r="75" ht="13.5" customHeight="1">
      <c r="A75" s="20"/>
      <c r="B75" s="36" t="str">
        <f>VLOOKUP($J75,INDIRECT(_case_range),2,FALSE)</f>
        <v>Coalmill</v>
      </c>
      <c r="C75" s="191" t="str">
        <f>D75*((273+E75)/273)*1013/(pr_amb+I75)</f>
        <v>#NAME?</v>
      </c>
      <c r="D75" s="191" t="str">
        <f>VLOOKUP($J75,INDIRECT(_case_range),5,FALSE)</f>
        <v>  -   </v>
      </c>
      <c r="E75" s="192" t="str">
        <f>VLOOKUP($J75,INDIRECT(_case_range),11,FALSE)</f>
        <v>#NAME?</v>
      </c>
      <c r="F75" s="192" t="str">
        <f>VLOOKUP($J75,INDIRECT(_case_range),10,FALSE)</f>
        <v>#NAME?</v>
      </c>
      <c r="G75" s="192" t="str">
        <f>VLOOKUP($J75,INDIRECT(_case_range),18,FALSE)</f>
        <v>0 </v>
      </c>
      <c r="H75" s="189" t="str">
        <f>IF(VLOOKUP($J75,INDIRECT(_case_range),9,FALSE)&lt;=0,0,VLOOKUP($J75,INDIRECT(_case_range),9,FALSE)*100/(100-VLOOKUP($J75,INDIRECT(_case_range),7,FALSE)))</f>
        <v>#NAME?</v>
      </c>
      <c r="I75" s="166">
        <v>-5.0</v>
      </c>
      <c r="J75" s="51" t="str">
        <f>VLOOKUP(MAX(J$68:J74)+1,INDIRECT(_case_range),1,FALSE)</f>
        <v>8 </v>
      </c>
      <c r="K75" s="51"/>
      <c r="L75" s="51"/>
      <c r="M75" s="51"/>
      <c r="N75" s="51"/>
      <c r="O75" s="51"/>
      <c r="P75" s="51"/>
      <c r="Q75" s="51"/>
      <c r="V75" s="19"/>
      <c r="W75" s="19"/>
      <c r="Z75" s="19"/>
      <c r="AA75" s="4"/>
      <c r="AB75" s="206"/>
      <c r="AC75" s="4"/>
      <c r="AD75" s="19"/>
      <c r="AE75" s="19"/>
      <c r="AF75" s="4"/>
      <c r="AG75" s="19"/>
      <c r="AH75" s="4"/>
      <c r="AI75" s="4"/>
      <c r="AJ75" s="4"/>
      <c r="AK75" s="4"/>
      <c r="AM75" s="1"/>
    </row>
    <row r="76" ht="13.5" customHeight="1">
      <c r="A76" s="20"/>
      <c r="B76" s="36" t="str">
        <f>VLOOKUP($J76,INDIRECT(_case_range),2,FALSE)</f>
        <v>Mill - Available gases</v>
      </c>
      <c r="C76" s="191" t="str">
        <f>D76*((273+E76)/273)*1013/(pr_amb+I76)</f>
        <v>#NAME?</v>
      </c>
      <c r="D76" s="191" t="str">
        <f>VLOOKUP($J76,INDIRECT(_case_range),5,FALSE)</f>
        <v>  '1 </v>
      </c>
      <c r="E76" s="192" t="str">
        <f>VLOOKUP($J76,INDIRECT(_case_range),11,FALSE)</f>
        <v>#NAME?</v>
      </c>
      <c r="F76" s="192" t="str">
        <f>VLOOKUP($J76,INDIRECT(_case_range),10,FALSE)</f>
        <v>#NAME?</v>
      </c>
      <c r="G76" s="192" t="str">
        <f>VLOOKUP($J76,INDIRECT(_case_range),18,FALSE)</f>
        <v>0 </v>
      </c>
      <c r="H76" s="189" t="str">
        <f>IF(VLOOKUP($J76,INDIRECT(_case_range),9,FALSE)&lt;=0,0,VLOOKUP($J76,INDIRECT(_case_range),9,FALSE)*100/(100-VLOOKUP($J76,INDIRECT(_case_range),7,FALSE)))</f>
        <v>#NAME?</v>
      </c>
      <c r="I76" s="166">
        <v>-5.0</v>
      </c>
      <c r="J76" s="51" t="str">
        <f>VLOOKUP(MAX(J$68:J75)+1,INDIRECT(_case_range),1,FALSE)</f>
        <v>9 </v>
      </c>
      <c r="K76" s="51"/>
      <c r="L76" s="51"/>
      <c r="M76" s="51"/>
      <c r="N76" s="51"/>
      <c r="O76" s="51"/>
      <c r="P76" s="51"/>
      <c r="Q76" s="51"/>
      <c r="V76" s="19"/>
      <c r="W76" s="19"/>
      <c r="Z76" s="19"/>
      <c r="AA76" s="4"/>
      <c r="AB76" s="206"/>
      <c r="AC76" s="4"/>
      <c r="AD76" s="19"/>
      <c r="AE76" s="19"/>
      <c r="AF76" s="4"/>
      <c r="AG76" s="19"/>
      <c r="AH76" s="4"/>
      <c r="AI76" s="4"/>
      <c r="AJ76" s="4"/>
      <c r="AK76" s="4"/>
      <c r="AM76" s="1"/>
    </row>
    <row r="77" ht="13.5" customHeight="1">
      <c r="A77" s="20"/>
      <c r="B77" s="36" t="str">
        <f>IF(ISNUMBER($J77),VLOOKUP($J77,INDIRECT(_case_range),2,FALSE),"")</f>
        <v>Excess gas</v>
      </c>
      <c r="C77" s="191" t="str">
        <f>IF(ISNUMBER($J77),D77*((273+E77)/273)*1013/(pr_amb+I77),"")</f>
        <v>#NAME?</v>
      </c>
      <c r="D77" s="191" t="str">
        <f>IF(ISNUMBER($J77),VLOOKUP($J77,INDIRECT(_case_range),5,FALSE),"")</f>
        <v>#NAME?</v>
      </c>
      <c r="E77" s="192" t="str">
        <f>IF(ISNUMBER($J77),VLOOKUP($J77,INDIRECT(_case_range),11,FALSE),"")</f>
        <v>#NAME?</v>
      </c>
      <c r="F77" s="192" t="str">
        <f>IF(ISNUMBER($J77),VLOOKUP($J77,INDIRECT(_case_range),10,FALSE),"")</f>
        <v>#NAME?</v>
      </c>
      <c r="G77" s="192" t="str">
        <f>IF(ISNUMBER($J77),VLOOKUP($J77,INDIRECT(_case_range),18,FALSE),"")</f>
        <v>0 </v>
      </c>
      <c r="H77" s="189" t="str">
        <f>IF(ISNUMBER($J77),IF(VLOOKUP($J77,INDIRECT(_case_range),9,FALSE)&lt;=0,0,VLOOKUP($J77,INDIRECT(_case_range),9,FALSE)*100/(100-VLOOKUP($J77,INDIRECT(_case_range),7,FALSE))),"")</f>
        <v>#NAME?</v>
      </c>
      <c r="I77" s="166">
        <v>5.0</v>
      </c>
      <c r="J77" s="51" t="str">
        <f>VLOOKUP(MAX(J$68:J76)+1,INDIRECT(_case_range),1,FALSE)</f>
        <v>10 </v>
      </c>
      <c r="K77" s="51"/>
      <c r="L77" s="51"/>
      <c r="M77" s="51"/>
      <c r="N77" s="51"/>
      <c r="O77" s="51"/>
      <c r="P77" s="51"/>
      <c r="Q77" s="51"/>
      <c r="V77" s="19"/>
      <c r="W77" s="19"/>
      <c r="Z77" s="19"/>
      <c r="AA77" s="4"/>
      <c r="AB77" s="206"/>
      <c r="AC77" s="4"/>
      <c r="AD77" s="19"/>
      <c r="AE77" s="19"/>
      <c r="AF77" s="4"/>
      <c r="AG77" s="19"/>
      <c r="AH77" s="4"/>
      <c r="AI77" s="4"/>
      <c r="AJ77" s="4"/>
      <c r="AK77" s="4"/>
      <c r="AM77" s="1"/>
    </row>
    <row r="78" ht="13.5" customHeight="1">
      <c r="A78" s="20"/>
      <c r="B78" s="36" t="str">
        <f>IF(ISNUMBER($J78),VLOOKUP($J78,INDIRECT(_case_range),2,FALSE),"")</f>
        <v>Gas to mill</v>
      </c>
      <c r="C78" s="191" t="str">
        <f>IF(ISNUMBER($J78),D78*((273+E78)/273)*1013/(pr_amb+I78),"")</f>
        <v>#NAME?</v>
      </c>
      <c r="D78" s="191" t="str">
        <f>IF(ISNUMBER($J78),VLOOKUP($J78,INDIRECT(_case_range),5,FALSE),"")</f>
        <v>#NAME?</v>
      </c>
      <c r="E78" s="192" t="str">
        <f>IF(ISNUMBER($J78),VLOOKUP($J78,INDIRECT(_case_range),11,FALSE),"")</f>
        <v>#NAME?</v>
      </c>
      <c r="F78" s="192" t="str">
        <f>IF(ISNUMBER($J78),VLOOKUP($J78,INDIRECT(_case_range),10,FALSE),"")</f>
        <v>#NAME?</v>
      </c>
      <c r="G78" s="192" t="str">
        <f>IF(ISNUMBER($J78),VLOOKUP($J78,INDIRECT(_case_range),18,FALSE),"")</f>
        <v>0 </v>
      </c>
      <c r="H78" s="189" t="str">
        <f>IF(ISNUMBER($J78),IF(VLOOKUP($J78,INDIRECT(_case_range),9,FALSE)&lt;=0,0,VLOOKUP($J78,INDIRECT(_case_range),9,FALSE)*100/(100-VLOOKUP($J78,INDIRECT(_case_range),7,FALSE))),"")</f>
        <v>#NAME?</v>
      </c>
      <c r="I78" s="166">
        <v>5.0</v>
      </c>
      <c r="J78" s="51" t="str">
        <f>VLOOKUP(MAX(J$68:J77)+1,INDIRECT(_case_range),1,FALSE)</f>
        <v>11 </v>
      </c>
      <c r="K78" s="51"/>
      <c r="L78" s="51"/>
      <c r="M78" s="51"/>
      <c r="N78" s="51"/>
      <c r="O78" s="51"/>
      <c r="P78" s="51"/>
      <c r="Q78" s="51"/>
      <c r="V78" s="19"/>
      <c r="W78" s="19"/>
      <c r="Z78" s="19"/>
      <c r="AA78" s="4"/>
      <c r="AB78" s="206"/>
      <c r="AC78" s="4"/>
      <c r="AD78" s="19"/>
      <c r="AE78" s="19"/>
      <c r="AF78" s="4"/>
      <c r="AG78" s="19"/>
      <c r="AH78" s="4"/>
      <c r="AI78" s="4"/>
      <c r="AJ78" s="4"/>
      <c r="AK78" s="4"/>
      <c r="AM78" s="1"/>
    </row>
    <row r="79" ht="13.5" customHeight="1">
      <c r="A79" s="65"/>
      <c r="B79" s="76" t="str">
        <f>IF(ISNUMBER($J79),VLOOKUP($J79,INDIRECT(_case_range),2,FALSE),"")</f>
        <v/>
      </c>
      <c r="C79" s="207" t="str">
        <f>IF(ISNUMBER($J79),D79*((273+E79)/273)*1013/(pr_amb+I79),"")</f>
        <v>  </v>
      </c>
      <c r="D79" s="207" t="str">
        <f>IF(ISNUMBER($J79),VLOOKUP($J79,INDIRECT(_case_range),5,FALSE),"")</f>
        <v>  </v>
      </c>
      <c r="E79" s="208" t="str">
        <f>IF(ISNUMBER($J79),VLOOKUP($J79,INDIRECT(_case_range),11,FALSE),"")</f>
        <v/>
      </c>
      <c r="F79" s="208" t="str">
        <f>IF(ISNUMBER($J79),VLOOKUP($J79,INDIRECT(_case_range),10,FALSE),"")</f>
        <v/>
      </c>
      <c r="G79" s="208" t="str">
        <f>IF(ISNUMBER($J79),VLOOKUP($J79,INDIRECT(_case_range),18,FALSE),"")</f>
        <v/>
      </c>
      <c r="H79" s="209" t="str">
        <f>IF(ISNUMBER($J79),IF(VLOOKUP($J79,INDIRECT(_case_range),9,FALSE)&lt;=0,0,VLOOKUP($J79,INDIRECT(_case_range),9,FALSE)*100/(100-VLOOKUP($J79,INDIRECT(_case_range),7,FALSE))),"")</f>
        <v/>
      </c>
      <c r="I79" s="210">
        <v>5.0</v>
      </c>
      <c r="J79" s="51" t="str">
        <f>VLOOKUP(MAX(J$68:J78)+1,INDIRECT(_case_range),1,FALSE)</f>
        <v>#N/A</v>
      </c>
      <c r="K79" s="51"/>
      <c r="L79" s="51"/>
      <c r="M79" s="51"/>
      <c r="N79" s="51"/>
      <c r="O79" s="51"/>
      <c r="P79" s="51"/>
      <c r="Q79" s="51"/>
      <c r="V79" s="19"/>
      <c r="W79" s="19"/>
      <c r="Z79" s="19"/>
      <c r="AA79" s="4"/>
      <c r="AB79" s="206"/>
      <c r="AC79" s="4"/>
      <c r="AD79" s="19"/>
      <c r="AE79" s="19"/>
      <c r="AF79" s="4"/>
      <c r="AG79" s="19"/>
      <c r="AH79" s="4"/>
      <c r="AI79" s="4"/>
      <c r="AJ79" s="4"/>
      <c r="AK79" s="4"/>
      <c r="AM79" s="1"/>
    </row>
    <row r="80" ht="13.5" customHeight="1">
      <c r="A80" s="20"/>
      <c r="B80" s="170" t="str">
        <f>IF(E235&lt;0,"mill heat demand is negative : increase fresh air or water injection","")</f>
        <v>#NAME?</v>
      </c>
      <c r="C80" s="191"/>
      <c r="D80" s="191"/>
      <c r="E80" s="148"/>
      <c r="F80" s="148"/>
      <c r="G80" s="148"/>
      <c r="H80" s="148"/>
      <c r="I80" s="211"/>
      <c r="J80" s="51"/>
      <c r="K80" s="51"/>
      <c r="L80" s="51"/>
      <c r="M80" s="51"/>
      <c r="N80" s="51"/>
      <c r="O80" s="51"/>
      <c r="P80" s="51"/>
      <c r="Q80" s="51"/>
      <c r="V80" s="19"/>
      <c r="W80" s="19"/>
      <c r="Z80" s="19"/>
      <c r="AA80" s="4"/>
      <c r="AB80" s="206"/>
      <c r="AC80" s="4"/>
      <c r="AD80" s="19"/>
      <c r="AE80" s="19"/>
      <c r="AF80" s="4"/>
      <c r="AG80" s="19"/>
      <c r="AH80" s="4"/>
      <c r="AI80" s="4"/>
      <c r="AJ80" s="4"/>
      <c r="AK80" s="4"/>
      <c r="AM80" s="1"/>
    </row>
    <row r="81" ht="13.5" customHeight="1">
      <c r="A81" s="20"/>
      <c r="B81" s="36" t="str">
        <f t="array" ref="B81">INDEX(array1,47,arrayindex)</f>
        <v>Hot gas generator</v>
      </c>
      <c r="C81" s="191" t="str">
        <f>D81*((273+E81)/273)*1013/(pr_amb+I81)</f>
        <v>#REF!</v>
      </c>
      <c r="D81" s="191" t="str">
        <f t="shared" ref="D81:D83" si="3">E237</f>
        <v>#REF!</v>
      </c>
      <c r="E81" s="148" t="str">
        <f>hotgastemp</f>
        <v>600 </v>
      </c>
      <c r="F81" s="192" t="str">
        <f>J237</f>
        <v>#REF!</v>
      </c>
      <c r="G81" s="192" t="str">
        <f>R237</f>
        <v/>
      </c>
      <c r="H81" s="189" t="str">
        <f>I237*100/(100-G237)</f>
        <v>#REF!</v>
      </c>
      <c r="I81" s="166">
        <v>-2.0</v>
      </c>
      <c r="J81" s="51"/>
      <c r="K81" s="200"/>
      <c r="L81" s="51"/>
      <c r="M81" s="205"/>
      <c r="N81" s="51"/>
      <c r="O81" s="51"/>
      <c r="P81" s="51"/>
      <c r="Q81" s="51"/>
      <c r="U81" s="19"/>
      <c r="V81" s="19"/>
      <c r="Z81" s="19"/>
      <c r="AA81" s="4"/>
      <c r="AB81" s="206"/>
      <c r="AC81" s="4"/>
      <c r="AD81" s="19"/>
      <c r="AE81" s="19"/>
      <c r="AF81" s="4"/>
      <c r="AG81" s="19"/>
      <c r="AH81" s="4"/>
      <c r="AI81" s="4"/>
      <c r="AJ81" s="4"/>
      <c r="AK81" s="4"/>
      <c r="AM81" s="1"/>
    </row>
    <row r="82" ht="13.5" customHeight="1">
      <c r="A82" s="20"/>
      <c r="B82" s="212" t="str">
        <f t="array" ref="B82">INDEX(array1,27,arrayindex)</f>
        <v>Fresh air</v>
      </c>
      <c r="C82" s="191" t="str">
        <f>D82*((273+E82)/273)*1013/(pr_amb+I82)</f>
        <v>#REF!</v>
      </c>
      <c r="D82" s="191" t="str">
        <f t="shared" si="3"/>
        <v>#REF!</v>
      </c>
      <c r="E82" s="148" t="str">
        <f>freshairtemp</f>
        <v>20 </v>
      </c>
      <c r="F82" s="192" t="str">
        <f>freshairaqua</f>
        <v>#NAME?</v>
      </c>
      <c r="G82" s="192"/>
      <c r="H82" s="148" t="str">
        <f>H63</f>
        <v>21 </v>
      </c>
      <c r="I82" s="166">
        <v>-2.0</v>
      </c>
      <c r="J82" s="51"/>
      <c r="K82" s="51"/>
      <c r="L82" s="51"/>
      <c r="M82" s="51"/>
      <c r="N82" s="51"/>
      <c r="O82" s="51"/>
      <c r="P82" s="51"/>
      <c r="Q82" s="51"/>
      <c r="U82" s="19"/>
      <c r="V82" s="19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M82" s="1"/>
    </row>
    <row r="83" ht="13.5" customHeight="1">
      <c r="A83" s="20"/>
      <c r="B83" s="36" t="str">
        <f t="array" ref="B83">INDEX(array1,42,arrayindex)</f>
        <v>Recirculating gases</v>
      </c>
      <c r="C83" s="191" t="str">
        <f>D83*((273+E83)/273)*1013/(pr_amb+I83)</f>
        <v>#REF!</v>
      </c>
      <c r="D83" s="191" t="str">
        <f t="shared" si="3"/>
        <v>#REF!</v>
      </c>
      <c r="E83" s="192" t="str">
        <f>K239</f>
        <v>#NAME?</v>
      </c>
      <c r="F83" s="192" t="str">
        <f>J239</f>
        <v>#REF!</v>
      </c>
      <c r="G83" s="192" t="str">
        <f>R239</f>
        <v>#REF!</v>
      </c>
      <c r="H83" s="189" t="str">
        <f>I239*100/(100-G239)</f>
        <v>#REF!</v>
      </c>
      <c r="I83" s="166">
        <v>-2.0</v>
      </c>
      <c r="J83" s="51"/>
      <c r="K83" s="51"/>
      <c r="L83" s="51"/>
      <c r="M83" s="51"/>
      <c r="N83" s="51"/>
      <c r="O83" s="51"/>
      <c r="P83" s="51"/>
      <c r="Q83" s="51"/>
      <c r="U83" s="19"/>
      <c r="V83" s="19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M83" s="1"/>
    </row>
    <row r="84" ht="13.5" customHeight="1">
      <c r="A84" s="20"/>
      <c r="B84" s="36" t="str">
        <f t="array" ref="B84">IF(_disch=1,CONCATENATE(INDEX(array1,36,arrayindex)," (",INDEX(array1,111,arrayindex),")"),INDEX(array1,36,arrayindex))</f>
        <v>Mill inlet</v>
      </c>
      <c r="C84" s="191" t="str">
        <f>D84*((273+E84)/273)*1013/(pr_amb+I84)</f>
        <v>#NAME?</v>
      </c>
      <c r="D84" s="191" t="str">
        <f>E247</f>
        <v>#NAME?</v>
      </c>
      <c r="E84" s="192" t="str">
        <f>E47</f>
        <v>#NAME?</v>
      </c>
      <c r="F84" s="192" t="str">
        <f>J247</f>
        <v>#NAME?</v>
      </c>
      <c r="G84" s="192" t="str">
        <f>R247</f>
        <v>#NAME?</v>
      </c>
      <c r="H84" s="189" t="str">
        <f>I247*100/(100-G247)</f>
        <v>#NAME?</v>
      </c>
      <c r="I84" s="213" t="str">
        <f>upmi</f>
        <v>-2 </v>
      </c>
      <c r="J84" s="51"/>
      <c r="K84" s="200"/>
      <c r="L84" s="51"/>
      <c r="M84" s="205"/>
      <c r="N84" s="51"/>
      <c r="O84" s="51"/>
      <c r="P84" s="51"/>
      <c r="Q84" s="51"/>
      <c r="U84" s="19"/>
      <c r="V84" s="19"/>
      <c r="W84" s="19"/>
      <c r="Z84" s="19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M84" s="1"/>
    </row>
    <row r="85" ht="13.5" customHeight="1">
      <c r="A85" s="20"/>
      <c r="B85" s="36" t="str">
        <f t="array" ref="B85">IF(_disch=1,CONCATENATE(INDEX(array1,36,arrayindex)," (",INDEX(array1,112,arrayindex),")"),"")</f>
        <v/>
      </c>
      <c r="C85" s="191" t="str">
        <f>IF(_disch=1,D85*((273+E85)/273)*1013/(pr_amb+I85),"")</f>
        <v>  </v>
      </c>
      <c r="D85" s="191" t="str">
        <f>IF(_disch=1,E248,"")</f>
        <v>  </v>
      </c>
      <c r="E85" s="192" t="str">
        <f>IF(_disch=1,E48,"")</f>
        <v/>
      </c>
      <c r="F85" s="192" t="str">
        <f>IF(_disch=1,J248,"")</f>
        <v/>
      </c>
      <c r="G85" s="192" t="str">
        <f>IF(_disch=1,R248,"")</f>
        <v/>
      </c>
      <c r="H85" s="189" t="str">
        <f>IF(_disch=1,I248*100/(100-G248),"")</f>
        <v/>
      </c>
      <c r="I85" s="213" t="str">
        <f>IF(_disch=1,upmi,"")</f>
        <v/>
      </c>
      <c r="J85" s="51"/>
      <c r="K85" s="200"/>
      <c r="L85" s="51"/>
      <c r="M85" s="205"/>
      <c r="N85" s="51"/>
      <c r="O85" s="51"/>
      <c r="P85" s="51"/>
      <c r="Q85" s="51"/>
      <c r="U85" s="19"/>
      <c r="V85" s="19"/>
      <c r="W85" s="19"/>
      <c r="Z85" s="19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M85" s="1"/>
    </row>
    <row r="86" ht="13.5" customHeight="1">
      <c r="A86" s="20"/>
      <c r="B86" s="36" t="str">
        <f t="array" ref="B86">INDEX(array1,43,arrayindex)</f>
        <v>False air mill</v>
      </c>
      <c r="C86" s="191" t="str">
        <f>D86*((273+E86)/273)*1013/(pr_amb+I86)</f>
        <v>#REF!</v>
      </c>
      <c r="D86" s="191" t="str">
        <f t="shared" ref="D86:D87" si="4">E242</f>
        <v>#REF!</v>
      </c>
      <c r="E86" s="192" t="str">
        <f t="shared" ref="E86:E87" si="5">L242</f>
        <v>85 </v>
      </c>
      <c r="F86" s="192" t="str">
        <f t="shared" ref="F86:F88" si="6">J242</f>
        <v>#NAME?</v>
      </c>
      <c r="G86" s="192" t="str">
        <f t="shared" ref="G86:G88" si="7">R242</f>
        <v/>
      </c>
      <c r="H86" s="189" t="str">
        <f>I242*100/(100-G242)</f>
        <v>#NAME?</v>
      </c>
      <c r="I86" s="213" t="str">
        <f>upme</f>
        <v>-12 </v>
      </c>
      <c r="J86" s="51"/>
      <c r="K86" s="200"/>
      <c r="L86" s="51"/>
      <c r="M86" s="205"/>
      <c r="N86" s="51"/>
      <c r="O86" s="51"/>
      <c r="P86" s="51"/>
      <c r="Q86" s="51"/>
      <c r="U86" s="19"/>
      <c r="V86" s="19"/>
      <c r="W86" s="19"/>
      <c r="Z86" s="19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M86" s="1"/>
    </row>
    <row r="87" ht="13.5" customHeight="1">
      <c r="A87" s="20"/>
      <c r="B87" s="36" t="str">
        <f t="array" ref="B87">INDEX(array1,44,arrayindex)</f>
        <v>Water evaporated in mill</v>
      </c>
      <c r="C87" s="191" t="str">
        <f>D87*((273+E87)/273)*1013/(pr_amb+I87)</f>
        <v>  4'914 </v>
      </c>
      <c r="D87" s="191" t="str">
        <f t="shared" si="4"/>
        <v>  3'457 </v>
      </c>
      <c r="E87" s="192" t="str">
        <f t="shared" si="5"/>
        <v>85 </v>
      </c>
      <c r="F87" s="192" t="str">
        <f t="shared" si="6"/>
        <v>803 </v>
      </c>
      <c r="G87" s="192" t="str">
        <f t="shared" si="7"/>
        <v/>
      </c>
      <c r="H87" s="189">
        <v>0.0</v>
      </c>
      <c r="I87" s="213" t="str">
        <f>upme</f>
        <v>-12 </v>
      </c>
      <c r="J87" s="51"/>
      <c r="K87" s="200"/>
      <c r="L87" s="51"/>
      <c r="M87" s="205"/>
      <c r="N87" s="51"/>
      <c r="O87" s="51"/>
      <c r="P87" s="51"/>
      <c r="Q87" s="51"/>
      <c r="U87" s="19"/>
      <c r="V87" s="19"/>
      <c r="W87" s="19"/>
      <c r="Z87" s="19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M87" s="1"/>
    </row>
    <row r="88" ht="13.5" customHeight="1">
      <c r="A88" s="20"/>
      <c r="B88" s="36" t="str">
        <f t="array" ref="B88">INDEX(array1,37,arrayindex)</f>
        <v>Mill outlet</v>
      </c>
      <c r="C88" s="191" t="str">
        <f>D88*((273+E88)/273)*1013/(pr_amb+I88)</f>
        <v>#REF!</v>
      </c>
      <c r="D88" s="191" t="str">
        <f>Vmexit_1</f>
        <v>#REF!</v>
      </c>
      <c r="E88" s="194" t="str">
        <f>millexittemp</f>
        <v>85 </v>
      </c>
      <c r="F88" s="192" t="str">
        <f t="shared" si="6"/>
        <v>#REF!</v>
      </c>
      <c r="G88" s="192" t="str">
        <f t="shared" si="7"/>
        <v>#NAME?</v>
      </c>
      <c r="H88" s="189" t="str">
        <f>I244*100/(100-G244)</f>
        <v>#REF!</v>
      </c>
      <c r="I88" s="213" t="str">
        <f>upme</f>
        <v>-12 </v>
      </c>
      <c r="J88" s="51"/>
      <c r="K88" s="200"/>
      <c r="L88" s="51"/>
      <c r="M88" s="205"/>
      <c r="N88" s="51"/>
      <c r="O88" s="51"/>
      <c r="P88" s="51"/>
      <c r="Q88" s="51"/>
      <c r="U88" s="19"/>
      <c r="V88" s="19"/>
      <c r="W88" s="19"/>
      <c r="Z88" s="19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M88" s="1"/>
    </row>
    <row r="89" ht="13.5" customHeight="1">
      <c r="A89" s="20"/>
      <c r="B89" s="36" t="str">
        <f t="array" ref="B89">INDEX(array1,38,arrayindex)</f>
        <v>Mill fan inlet</v>
      </c>
      <c r="C89" s="191" t="str">
        <f>D89*((273+E89)/273)*1013/(pr_amb+I89)</f>
        <v>#REF!</v>
      </c>
      <c r="D89" s="191" t="str">
        <f>IF(_system=0,E253,E264)</f>
        <v>#REF!</v>
      </c>
      <c r="E89" s="194" t="str">
        <f>CHOOSE(_system+1,K253,K264)</f>
        <v>#NAME?</v>
      </c>
      <c r="F89" s="192" t="str">
        <f>CHOOSE(_system+1,J253,J264)</f>
        <v>#REF!</v>
      </c>
      <c r="G89" s="192" t="str">
        <f>CHOOSE(_system+1,R253,R264)</f>
        <v>#REF!</v>
      </c>
      <c r="H89" s="189" t="str">
        <f>IF(_system=0,I253*100/(100-G253),I264*100/(100-G264))</f>
        <v>#REF!</v>
      </c>
      <c r="I89" s="213" t="str">
        <f>upmfi</f>
        <v>-28 </v>
      </c>
      <c r="J89" s="51"/>
      <c r="K89" s="200"/>
      <c r="L89" s="51"/>
      <c r="M89" s="205"/>
      <c r="N89" s="51"/>
      <c r="O89" s="51"/>
      <c r="P89" s="51"/>
      <c r="Q89" s="51"/>
      <c r="U89" s="19"/>
      <c r="V89" s="1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M89" s="1"/>
    </row>
    <row r="90" ht="13.5" customHeight="1">
      <c r="A90" s="20"/>
      <c r="B90" s="36" t="str">
        <f t="array" ref="B90">INDEX(array1,39,arrayindex)</f>
        <v>Mill fan outlet</v>
      </c>
      <c r="C90" s="191" t="str">
        <f>D90*((273+E90)/273)*1013/(pr_amb+I90)</f>
        <v>#REF!</v>
      </c>
      <c r="D90" s="191" t="str">
        <f>Vmfi</f>
        <v>#REF!</v>
      </c>
      <c r="E90" s="194" t="str">
        <f>CHOOSE(_system+1,K254,K265)</f>
        <v>#NAME?</v>
      </c>
      <c r="F90" s="192" t="str">
        <f>CHOOSE(_system+1,J254,J265)</f>
        <v>#REF!</v>
      </c>
      <c r="G90" s="192" t="str">
        <f>R254</f>
        <v>#REF!</v>
      </c>
      <c r="H90" s="189" t="str">
        <f>IF(_system=0,I254*100/(100-G254),I265*100/(100-G265))</f>
        <v>#REF!</v>
      </c>
      <c r="I90" s="213" t="str">
        <f>upmfe</f>
        <v>0 </v>
      </c>
      <c r="J90" s="51"/>
      <c r="K90" s="51"/>
      <c r="L90" s="51"/>
      <c r="M90" s="51"/>
      <c r="N90" s="51"/>
      <c r="O90" s="51"/>
      <c r="P90" s="51"/>
      <c r="Q90" s="51"/>
      <c r="V90" s="1"/>
      <c r="Z90" s="19"/>
      <c r="AA90" s="4"/>
      <c r="AB90" s="4"/>
      <c r="AC90" s="4"/>
      <c r="AD90" s="4"/>
      <c r="AE90" s="19"/>
      <c r="AF90" s="4"/>
      <c r="AG90" s="4"/>
      <c r="AH90" s="4"/>
      <c r="AI90" s="4"/>
      <c r="AJ90" s="19"/>
      <c r="AK90" s="4"/>
      <c r="AM90" s="1"/>
    </row>
    <row r="91" ht="13.5" customHeight="1">
      <c r="A91" s="20"/>
      <c r="B91" s="36" t="str">
        <f t="array" ref="B91">INDEX(array1,40,arrayindex)</f>
        <v>Filter fan inlet</v>
      </c>
      <c r="C91" s="191" t="str">
        <f>D91*((273+E91)/273)*1013/(pr_amb+I91)</f>
        <v>#REF!</v>
      </c>
      <c r="D91" s="191" t="str">
        <f t="shared" ref="D91:D92" si="8">E306</f>
        <v>#REF!</v>
      </c>
      <c r="E91" s="192" t="str">
        <f t="shared" ref="E91:E92" si="9">K306</f>
        <v>#NAME?</v>
      </c>
      <c r="F91" s="192" t="str">
        <f t="shared" ref="F91:F92" si="10">J306</f>
        <v>#REF!</v>
      </c>
      <c r="G91" s="192" t="str">
        <f t="shared" ref="G91:G92" si="11">R306</f>
        <v>0 </v>
      </c>
      <c r="H91" s="189" t="str">
        <f t="shared" ref="H91:H92" si="12">I306*100/(100-G306)</f>
        <v>#REF!</v>
      </c>
      <c r="I91" s="213" t="str">
        <f>upffi</f>
        <v>-20 </v>
      </c>
      <c r="J91" s="51"/>
      <c r="K91" s="51"/>
      <c r="L91" s="51"/>
      <c r="M91" s="51"/>
      <c r="N91" s="51"/>
      <c r="O91" s="51"/>
      <c r="P91" s="51"/>
      <c r="Q91" s="51"/>
      <c r="U91" s="19"/>
      <c r="V91" s="1"/>
      <c r="Z91" s="19"/>
      <c r="AA91" s="4"/>
      <c r="AB91" s="4"/>
      <c r="AC91" s="4"/>
      <c r="AD91" s="4"/>
      <c r="AE91" s="19"/>
      <c r="AF91" s="4"/>
      <c r="AG91" s="4"/>
      <c r="AH91" s="4"/>
      <c r="AI91" s="4"/>
      <c r="AJ91" s="18"/>
      <c r="AK91" s="18"/>
      <c r="AM91" s="1"/>
    </row>
    <row r="92" ht="13.5" customHeight="1">
      <c r="A92" s="20"/>
      <c r="B92" s="36" t="str">
        <f t="array" ref="B92">INDEX(array1,41,arrayindex)</f>
        <v>Filter fan outlet</v>
      </c>
      <c r="C92" s="191" t="str">
        <f>D92*((273+E92)/273)*1013/(pr_amb+I92)</f>
        <v>#REF!</v>
      </c>
      <c r="D92" s="191" t="str">
        <f t="shared" si="8"/>
        <v>#REF!</v>
      </c>
      <c r="E92" s="192" t="str">
        <f t="shared" si="9"/>
        <v>#NAME?</v>
      </c>
      <c r="F92" s="192" t="str">
        <f t="shared" si="10"/>
        <v>#REF!</v>
      </c>
      <c r="G92" s="192" t="str">
        <f t="shared" si="11"/>
        <v>0 </v>
      </c>
      <c r="H92" s="189" t="str">
        <f t="shared" si="12"/>
        <v>#REF!</v>
      </c>
      <c r="I92" s="213" t="str">
        <f>upffe</f>
        <v>-2 </v>
      </c>
      <c r="J92" s="51"/>
      <c r="K92" s="51"/>
      <c r="L92" s="51"/>
      <c r="M92" s="51"/>
      <c r="N92" s="51"/>
      <c r="O92" s="51"/>
      <c r="P92" s="51"/>
      <c r="Q92" s="51"/>
      <c r="S92" s="19"/>
      <c r="T92" s="19"/>
      <c r="U92" s="19"/>
      <c r="V92" s="19"/>
      <c r="W92" s="19"/>
      <c r="Z92" s="19"/>
      <c r="AA92" s="4"/>
      <c r="AB92" s="4"/>
      <c r="AC92" s="19"/>
      <c r="AD92" s="4"/>
      <c r="AE92" s="19"/>
      <c r="AF92" s="214"/>
      <c r="AG92" s="19"/>
      <c r="AH92" s="4"/>
      <c r="AI92" s="4"/>
      <c r="AJ92" s="19"/>
      <c r="AK92" s="214"/>
      <c r="AM92" s="1"/>
    </row>
    <row r="93" ht="13.5" customHeight="1">
      <c r="A93" s="65"/>
      <c r="B93" s="76" t="str">
        <f t="array" ref="B93">INDEX(array1,66,arrayindex)</f>
        <v>System exhaust</v>
      </c>
      <c r="C93" s="207" t="str">
        <f>D93*((273+E93)/273)*1013/(pr_amb+I93)</f>
        <v>#REF!</v>
      </c>
      <c r="D93" s="207" t="str">
        <f>CHOOSE(_system+1,E306,E264-E239)</f>
        <v>#REF!</v>
      </c>
      <c r="E93" s="208" t="str">
        <f>CHOOSE(_system+1,K307,K265)</f>
        <v>#NAME?</v>
      </c>
      <c r="F93" s="208" t="str">
        <f>CHOOSE(_system+1,J307,J265)</f>
        <v>#REF!</v>
      </c>
      <c r="G93" s="208" t="str">
        <f>CHOOSE(_system+1,R307,R265)</f>
        <v>#REF!</v>
      </c>
      <c r="H93" s="209" t="str">
        <f>CHOOSE(_system+1,H92,H90)</f>
        <v>#REF!</v>
      </c>
      <c r="I93" s="215" t="str">
        <f>CHOOSE(_system+1,upffe,upmfe)</f>
        <v>0 </v>
      </c>
      <c r="J93" s="51"/>
      <c r="K93" s="51"/>
      <c r="L93" s="51"/>
      <c r="M93" s="51"/>
      <c r="N93" s="51"/>
      <c r="O93" s="51"/>
      <c r="P93" s="51"/>
      <c r="Q93" s="51"/>
      <c r="U93" s="19"/>
      <c r="V93" s="19"/>
      <c r="W93" s="19"/>
      <c r="Z93" s="19"/>
      <c r="AA93" s="4"/>
      <c r="AB93" s="4"/>
      <c r="AC93" s="19"/>
      <c r="AD93" s="4"/>
      <c r="AE93" s="19"/>
      <c r="AF93" s="214"/>
      <c r="AG93" s="19"/>
      <c r="AH93" s="4"/>
      <c r="AI93" s="4"/>
      <c r="AJ93" s="19"/>
      <c r="AK93" s="214"/>
      <c r="AM93" s="1"/>
    </row>
    <row r="94" ht="13.5" customHeight="1">
      <c r="A94" s="85"/>
      <c r="B94" s="86"/>
      <c r="C94" s="86"/>
      <c r="D94" s="86"/>
      <c r="E94" s="86"/>
      <c r="F94" s="86"/>
      <c r="G94" s="86"/>
      <c r="H94" s="86"/>
      <c r="I94" s="88"/>
      <c r="J94" s="51"/>
      <c r="K94" s="216"/>
      <c r="L94" s="51"/>
      <c r="M94" s="51"/>
      <c r="N94" s="51"/>
      <c r="O94" s="51"/>
      <c r="P94" s="51"/>
      <c r="Q94" s="51"/>
      <c r="U94" s="19"/>
      <c r="V94" s="1"/>
      <c r="Z94" s="4"/>
      <c r="AA94" s="4"/>
      <c r="AB94" s="4"/>
      <c r="AC94" s="4"/>
      <c r="AD94" s="4"/>
      <c r="AE94" s="19"/>
      <c r="AF94" s="214"/>
      <c r="AG94" s="19"/>
      <c r="AH94" s="4"/>
      <c r="AI94" s="4"/>
      <c r="AJ94" s="18"/>
      <c r="AK94" s="18"/>
      <c r="AM94" s="1"/>
    </row>
    <row r="95" ht="13.5" customHeight="1">
      <c r="A95" s="20"/>
      <c r="B95" s="36" t="str">
        <f t="array" ref="B95">INDEX(array1,44,arrayindex)</f>
        <v>Water evaporated in mill</v>
      </c>
      <c r="C95" s="36"/>
      <c r="D95" s="217" t="str">
        <f>(prod_wet-prod_dry)*1000+wimill</f>
        <v>  2'777 </v>
      </c>
      <c r="E95" s="37" t="s">
        <v>40</v>
      </c>
      <c r="F95" s="36"/>
      <c r="G95" s="36"/>
      <c r="H95" s="36"/>
      <c r="I95" s="45"/>
      <c r="J95" s="51"/>
      <c r="K95" s="216"/>
      <c r="L95" s="51"/>
      <c r="M95" s="51"/>
      <c r="N95" s="51"/>
      <c r="O95" s="51"/>
      <c r="P95" s="51"/>
      <c r="Q95" s="51"/>
      <c r="V95" s="1"/>
      <c r="Z95" s="19"/>
      <c r="AA95" s="4"/>
      <c r="AB95" s="4"/>
      <c r="AC95" s="4"/>
      <c r="AD95" s="4"/>
      <c r="AE95" s="4"/>
      <c r="AF95" s="4"/>
      <c r="AG95" s="19"/>
      <c r="AH95" s="4"/>
      <c r="AI95" s="4"/>
      <c r="AJ95" s="206"/>
      <c r="AK95" s="214"/>
      <c r="AM95" s="1"/>
    </row>
    <row r="96" ht="13.5" customHeight="1">
      <c r="A96" s="20"/>
      <c r="B96" s="36" t="str">
        <f t="array" ref="B96">CONCATENATE(INDEX(array1,45,arrayindex),"(",INDEX(array1,38,arrayindex),")")</f>
        <v>Dew point (Mill fan inlet)</v>
      </c>
      <c r="C96" s="36"/>
      <c r="D96" s="218" t="str">
        <f>336.48/(5.3362-SQRT(17.045+LN((CHOOSE(_system+1,G253,G264)/100)*((pr_amb+upmfi)/1000))))-179</f>
        <v>#REF!</v>
      </c>
      <c r="E96" s="36" t="s">
        <v>10</v>
      </c>
      <c r="F96" s="36"/>
      <c r="G96" s="36"/>
      <c r="H96" s="36"/>
      <c r="I96" s="45"/>
      <c r="J96" s="51"/>
      <c r="K96" s="219"/>
      <c r="L96" s="51"/>
      <c r="M96" s="51"/>
      <c r="N96" s="51"/>
      <c r="O96" s="51"/>
      <c r="P96" s="51"/>
      <c r="Q96" s="51"/>
      <c r="V96" s="1"/>
      <c r="W96" s="19"/>
      <c r="Z96" s="19"/>
      <c r="AA96" s="4"/>
      <c r="AB96" s="4"/>
      <c r="AC96" s="4"/>
      <c r="AD96" s="4"/>
      <c r="AE96" s="19"/>
      <c r="AF96" s="214"/>
      <c r="AG96" s="19"/>
      <c r="AH96" s="4"/>
      <c r="AI96" s="4"/>
      <c r="AJ96" s="18"/>
      <c r="AK96" s="18"/>
      <c r="AM96" s="1"/>
    </row>
    <row r="97" ht="13.5" customHeight="1">
      <c r="A97" s="20"/>
      <c r="B97" s="36" t="str">
        <f t="array" ref="B97">INDEX(array1,47,arrayindex)</f>
        <v>Hot gas generator</v>
      </c>
      <c r="C97" s="36"/>
      <c r="D97" s="217" t="str">
        <f>_HGG_heatsupply</f>
        <v>#REF!</v>
      </c>
      <c r="E97" s="36" t="s">
        <v>41</v>
      </c>
      <c r="F97" s="218" t="str">
        <f>D97/3600</f>
        <v>#REF!</v>
      </c>
      <c r="G97" s="36" t="s">
        <v>42</v>
      </c>
      <c r="H97" s="36"/>
      <c r="I97" s="45"/>
      <c r="J97" s="51"/>
      <c r="K97" s="51"/>
      <c r="L97" s="51"/>
      <c r="M97" s="51"/>
      <c r="N97" s="51"/>
      <c r="O97" s="51"/>
      <c r="P97" s="51"/>
      <c r="Q97" s="51"/>
      <c r="V97" s="1"/>
      <c r="W97" s="19"/>
      <c r="Z97" s="19"/>
      <c r="AA97" s="19"/>
      <c r="AB97" s="4"/>
      <c r="AC97" s="214"/>
      <c r="AD97" s="19"/>
      <c r="AE97" s="19"/>
      <c r="AF97" s="214"/>
      <c r="AG97" s="19"/>
      <c r="AH97" s="4"/>
      <c r="AI97" s="4"/>
      <c r="AJ97" s="4"/>
      <c r="AK97" s="4"/>
      <c r="AM97" s="1"/>
    </row>
    <row r="98" ht="13.5" customHeight="1">
      <c r="A98" s="65"/>
      <c r="B98" s="76" t="str">
        <f t="array" ref="B98">INDEX(array1,72,arrayindex)</f>
        <v>Fuel consumption</v>
      </c>
      <c r="C98" s="76"/>
      <c r="D98" s="220" t="str">
        <f>_HGG_fuelrate</f>
        <v>#REF!</v>
      </c>
      <c r="E98" s="76" t="s">
        <v>40</v>
      </c>
      <c r="F98" s="220" t="str">
        <f>CV_fuel</f>
        <v>42 </v>
      </c>
      <c r="G98" s="76" t="str">
        <f t="array" ref="G98">CONCATENATE(" MJ/kg ",INDEX(array1,90,arrayindex))</f>
        <v> MJ/kg net calorific value</v>
      </c>
      <c r="H98" s="76"/>
      <c r="I98" s="154"/>
      <c r="J98" s="51"/>
      <c r="K98" s="52"/>
      <c r="L98" s="51"/>
      <c r="M98" s="205"/>
      <c r="N98" s="51"/>
      <c r="O98" s="51"/>
      <c r="P98" s="51"/>
      <c r="Q98" s="51"/>
      <c r="U98" s="19"/>
      <c r="V98" s="19"/>
      <c r="W98" s="19"/>
      <c r="Z98" s="4"/>
      <c r="AA98" s="19"/>
      <c r="AB98" s="4"/>
      <c r="AC98" s="214"/>
      <c r="AD98" s="19"/>
      <c r="AE98" s="19"/>
      <c r="AF98" s="214"/>
      <c r="AG98" s="19"/>
      <c r="AH98" s="4"/>
      <c r="AI98" s="4"/>
      <c r="AJ98" s="4"/>
      <c r="AK98" s="4"/>
      <c r="AM98" s="1"/>
    </row>
    <row r="99" ht="14.25" customHeight="1">
      <c r="A99" s="20"/>
      <c r="B99" s="36"/>
      <c r="C99" s="36"/>
      <c r="D99" s="36"/>
      <c r="E99" s="36"/>
      <c r="F99" s="36"/>
      <c r="G99" s="36"/>
      <c r="H99" s="36"/>
      <c r="I99" s="45"/>
      <c r="J99" s="51"/>
      <c r="K99" s="52"/>
      <c r="L99" s="51"/>
      <c r="M99" s="205"/>
      <c r="N99" s="51"/>
      <c r="O99" s="51"/>
      <c r="P99" s="51"/>
      <c r="Q99" s="51"/>
      <c r="U99" s="19"/>
      <c r="V99" s="1"/>
      <c r="Z99" s="19"/>
      <c r="AA99" s="19"/>
      <c r="AB99" s="4"/>
      <c r="AC99" s="214"/>
      <c r="AD99" s="19"/>
      <c r="AE99" s="4"/>
      <c r="AF99" s="4"/>
      <c r="AG99" s="4"/>
      <c r="AH99" s="4"/>
      <c r="AI99" s="4"/>
      <c r="AJ99" s="4"/>
      <c r="AK99" s="4"/>
      <c r="AM99" s="1"/>
    </row>
    <row r="100" ht="30.0" customHeight="1">
      <c r="A100" s="119"/>
      <c r="B100" s="221" t="str">
        <f t="array" ref="B100">CONCATENATE(INDEX(array1,1,arrayindex)," - ",INDEX(array1,20,arrayindex))</f>
        <v>Heat balance - Mill</v>
      </c>
      <c r="C100" s="221"/>
      <c r="D100" s="222"/>
      <c r="E100" s="222"/>
      <c r="F100" s="222"/>
      <c r="G100" s="222"/>
      <c r="H100" s="222"/>
      <c r="I100" s="223"/>
      <c r="J100" s="51"/>
      <c r="K100" s="51"/>
      <c r="L100" s="51"/>
      <c r="M100" s="51"/>
      <c r="N100" s="51"/>
      <c r="O100" s="51"/>
      <c r="P100" s="51"/>
      <c r="Q100" s="51"/>
      <c r="V100" s="1"/>
      <c r="Z100" s="4"/>
      <c r="AA100" s="19"/>
      <c r="AB100" s="4"/>
      <c r="AC100" s="214"/>
      <c r="AD100" s="19"/>
      <c r="AE100" s="4"/>
      <c r="AF100" s="4"/>
      <c r="AG100" s="4"/>
      <c r="AH100" s="4"/>
      <c r="AI100" s="4"/>
      <c r="AJ100" s="4"/>
      <c r="AK100" s="4"/>
      <c r="AM100" s="1"/>
    </row>
    <row r="101" ht="13.5" customHeight="1">
      <c r="A101" s="20"/>
      <c r="B101" s="36"/>
      <c r="C101" s="36"/>
      <c r="D101" s="36"/>
      <c r="E101" s="36"/>
      <c r="F101" s="36"/>
      <c r="G101" s="36"/>
      <c r="H101" s="36"/>
      <c r="I101" s="45"/>
      <c r="J101" s="51"/>
      <c r="K101" s="124"/>
      <c r="L101" s="124"/>
      <c r="M101" s="51"/>
      <c r="N101" s="51"/>
      <c r="O101" s="51"/>
      <c r="P101" s="51"/>
      <c r="Q101" s="51"/>
      <c r="U101" s="19"/>
      <c r="V101" s="19"/>
      <c r="W101" s="19"/>
      <c r="Z101" s="4"/>
      <c r="AA101" s="19"/>
      <c r="AB101" s="4"/>
      <c r="AC101" s="214"/>
      <c r="AD101" s="19"/>
      <c r="AE101" s="4"/>
      <c r="AF101" s="4"/>
      <c r="AG101" s="4"/>
      <c r="AH101" s="4"/>
      <c r="AI101" s="4"/>
      <c r="AJ101" s="4"/>
      <c r="AK101" s="4"/>
      <c r="AM101" s="1"/>
    </row>
    <row r="102" ht="13.5" customHeight="1">
      <c r="A102" s="20"/>
      <c r="B102" s="36" t="str">
        <f t="array" ref="B102">INDEX(array1,24,arrayindex)</f>
        <v>Kiln exhaust gases</v>
      </c>
      <c r="C102" s="224" t="s">
        <v>43</v>
      </c>
      <c r="D102" s="225" t="str">
        <f>O235/prod_dry</f>
        <v>#NAME?</v>
      </c>
      <c r="E102" s="37" t="s">
        <v>44</v>
      </c>
      <c r="F102" s="226" t="str">
        <f>O235</f>
        <v>#NAME?</v>
      </c>
      <c r="G102" s="218" t="s">
        <v>45</v>
      </c>
      <c r="H102" s="218" t="str">
        <f t="shared" ref="H102:H109" si="13">100*F102/F$111</f>
        <v>#NAME?</v>
      </c>
      <c r="I102" s="45" t="s">
        <v>26</v>
      </c>
      <c r="J102" s="51"/>
      <c r="K102" s="51"/>
      <c r="L102" s="124"/>
      <c r="M102" s="51"/>
      <c r="N102" s="51"/>
      <c r="O102" s="51"/>
      <c r="P102" s="51"/>
      <c r="Q102" s="51"/>
      <c r="U102" s="19"/>
      <c r="V102" s="19"/>
      <c r="W102" s="19"/>
      <c r="Z102" s="4"/>
      <c r="AA102" s="19"/>
      <c r="AB102" s="4"/>
      <c r="AC102" s="214"/>
      <c r="AD102" s="19"/>
      <c r="AE102" s="4"/>
      <c r="AF102" s="4"/>
      <c r="AG102" s="4"/>
      <c r="AH102" s="4"/>
      <c r="AI102" s="4"/>
      <c r="AJ102" s="4"/>
      <c r="AK102" s="4"/>
      <c r="AM102" s="1"/>
    </row>
    <row r="103" ht="13.5" customHeight="1">
      <c r="A103" s="20"/>
      <c r="B103" s="37" t="str">
        <f t="array" ref="B103">INDEX(array1,25,arrayindex)</f>
        <v>Hot gases</v>
      </c>
      <c r="C103" s="224" t="s">
        <v>46</v>
      </c>
      <c r="D103" s="225" t="str">
        <f>_HGG_heatsupply/prod_dry</f>
        <v>#REF!</v>
      </c>
      <c r="E103" s="37" t="s">
        <v>44</v>
      </c>
      <c r="F103" s="227" t="str">
        <f>_HGG_heatsupply</f>
        <v>#REF!</v>
      </c>
      <c r="G103" s="218" t="s">
        <v>45</v>
      </c>
      <c r="H103" s="218" t="str">
        <f t="shared" si="13"/>
        <v>#REF!</v>
      </c>
      <c r="I103" s="45" t="s">
        <v>26</v>
      </c>
      <c r="J103" s="51"/>
      <c r="K103" s="51"/>
      <c r="L103" s="51"/>
      <c r="M103" s="51"/>
      <c r="N103" s="51"/>
      <c r="O103" s="51"/>
      <c r="P103" s="51"/>
      <c r="Q103" s="51"/>
      <c r="S103" s="19"/>
      <c r="T103" s="19"/>
      <c r="U103" s="19"/>
      <c r="V103" s="19"/>
      <c r="W103" s="19"/>
      <c r="Z103" s="4"/>
      <c r="AA103" s="19"/>
      <c r="AB103" s="4"/>
      <c r="AC103" s="214"/>
      <c r="AD103" s="19"/>
      <c r="AE103" s="4"/>
      <c r="AF103" s="4"/>
      <c r="AG103" s="4"/>
      <c r="AH103" s="4"/>
      <c r="AI103" s="4"/>
      <c r="AJ103" s="4"/>
      <c r="AK103" s="4"/>
      <c r="AM103" s="1"/>
    </row>
    <row r="104" ht="13.5" customHeight="1">
      <c r="A104" s="20"/>
      <c r="B104" s="37" t="str">
        <f t="array" ref="B104">INDEX(array1,26,arrayindex)</f>
        <v>Cooler exhaust gases</v>
      </c>
      <c r="C104" s="224" t="s">
        <v>47</v>
      </c>
      <c r="D104" s="225" t="str">
        <f>O236/prod_dry</f>
        <v>#NAME?</v>
      </c>
      <c r="E104" s="37" t="s">
        <v>44</v>
      </c>
      <c r="F104" s="227" t="str">
        <f>O236</f>
        <v>#NAME?</v>
      </c>
      <c r="G104" s="218" t="s">
        <v>45</v>
      </c>
      <c r="H104" s="218" t="str">
        <f t="shared" si="13"/>
        <v>#NAME?</v>
      </c>
      <c r="I104" s="45" t="s">
        <v>26</v>
      </c>
      <c r="J104" s="51"/>
      <c r="K104" s="51"/>
      <c r="L104" s="51"/>
      <c r="M104" s="51"/>
      <c r="N104" s="51"/>
      <c r="O104" s="51"/>
      <c r="P104" s="51"/>
      <c r="Q104" s="51"/>
      <c r="V104" s="1"/>
      <c r="Z104" s="4"/>
      <c r="AA104" s="19"/>
      <c r="AB104" s="4"/>
      <c r="AC104" s="214"/>
      <c r="AD104" s="19"/>
      <c r="AE104" s="4"/>
      <c r="AF104" s="4"/>
      <c r="AG104" s="4"/>
      <c r="AH104" s="4"/>
      <c r="AI104" s="4"/>
      <c r="AJ104" s="4"/>
      <c r="AK104" s="4"/>
      <c r="AM104" s="1"/>
    </row>
    <row r="105" ht="13.5" customHeight="1">
      <c r="A105" s="20"/>
      <c r="B105" s="37" t="str">
        <f t="array" ref="B105">INDEX(array1,52,arrayindex)</f>
        <v>Fresh air + False air</v>
      </c>
      <c r="C105" s="224" t="s">
        <v>48</v>
      </c>
      <c r="D105" s="225" t="str">
        <f>(O238+O241+O242)/prod_dry</f>
        <v>#NAME?</v>
      </c>
      <c r="E105" s="37" t="s">
        <v>44</v>
      </c>
      <c r="F105" s="227" t="str">
        <f>(O238+O241+O242)</f>
        <v>#NAME?</v>
      </c>
      <c r="G105" s="218" t="s">
        <v>45</v>
      </c>
      <c r="H105" s="218" t="str">
        <f t="shared" si="13"/>
        <v>#NAME?</v>
      </c>
      <c r="I105" s="45" t="s">
        <v>26</v>
      </c>
      <c r="J105" s="51"/>
      <c r="K105" s="51"/>
      <c r="L105" s="51"/>
      <c r="M105" s="51"/>
      <c r="N105" s="51"/>
      <c r="O105" s="51"/>
      <c r="P105" s="51"/>
      <c r="Q105" s="51"/>
      <c r="U105" s="19"/>
      <c r="V105" s="1"/>
      <c r="W105" s="19"/>
      <c r="Z105" s="4"/>
      <c r="AA105" s="19"/>
      <c r="AB105" s="4"/>
      <c r="AC105" s="214"/>
      <c r="AD105" s="19"/>
      <c r="AE105" s="4"/>
      <c r="AF105" s="4"/>
      <c r="AG105" s="4"/>
      <c r="AH105" s="4"/>
      <c r="AI105" s="4"/>
      <c r="AJ105" s="4"/>
      <c r="AK105" s="4"/>
      <c r="AM105" s="1"/>
    </row>
    <row r="106" ht="13.5" customHeight="1">
      <c r="A106" s="20"/>
      <c r="B106" s="37" t="str">
        <f t="array" ref="B106">INDEX(array1,42,arrayindex)</f>
        <v>Recirculating gases</v>
      </c>
      <c r="C106" s="224" t="s">
        <v>49</v>
      </c>
      <c r="D106" s="225" t="str">
        <f>O239/prod_dry</f>
        <v>#REF!</v>
      </c>
      <c r="E106" s="37" t="s">
        <v>44</v>
      </c>
      <c r="F106" s="227" t="str">
        <f>O239</f>
        <v>#REF!</v>
      </c>
      <c r="G106" s="218" t="s">
        <v>45</v>
      </c>
      <c r="H106" s="218" t="str">
        <f t="shared" si="13"/>
        <v>#REF!</v>
      </c>
      <c r="I106" s="45" t="s">
        <v>26</v>
      </c>
      <c r="J106" s="51"/>
      <c r="K106" s="51"/>
      <c r="L106" s="51"/>
      <c r="M106" s="51"/>
      <c r="N106" s="51"/>
      <c r="O106" s="51"/>
      <c r="P106" s="51"/>
      <c r="Q106" s="51"/>
      <c r="U106" s="19"/>
      <c r="V106" s="19"/>
      <c r="W106" s="19"/>
      <c r="Z106" s="4"/>
      <c r="AA106" s="19"/>
      <c r="AB106" s="4"/>
      <c r="AC106" s="214"/>
      <c r="AD106" s="19"/>
      <c r="AE106" s="4"/>
      <c r="AF106" s="4"/>
      <c r="AG106" s="4"/>
      <c r="AH106" s="4"/>
      <c r="AI106" s="4"/>
      <c r="AJ106" s="4"/>
      <c r="AK106" s="4"/>
      <c r="AM106" s="1"/>
    </row>
    <row r="107" ht="13.5" customHeight="1">
      <c r="A107" s="20"/>
      <c r="B107" s="37" t="str">
        <f t="array" ref="B107">INDEX(array1,53,arrayindex)</f>
        <v>Material</v>
      </c>
      <c r="C107" s="224" t="s">
        <v>50</v>
      </c>
      <c r="D107" s="225" t="str">
        <f>SUM(O270:O275)/prod_dry</f>
        <v>#NAME?</v>
      </c>
      <c r="E107" s="37" t="s">
        <v>44</v>
      </c>
      <c r="F107" s="227" t="str">
        <f>SUM(O270:O275)</f>
        <v>#NAME?</v>
      </c>
      <c r="G107" s="218" t="s">
        <v>45</v>
      </c>
      <c r="H107" s="218" t="str">
        <f t="shared" si="13"/>
        <v>#NAME?</v>
      </c>
      <c r="I107" s="45" t="s">
        <v>26</v>
      </c>
      <c r="J107" s="51"/>
      <c r="K107" s="51"/>
      <c r="L107" s="51"/>
      <c r="M107" s="51"/>
      <c r="N107" s="51"/>
      <c r="O107" s="51"/>
      <c r="P107" s="51"/>
      <c r="Q107" s="51"/>
      <c r="V107" s="1"/>
      <c r="Z107" s="4"/>
      <c r="AA107" s="19"/>
      <c r="AB107" s="4"/>
      <c r="AC107" s="214"/>
      <c r="AD107" s="19"/>
      <c r="AE107" s="4"/>
      <c r="AF107" s="4"/>
      <c r="AG107" s="4"/>
      <c r="AH107" s="4"/>
      <c r="AI107" s="4"/>
      <c r="AJ107" s="4"/>
      <c r="AK107" s="4"/>
      <c r="AM107" s="1"/>
    </row>
    <row r="108" ht="13.5" customHeight="1">
      <c r="A108" s="20"/>
      <c r="B108" s="37" t="str">
        <f t="array" ref="B108">INDEX(array1,54,arrayindex)</f>
        <v>Water</v>
      </c>
      <c r="C108" s="224" t="s">
        <v>51</v>
      </c>
      <c r="D108" s="225" t="str">
        <f>(O269+SUM(O276:O280))/prod_dry</f>
        <v>#NAME?</v>
      </c>
      <c r="E108" s="37" t="s">
        <v>44</v>
      </c>
      <c r="F108" s="227" t="str">
        <f>(O269+SUM(O276:O280))</f>
        <v>#NAME?</v>
      </c>
      <c r="G108" s="218" t="s">
        <v>45</v>
      </c>
      <c r="H108" s="218" t="str">
        <f t="shared" si="13"/>
        <v>#NAME?</v>
      </c>
      <c r="I108" s="45" t="s">
        <v>26</v>
      </c>
      <c r="J108" s="51"/>
      <c r="K108" s="51"/>
      <c r="L108" s="51"/>
      <c r="M108" s="51"/>
      <c r="N108" s="51"/>
      <c r="O108" s="51"/>
      <c r="P108" s="51"/>
      <c r="Q108" s="51"/>
      <c r="V108" s="1"/>
      <c r="Z108" s="4"/>
      <c r="AA108" s="19"/>
      <c r="AB108" s="4"/>
      <c r="AC108" s="214"/>
      <c r="AD108" s="19"/>
      <c r="AE108" s="4"/>
      <c r="AF108" s="4"/>
      <c r="AG108" s="4"/>
      <c r="AH108" s="4"/>
      <c r="AI108" s="4"/>
      <c r="AJ108" s="4"/>
      <c r="AK108" s="4"/>
      <c r="AM108" s="1"/>
    </row>
    <row r="109" ht="13.5" customHeight="1">
      <c r="A109" s="20"/>
      <c r="B109" s="37" t="str">
        <f t="array" ref="B109">INDEX(array1,55,arrayindex)</f>
        <v>Grinding heat</v>
      </c>
      <c r="C109" s="224" t="s">
        <v>52</v>
      </c>
      <c r="D109" s="225" t="str">
        <f>O268/prod_dry</f>
        <v>106 </v>
      </c>
      <c r="E109" s="37" t="s">
        <v>44</v>
      </c>
      <c r="F109" s="227" t="str">
        <f>O268</f>
        <v>11,711 </v>
      </c>
      <c r="G109" s="218" t="s">
        <v>45</v>
      </c>
      <c r="H109" s="218" t="str">
        <f t="shared" si="13"/>
        <v>#NAME?</v>
      </c>
      <c r="I109" s="45" t="s">
        <v>26</v>
      </c>
      <c r="J109" s="51"/>
      <c r="K109" s="51"/>
      <c r="L109" s="51"/>
      <c r="M109" s="51"/>
      <c r="N109" s="51"/>
      <c r="O109" s="51"/>
      <c r="P109" s="51"/>
      <c r="Q109" s="51"/>
      <c r="V109" s="1"/>
      <c r="Z109" s="4"/>
      <c r="AA109" s="19"/>
      <c r="AB109" s="4"/>
      <c r="AC109" s="214"/>
      <c r="AD109" s="19"/>
      <c r="AE109" s="4"/>
      <c r="AF109" s="4"/>
      <c r="AG109" s="4"/>
      <c r="AH109" s="4"/>
      <c r="AI109" s="4"/>
      <c r="AJ109" s="4"/>
      <c r="AK109" s="4"/>
      <c r="AM109" s="1"/>
    </row>
    <row r="110" ht="13.5" customHeight="1">
      <c r="A110" s="65"/>
      <c r="B110" s="37"/>
      <c r="C110" s="224"/>
      <c r="D110" s="225"/>
      <c r="E110" s="36"/>
      <c r="F110" s="227"/>
      <c r="G110" s="218"/>
      <c r="H110" s="228"/>
      <c r="I110" s="45"/>
      <c r="J110" s="51"/>
      <c r="K110" s="51"/>
      <c r="L110" s="51"/>
      <c r="M110" s="51"/>
      <c r="N110" s="51"/>
      <c r="O110" s="51"/>
      <c r="P110" s="51"/>
      <c r="Q110" s="51"/>
      <c r="V110" s="1"/>
      <c r="Z110" s="4"/>
      <c r="AA110" s="19"/>
      <c r="AB110" s="4"/>
      <c r="AC110" s="214"/>
      <c r="AD110" s="19"/>
      <c r="AE110" s="4"/>
      <c r="AF110" s="4"/>
      <c r="AG110" s="4"/>
      <c r="AH110" s="4"/>
      <c r="AI110" s="4"/>
      <c r="AJ110" s="4"/>
      <c r="AK110" s="4"/>
      <c r="AM110" s="1"/>
    </row>
    <row r="111" ht="13.5" customHeight="1">
      <c r="A111" s="85"/>
      <c r="B111" s="229" t="str">
        <f t="array" ref="B111">INDEX(array1,96,arrayindex)</f>
        <v>INPUT :</v>
      </c>
      <c r="C111" s="230"/>
      <c r="D111" s="231" t="str">
        <f>SUM(D102:D110)</f>
        <v>#NAME?</v>
      </c>
      <c r="E111" s="86" t="s">
        <v>44</v>
      </c>
      <c r="F111" s="232" t="str">
        <f>SUM(F102:F110)</f>
        <v>#NAME?</v>
      </c>
      <c r="G111" s="233" t="s">
        <v>45</v>
      </c>
      <c r="H111" s="234" t="str">
        <f>SUM(H102:H110)</f>
        <v>#NAME?</v>
      </c>
      <c r="I111" s="88" t="s">
        <v>26</v>
      </c>
      <c r="J111" s="51"/>
      <c r="K111" s="51"/>
      <c r="L111" s="51"/>
      <c r="M111" s="51"/>
      <c r="N111" s="51"/>
      <c r="O111" s="51"/>
      <c r="P111" s="51"/>
      <c r="Q111" s="51"/>
      <c r="V111" s="1"/>
      <c r="Z111" s="4"/>
      <c r="AA111" s="19"/>
      <c r="AB111" s="4"/>
      <c r="AC111" s="214"/>
      <c r="AD111" s="19"/>
      <c r="AE111" s="4"/>
      <c r="AF111" s="4"/>
      <c r="AG111" s="4"/>
      <c r="AH111" s="4"/>
      <c r="AI111" s="4"/>
      <c r="AJ111" s="4"/>
      <c r="AK111" s="4"/>
      <c r="AM111" s="1"/>
    </row>
    <row r="112" ht="13.5" customHeight="1">
      <c r="A112" s="20"/>
      <c r="B112" s="235"/>
      <c r="C112" s="235"/>
      <c r="D112" s="235"/>
      <c r="E112" s="225"/>
      <c r="F112" s="227"/>
      <c r="G112" s="36"/>
      <c r="H112" s="228"/>
      <c r="I112" s="45"/>
      <c r="J112" s="51"/>
      <c r="K112" s="51"/>
      <c r="L112" s="51"/>
      <c r="M112" s="51"/>
      <c r="N112" s="51"/>
      <c r="O112" s="51"/>
      <c r="P112" s="51"/>
      <c r="Q112" s="51"/>
      <c r="V112" s="1"/>
      <c r="Z112" s="4"/>
      <c r="AA112" s="19"/>
      <c r="AB112" s="4"/>
      <c r="AC112" s="214"/>
      <c r="AD112" s="19"/>
      <c r="AE112" s="4"/>
      <c r="AF112" s="4"/>
      <c r="AG112" s="4"/>
      <c r="AH112" s="4"/>
      <c r="AI112" s="4"/>
      <c r="AJ112" s="4"/>
      <c r="AK112" s="4"/>
      <c r="AM112" s="1"/>
    </row>
    <row r="113" ht="13.5" customHeight="1">
      <c r="A113" s="20"/>
      <c r="B113" s="37" t="str">
        <f t="array" ref="B113">INDEX(array1,58,arrayindex)</f>
        <v>Evaporation heat</v>
      </c>
      <c r="C113" s="224" t="s">
        <v>53</v>
      </c>
      <c r="D113" s="225" t="str">
        <f>U282/prod_dry</f>
        <v>#NAME?</v>
      </c>
      <c r="E113" s="36" t="s">
        <v>44</v>
      </c>
      <c r="F113" s="227" t="str">
        <f>U282</f>
        <v>#NAME?</v>
      </c>
      <c r="G113" s="218" t="s">
        <v>45</v>
      </c>
      <c r="H113" s="218" t="str">
        <f t="shared" ref="H113:H117" si="14">100*F113/F$119</f>
        <v>#NAME?</v>
      </c>
      <c r="I113" s="236" t="s">
        <v>26</v>
      </c>
      <c r="J113" s="51"/>
      <c r="K113" s="51"/>
      <c r="L113" s="51"/>
      <c r="M113" s="51"/>
      <c r="N113" s="51"/>
      <c r="O113" s="51"/>
      <c r="P113" s="51"/>
      <c r="Q113" s="51"/>
      <c r="V113" s="1"/>
      <c r="Z113" s="4"/>
      <c r="AA113" s="19"/>
      <c r="AB113" s="4"/>
      <c r="AC113" s="214"/>
      <c r="AD113" s="19"/>
      <c r="AE113" s="4"/>
      <c r="AF113" s="4"/>
      <c r="AG113" s="4"/>
      <c r="AH113" s="4"/>
      <c r="AI113" s="4"/>
      <c r="AJ113" s="4"/>
      <c r="AK113" s="4"/>
      <c r="AM113" s="1"/>
    </row>
    <row r="114" ht="13.5" customHeight="1">
      <c r="A114" s="20"/>
      <c r="B114" s="37" t="str">
        <f t="array" ref="B114">INDEX(array1,59,arrayindex)</f>
        <v>Radiation/Convection</v>
      </c>
      <c r="C114" s="224" t="s">
        <v>54</v>
      </c>
      <c r="D114" s="225" t="str">
        <f>P267/prod_dry</f>
        <v>7 </v>
      </c>
      <c r="E114" s="36" t="s">
        <v>44</v>
      </c>
      <c r="F114" s="227" t="str">
        <f>P267</f>
        <v>779 </v>
      </c>
      <c r="G114" s="218" t="s">
        <v>45</v>
      </c>
      <c r="H114" s="218" t="str">
        <f t="shared" si="14"/>
        <v>#NAME?</v>
      </c>
      <c r="I114" s="236" t="s">
        <v>26</v>
      </c>
      <c r="J114" s="51"/>
      <c r="K114" s="193"/>
      <c r="L114" s="51"/>
      <c r="M114" s="51"/>
      <c r="N114" s="51"/>
      <c r="O114" s="51"/>
      <c r="P114" s="51"/>
      <c r="Q114" s="51"/>
      <c r="V114" s="1"/>
      <c r="Z114" s="4"/>
      <c r="AA114" s="19"/>
      <c r="AB114" s="4"/>
      <c r="AC114" s="214"/>
      <c r="AD114" s="19"/>
      <c r="AE114" s="4"/>
      <c r="AF114" s="4"/>
      <c r="AG114" s="4"/>
      <c r="AH114" s="4"/>
      <c r="AI114" s="4"/>
      <c r="AJ114" s="4"/>
      <c r="AK114" s="4"/>
      <c r="AM114" s="1"/>
    </row>
    <row r="115" ht="13.5" customHeight="1">
      <c r="A115" s="20"/>
      <c r="B115" s="37" t="str">
        <f t="array" ref="B115">INDEX(array1,53,arrayindex)</f>
        <v>Material</v>
      </c>
      <c r="C115" s="224" t="s">
        <v>55</v>
      </c>
      <c r="D115" s="225" t="str">
        <f>SUM(P270:P275)/prod_dry</f>
        <v>#NAME?</v>
      </c>
      <c r="E115" s="36" t="s">
        <v>44</v>
      </c>
      <c r="F115" s="227" t="str">
        <f>SUM(P270:P275)</f>
        <v>#NAME?</v>
      </c>
      <c r="G115" s="218" t="s">
        <v>45</v>
      </c>
      <c r="H115" s="218" t="str">
        <f t="shared" si="14"/>
        <v>#NAME?</v>
      </c>
      <c r="I115" s="236" t="s">
        <v>26</v>
      </c>
      <c r="J115" s="51"/>
      <c r="K115" s="51"/>
      <c r="L115" s="51"/>
      <c r="M115" s="51"/>
      <c r="N115" s="51"/>
      <c r="O115" s="51"/>
      <c r="P115" s="51"/>
      <c r="Q115" s="51"/>
      <c r="V115" s="1"/>
      <c r="Z115" s="4"/>
      <c r="AA115" s="19"/>
      <c r="AB115" s="4"/>
      <c r="AC115" s="214"/>
      <c r="AD115" s="19"/>
      <c r="AE115" s="4"/>
      <c r="AF115" s="4"/>
      <c r="AG115" s="4"/>
      <c r="AH115" s="4"/>
      <c r="AI115" s="4"/>
      <c r="AJ115" s="4"/>
      <c r="AK115" s="4"/>
      <c r="AM115" s="1"/>
    </row>
    <row r="116" ht="13.5" customHeight="1">
      <c r="A116" s="20"/>
      <c r="B116" s="37" t="str">
        <f t="array" ref="B116">INDEX(array1,54,arrayindex)</f>
        <v>Water</v>
      </c>
      <c r="C116" s="224" t="s">
        <v>51</v>
      </c>
      <c r="D116" s="225" t="str">
        <f>T282/prod_dry</f>
        <v>#NAME?</v>
      </c>
      <c r="E116" s="36" t="s">
        <v>44</v>
      </c>
      <c r="F116" s="227" t="str">
        <f>T282</f>
        <v>#NAME?</v>
      </c>
      <c r="G116" s="218" t="s">
        <v>45</v>
      </c>
      <c r="H116" s="218" t="str">
        <f t="shared" si="14"/>
        <v>#NAME?</v>
      </c>
      <c r="I116" s="236" t="s">
        <v>26</v>
      </c>
      <c r="J116" s="51"/>
      <c r="K116" s="51"/>
      <c r="L116" s="51"/>
      <c r="M116" s="51"/>
      <c r="N116" s="51"/>
      <c r="O116" s="51"/>
      <c r="P116" s="51"/>
      <c r="Q116" s="51"/>
      <c r="V116" s="1"/>
      <c r="Z116" s="4"/>
      <c r="AA116" s="19"/>
      <c r="AB116" s="4"/>
      <c r="AC116" s="214"/>
      <c r="AD116" s="19"/>
      <c r="AE116" s="4"/>
      <c r="AF116" s="4"/>
      <c r="AG116" s="4"/>
      <c r="AH116" s="4"/>
      <c r="AI116" s="4"/>
      <c r="AJ116" s="4"/>
      <c r="AK116" s="4"/>
      <c r="AM116" s="1"/>
    </row>
    <row r="117" ht="13.5" customHeight="1">
      <c r="A117" s="20"/>
      <c r="B117" s="37" t="str">
        <f t="array" ref="B117">INDEX(array1,57,arrayindex)</f>
        <v>Mill exhaust gases</v>
      </c>
      <c r="C117" s="224" t="s">
        <v>56</v>
      </c>
      <c r="D117" s="225" t="str">
        <f>P246/prod_dry</f>
        <v>#NAME?</v>
      </c>
      <c r="E117" s="36" t="s">
        <v>44</v>
      </c>
      <c r="F117" s="227" t="str">
        <f>P246</f>
        <v>#NAME?</v>
      </c>
      <c r="G117" s="218" t="s">
        <v>45</v>
      </c>
      <c r="H117" s="218" t="str">
        <f t="shared" si="14"/>
        <v>#NAME?</v>
      </c>
      <c r="I117" s="236" t="s">
        <v>26</v>
      </c>
      <c r="J117" s="51"/>
      <c r="K117" s="51"/>
      <c r="L117" s="51"/>
      <c r="M117" s="51"/>
      <c r="N117" s="51"/>
      <c r="O117" s="51"/>
      <c r="P117" s="51"/>
      <c r="Q117" s="51"/>
      <c r="V117" s="1"/>
      <c r="Z117" s="4"/>
      <c r="AA117" s="19"/>
      <c r="AB117" s="4"/>
      <c r="AC117" s="214"/>
      <c r="AD117" s="19"/>
      <c r="AE117" s="4"/>
      <c r="AF117" s="4"/>
      <c r="AG117" s="4"/>
      <c r="AH117" s="4"/>
      <c r="AI117" s="4"/>
      <c r="AJ117" s="4"/>
      <c r="AK117" s="4"/>
      <c r="AM117" s="1"/>
    </row>
    <row r="118" ht="13.5" customHeight="1">
      <c r="A118" s="65"/>
      <c r="B118" s="37"/>
      <c r="C118" s="224"/>
      <c r="D118" s="225"/>
      <c r="E118" s="36"/>
      <c r="F118" s="227"/>
      <c r="G118" s="218"/>
      <c r="H118" s="228"/>
      <c r="I118" s="236"/>
      <c r="J118" s="51"/>
      <c r="K118" s="51"/>
      <c r="L118" s="51"/>
      <c r="M118" s="51"/>
      <c r="N118" s="51"/>
      <c r="O118" s="51"/>
      <c r="P118" s="51"/>
      <c r="Q118" s="51"/>
      <c r="V118" s="1"/>
      <c r="Z118" s="4"/>
      <c r="AA118" s="19"/>
      <c r="AB118" s="4"/>
      <c r="AC118" s="214"/>
      <c r="AD118" s="19"/>
      <c r="AE118" s="4"/>
      <c r="AF118" s="4"/>
      <c r="AG118" s="4"/>
      <c r="AH118" s="4"/>
      <c r="AI118" s="4"/>
      <c r="AJ118" s="4"/>
      <c r="AK118" s="4"/>
      <c r="AM118" s="1"/>
    </row>
    <row r="119" ht="13.5" customHeight="1">
      <c r="A119" s="85"/>
      <c r="B119" s="229" t="str">
        <f t="array" ref="B119">INDEX(array1,97,arrayindex)</f>
        <v>OUTPUT :</v>
      </c>
      <c r="C119" s="86"/>
      <c r="D119" s="231" t="str">
        <f>SUM(D113:D118)</f>
        <v>#NAME?</v>
      </c>
      <c r="E119" s="86" t="s">
        <v>44</v>
      </c>
      <c r="F119" s="232" t="str">
        <f>SUM(F113:F118)</f>
        <v>#NAME?</v>
      </c>
      <c r="G119" s="233" t="s">
        <v>45</v>
      </c>
      <c r="H119" s="234" t="str">
        <f>100*F119/F$119</f>
        <v>#NAME?</v>
      </c>
      <c r="I119" s="237" t="s">
        <v>26</v>
      </c>
      <c r="J119" s="51"/>
      <c r="K119" s="51"/>
      <c r="L119" s="51"/>
      <c r="M119" s="51"/>
      <c r="N119" s="51"/>
      <c r="O119" s="51"/>
      <c r="P119" s="51"/>
      <c r="Q119" s="51"/>
      <c r="V119" s="1"/>
      <c r="Z119" s="4"/>
      <c r="AA119" s="19"/>
      <c r="AB119" s="4"/>
      <c r="AC119" s="214"/>
      <c r="AD119" s="19"/>
      <c r="AE119" s="4"/>
      <c r="AF119" s="4"/>
      <c r="AG119" s="4"/>
      <c r="AH119" s="4"/>
      <c r="AI119" s="4"/>
      <c r="AJ119" s="4"/>
      <c r="AK119" s="4"/>
      <c r="AM119" s="1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51"/>
      <c r="K120" s="51"/>
      <c r="L120" s="51"/>
      <c r="M120" s="51"/>
      <c r="N120" s="51"/>
      <c r="O120" s="51"/>
      <c r="P120" s="51"/>
      <c r="Q120" s="51"/>
      <c r="V120" s="1"/>
      <c r="Z120" s="4"/>
      <c r="AA120" s="19"/>
      <c r="AB120" s="4"/>
      <c r="AC120" s="214"/>
      <c r="AD120" s="19"/>
      <c r="AE120" s="4"/>
      <c r="AF120" s="4"/>
      <c r="AG120" s="4"/>
      <c r="AH120" s="4"/>
      <c r="AI120" s="4"/>
      <c r="AJ120" s="4"/>
      <c r="AK120" s="4"/>
      <c r="AM120" s="1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51"/>
      <c r="K121" s="51"/>
      <c r="L121" s="51"/>
      <c r="M121" s="51"/>
      <c r="N121" s="51"/>
      <c r="O121" s="51"/>
      <c r="P121" s="51"/>
      <c r="Q121" s="51"/>
      <c r="V121" s="1"/>
      <c r="Z121" s="4"/>
      <c r="AA121" s="19"/>
      <c r="AB121" s="4"/>
      <c r="AC121" s="214"/>
      <c r="AD121" s="19"/>
      <c r="AE121" s="4"/>
      <c r="AF121" s="4"/>
      <c r="AG121" s="4"/>
      <c r="AH121" s="4"/>
      <c r="AI121" s="4"/>
      <c r="AJ121" s="4"/>
      <c r="AK121" s="4"/>
      <c r="AM121" s="1"/>
    </row>
    <row r="122" ht="12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V122" s="1"/>
      <c r="Z122" s="4"/>
      <c r="AA122" s="19"/>
      <c r="AB122" s="4"/>
      <c r="AC122" s="214"/>
      <c r="AD122" s="19"/>
      <c r="AE122" s="4"/>
      <c r="AF122" s="4"/>
      <c r="AG122" s="4"/>
      <c r="AH122" s="4"/>
      <c r="AI122" s="4"/>
      <c r="AJ122" s="4"/>
      <c r="AK122" s="4"/>
      <c r="AM122" s="1"/>
    </row>
    <row r="123" ht="12.75" customHeight="1">
      <c r="A123" s="1"/>
      <c r="B123" s="238" t="s">
        <v>57</v>
      </c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V123" s="1"/>
      <c r="Z123" s="4"/>
      <c r="AA123" s="19"/>
      <c r="AB123" s="4"/>
      <c r="AC123" s="214"/>
      <c r="AD123" s="19"/>
      <c r="AE123" s="4"/>
      <c r="AF123" s="4"/>
      <c r="AG123" s="4"/>
      <c r="AH123" s="4"/>
      <c r="AI123" s="4"/>
      <c r="AJ123" s="4"/>
      <c r="AK123" s="4"/>
      <c r="AM123" s="1"/>
    </row>
    <row r="124" ht="12.75" customHeight="1">
      <c r="A124" s="1"/>
      <c r="B124" s="1"/>
      <c r="C124" s="18" t="s">
        <v>58</v>
      </c>
      <c r="D124" s="18" t="s">
        <v>59</v>
      </c>
      <c r="E124" s="18" t="s">
        <v>60</v>
      </c>
      <c r="F124" s="18" t="s">
        <v>61</v>
      </c>
      <c r="G124" s="18" t="s">
        <v>62</v>
      </c>
      <c r="H124" s="18" t="s">
        <v>63</v>
      </c>
      <c r="I124" s="18" t="s">
        <v>64</v>
      </c>
      <c r="J124" s="18" t="s">
        <v>62</v>
      </c>
      <c r="K124" s="18" t="s">
        <v>65</v>
      </c>
      <c r="L124" s="18" t="s">
        <v>66</v>
      </c>
      <c r="M124" s="18" t="s">
        <v>67</v>
      </c>
      <c r="N124" s="18" t="s">
        <v>68</v>
      </c>
      <c r="O124" s="18" t="s">
        <v>69</v>
      </c>
      <c r="P124" s="18" t="s">
        <v>70</v>
      </c>
      <c r="Q124" s="18" t="s">
        <v>71</v>
      </c>
      <c r="R124" s="239" t="s">
        <v>72</v>
      </c>
      <c r="V124" s="1"/>
      <c r="Z124" s="4"/>
      <c r="AA124" s="19"/>
      <c r="AB124" s="4"/>
      <c r="AC124" s="214"/>
      <c r="AD124" s="19"/>
      <c r="AE124" s="4"/>
      <c r="AF124" s="4"/>
      <c r="AG124" s="4"/>
      <c r="AH124" s="4"/>
      <c r="AI124" s="4"/>
      <c r="AJ124" s="4"/>
      <c r="AK124" s="4"/>
      <c r="AM124" s="1"/>
    </row>
    <row r="125" ht="12.75" customHeight="1">
      <c r="A125" s="1"/>
      <c r="B125" s="1"/>
      <c r="C125" s="18" t="s">
        <v>73</v>
      </c>
      <c r="D125" s="18" t="s">
        <v>73</v>
      </c>
      <c r="E125" s="18" t="s">
        <v>74</v>
      </c>
      <c r="F125" s="18" t="s">
        <v>75</v>
      </c>
      <c r="G125" s="18" t="s">
        <v>75</v>
      </c>
      <c r="H125" s="18" t="s">
        <v>75</v>
      </c>
      <c r="I125" s="18" t="s">
        <v>75</v>
      </c>
      <c r="J125" s="18" t="s">
        <v>38</v>
      </c>
      <c r="K125" s="18" t="s">
        <v>76</v>
      </c>
      <c r="L125" s="18" t="s">
        <v>76</v>
      </c>
      <c r="M125" s="18" t="s">
        <v>77</v>
      </c>
      <c r="N125" s="18" t="s">
        <v>77</v>
      </c>
      <c r="O125" s="18" t="s">
        <v>41</v>
      </c>
      <c r="P125" s="18" t="s">
        <v>41</v>
      </c>
      <c r="Q125" s="18" t="s">
        <v>74</v>
      </c>
      <c r="R125" s="239" t="s">
        <v>38</v>
      </c>
      <c r="V125" s="1"/>
      <c r="Z125" s="4"/>
      <c r="AA125" s="19"/>
      <c r="AB125" s="4"/>
      <c r="AC125" s="214"/>
      <c r="AD125" s="19"/>
      <c r="AE125" s="4"/>
      <c r="AF125" s="4"/>
      <c r="AG125" s="4"/>
      <c r="AH125" s="4"/>
      <c r="AI125" s="4"/>
      <c r="AJ125" s="4"/>
      <c r="AK125" s="4"/>
      <c r="AM125" s="1"/>
    </row>
    <row r="126" ht="12.75" customHeight="1">
      <c r="A126" s="214">
        <v>1.0</v>
      </c>
      <c r="B126" s="1" t="str">
        <f t="array" ref="B126">INDEX(array1,34,arrayindex)</f>
        <v>Kiln exhaust gases after PH</v>
      </c>
      <c r="C126" s="84" t="str">
        <f t="shared" ref="C126:C130" si="15">J126*E126/1000000</f>
        <v>0.000 </v>
      </c>
      <c r="D126" s="240" t="str">
        <f t="shared" ref="D126:D129" si="16">E126*R126/1000000</f>
        <v>0.00</v>
      </c>
      <c r="E126" s="1" t="str">
        <f>kgmax</f>
        <v>0.01 </v>
      </c>
      <c r="F126" s="240" t="str">
        <f>(1-$G126/100)*kilng_co2</f>
        <v>30.40</v>
      </c>
      <c r="G126" s="4" t="str">
        <f t="shared" ref="G126:G129" si="17">J126*(22.41/18)/10</f>
        <v>6.225 </v>
      </c>
      <c r="H126" s="240" t="str">
        <f>(1-$G126/100)*kilng_n2</f>
        <v>60.09</v>
      </c>
      <c r="I126" s="240" t="str">
        <f>(1-$G126/100)*kilng_o2</f>
        <v>3.28</v>
      </c>
      <c r="J126" s="4" t="str">
        <f>kgaqua</f>
        <v>50 </v>
      </c>
      <c r="K126" s="1" t="str">
        <f>kgtemp</f>
        <v>360 </v>
      </c>
      <c r="L126" s="1" t="str">
        <f>CTexittemp</f>
        <v>#REF!</v>
      </c>
      <c r="M126" s="241" t="str">
        <f t="shared" ref="M126:M128" si="18">1000*(F126*(h_co2(K126)-h_co2(20))+G126*(h_h2ogas(K126)-h_h2ogas(20))+H126*(h_n2(K126)-h_n2(20))+I126*(h_o2(K126)-h_o2(20)))/100/22.41+cpRM(K126)*(K126-20)*R126/1000</f>
        <v>#NAME?</v>
      </c>
      <c r="N126" s="241" t="str">
        <f>1000*(F126*(h_co2(L126)-h_co2(20))+G126*(h_h2ogas(L126)-h_h2ogas(20))+H126*(h_n2(L126)-h_n2(20))+I126*(h_o2(L126)-h_o2(20)))/100/22.41+cpRM(L126)*(L126-20)*R126/1000</f>
        <v>#NAME?</v>
      </c>
      <c r="O126" s="242" t="str">
        <f t="shared" ref="O126:O129" si="19">M126*E126/1000</f>
        <v>#NAME?</v>
      </c>
      <c r="P126" s="242" t="str">
        <f>N126*E126/1000</f>
        <v>#NAME?</v>
      </c>
      <c r="Q126" s="1" t="str">
        <f>kgmax</f>
        <v>0.01 </v>
      </c>
      <c r="R126" s="243" t="str">
        <f>kgdust</f>
        <v>50 </v>
      </c>
      <c r="V126" s="1"/>
      <c r="Z126" s="4"/>
      <c r="AA126" s="19"/>
      <c r="AB126" s="4"/>
      <c r="AC126" s="214"/>
      <c r="AD126" s="19"/>
      <c r="AE126" s="4"/>
      <c r="AF126" s="4"/>
      <c r="AG126" s="4"/>
      <c r="AH126" s="4"/>
      <c r="AI126" s="4"/>
      <c r="AJ126" s="4"/>
      <c r="AK126" s="4"/>
      <c r="AM126" s="1"/>
    </row>
    <row r="127" ht="12.75" customHeight="1">
      <c r="A127" s="214" t="str">
        <f>IF(OR(_coalm_pos=1,_coalm_pos=3),MAX(A$126:A126)+1,0)</f>
        <v>0 </v>
      </c>
      <c r="B127" s="1" t="str">
        <f t="array" ref="B127">INDEX(array1,73,arrayindex)</f>
        <v>Coalmill</v>
      </c>
      <c r="C127" s="84" t="str">
        <f t="shared" si="15"/>
        <v>0.000 </v>
      </c>
      <c r="D127" s="240" t="str">
        <f t="shared" si="16"/>
        <v>0.00</v>
      </c>
      <c r="E127" s="1" t="str">
        <f>IF(OR(_coalm_pos=1,_coalm_pos=3),_coalm_gasamount,0)</f>
        <v>0 </v>
      </c>
      <c r="F127" s="240" t="str">
        <f>(1-$G127/100)*kilng_co2</f>
        <v>30.40</v>
      </c>
      <c r="G127" s="4" t="str">
        <f t="shared" si="17"/>
        <v>6.225 </v>
      </c>
      <c r="H127" s="240" t="str">
        <f>(1-$G127/100)*kilng_n2</f>
        <v>60.09</v>
      </c>
      <c r="I127" s="240" t="str">
        <f>(1-$G127/100)*kilng_o2</f>
        <v>3.28</v>
      </c>
      <c r="J127" s="4" t="str">
        <f>kgaqua</f>
        <v>50 </v>
      </c>
      <c r="K127" s="1" t="str">
        <f>kgtemp</f>
        <v>360 </v>
      </c>
      <c r="L127" s="1"/>
      <c r="M127" s="241" t="str">
        <f t="shared" si="18"/>
        <v>#NAME?</v>
      </c>
      <c r="N127" s="1"/>
      <c r="O127" s="242" t="str">
        <f t="shared" si="19"/>
        <v>#NAME?</v>
      </c>
      <c r="Q127" s="1" t="str">
        <f>E127</f>
        <v>0 </v>
      </c>
      <c r="R127" s="243" t="str">
        <f>R126</f>
        <v>50 </v>
      </c>
      <c r="V127" s="1"/>
      <c r="Z127" s="4"/>
      <c r="AA127" s="19"/>
      <c r="AB127" s="4"/>
      <c r="AC127" s="214"/>
      <c r="AD127" s="19"/>
      <c r="AE127" s="4"/>
      <c r="AF127" s="4"/>
      <c r="AG127" s="4"/>
      <c r="AH127" s="4"/>
      <c r="AI127" s="4"/>
      <c r="AJ127" s="4"/>
      <c r="AK127" s="4"/>
      <c r="AM127" s="1"/>
    </row>
    <row r="128" ht="12.75" customHeight="1">
      <c r="A128" s="214" t="str">
        <f>IF(A127&gt;0,MAX(A$126:A127)+1,0)</f>
        <v>0 </v>
      </c>
      <c r="B128" s="182" t="str">
        <f t="array" ref="B128">IF(E128&gt;=0,INDEX(array1,79,arrayindex),"invalid : flow is less than Zero")</f>
        <v>residual</v>
      </c>
      <c r="C128" s="84" t="str">
        <f t="shared" si="15"/>
        <v>0.000 </v>
      </c>
      <c r="D128" s="240" t="str">
        <f t="shared" si="16"/>
        <v>0.00</v>
      </c>
      <c r="E128" s="1" t="str">
        <f>E126-E127</f>
        <v>0.01 </v>
      </c>
      <c r="F128" s="240" t="str">
        <f>(1-$G128/100)*kilng_co2</f>
        <v>30.40</v>
      </c>
      <c r="G128" s="4" t="str">
        <f t="shared" si="17"/>
        <v>6.225 </v>
      </c>
      <c r="H128" s="240" t="str">
        <f>(1-$G128/100)*kilng_n2</f>
        <v>60.09</v>
      </c>
      <c r="I128" s="240" t="str">
        <f>(1-$G128/100)*kilng_o2</f>
        <v>3.28</v>
      </c>
      <c r="J128" s="4" t="str">
        <f>kgaqua</f>
        <v>50 </v>
      </c>
      <c r="K128" s="1" t="str">
        <f>kgtemp</f>
        <v>360 </v>
      </c>
      <c r="L128" s="1" t="str">
        <f>CTexittemp</f>
        <v>#REF!</v>
      </c>
      <c r="M128" s="241" t="str">
        <f t="shared" si="18"/>
        <v>#NAME?</v>
      </c>
      <c r="N128" s="241" t="str">
        <f>1000*(F128*(h_co2(L128)-h_co2(20))+G128*(h_h2ogas(L128)-h_h2ogas(20))+H128*(h_n2(L128)-h_n2(20))+I128*(h_o2(L128)-h_o2(20)))/100/22.41+cpRM(L128)*(L128-20)*R128/1000</f>
        <v>#NAME?</v>
      </c>
      <c r="O128" s="242" t="str">
        <f t="shared" si="19"/>
        <v>#NAME?</v>
      </c>
      <c r="P128" s="242" t="str">
        <f t="shared" ref="P128:P129" si="20">N128*E128/1000</f>
        <v>#NAME?</v>
      </c>
      <c r="Q128" s="1" t="str">
        <f>Q126-Q127</f>
        <v>0.01 </v>
      </c>
      <c r="R128" s="243" t="str">
        <f>kgdust</f>
        <v>50 </v>
      </c>
      <c r="V128" s="1"/>
      <c r="Z128" s="4"/>
      <c r="AA128" s="19"/>
      <c r="AB128" s="4"/>
      <c r="AC128" s="214"/>
      <c r="AD128" s="19"/>
      <c r="AE128" s="4"/>
      <c r="AF128" s="4"/>
      <c r="AG128" s="4"/>
      <c r="AH128" s="4"/>
      <c r="AI128" s="4"/>
      <c r="AJ128" s="4"/>
      <c r="AK128" s="4"/>
      <c r="AM128" s="1"/>
    </row>
    <row r="129" ht="12.75" customHeight="1">
      <c r="A129" s="214" t="str">
        <f t="shared" ref="A129:A134" si="21">MAX(A$126:A128)+1</f>
        <v>2 </v>
      </c>
      <c r="B129" s="1" t="str">
        <f t="array" ref="B129">INDEX(array1,26,arrayindex)</f>
        <v>Cooler exhaust gases</v>
      </c>
      <c r="C129" s="84" t="str">
        <f t="shared" si="15"/>
        <v>#NAME?</v>
      </c>
      <c r="D129" s="240" t="str">
        <f t="shared" si="16"/>
        <v>0.00</v>
      </c>
      <c r="E129" s="182" t="str">
        <f>coolergasmax</f>
        <v>0 </v>
      </c>
      <c r="F129" s="4">
        <v>0.0</v>
      </c>
      <c r="G129" s="241" t="str">
        <f t="shared" si="17"/>
        <v>#NAME?</v>
      </c>
      <c r="H129" s="242" t="str">
        <f>79*(100-G129)/100</f>
        <v>#NAME?</v>
      </c>
      <c r="I129" s="242" t="str">
        <f>(100-G129)*21/100</f>
        <v>#NAME?</v>
      </c>
      <c r="J129" s="242" t="str">
        <f>coolergasaqua</f>
        <v>#NAME?</v>
      </c>
      <c r="K129" s="4" t="str">
        <f>coolergastemp</f>
        <v>330 </v>
      </c>
      <c r="L129" s="4" t="str">
        <f>CTexittemp</f>
        <v>#REF!</v>
      </c>
      <c r="M129" s="244" t="str">
        <f>1000*(F129*(h_co2(K129)-h_co2(20))+G129*(h_h2ogas(K129)-h_h2ogas(20))+H129*(h_n2(K129)-h_n2(20))+I129*(h_o2(K129)-h_o2(20)))/100/22.41+cpCli(K129)*(K129-20)*R129/1000</f>
        <v>#NAME?</v>
      </c>
      <c r="N129" s="241" t="str">
        <f>1000*(F129*(h_co2(L129)-h_co2(20))+G129*(h_h2ogas(L129)-h_h2ogas(20))+H129*(h_n2(L129)-h_n2(20))+I129*(h_o2(L129)-h_o2(20)))/100/22.41+cpCli(L129)*(L129-20)*R129/1000</f>
        <v>#NAME?</v>
      </c>
      <c r="O129" s="242" t="str">
        <f t="shared" si="19"/>
        <v>#NAME?</v>
      </c>
      <c r="P129" s="242" t="str">
        <f t="shared" si="20"/>
        <v>#NAME?</v>
      </c>
      <c r="Q129" s="4" t="str">
        <f>coolergasmax</f>
        <v>0 </v>
      </c>
      <c r="R129" s="243" t="str">
        <f>coolergasdust</f>
        <v>30 </v>
      </c>
      <c r="V129" s="1"/>
      <c r="Z129" s="4"/>
      <c r="AA129" s="19"/>
      <c r="AB129" s="4"/>
      <c r="AC129" s="214"/>
      <c r="AD129" s="19"/>
      <c r="AE129" s="4"/>
      <c r="AF129" s="4"/>
      <c r="AG129" s="4"/>
      <c r="AH129" s="4"/>
      <c r="AI129" s="4"/>
      <c r="AJ129" s="4"/>
      <c r="AK129" s="4"/>
      <c r="AM129" s="1"/>
    </row>
    <row r="130" ht="12.75" customHeight="1">
      <c r="A130" s="214" t="str">
        <f t="shared" si="21"/>
        <v>3 </v>
      </c>
      <c r="B130" s="245" t="str">
        <f t="array" ref="B130">CONCATENATE(INDEX(array1,61,arrayindex)," - ",INDEX(array1,74,arrayindex))</f>
        <v>Cooling tower - Inlet</v>
      </c>
      <c r="C130" s="84" t="str">
        <f t="shared" si="15"/>
        <v>#NAME?</v>
      </c>
      <c r="D130" s="1" t="str">
        <f t="shared" ref="D130:E130" si="22">SUM(D128:D129)</f>
        <v>0.0000005 </v>
      </c>
      <c r="E130" s="1" t="str">
        <f t="shared" si="22"/>
        <v>0.01 </v>
      </c>
      <c r="F130" s="35" t="str">
        <f t="shared" ref="F130:J130" si="23">IF($E130&gt;0,($E128*F128+$E129*F129)/$E130,F129)</f>
        <v>30.40 </v>
      </c>
      <c r="G130" s="35" t="str">
        <f t="shared" si="23"/>
        <v>#NAME?</v>
      </c>
      <c r="H130" s="35" t="str">
        <f t="shared" si="23"/>
        <v>#NAME?</v>
      </c>
      <c r="I130" s="35" t="str">
        <f t="shared" si="23"/>
        <v>#NAME?</v>
      </c>
      <c r="J130" s="35" t="str">
        <f t="shared" si="23"/>
        <v>#NAME?</v>
      </c>
      <c r="K130" s="241" t="str">
        <f>gasmix_2(C128:R128,C129:R129,12,0*kilnfanpower_s,2,_dustratio)</f>
        <v>#NAME?</v>
      </c>
      <c r="L130" s="4" t="str">
        <f>CTexittemp</f>
        <v>#REF!</v>
      </c>
      <c r="M130" s="241" t="str">
        <f>IF(E130&gt;0,1000*O130/E130,0)</f>
        <v>#NAME?</v>
      </c>
      <c r="N130" s="1"/>
      <c r="O130" s="1" t="str">
        <f>SUM(O128:O129)</f>
        <v>#NAME?</v>
      </c>
      <c r="Q130" s="1" t="str">
        <f>SUM(Q128:Q129)</f>
        <v>0.01 </v>
      </c>
      <c r="R130" s="246" t="str">
        <f>IF(E130&gt;0,1000000*D130/E130,0)</f>
        <v>50.0 </v>
      </c>
      <c r="V130" s="1"/>
      <c r="Z130" s="4"/>
      <c r="AA130" s="19"/>
      <c r="AB130" s="4"/>
      <c r="AC130" s="214"/>
      <c r="AD130" s="19"/>
      <c r="AE130" s="4"/>
      <c r="AF130" s="4"/>
      <c r="AG130" s="4"/>
      <c r="AH130" s="4"/>
      <c r="AI130" s="4"/>
      <c r="AJ130" s="4"/>
      <c r="AK130" s="4"/>
      <c r="AM130" s="1"/>
    </row>
    <row r="131" ht="12.75" customHeight="1">
      <c r="A131" s="214" t="str">
        <f t="shared" si="21"/>
        <v>4 </v>
      </c>
      <c r="B131" s="245" t="str">
        <f t="array" ref="B131">CONCATENATE(INDEX(array1,21,arrayindex)," ",INDEX(array1,61,arrayindex))</f>
        <v>Water injection Cooling tower</v>
      </c>
      <c r="C131" s="244" t="str">
        <f>E131/1245</f>
        <v>0.0008032128514</v>
      </c>
      <c r="D131" s="1"/>
      <c r="E131" s="206" t="str">
        <f>IF(ISNUMBER(ct_2(C130:R130,C132:R132,K131,E131,L131,1)),ct_2(C130:R130,C132:R132,K131,E131,L131,1),1)</f>
        <v>1 </v>
      </c>
      <c r="F131" s="1"/>
      <c r="G131" s="1">
        <v>100.0</v>
      </c>
      <c r="H131" s="1"/>
      <c r="I131" s="1"/>
      <c r="J131" s="1" t="str">
        <f>18000/22.41</f>
        <v>803.2128514 </v>
      </c>
      <c r="K131" s="1" t="str">
        <f>watertemp</f>
        <v>22 </v>
      </c>
      <c r="L131" s="1" t="str">
        <f>L130</f>
        <v>#REF!</v>
      </c>
      <c r="M131" s="1"/>
      <c r="N131" s="1"/>
      <c r="O131" s="4" t="str">
        <f>(EnthalpySatLiqTW(K131+273.16)-EnthalpySatLiqTW(293.16))*C131</f>
        <v>#NAME?</v>
      </c>
      <c r="P131" s="4" t="str">
        <f>(EnthalpySatVapTW(L131+273.16)-EnthalpySatLiqTW(293.16))*C131</f>
        <v>#NAME?</v>
      </c>
      <c r="Q131" s="1" t="str">
        <f t="shared" ref="Q131:Q132" si="24">E131</f>
        <v>1 </v>
      </c>
      <c r="R131" s="243"/>
      <c r="V131" s="1"/>
      <c r="Z131" s="4"/>
      <c r="AA131" s="19"/>
      <c r="AB131" s="4"/>
      <c r="AC131" s="214"/>
      <c r="AD131" s="19"/>
      <c r="AE131" s="4"/>
      <c r="AF131" s="4"/>
      <c r="AG131" s="4"/>
      <c r="AH131" s="4"/>
      <c r="AI131" s="4"/>
      <c r="AJ131" s="4"/>
      <c r="AK131" s="4"/>
      <c r="AM131" s="1"/>
    </row>
    <row r="132" ht="12.75" customHeight="1">
      <c r="A132" s="214" t="str">
        <f t="shared" si="21"/>
        <v>5 </v>
      </c>
      <c r="B132" s="245" t="str">
        <f t="array" ref="B132">CONCATENATE(INDEX(array1,22,arrayindex)," ",INDEX(array1,61,arrayindex))</f>
        <v>False air rate Cooling tower</v>
      </c>
      <c r="C132" s="84" t="str">
        <f>J132*E132/1000000</f>
        <v>#NAME?</v>
      </c>
      <c r="D132" s="240" t="str">
        <f>E132*R132/1000000</f>
        <v>0.00</v>
      </c>
      <c r="E132" s="1" t="str">
        <f>E130*fakct/100</f>
        <v>0 </v>
      </c>
      <c r="F132" s="35">
        <v>0.0</v>
      </c>
      <c r="G132" s="35" t="str">
        <f>J132*22.41/18/10</f>
        <v>#NAME?</v>
      </c>
      <c r="H132" s="35" t="str">
        <f>79*(100-G132)/100</f>
        <v>#NAME?</v>
      </c>
      <c r="I132" s="35" t="str">
        <f>(100-G132)*21/100</f>
        <v>#NAME?</v>
      </c>
      <c r="J132" s="35" t="str">
        <f>freshairaqua</f>
        <v>#NAME?</v>
      </c>
      <c r="K132" s="1" t="str">
        <f>freshairtemp</f>
        <v>20 </v>
      </c>
      <c r="L132" s="1" t="str">
        <f>L130</f>
        <v>#REF!</v>
      </c>
      <c r="M132" s="241" t="str">
        <f>1000*(F132*h_co2(K132)+G132*h_h2ogas(K132)+H132*h_n2(K132)+I132*h_o2(K132))/100/22.41</f>
        <v>#NAME?</v>
      </c>
      <c r="N132" s="242" t="str">
        <f>1000*(F132*h_co2(L132)+G132*h_h2ogas(L132)+H132*h_n2(L132)+I132*h_o2(L132))/100/22.41</f>
        <v>#NAME?</v>
      </c>
      <c r="O132" s="242" t="str">
        <f>M132*E132/1000</f>
        <v>#NAME?</v>
      </c>
      <c r="P132" s="242" t="str">
        <f>N132*E132/1000</f>
        <v>#NAME?</v>
      </c>
      <c r="Q132" s="1" t="str">
        <f t="shared" si="24"/>
        <v>0 </v>
      </c>
      <c r="R132" s="243"/>
      <c r="V132" s="1"/>
      <c r="Z132" s="4"/>
      <c r="AA132" s="19"/>
      <c r="AB132" s="4"/>
      <c r="AC132" s="214"/>
      <c r="AD132" s="19"/>
      <c r="AE132" s="4"/>
      <c r="AF132" s="4"/>
      <c r="AG132" s="4"/>
      <c r="AH132" s="4"/>
      <c r="AI132" s="4"/>
      <c r="AJ132" s="4"/>
      <c r="AK132" s="4"/>
      <c r="AM132" s="1"/>
    </row>
    <row r="133" ht="12.75" customHeight="1">
      <c r="A133" s="214" t="str">
        <f t="shared" si="21"/>
        <v>6 </v>
      </c>
      <c r="B133" s="245" t="str">
        <f t="array" ref="B133">INDEX(array1,78,arrayindex)</f>
        <v>Gases after CT</v>
      </c>
      <c r="C133" s="84" t="str">
        <f t="shared" ref="C133:E133" si="25">SUM(C130:C132)</f>
        <v>#NAME?</v>
      </c>
      <c r="D133" s="1" t="str">
        <f t="shared" si="25"/>
        <v>0.0000005 </v>
      </c>
      <c r="E133" s="1" t="str">
        <f t="shared" si="25"/>
        <v>1.01 </v>
      </c>
      <c r="F133" s="241" t="str">
        <f t="shared" ref="F133:J133" si="26">IF($E133&gt;0,($E130*F130+$E131*F131+$E132*F132)/$E133,F130)</f>
        <v>0.3 </v>
      </c>
      <c r="G133" s="241" t="str">
        <f t="shared" si="26"/>
        <v>#NAME?</v>
      </c>
      <c r="H133" s="241" t="str">
        <f t="shared" si="26"/>
        <v>#NAME?</v>
      </c>
      <c r="I133" s="241" t="str">
        <f t="shared" si="26"/>
        <v>#NAME?</v>
      </c>
      <c r="J133" s="241" t="str">
        <f t="shared" si="26"/>
        <v>#NAME?</v>
      </c>
      <c r="K133" s="1" t="str">
        <f>L130</f>
        <v>#REF!</v>
      </c>
      <c r="L133" s="241" t="str">
        <f>IF(ISNUMBER(ct_2(C130:R130,C132:R132,K131,0,L131,2)),ct_2(C130:R130,C132:R132,K131,0,L131,2),K133)</f>
        <v>#REF!</v>
      </c>
      <c r="M133" s="241" t="str">
        <f t="shared" ref="M133:M136" si="28">1000*(F133*(h_co2(K133)-h_co2(20))+G133*(h_h2ogas(K133)-h_h2ogas(20))+H133*(h_n2(K133)-h_n2(20))+I133*(h_o2(K133)-h_o2(20)))/100/22.41+cpRM(K133)*(K133-20)*R133/1000</f>
        <v>#NAME?</v>
      </c>
      <c r="N133" s="242"/>
      <c r="O133" s="242"/>
      <c r="P133" s="242"/>
      <c r="Q133" s="1" t="str">
        <f>SUM(Q130:Q132)</f>
        <v>1.01 </v>
      </c>
      <c r="R133" s="243" t="str">
        <f>IF($E133&gt;0,($E130*R130+$E131*R131+$E132*R132)/$E133,R130)</f>
        <v>0.495049505 </v>
      </c>
      <c r="V133" s="1"/>
      <c r="Z133" s="4"/>
      <c r="AA133" s="19"/>
      <c r="AB133" s="4"/>
      <c r="AC133" s="214"/>
      <c r="AD133" s="19"/>
      <c r="AE133" s="4"/>
      <c r="AF133" s="4"/>
      <c r="AG133" s="4"/>
      <c r="AH133" s="4"/>
      <c r="AI133" s="4"/>
      <c r="AJ133" s="4"/>
      <c r="AK133" s="4"/>
      <c r="AM133" s="1"/>
    </row>
    <row r="134" ht="12.75" customHeight="1">
      <c r="A134" s="214" t="str">
        <f t="shared" si="21"/>
        <v>7 </v>
      </c>
      <c r="B134" s="245" t="str">
        <f t="array" ref="B134">CONCATENATE(INDEX(array1,77,arrayindex)," - ",INDEX(array1,75,arrayindex))</f>
        <v>Kiln fan - Outlet</v>
      </c>
      <c r="C134" s="84" t="str">
        <f t="shared" ref="C134:J134" si="27">C133</f>
        <v>#NAME?</v>
      </c>
      <c r="D134" s="1" t="str">
        <f t="shared" si="27"/>
        <v>0.0000005 </v>
      </c>
      <c r="E134" s="1" t="str">
        <f t="shared" si="27"/>
        <v>1.01 </v>
      </c>
      <c r="F134" s="241" t="str">
        <f t="shared" si="27"/>
        <v>0.3 </v>
      </c>
      <c r="G134" s="241" t="str">
        <f t="shared" si="27"/>
        <v>#NAME?</v>
      </c>
      <c r="H134" s="241" t="str">
        <f t="shared" si="27"/>
        <v>#NAME?</v>
      </c>
      <c r="I134" s="241" t="str">
        <f t="shared" si="27"/>
        <v>#NAME?</v>
      </c>
      <c r="J134" s="241" t="str">
        <f t="shared" si="27"/>
        <v>#NAME?</v>
      </c>
      <c r="K134" s="247" t="str">
        <f>gasmix_2(C133:R133,C133:R133,111,kilnfanpower_s,2,_dustratio)</f>
        <v>#NAME?</v>
      </c>
      <c r="L134" s="1"/>
      <c r="M134" s="241" t="str">
        <f t="shared" si="28"/>
        <v>#NAME?</v>
      </c>
      <c r="N134" s="1"/>
      <c r="O134" s="241" t="str">
        <f t="shared" ref="O134:O135" si="31">M134*E134/1000</f>
        <v>#NAME?</v>
      </c>
      <c r="Q134" s="1" t="str">
        <f t="shared" ref="Q134:R134" si="29">Q133</f>
        <v>1.01 </v>
      </c>
      <c r="R134" s="243" t="str">
        <f t="shared" si="29"/>
        <v>0.495049505 </v>
      </c>
      <c r="V134" s="1"/>
      <c r="Z134" s="4"/>
      <c r="AA134" s="19"/>
      <c r="AB134" s="4"/>
      <c r="AC134" s="214"/>
      <c r="AD134" s="19"/>
      <c r="AE134" s="4"/>
      <c r="AF134" s="4"/>
      <c r="AG134" s="4"/>
      <c r="AH134" s="4"/>
      <c r="AI134" s="4"/>
      <c r="AJ134" s="4"/>
      <c r="AK134" s="4"/>
      <c r="AM134" s="1"/>
    </row>
    <row r="135" ht="12.75" customHeight="1">
      <c r="A135" s="214" t="str">
        <f>IF(OR(_coalm_pos=0,_coalm_pos=2),MAX(A$126:A134)+1,0)</f>
        <v>8 </v>
      </c>
      <c r="B135" s="1" t="str">
        <f t="array" ref="B135">INDEX(array1,73,arrayindex)</f>
        <v>Coalmill</v>
      </c>
      <c r="C135" s="84" t="str">
        <f t="shared" ref="C135:C136" si="32">J135*E135/1000000</f>
        <v>#NAME?</v>
      </c>
      <c r="D135" s="35" t="str">
        <f t="shared" ref="D135:D136" si="33">E135*R135/1000000</f>
        <v>0.00 </v>
      </c>
      <c r="E135" s="1" t="str">
        <f>IF(OR(_coalm_pos=0,_coalm_pos=2),_coalm_gasamount,0)</f>
        <v>0 </v>
      </c>
      <c r="F135" s="241" t="str">
        <f t="shared" ref="F135:K135" si="30">F134</f>
        <v>0.3 </v>
      </c>
      <c r="G135" s="241" t="str">
        <f t="shared" si="30"/>
        <v>#NAME?</v>
      </c>
      <c r="H135" s="241" t="str">
        <f t="shared" si="30"/>
        <v>#NAME?</v>
      </c>
      <c r="I135" s="241" t="str">
        <f t="shared" si="30"/>
        <v>#NAME?</v>
      </c>
      <c r="J135" s="241" t="str">
        <f t="shared" si="30"/>
        <v>#NAME?</v>
      </c>
      <c r="K135" s="241" t="str">
        <f t="shared" si="30"/>
        <v>#NAME?</v>
      </c>
      <c r="L135" s="1"/>
      <c r="M135" s="241" t="str">
        <f t="shared" si="28"/>
        <v>#NAME?</v>
      </c>
      <c r="N135" s="1"/>
      <c r="O135" s="241" t="str">
        <f t="shared" si="31"/>
        <v>#NAME?</v>
      </c>
      <c r="Q135" s="1" t="str">
        <f>E135</f>
        <v>0 </v>
      </c>
      <c r="R135" s="243" t="str">
        <f t="shared" ref="R135:R136" si="35">R134</f>
        <v>0.495049505 </v>
      </c>
      <c r="V135" s="1"/>
      <c r="Z135" s="4"/>
      <c r="AA135" s="19"/>
      <c r="AB135" s="4"/>
      <c r="AC135" s="214"/>
      <c r="AD135" s="19"/>
      <c r="AE135" s="4"/>
      <c r="AF135" s="4"/>
      <c r="AG135" s="4"/>
      <c r="AH135" s="4"/>
      <c r="AI135" s="4"/>
      <c r="AJ135" s="4"/>
      <c r="AK135" s="4"/>
      <c r="AM135" s="1"/>
    </row>
    <row r="136" ht="12.75" customHeight="1">
      <c r="A136" s="214" t="str">
        <f t="shared" ref="A136:A138" si="36">MAX(A$126:A135)+1</f>
        <v>9 </v>
      </c>
      <c r="B136" s="245" t="str">
        <f t="array" ref="B136">CONCATENATE(INDEX(array1,20,arrayindex)," - ",INDEX(array1,23,arrayindex))</f>
        <v>Mill - Available gases</v>
      </c>
      <c r="C136" s="84" t="str">
        <f t="shared" si="32"/>
        <v>#NAME?</v>
      </c>
      <c r="D136" s="35" t="str">
        <f t="shared" si="33"/>
        <v>0.00 </v>
      </c>
      <c r="E136" s="1" t="str">
        <f>E134-E135</f>
        <v>1.01 </v>
      </c>
      <c r="F136" s="241" t="str">
        <f t="shared" ref="F136:K136" si="34">F135</f>
        <v>0.3 </v>
      </c>
      <c r="G136" s="241" t="str">
        <f t="shared" si="34"/>
        <v>#NAME?</v>
      </c>
      <c r="H136" s="241" t="str">
        <f t="shared" si="34"/>
        <v>#NAME?</v>
      </c>
      <c r="I136" s="241" t="str">
        <f t="shared" si="34"/>
        <v>#NAME?</v>
      </c>
      <c r="J136" s="241" t="str">
        <f t="shared" si="34"/>
        <v>#NAME?</v>
      </c>
      <c r="K136" s="241" t="str">
        <f t="shared" si="34"/>
        <v>#NAME?</v>
      </c>
      <c r="L136" s="1"/>
      <c r="M136" s="241" t="str">
        <f t="shared" si="28"/>
        <v>#NAME?</v>
      </c>
      <c r="N136" s="1"/>
      <c r="O136" s="241" t="str">
        <f>O134-O135</f>
        <v>#NAME?</v>
      </c>
      <c r="Q136" s="1" t="str">
        <f>Q134-Q135</f>
        <v>1.01 </v>
      </c>
      <c r="R136" s="243" t="str">
        <f t="shared" si="35"/>
        <v>0.495049505 </v>
      </c>
      <c r="V136" s="1"/>
      <c r="Z136" s="4"/>
      <c r="AA136" s="19"/>
      <c r="AB136" s="4"/>
      <c r="AC136" s="214"/>
      <c r="AD136" s="19"/>
      <c r="AE136" s="4"/>
      <c r="AF136" s="4"/>
      <c r="AG136" s="4"/>
      <c r="AH136" s="4"/>
      <c r="AI136" s="4"/>
      <c r="AJ136" s="4"/>
      <c r="AK136" s="4"/>
      <c r="AM136" s="1"/>
    </row>
    <row r="137" ht="12.75" customHeight="1">
      <c r="A137" s="214" t="str">
        <f t="shared" si="36"/>
        <v>10 </v>
      </c>
      <c r="B137" s="245" t="str">
        <f t="array" ref="B137">IF(it_v1=TRUE,INDEX(array1,121,arrayindex),"Excess gas")</f>
        <v>Excess gas</v>
      </c>
      <c r="C137" s="84" t="str">
        <f t="shared" ref="C137:D137" si="37">C$263</f>
        <v>#NAME?</v>
      </c>
      <c r="D137" s="35" t="str">
        <f t="shared" si="37"/>
        <v>#NAME?</v>
      </c>
      <c r="E137" s="1" t="str">
        <f t="array" ref="E137">INDEX($E$257:$E$259,_millgas_pos+1)</f>
        <v>#NAME?</v>
      </c>
      <c r="F137" s="241" t="str">
        <f t="shared" ref="F137:R137" si="38">F$263</f>
        <v>0.3 </v>
      </c>
      <c r="G137" s="241" t="str">
        <f t="shared" si="38"/>
        <v>#NAME?</v>
      </c>
      <c r="H137" s="241" t="str">
        <f t="shared" si="38"/>
        <v>#NAME?</v>
      </c>
      <c r="I137" s="241" t="str">
        <f t="shared" si="38"/>
        <v>#NAME?</v>
      </c>
      <c r="J137" s="241" t="str">
        <f t="shared" si="38"/>
        <v>#NAME?</v>
      </c>
      <c r="K137" s="241" t="str">
        <f t="shared" si="38"/>
        <v>#NAME?</v>
      </c>
      <c r="L137" s="1" t="str">
        <f t="shared" si="38"/>
        <v/>
      </c>
      <c r="M137" s="241" t="str">
        <f t="shared" si="38"/>
        <v>#NAME?</v>
      </c>
      <c r="N137" s="1" t="str">
        <f t="shared" si="38"/>
        <v/>
      </c>
      <c r="O137" s="241" t="str">
        <f t="shared" si="38"/>
        <v/>
      </c>
      <c r="P137" s="1" t="str">
        <f t="shared" si="38"/>
        <v/>
      </c>
      <c r="Q137" s="1" t="str">
        <f t="shared" si="38"/>
        <v/>
      </c>
      <c r="R137" s="243" t="str">
        <f t="shared" si="38"/>
        <v>0.495049505 </v>
      </c>
      <c r="V137" s="1"/>
      <c r="Z137" s="4"/>
      <c r="AA137" s="19"/>
      <c r="AB137" s="4"/>
      <c r="AC137" s="214"/>
      <c r="AD137" s="19"/>
      <c r="AE137" s="4"/>
      <c r="AF137" s="4"/>
      <c r="AG137" s="4"/>
      <c r="AH137" s="4"/>
      <c r="AI137" s="4"/>
      <c r="AJ137" s="4"/>
      <c r="AK137" s="4"/>
      <c r="AM137" s="1"/>
    </row>
    <row r="138" ht="12.75" customHeight="1">
      <c r="A138" s="214" t="str">
        <f t="shared" si="36"/>
        <v>11 </v>
      </c>
      <c r="B138" s="1" t="str">
        <f t="array" ref="B138">INDEX(array1,120,arrayindex)</f>
        <v>Gas to mill</v>
      </c>
      <c r="C138" s="84" t="str">
        <f t="shared" ref="C138:R138" si="39">C$235</f>
        <v>#NAME?</v>
      </c>
      <c r="D138" s="35" t="str">
        <f t="shared" si="39"/>
        <v>#NAME?</v>
      </c>
      <c r="E138" s="1" t="str">
        <f t="shared" si="39"/>
        <v>#NAME?</v>
      </c>
      <c r="F138" s="241" t="str">
        <f t="shared" si="39"/>
        <v>0.3 </v>
      </c>
      <c r="G138" s="241" t="str">
        <f t="shared" si="39"/>
        <v>#NAME?</v>
      </c>
      <c r="H138" s="241" t="str">
        <f t="shared" si="39"/>
        <v>#NAME?</v>
      </c>
      <c r="I138" s="241" t="str">
        <f t="shared" si="39"/>
        <v>#NAME?</v>
      </c>
      <c r="J138" s="241" t="str">
        <f t="shared" si="39"/>
        <v>#NAME?</v>
      </c>
      <c r="K138" s="241" t="str">
        <f t="shared" si="39"/>
        <v>#NAME?</v>
      </c>
      <c r="L138" s="1" t="str">
        <f t="shared" si="39"/>
        <v>85 </v>
      </c>
      <c r="M138" s="241" t="str">
        <f t="shared" si="39"/>
        <v>#NAME?</v>
      </c>
      <c r="N138" s="1" t="str">
        <f t="shared" si="39"/>
        <v>#NAME?</v>
      </c>
      <c r="O138" s="241" t="str">
        <f t="shared" si="39"/>
        <v>#NAME?</v>
      </c>
      <c r="P138" s="1" t="str">
        <f t="shared" si="39"/>
        <v>#NAME?</v>
      </c>
      <c r="Q138" s="1" t="str">
        <f t="shared" si="39"/>
        <v>1.01 </v>
      </c>
      <c r="R138" s="243" t="str">
        <f t="shared" si="39"/>
        <v>0.495049505 </v>
      </c>
      <c r="V138" s="1"/>
      <c r="Z138" s="4"/>
      <c r="AA138" s="19"/>
      <c r="AB138" s="4"/>
      <c r="AC138" s="214"/>
      <c r="AD138" s="19"/>
      <c r="AE138" s="4"/>
      <c r="AF138" s="4"/>
      <c r="AG138" s="4"/>
      <c r="AH138" s="4"/>
      <c r="AI138" s="4"/>
      <c r="AJ138" s="4"/>
      <c r="AK138" s="4"/>
      <c r="AM138" s="1"/>
    </row>
    <row r="139" ht="12.75" customHeight="1">
      <c r="A139" s="1"/>
      <c r="B139" s="1"/>
      <c r="C139" s="84"/>
      <c r="D139" s="35"/>
      <c r="E139" s="1"/>
      <c r="F139" s="241"/>
      <c r="G139" s="241"/>
      <c r="H139" s="241"/>
      <c r="I139" s="241"/>
      <c r="J139" s="241"/>
      <c r="K139" s="241"/>
      <c r="L139" s="1"/>
      <c r="M139" s="241"/>
      <c r="N139" s="1"/>
      <c r="O139" s="241"/>
      <c r="V139" s="1"/>
      <c r="Z139" s="4"/>
      <c r="AA139" s="19"/>
      <c r="AB139" s="4"/>
      <c r="AC139" s="214"/>
      <c r="AD139" s="19"/>
      <c r="AE139" s="4"/>
      <c r="AF139" s="4"/>
      <c r="AG139" s="4"/>
      <c r="AH139" s="4"/>
      <c r="AI139" s="4"/>
      <c r="AJ139" s="4"/>
      <c r="AK139" s="4"/>
      <c r="AM139" s="1"/>
    </row>
    <row r="140" ht="12.75" customHeight="1">
      <c r="A140" s="1"/>
      <c r="B140" s="1"/>
      <c r="C140" s="84"/>
      <c r="D140" s="35"/>
      <c r="E140" s="1"/>
      <c r="F140" s="241"/>
      <c r="G140" s="241"/>
      <c r="H140" s="241"/>
      <c r="I140" s="241"/>
      <c r="J140" s="241"/>
      <c r="K140" s="241"/>
      <c r="L140" s="1"/>
      <c r="M140" s="241"/>
      <c r="N140" s="1"/>
      <c r="O140" s="241"/>
      <c r="V140" s="1"/>
      <c r="Z140" s="4"/>
      <c r="AA140" s="19"/>
      <c r="AB140" s="4"/>
      <c r="AC140" s="214"/>
      <c r="AD140" s="19"/>
      <c r="AE140" s="4"/>
      <c r="AF140" s="4"/>
      <c r="AG140" s="4"/>
      <c r="AH140" s="4"/>
      <c r="AI140" s="4"/>
      <c r="AJ140" s="4"/>
      <c r="AK140" s="4"/>
      <c r="AM140" s="1"/>
    </row>
    <row r="141" ht="12.75" customHeight="1">
      <c r="A141" s="1"/>
      <c r="B141" s="238" t="s">
        <v>78</v>
      </c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V141" s="1"/>
      <c r="Z141" s="4"/>
      <c r="AA141" s="19"/>
      <c r="AB141" s="4"/>
      <c r="AC141" s="214"/>
      <c r="AD141" s="19"/>
      <c r="AE141" s="4"/>
      <c r="AF141" s="4"/>
      <c r="AG141" s="4"/>
      <c r="AH141" s="4"/>
      <c r="AI141" s="4"/>
      <c r="AJ141" s="4"/>
      <c r="AK141" s="4"/>
      <c r="AM141" s="1"/>
    </row>
    <row r="142" ht="12.75" customHeight="1">
      <c r="A142" s="214">
        <v>1.0</v>
      </c>
      <c r="B142" s="1" t="str">
        <f t="array" ref="B142">INDEX(array1,34,arrayindex)</f>
        <v>Kiln exhaust gases after PH</v>
      </c>
      <c r="C142" s="84" t="str">
        <f>J142*E142/1000000</f>
        <v>0.000 </v>
      </c>
      <c r="D142" s="35" t="str">
        <f>E142*R142/1000000</f>
        <v>0.00 </v>
      </c>
      <c r="E142" s="1" t="str">
        <f>kgmax</f>
        <v>0.01 </v>
      </c>
      <c r="F142" s="241" t="str">
        <f>(1-$G142/100)*kilng_co2</f>
        <v>30.4 </v>
      </c>
      <c r="G142" s="241" t="str">
        <f>J142*(22.41/18)/10</f>
        <v>6.2 </v>
      </c>
      <c r="H142" s="241" t="str">
        <f>(1-$G142/100)*kilng_n2</f>
        <v>60.1 </v>
      </c>
      <c r="I142" s="241" t="str">
        <f>(1-$G142/100)*kilng_o2</f>
        <v>3.3 </v>
      </c>
      <c r="J142" s="241" t="str">
        <f>kgaqua</f>
        <v>50.0 </v>
      </c>
      <c r="K142" s="241" t="str">
        <f>kgtemp</f>
        <v>360.0 </v>
      </c>
      <c r="L142" s="1" t="str">
        <f>CTexittemp</f>
        <v>#REF!</v>
      </c>
      <c r="M142" s="241" t="str">
        <f t="shared" ref="M142:M145" si="41">1000*(F142*(h_co2(K142)-h_co2(20))+G142*(h_h2ogas(K142)-h_h2ogas(20))+H142*(h_n2(K142)-h_n2(20))+I142*(h_o2(K142)-h_o2(20)))/100/22.41+cpRM(K142)*(K142-20)*R142/1000</f>
        <v>#NAME?</v>
      </c>
      <c r="N142" s="1" t="str">
        <f>1000*(F142*(h_co2(L142)-h_co2(20))+G142*(h_h2ogas(L142)-h_h2ogas(20))+H142*(h_n2(L142)-h_n2(20))+I142*(h_o2(L142)-h_o2(20)))/100/22.41+cpRM(L142)*(L142-20)*R142/1000</f>
        <v>#NAME?</v>
      </c>
      <c r="O142" s="241" t="str">
        <f t="shared" ref="O142:O146" si="42">M142*E142/1000</f>
        <v>#NAME?</v>
      </c>
      <c r="P142" s="1" t="str">
        <f>N142*E142/1000</f>
        <v>#NAME?</v>
      </c>
      <c r="Q142" s="1" t="str">
        <f>kgmax</f>
        <v>0.01 </v>
      </c>
      <c r="R142" s="243" t="str">
        <f>kgdust</f>
        <v>50 </v>
      </c>
      <c r="V142" s="1"/>
      <c r="Z142" s="4"/>
      <c r="AA142" s="19"/>
      <c r="AB142" s="4"/>
      <c r="AC142" s="214"/>
      <c r="AD142" s="19"/>
      <c r="AE142" s="4"/>
      <c r="AF142" s="4"/>
      <c r="AG142" s="4"/>
      <c r="AH142" s="4"/>
      <c r="AI142" s="4"/>
      <c r="AJ142" s="4"/>
      <c r="AK142" s="4"/>
      <c r="AM142" s="1"/>
    </row>
    <row r="143" ht="12.75" customHeight="1">
      <c r="A143" s="214" t="str">
        <f>MAX(A$142:A142)+1</f>
        <v>2 </v>
      </c>
      <c r="B143" s="245" t="str">
        <f t="array" ref="B143">CONCATENATE(INDEX(array1,77,arrayindex)," - ",INDEX(array1,75,arrayindex))</f>
        <v>Kiln fan - Outlet</v>
      </c>
      <c r="C143" s="84" t="str">
        <f t="shared" ref="C143:J143" si="40">C142</f>
        <v>0.000 </v>
      </c>
      <c r="D143" s="35" t="str">
        <f t="shared" si="40"/>
        <v>0.00 </v>
      </c>
      <c r="E143" s="1" t="str">
        <f t="shared" si="40"/>
        <v>0.01 </v>
      </c>
      <c r="F143" s="241" t="str">
        <f t="shared" si="40"/>
        <v>30.4 </v>
      </c>
      <c r="G143" s="241" t="str">
        <f t="shared" si="40"/>
        <v>6.2 </v>
      </c>
      <c r="H143" s="241" t="str">
        <f t="shared" si="40"/>
        <v>60.1 </v>
      </c>
      <c r="I143" s="241" t="str">
        <f t="shared" si="40"/>
        <v>3.3 </v>
      </c>
      <c r="J143" s="241" t="str">
        <f t="shared" si="40"/>
        <v>50.0 </v>
      </c>
      <c r="K143" s="247" t="str">
        <f>gasmix_2(C142:R142,C142:R142,111,kilnfanpower_s,2,_dustratio)</f>
        <v>#NAME?</v>
      </c>
      <c r="L143" s="1"/>
      <c r="M143" s="241" t="str">
        <f t="shared" si="41"/>
        <v>#NAME?</v>
      </c>
      <c r="N143" s="1"/>
      <c r="O143" s="241" t="str">
        <f t="shared" si="42"/>
        <v>#NAME?</v>
      </c>
      <c r="Q143" s="1" t="str">
        <f t="shared" ref="Q143:R143" si="43">Q142</f>
        <v>0.01 </v>
      </c>
      <c r="R143" s="243" t="str">
        <f t="shared" si="43"/>
        <v>50 </v>
      </c>
      <c r="V143" s="1"/>
      <c r="Z143" s="4"/>
      <c r="AA143" s="19"/>
      <c r="AB143" s="4"/>
      <c r="AC143" s="214"/>
      <c r="AD143" s="19"/>
      <c r="AE143" s="4"/>
      <c r="AF143" s="4"/>
      <c r="AG143" s="4"/>
      <c r="AH143" s="4"/>
      <c r="AI143" s="4"/>
      <c r="AJ143" s="4"/>
      <c r="AK143" s="4"/>
      <c r="AM143" s="1"/>
    </row>
    <row r="144" ht="12.75" customHeight="1">
      <c r="A144" s="214" t="str">
        <f>IF(OR(_coalm_pos=1,_coalm_pos=3),MAX(A$142:A143)+1,0)</f>
        <v>0 </v>
      </c>
      <c r="B144" s="1" t="str">
        <f t="array" ref="B144">INDEX(array1,73,arrayindex)</f>
        <v>Coalmill</v>
      </c>
      <c r="C144" s="84" t="str">
        <f t="shared" ref="C144:C147" si="45">J144*E144/1000000</f>
        <v>0.000 </v>
      </c>
      <c r="D144" s="35" t="str">
        <f t="shared" ref="D144:D146" si="46">E144*R144/1000000</f>
        <v>0.00 </v>
      </c>
      <c r="E144" s="1" t="str">
        <f>IF(OR(_coalm_pos=1,_coalm_pos=3),_coalm_gasamount,0)</f>
        <v>0 </v>
      </c>
      <c r="F144" s="241" t="str">
        <f t="shared" ref="F144:K144" si="44">F143</f>
        <v>30.4 </v>
      </c>
      <c r="G144" s="241" t="str">
        <f t="shared" si="44"/>
        <v>6.2 </v>
      </c>
      <c r="H144" s="241" t="str">
        <f t="shared" si="44"/>
        <v>60.1 </v>
      </c>
      <c r="I144" s="241" t="str">
        <f t="shared" si="44"/>
        <v>3.3 </v>
      </c>
      <c r="J144" s="241" t="str">
        <f t="shared" si="44"/>
        <v>50.0 </v>
      </c>
      <c r="K144" s="241" t="str">
        <f t="shared" si="44"/>
        <v>#NAME?</v>
      </c>
      <c r="L144" s="1"/>
      <c r="M144" s="241" t="str">
        <f t="shared" si="41"/>
        <v>#NAME?</v>
      </c>
      <c r="N144" s="1"/>
      <c r="O144" s="241" t="str">
        <f t="shared" si="42"/>
        <v>#NAME?</v>
      </c>
      <c r="Q144" s="1" t="str">
        <f>E144</f>
        <v>0 </v>
      </c>
      <c r="R144" s="243" t="str">
        <f>R143</f>
        <v>50 </v>
      </c>
      <c r="V144" s="1"/>
      <c r="Z144" s="4"/>
      <c r="AA144" s="19"/>
      <c r="AB144" s="4"/>
      <c r="AC144" s="214"/>
      <c r="AD144" s="19"/>
      <c r="AE144" s="4"/>
      <c r="AF144" s="4"/>
      <c r="AG144" s="4"/>
      <c r="AH144" s="4"/>
      <c r="AI144" s="4"/>
      <c r="AJ144" s="4"/>
      <c r="AK144" s="4"/>
      <c r="AM144" s="1"/>
    </row>
    <row r="145" ht="12.75" customHeight="1">
      <c r="A145" s="214" t="str">
        <f>IF(A144&gt;0,MAX(A$142:A144)+1,0)</f>
        <v>0 </v>
      </c>
      <c r="B145" s="182" t="str">
        <f t="array" ref="B145">IF(E145&gt;=0,INDEX(array1,79,arrayindex),"invalid : flow is less than Zero")</f>
        <v>residual</v>
      </c>
      <c r="C145" s="84" t="str">
        <f t="shared" si="45"/>
        <v>0.000 </v>
      </c>
      <c r="D145" s="35" t="str">
        <f t="shared" si="46"/>
        <v>0.00 </v>
      </c>
      <c r="E145" s="1" t="str">
        <f>E143-E144</f>
        <v>0.01 </v>
      </c>
      <c r="F145" s="241" t="str">
        <f>(1-$G145/100)*kilng_co2</f>
        <v>30.4 </v>
      </c>
      <c r="G145" s="241" t="str">
        <f t="shared" ref="G145:G146" si="47">J145*(22.41/18)/10</f>
        <v>6.2 </v>
      </c>
      <c r="H145" s="241" t="str">
        <f>(1-$G145/100)*kilng_n2</f>
        <v>60.1 </v>
      </c>
      <c r="I145" s="241" t="str">
        <f>(1-$G145/100)*kilng_o2</f>
        <v>3.3 </v>
      </c>
      <c r="J145" s="241" t="str">
        <f>kgaqua</f>
        <v>50.0 </v>
      </c>
      <c r="K145" s="241" t="str">
        <f>K144</f>
        <v>#NAME?</v>
      </c>
      <c r="L145" s="1"/>
      <c r="M145" s="241" t="str">
        <f t="shared" si="41"/>
        <v>#NAME?</v>
      </c>
      <c r="N145" s="1"/>
      <c r="O145" s="241" t="str">
        <f t="shared" si="42"/>
        <v>#NAME?</v>
      </c>
      <c r="P145" s="1" t="str">
        <f t="shared" ref="P145:P146" si="48">N145*E145/1000</f>
        <v>0 </v>
      </c>
      <c r="Q145" s="1" t="str">
        <f>Q143-Q144</f>
        <v>0.01 </v>
      </c>
      <c r="R145" s="243" t="str">
        <f>kgdust</f>
        <v>50 </v>
      </c>
      <c r="V145" s="1"/>
      <c r="Z145" s="4"/>
      <c r="AA145" s="19"/>
      <c r="AB145" s="4"/>
      <c r="AC145" s="214"/>
      <c r="AD145" s="19"/>
      <c r="AE145" s="4"/>
      <c r="AF145" s="4"/>
      <c r="AG145" s="4"/>
      <c r="AH145" s="4"/>
      <c r="AI145" s="4"/>
      <c r="AJ145" s="4"/>
      <c r="AK145" s="4"/>
      <c r="AM145" s="1"/>
    </row>
    <row r="146" ht="12.75" customHeight="1">
      <c r="A146" s="214" t="str">
        <f t="shared" ref="A146:A150" si="49">MAX(A$142:A145)+1</f>
        <v>3 </v>
      </c>
      <c r="B146" s="1" t="str">
        <f t="array" ref="B146">INDEX(array1,26,arrayindex)</f>
        <v>Cooler exhaust gases</v>
      </c>
      <c r="C146" s="84" t="str">
        <f t="shared" si="45"/>
        <v>#NAME?</v>
      </c>
      <c r="D146" s="35" t="str">
        <f t="shared" si="46"/>
        <v>0.00 </v>
      </c>
      <c r="E146" s="182" t="str">
        <f>coolergasmax</f>
        <v>0 </v>
      </c>
      <c r="F146" s="241">
        <v>0.0</v>
      </c>
      <c r="G146" s="241" t="str">
        <f t="shared" si="47"/>
        <v>#NAME?</v>
      </c>
      <c r="H146" s="241" t="str">
        <f>79*(100-G146)/100</f>
        <v>#NAME?</v>
      </c>
      <c r="I146" s="241" t="str">
        <f>(100-G146)*21/100</f>
        <v>#NAME?</v>
      </c>
      <c r="J146" s="35" t="str">
        <f>coolergasaqua</f>
        <v>#NAME?</v>
      </c>
      <c r="K146" s="241" t="str">
        <f>coolergastemp</f>
        <v>330.0 </v>
      </c>
      <c r="L146" s="1" t="str">
        <f>CTexittemp</f>
        <v>#REF!</v>
      </c>
      <c r="M146" s="241" t="str">
        <f>1000*(F146*(h_co2(K146)-h_co2(20))+G146*(h_h2ogas(K146)-h_h2ogas(20))+H146*(h_n2(K146)-h_n2(20))+I146*(h_o2(K146)-h_o2(20)))/100/22.41+cpCli(K146)*(K146-20)*R146/1000</f>
        <v>#NAME?</v>
      </c>
      <c r="N146" s="1" t="str">
        <f>1000*(F146*(h_co2(L146)-h_co2(20))+G146*(h_h2ogas(L146)-h_h2ogas(20))+H146*(h_n2(L146)-h_n2(20))+I146*(h_o2(L146)-h_o2(20)))/100/22.41+cpCli(L146)*(L146-20)*R146/1000</f>
        <v>#NAME?</v>
      </c>
      <c r="O146" s="241" t="str">
        <f t="shared" si="42"/>
        <v>#NAME?</v>
      </c>
      <c r="P146" s="1" t="str">
        <f t="shared" si="48"/>
        <v>#NAME?</v>
      </c>
      <c r="Q146" s="1" t="str">
        <f>coolergasmax</f>
        <v>0 </v>
      </c>
      <c r="R146" s="243" t="str">
        <f>coolergasdust</f>
        <v>30 </v>
      </c>
      <c r="V146" s="1"/>
      <c r="Z146" s="4"/>
      <c r="AA146" s="19"/>
      <c r="AB146" s="4"/>
      <c r="AC146" s="214"/>
      <c r="AD146" s="19"/>
      <c r="AE146" s="4"/>
      <c r="AF146" s="4"/>
      <c r="AG146" s="4"/>
      <c r="AH146" s="4"/>
      <c r="AI146" s="4"/>
      <c r="AJ146" s="4"/>
      <c r="AK146" s="4"/>
      <c r="AM146" s="1"/>
    </row>
    <row r="147" ht="12.75" customHeight="1">
      <c r="A147" s="214" t="str">
        <f t="shared" si="49"/>
        <v>4 </v>
      </c>
      <c r="B147" s="245" t="str">
        <f t="array" ref="B147">CONCATENATE(INDEX(array1,61,arrayindex)," - ",INDEX(array1,74,arrayindex))</f>
        <v>Cooling tower - Inlet</v>
      </c>
      <c r="C147" s="84" t="str">
        <f t="shared" si="45"/>
        <v>#NAME?</v>
      </c>
      <c r="D147" s="35" t="str">
        <f t="shared" ref="D147:E147" si="50">SUM(D145:D146)</f>
        <v>0.00 </v>
      </c>
      <c r="E147" s="1" t="str">
        <f t="shared" si="50"/>
        <v>0.01 </v>
      </c>
      <c r="F147" s="35" t="str">
        <f t="shared" ref="F147:J147" si="51">IF($E147&gt;0,($E145*F145+$E146*F146)/$E147,F146)</f>
        <v>30.40 </v>
      </c>
      <c r="G147" s="35" t="str">
        <f t="shared" si="51"/>
        <v>#NAME?</v>
      </c>
      <c r="H147" s="35" t="str">
        <f t="shared" si="51"/>
        <v>#NAME?</v>
      </c>
      <c r="I147" s="35" t="str">
        <f t="shared" si="51"/>
        <v>#NAME?</v>
      </c>
      <c r="J147" s="35" t="str">
        <f t="shared" si="51"/>
        <v>#NAME?</v>
      </c>
      <c r="K147" s="241" t="str">
        <f>gasmix_2(C145:R145,C146:R146,12,0*kilnfanpower_s,2,_dustratio)</f>
        <v>#NAME?</v>
      </c>
      <c r="L147" s="1" t="str">
        <f>CTexittemp</f>
        <v>#REF!</v>
      </c>
      <c r="M147" s="241" t="str">
        <f>IF(E147&lt;&gt;0,1000*O147/E147,0)</f>
        <v>#NAME?</v>
      </c>
      <c r="N147" s="1"/>
      <c r="O147" s="241" t="str">
        <f>SUM(O145:O146)</f>
        <v>#NAME?</v>
      </c>
      <c r="Q147" s="1" t="str">
        <f>SUM(Q145:Q146)</f>
        <v>0.01 </v>
      </c>
      <c r="R147" s="243" t="str">
        <f>IF(E147&lt;&gt;0,1000000*D147/E147,0)</f>
        <v>50 </v>
      </c>
      <c r="V147" s="1"/>
      <c r="Z147" s="4"/>
      <c r="AA147" s="19"/>
      <c r="AB147" s="4"/>
      <c r="AC147" s="214"/>
      <c r="AD147" s="19"/>
      <c r="AE147" s="4"/>
      <c r="AF147" s="4"/>
      <c r="AG147" s="4"/>
      <c r="AH147" s="4"/>
      <c r="AI147" s="4"/>
      <c r="AJ147" s="4"/>
      <c r="AK147" s="4"/>
      <c r="AM147" s="1"/>
    </row>
    <row r="148" ht="12.75" customHeight="1">
      <c r="A148" s="214" t="str">
        <f t="shared" si="49"/>
        <v>5 </v>
      </c>
      <c r="B148" s="245" t="str">
        <f t="array" ref="B148">CONCATENATE(INDEX(array1,21,arrayindex)," ",INDEX(array1,61,arrayindex))</f>
        <v>Water injection Cooling tower</v>
      </c>
      <c r="C148" s="84" t="str">
        <f>E148/1245</f>
        <v>0.001 </v>
      </c>
      <c r="D148" s="35"/>
      <c r="E148" s="1" t="str">
        <f>IF(ISNUMBER(ct_2(C147:R147,C149:R149,K148,E148,L148,1)),ct_2(C147:R147,C149:R149,K148,E148,L148,1),1)</f>
        <v>1 </v>
      </c>
      <c r="F148" s="241"/>
      <c r="G148" s="241">
        <v>100.0</v>
      </c>
      <c r="H148" s="241"/>
      <c r="I148" s="241"/>
      <c r="J148" s="241" t="str">
        <f>18000/22.41</f>
        <v>803.2 </v>
      </c>
      <c r="K148" s="241" t="str">
        <f>watertemp</f>
        <v>22.0 </v>
      </c>
      <c r="L148" s="1" t="str">
        <f>L147</f>
        <v>#REF!</v>
      </c>
      <c r="M148" s="241"/>
      <c r="N148" s="1"/>
      <c r="O148" s="241" t="str">
        <f>(EnthalpySatLiqTW(K148+273.16)-EnthalpySatLiqTW(293.16))*C148</f>
        <v>#NAME?</v>
      </c>
      <c r="P148" s="1" t="str">
        <f>(EnthalpySatVapTW(L148+273.16)-EnthalpySatLiqTW(293.16))*C148</f>
        <v>#NAME?</v>
      </c>
      <c r="Q148" s="1" t="str">
        <f t="shared" ref="Q148:Q149" si="52">E148</f>
        <v>1 </v>
      </c>
      <c r="R148" s="243"/>
      <c r="V148" s="1"/>
      <c r="Z148" s="4"/>
      <c r="AA148" s="19"/>
      <c r="AB148" s="4"/>
      <c r="AC148" s="214"/>
      <c r="AD148" s="19"/>
      <c r="AE148" s="4"/>
      <c r="AF148" s="4"/>
      <c r="AG148" s="4"/>
      <c r="AH148" s="4"/>
      <c r="AI148" s="4"/>
      <c r="AJ148" s="4"/>
      <c r="AK148" s="4"/>
      <c r="AM148" s="1"/>
    </row>
    <row r="149" ht="12.75" customHeight="1">
      <c r="A149" s="214" t="str">
        <f t="shared" si="49"/>
        <v>6 </v>
      </c>
      <c r="B149" s="245" t="str">
        <f t="array" ref="B149">CONCATENATE(INDEX(array1,22,arrayindex)," ",INDEX(array1,61,arrayindex))</f>
        <v>False air rate Cooling tower</v>
      </c>
      <c r="C149" s="84" t="str">
        <f>J149*E149/1000000</f>
        <v>#NAME?</v>
      </c>
      <c r="D149" s="35" t="str">
        <f>E149*R149/1000000</f>
        <v>0.00 </v>
      </c>
      <c r="E149" s="1" t="str">
        <f>E147*fakct/100</f>
        <v>0 </v>
      </c>
      <c r="F149" s="241">
        <v>0.0</v>
      </c>
      <c r="G149" s="241" t="str">
        <f>J149*(22.41/18)/10</f>
        <v>#NAME?</v>
      </c>
      <c r="H149" s="241" t="str">
        <f>79*(100-G149)/100</f>
        <v>#NAME?</v>
      </c>
      <c r="I149" s="241" t="str">
        <f>(100-G149)*21/100</f>
        <v>#NAME?</v>
      </c>
      <c r="J149" s="241" t="str">
        <f>freshairaqua</f>
        <v>#NAME?</v>
      </c>
      <c r="K149" s="241" t="str">
        <f>freshairtemp</f>
        <v>20.0 </v>
      </c>
      <c r="L149" s="1" t="str">
        <f>L147</f>
        <v>#REF!</v>
      </c>
      <c r="M149" s="241" t="str">
        <f>1000*(F149*h_co2(K149)+G149*h_h2ogas(K149)+H149*h_n2(K149)+I149*h_o2(K149))/100/22.41</f>
        <v>#NAME?</v>
      </c>
      <c r="N149" s="1" t="str">
        <f>1000*(F149*h_co2(L149)+G149*h_h2ogas(L149)+H149*h_n2(L149)+I149*h_o2(L149))/100/22.41</f>
        <v>#NAME?</v>
      </c>
      <c r="O149" s="241" t="str">
        <f t="shared" ref="O149:O151" si="55">M149*E149/1000</f>
        <v>#NAME?</v>
      </c>
      <c r="P149" s="1" t="str">
        <f>N149*E149/1000</f>
        <v>#NAME?</v>
      </c>
      <c r="Q149" s="1" t="str">
        <f t="shared" si="52"/>
        <v>0 </v>
      </c>
      <c r="R149" s="243"/>
      <c r="V149" s="1"/>
      <c r="Z149" s="4"/>
      <c r="AA149" s="19"/>
      <c r="AB149" s="4"/>
      <c r="AC149" s="214"/>
      <c r="AD149" s="19"/>
      <c r="AE149" s="4"/>
      <c r="AF149" s="4"/>
      <c r="AG149" s="4"/>
      <c r="AH149" s="4"/>
      <c r="AI149" s="4"/>
      <c r="AJ149" s="4"/>
      <c r="AK149" s="4"/>
      <c r="AM149" s="1"/>
    </row>
    <row r="150" ht="12.75" customHeight="1">
      <c r="A150" s="214" t="str">
        <f t="shared" si="49"/>
        <v>7 </v>
      </c>
      <c r="B150" s="245" t="str">
        <f t="array" ref="B150">INDEX(array1,78,arrayindex)</f>
        <v>Gases after CT</v>
      </c>
      <c r="C150" s="84" t="str">
        <f t="shared" ref="C150:E150" si="53">SUM(C147:C149)</f>
        <v>#NAME?</v>
      </c>
      <c r="D150" s="35" t="str">
        <f t="shared" si="53"/>
        <v>0.00 </v>
      </c>
      <c r="E150" s="1" t="str">
        <f t="shared" si="53"/>
        <v>1.01 </v>
      </c>
      <c r="F150" s="241" t="str">
        <f t="shared" ref="F150:J150" si="54">IF($E150&gt;0,($E147*F147+$E148*F148+$E149*F149)/$E150,F147)</f>
        <v>0.3 </v>
      </c>
      <c r="G150" s="241" t="str">
        <f t="shared" si="54"/>
        <v>#NAME?</v>
      </c>
      <c r="H150" s="241" t="str">
        <f t="shared" si="54"/>
        <v>#NAME?</v>
      </c>
      <c r="I150" s="241" t="str">
        <f t="shared" si="54"/>
        <v>#NAME?</v>
      </c>
      <c r="J150" s="241" t="str">
        <f t="shared" si="54"/>
        <v>#NAME?</v>
      </c>
      <c r="K150" s="241" t="str">
        <f>CTexittemp</f>
        <v>#REF!</v>
      </c>
      <c r="L150" s="241" t="str">
        <f>IF(ISNUMBER(ct_2(C147:R147,C149:R149,K148,0,L148,2)),ct_2(C147:R147,C149:R149,K148,0,L148,2),K150)</f>
        <v>#REF!</v>
      </c>
      <c r="M150" s="241" t="str">
        <f t="shared" ref="M150:M152" si="57">1000*(F150*(h_co2(K150)-h_co2(20))+G150*(h_h2ogas(K150)-h_h2ogas(20))+H150*(h_n2(K150)-h_n2(20))+I150*(h_o2(K150)-h_o2(20)))/100/22.41+cpRM(K150)*(K150-20)*R150/1000</f>
        <v>#NAME?</v>
      </c>
      <c r="N150" s="1"/>
      <c r="O150" s="241" t="str">
        <f t="shared" si="55"/>
        <v>#NAME?</v>
      </c>
      <c r="Q150" s="1" t="str">
        <f>SUM(Q147:Q149)</f>
        <v>1.01 </v>
      </c>
      <c r="R150" s="243" t="str">
        <f>IF($E150&gt;0,($E147*R147+$E148*R148+$E149*R149)/$E150,R147)</f>
        <v>0.495049505 </v>
      </c>
      <c r="V150" s="1"/>
      <c r="Z150" s="4"/>
      <c r="AA150" s="19"/>
      <c r="AB150" s="4"/>
      <c r="AC150" s="214"/>
      <c r="AD150" s="19"/>
      <c r="AE150" s="4"/>
      <c r="AF150" s="4"/>
      <c r="AG150" s="4"/>
      <c r="AH150" s="4"/>
      <c r="AI150" s="4"/>
      <c r="AJ150" s="4"/>
      <c r="AK150" s="4"/>
      <c r="AM150" s="1"/>
    </row>
    <row r="151" ht="12.75" customHeight="1">
      <c r="A151" s="214" t="str">
        <f>IF(OR(_coalm_pos=0,_coalm_pos=2),MAX(A$142:A150)+1,0)</f>
        <v>8 </v>
      </c>
      <c r="B151" s="1" t="str">
        <f t="array" ref="B151">INDEX(array1,73,arrayindex)</f>
        <v>Coalmill</v>
      </c>
      <c r="C151" s="84" t="str">
        <f t="shared" ref="C151:C152" si="58">J151*E151/1000000</f>
        <v>#NAME?</v>
      </c>
      <c r="D151" s="35" t="str">
        <f t="shared" ref="D151:D152" si="59">E151*R151/1000000</f>
        <v>0.00 </v>
      </c>
      <c r="E151" s="1" t="str">
        <f>IF(OR(_coalm_pos=0,_coalm_pos=2),_coalm_gasamount,0)</f>
        <v>0 </v>
      </c>
      <c r="F151" s="241" t="str">
        <f t="shared" ref="F151:K151" si="56">F150</f>
        <v>0.3 </v>
      </c>
      <c r="G151" s="241" t="str">
        <f t="shared" si="56"/>
        <v>#NAME?</v>
      </c>
      <c r="H151" s="241" t="str">
        <f t="shared" si="56"/>
        <v>#NAME?</v>
      </c>
      <c r="I151" s="241" t="str">
        <f t="shared" si="56"/>
        <v>#NAME?</v>
      </c>
      <c r="J151" s="241" t="str">
        <f t="shared" si="56"/>
        <v>#NAME?</v>
      </c>
      <c r="K151" s="241" t="str">
        <f t="shared" si="56"/>
        <v>#REF!</v>
      </c>
      <c r="L151" s="1"/>
      <c r="M151" s="241" t="str">
        <f t="shared" si="57"/>
        <v>#NAME?</v>
      </c>
      <c r="N151" s="1"/>
      <c r="O151" s="241" t="str">
        <f t="shared" si="55"/>
        <v>#NAME?</v>
      </c>
      <c r="Q151" s="1" t="str">
        <f>E151</f>
        <v>0 </v>
      </c>
      <c r="R151" s="243" t="str">
        <f t="shared" ref="R151:R152" si="61">R150</f>
        <v>0.495049505 </v>
      </c>
      <c r="V151" s="1"/>
      <c r="Z151" s="4"/>
      <c r="AA151" s="19"/>
      <c r="AB151" s="4"/>
      <c r="AC151" s="214"/>
      <c r="AD151" s="19"/>
      <c r="AE151" s="4"/>
      <c r="AF151" s="4"/>
      <c r="AG151" s="4"/>
      <c r="AH151" s="4"/>
      <c r="AI151" s="4"/>
      <c r="AJ151" s="4"/>
      <c r="AK151" s="4"/>
      <c r="AM151" s="1"/>
    </row>
    <row r="152" ht="12.75" customHeight="1">
      <c r="A152" s="214" t="str">
        <f t="shared" ref="A152:A154" si="62">MAX(A$142:A151)+1</f>
        <v>9 </v>
      </c>
      <c r="B152" s="245" t="str">
        <f t="array" ref="B152">CONCATENATE(INDEX(array1,20,arrayindex)," - ",INDEX(array1,23,arrayindex))</f>
        <v>Mill - Available gases</v>
      </c>
      <c r="C152" s="84" t="str">
        <f t="shared" si="58"/>
        <v>#NAME?</v>
      </c>
      <c r="D152" s="35" t="str">
        <f t="shared" si="59"/>
        <v>0.00 </v>
      </c>
      <c r="E152" s="1" t="str">
        <f>E150-E151</f>
        <v>1.01 </v>
      </c>
      <c r="F152" s="241" t="str">
        <f t="shared" ref="F152:K152" si="60">F151</f>
        <v>0.3 </v>
      </c>
      <c r="G152" s="241" t="str">
        <f t="shared" si="60"/>
        <v>#NAME?</v>
      </c>
      <c r="H152" s="241" t="str">
        <f t="shared" si="60"/>
        <v>#NAME?</v>
      </c>
      <c r="I152" s="241" t="str">
        <f t="shared" si="60"/>
        <v>#NAME?</v>
      </c>
      <c r="J152" s="241" t="str">
        <f t="shared" si="60"/>
        <v>#NAME?</v>
      </c>
      <c r="K152" s="241" t="str">
        <f t="shared" si="60"/>
        <v>#REF!</v>
      </c>
      <c r="L152" s="1"/>
      <c r="M152" s="241" t="str">
        <f t="shared" si="57"/>
        <v>#NAME?</v>
      </c>
      <c r="N152" s="1"/>
      <c r="O152" s="241" t="str">
        <f>O150-O151</f>
        <v>#NAME?</v>
      </c>
      <c r="Q152" s="1" t="str">
        <f>Q150-Q151</f>
        <v>1.01 </v>
      </c>
      <c r="R152" s="243" t="str">
        <f t="shared" si="61"/>
        <v>0.495049505 </v>
      </c>
      <c r="V152" s="1"/>
      <c r="Z152" s="4"/>
      <c r="AA152" s="19"/>
      <c r="AB152" s="4"/>
      <c r="AC152" s="214"/>
      <c r="AD152" s="19"/>
      <c r="AE152" s="4"/>
      <c r="AF152" s="4"/>
      <c r="AG152" s="4"/>
      <c r="AH152" s="4"/>
      <c r="AI152" s="4"/>
      <c r="AJ152" s="4"/>
      <c r="AK152" s="4"/>
      <c r="AM152" s="1"/>
    </row>
    <row r="153" ht="12.75" customHeight="1">
      <c r="A153" s="214" t="str">
        <f t="shared" si="62"/>
        <v>10 </v>
      </c>
      <c r="B153" s="245" t="str">
        <f t="array" ref="B153">IF(it_v1=TRUE,INDEX(array1,121,arrayindex),"Excess gas")</f>
        <v>Excess gas</v>
      </c>
      <c r="C153" s="84" t="str">
        <f t="shared" ref="C153:D153" si="63">C$263</f>
        <v>#NAME?</v>
      </c>
      <c r="D153" s="35" t="str">
        <f t="shared" si="63"/>
        <v>#NAME?</v>
      </c>
      <c r="E153" s="1" t="str">
        <f t="array" ref="E153">INDEX($E$257:$E$259,_millgas_pos+1)</f>
        <v>#NAME?</v>
      </c>
      <c r="F153" s="241" t="str">
        <f t="shared" ref="F153:R153" si="64">F$263</f>
        <v>0.3 </v>
      </c>
      <c r="G153" s="241" t="str">
        <f t="shared" si="64"/>
        <v>#NAME?</v>
      </c>
      <c r="H153" s="241" t="str">
        <f t="shared" si="64"/>
        <v>#NAME?</v>
      </c>
      <c r="I153" s="241" t="str">
        <f t="shared" si="64"/>
        <v>#NAME?</v>
      </c>
      <c r="J153" s="241" t="str">
        <f t="shared" si="64"/>
        <v>#NAME?</v>
      </c>
      <c r="K153" s="241" t="str">
        <f t="shared" si="64"/>
        <v>#NAME?</v>
      </c>
      <c r="L153" s="1" t="str">
        <f t="shared" si="64"/>
        <v/>
      </c>
      <c r="M153" s="241" t="str">
        <f t="shared" si="64"/>
        <v>#NAME?</v>
      </c>
      <c r="N153" s="1" t="str">
        <f t="shared" si="64"/>
        <v/>
      </c>
      <c r="O153" s="241" t="str">
        <f t="shared" si="64"/>
        <v/>
      </c>
      <c r="P153" s="1" t="str">
        <f t="shared" si="64"/>
        <v/>
      </c>
      <c r="Q153" s="1" t="str">
        <f t="shared" si="64"/>
        <v/>
      </c>
      <c r="R153" s="4" t="str">
        <f t="shared" si="64"/>
        <v>0.495049505 </v>
      </c>
      <c r="V153" s="1"/>
      <c r="Z153" s="4"/>
      <c r="AA153" s="19"/>
      <c r="AB153" s="4"/>
      <c r="AC153" s="214"/>
      <c r="AD153" s="19"/>
      <c r="AE153" s="4"/>
      <c r="AF153" s="4"/>
      <c r="AG153" s="4"/>
      <c r="AH153" s="4"/>
      <c r="AI153" s="4"/>
      <c r="AJ153" s="4"/>
      <c r="AK153" s="4"/>
      <c r="AM153" s="1"/>
    </row>
    <row r="154" ht="12.75" customHeight="1">
      <c r="A154" s="214" t="str">
        <f t="shared" si="62"/>
        <v>11 </v>
      </c>
      <c r="B154" s="1" t="str">
        <f t="array" ref="B154">INDEX(array1,120,arrayindex)</f>
        <v>Gas to mill</v>
      </c>
      <c r="C154" s="84" t="str">
        <f t="shared" ref="C154:R154" si="65">C$235</f>
        <v>#NAME?</v>
      </c>
      <c r="D154" s="35" t="str">
        <f t="shared" si="65"/>
        <v>#NAME?</v>
      </c>
      <c r="E154" s="1" t="str">
        <f t="shared" si="65"/>
        <v>#NAME?</v>
      </c>
      <c r="F154" s="241" t="str">
        <f t="shared" si="65"/>
        <v>0.3 </v>
      </c>
      <c r="G154" s="241" t="str">
        <f t="shared" si="65"/>
        <v>#NAME?</v>
      </c>
      <c r="H154" s="241" t="str">
        <f t="shared" si="65"/>
        <v>#NAME?</v>
      </c>
      <c r="I154" s="241" t="str">
        <f t="shared" si="65"/>
        <v>#NAME?</v>
      </c>
      <c r="J154" s="241" t="str">
        <f t="shared" si="65"/>
        <v>#NAME?</v>
      </c>
      <c r="K154" s="241" t="str">
        <f t="shared" si="65"/>
        <v>#NAME?</v>
      </c>
      <c r="L154" s="1" t="str">
        <f t="shared" si="65"/>
        <v>85 </v>
      </c>
      <c r="M154" s="241" t="str">
        <f t="shared" si="65"/>
        <v>#NAME?</v>
      </c>
      <c r="N154" s="1" t="str">
        <f t="shared" si="65"/>
        <v>#NAME?</v>
      </c>
      <c r="O154" s="241" t="str">
        <f t="shared" si="65"/>
        <v>#NAME?</v>
      </c>
      <c r="P154" s="1" t="str">
        <f t="shared" si="65"/>
        <v>#NAME?</v>
      </c>
      <c r="Q154" s="1" t="str">
        <f t="shared" si="65"/>
        <v>1.01 </v>
      </c>
      <c r="R154" s="4" t="str">
        <f t="shared" si="65"/>
        <v>0.495049505 </v>
      </c>
      <c r="V154" s="1"/>
      <c r="Z154" s="4"/>
      <c r="AA154" s="19"/>
      <c r="AB154" s="4"/>
      <c r="AC154" s="214"/>
      <c r="AD154" s="19"/>
      <c r="AE154" s="4"/>
      <c r="AF154" s="4"/>
      <c r="AG154" s="4"/>
      <c r="AH154" s="4"/>
      <c r="AI154" s="4"/>
      <c r="AJ154" s="4"/>
      <c r="AK154" s="4"/>
      <c r="AM154" s="1"/>
    </row>
    <row r="155" ht="12.75" customHeight="1">
      <c r="A155" s="1"/>
      <c r="B155" s="1"/>
      <c r="C155" s="84"/>
      <c r="D155" s="35"/>
      <c r="E155" s="1"/>
      <c r="F155" s="241"/>
      <c r="G155" s="241"/>
      <c r="H155" s="241"/>
      <c r="I155" s="241"/>
      <c r="J155" s="241"/>
      <c r="K155" s="241"/>
      <c r="L155" s="1"/>
      <c r="M155" s="241"/>
      <c r="N155" s="1"/>
      <c r="O155" s="241"/>
      <c r="V155" s="1"/>
      <c r="Z155" s="4"/>
      <c r="AA155" s="19"/>
      <c r="AB155" s="4"/>
      <c r="AC155" s="214"/>
      <c r="AD155" s="19"/>
      <c r="AE155" s="4"/>
      <c r="AF155" s="4"/>
      <c r="AG155" s="4"/>
      <c r="AH155" s="4"/>
      <c r="AI155" s="4"/>
      <c r="AJ155" s="4"/>
      <c r="AK155" s="4"/>
      <c r="AM155" s="1"/>
    </row>
    <row r="156" ht="12.75" customHeight="1">
      <c r="A156" s="1"/>
      <c r="B156" s="1"/>
      <c r="C156" s="84"/>
      <c r="D156" s="35"/>
      <c r="E156" s="1"/>
      <c r="F156" s="241"/>
      <c r="G156" s="241"/>
      <c r="H156" s="241"/>
      <c r="I156" s="241"/>
      <c r="J156" s="241"/>
      <c r="K156" s="241"/>
      <c r="L156" s="1"/>
      <c r="M156" s="241"/>
      <c r="N156" s="1"/>
      <c r="O156" s="241"/>
      <c r="V156" s="1"/>
      <c r="Z156" s="4"/>
      <c r="AA156" s="19"/>
      <c r="AB156" s="4"/>
      <c r="AC156" s="214"/>
      <c r="AD156" s="19"/>
      <c r="AE156" s="4"/>
      <c r="AF156" s="4"/>
      <c r="AG156" s="4"/>
      <c r="AH156" s="4"/>
      <c r="AI156" s="4"/>
      <c r="AJ156" s="4"/>
      <c r="AK156" s="4"/>
      <c r="AM156" s="1"/>
    </row>
    <row r="157" ht="12.75" customHeight="1">
      <c r="A157" s="1"/>
      <c r="B157" s="238" t="s">
        <v>79</v>
      </c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V157" s="1"/>
      <c r="Z157" s="4"/>
      <c r="AA157" s="19"/>
      <c r="AB157" s="4"/>
      <c r="AC157" s="214"/>
      <c r="AD157" s="19"/>
      <c r="AE157" s="4"/>
      <c r="AF157" s="4"/>
      <c r="AG157" s="4"/>
      <c r="AH157" s="4"/>
      <c r="AI157" s="4"/>
      <c r="AJ157" s="4"/>
      <c r="AK157" s="4"/>
      <c r="AM157" s="1"/>
    </row>
    <row r="158" ht="12.75" customHeight="1">
      <c r="A158" s="214">
        <v>1.0</v>
      </c>
      <c r="B158" s="1" t="str">
        <f t="array" ref="B158">INDEX(array1,34,arrayindex)</f>
        <v>Kiln exhaust gases after PH</v>
      </c>
      <c r="C158" s="84" t="str">
        <f t="shared" ref="C158:C160" si="66">J158*E158/1000000</f>
        <v>0.000 </v>
      </c>
      <c r="D158" s="35" t="str">
        <f t="shared" ref="D158:D160" si="67">E158*R158/1000000</f>
        <v>0.00 </v>
      </c>
      <c r="E158" s="1" t="str">
        <f>kgmax</f>
        <v>0.01 </v>
      </c>
      <c r="F158" s="241" t="str">
        <f>(1-$G158/100)*kilng_co2</f>
        <v>30.4 </v>
      </c>
      <c r="G158" s="241" t="str">
        <f t="shared" ref="G158:G160" si="68">J158*(22.41/18)/10</f>
        <v>6.2 </v>
      </c>
      <c r="H158" s="241" t="str">
        <f>(1-$G158/100)*kilng_n2</f>
        <v>60.1 </v>
      </c>
      <c r="I158" s="241" t="str">
        <f>(1-$G158/100)*kilng_o2</f>
        <v>3.3 </v>
      </c>
      <c r="J158" s="241" t="str">
        <f>kgaqua</f>
        <v>50.0 </v>
      </c>
      <c r="K158" s="241" t="str">
        <f>kgtemp</f>
        <v>360.0 </v>
      </c>
      <c r="L158" s="1" t="str">
        <f>CTexittemp</f>
        <v>#REF!</v>
      </c>
      <c r="M158" s="241" t="str">
        <f t="shared" ref="M158:M160" si="69">1000*(F158*(h_co2(K158)-h_co2(20))+G158*(h_h2ogas(K158)-h_h2ogas(20))+H158*(h_n2(K158)-h_n2(20))+I158*(h_o2(K158)-h_o2(20)))/100/22.41+cpRM(K158)*(K158-20)*R158/1000</f>
        <v>#NAME?</v>
      </c>
      <c r="N158" s="1" t="str">
        <f>1000*(F158*(h_co2(L158)-h_co2(20))+G158*(h_h2ogas(L158)-h_h2ogas(20))+H158*(h_n2(L158)-h_n2(20))+I158*(h_o2(L158)-h_o2(20)))/100/22.41+cpRM(L158)*(L158-20)*R158/1000</f>
        <v>#NAME?</v>
      </c>
      <c r="O158" s="241" t="str">
        <f t="shared" ref="O158:O160" si="70">M158*E158/1000</f>
        <v>#NAME?</v>
      </c>
      <c r="P158" s="1" t="str">
        <f>N158*E158/1000</f>
        <v>#NAME?</v>
      </c>
      <c r="Q158" s="1" t="str">
        <f>kgmax</f>
        <v>0.01 </v>
      </c>
      <c r="R158" s="243" t="str">
        <f>kgdust</f>
        <v>50 </v>
      </c>
      <c r="V158" s="1"/>
      <c r="Z158" s="4"/>
      <c r="AA158" s="19"/>
      <c r="AB158" s="4"/>
      <c r="AC158" s="214"/>
      <c r="AD158" s="19"/>
      <c r="AE158" s="4"/>
      <c r="AF158" s="4"/>
      <c r="AG158" s="4"/>
      <c r="AH158" s="4"/>
      <c r="AI158" s="4"/>
      <c r="AJ158" s="4"/>
      <c r="AK158" s="4"/>
      <c r="AM158" s="1"/>
    </row>
    <row r="159" ht="12.75" customHeight="1">
      <c r="A159" s="214" t="str">
        <f>IF(OR(_coalm_pos=1,_coalm_pos=3),MAX(A$158:A158)+1,0)</f>
        <v>0 </v>
      </c>
      <c r="B159" s="1" t="str">
        <f t="array" ref="B159">INDEX(array1,73,arrayindex)</f>
        <v>Coalmill</v>
      </c>
      <c r="C159" s="84" t="str">
        <f t="shared" si="66"/>
        <v>0.000 </v>
      </c>
      <c r="D159" s="240" t="str">
        <f t="shared" si="67"/>
        <v>0.00</v>
      </c>
      <c r="E159" s="1" t="str">
        <f>IF(OR(_coalm_pos=1,_coalm_pos=3),_coalm_gasamount,0)</f>
        <v>0 </v>
      </c>
      <c r="F159" s="240" t="str">
        <f>(1-$G159/100)*kilng_co2</f>
        <v>30.40</v>
      </c>
      <c r="G159" s="4" t="str">
        <f t="shared" si="68"/>
        <v>6.225 </v>
      </c>
      <c r="H159" s="240" t="str">
        <f>(1-$G159/100)*kilng_n2</f>
        <v>60.09</v>
      </c>
      <c r="I159" s="240" t="str">
        <f>(1-$G159/100)*kilng_o2</f>
        <v>3.28</v>
      </c>
      <c r="J159" s="4" t="str">
        <f>kgaqua</f>
        <v>50 </v>
      </c>
      <c r="K159" s="241" t="str">
        <f>kgtemp</f>
        <v>360.0 </v>
      </c>
      <c r="L159" s="1"/>
      <c r="M159" s="241" t="str">
        <f t="shared" si="69"/>
        <v>#NAME?</v>
      </c>
      <c r="N159" s="1"/>
      <c r="O159" s="242" t="str">
        <f t="shared" si="70"/>
        <v>#NAME?</v>
      </c>
      <c r="Q159" s="1" t="str">
        <f>E159</f>
        <v>0 </v>
      </c>
      <c r="R159" s="243" t="str">
        <f>R158</f>
        <v>50 </v>
      </c>
      <c r="V159" s="1"/>
      <c r="Z159" s="4"/>
      <c r="AA159" s="19"/>
      <c r="AB159" s="4"/>
      <c r="AC159" s="214"/>
      <c r="AD159" s="19"/>
      <c r="AE159" s="4"/>
      <c r="AF159" s="4"/>
      <c r="AG159" s="4"/>
      <c r="AH159" s="4"/>
      <c r="AI159" s="4"/>
      <c r="AJ159" s="4"/>
      <c r="AK159" s="4"/>
      <c r="AM159" s="1"/>
    </row>
    <row r="160" ht="12.75" customHeight="1">
      <c r="A160" s="214" t="str">
        <f t="shared" ref="A160:A164" si="71">MAX(A$158:A159)+1</f>
        <v>2 </v>
      </c>
      <c r="B160" s="245" t="str">
        <f t="array" ref="B160">IF(E160&gt;0,CONCATENATE(INDEX(array1,61,arrayindex)," - ",INDEX(array1,74,arrayindex)),"invalid : flow less than Zero")</f>
        <v>Cooling tower - Inlet</v>
      </c>
      <c r="C160" s="84" t="str">
        <f t="shared" si="66"/>
        <v>0.000 </v>
      </c>
      <c r="D160" s="240" t="str">
        <f t="shared" si="67"/>
        <v>0.00</v>
      </c>
      <c r="E160" s="1" t="str">
        <f>E158-E159</f>
        <v>0.01 </v>
      </c>
      <c r="F160" s="240" t="str">
        <f>(1-$G160/100)*kilng_co2</f>
        <v>30.40</v>
      </c>
      <c r="G160" s="4" t="str">
        <f t="shared" si="68"/>
        <v>6.225 </v>
      </c>
      <c r="H160" s="240" t="str">
        <f>(1-$G160/100)*kilng_n2</f>
        <v>60.09</v>
      </c>
      <c r="I160" s="240" t="str">
        <f>(1-$G160/100)*kilng_o2</f>
        <v>3.28</v>
      </c>
      <c r="J160" s="4" t="str">
        <f>kgaqua</f>
        <v>50 </v>
      </c>
      <c r="K160" s="241" t="str">
        <f>kgtemp</f>
        <v>360.0 </v>
      </c>
      <c r="L160" s="1" t="str">
        <f>CTexittemp</f>
        <v>#REF!</v>
      </c>
      <c r="M160" s="241" t="str">
        <f t="shared" si="69"/>
        <v>#NAME?</v>
      </c>
      <c r="N160" s="241" t="str">
        <f>1000*(F160*(h_co2(L160)-h_co2(20))+G160*(h_h2ogas(L160)-h_h2ogas(20))+H160*(h_n2(L160)-h_n2(20))+I160*(h_o2(L160)-h_o2(20)))/100/22.41+cpRM(L160)*(L160-20)*R160/1000</f>
        <v>#NAME?</v>
      </c>
      <c r="O160" s="242" t="str">
        <f t="shared" si="70"/>
        <v>#NAME?</v>
      </c>
      <c r="P160" s="242" t="str">
        <f>N160*E160/1000</f>
        <v>#NAME?</v>
      </c>
      <c r="Q160" s="1" t="str">
        <f>Q158-Q159</f>
        <v>0.01 </v>
      </c>
      <c r="R160" s="243" t="str">
        <f>kgdust</f>
        <v>50 </v>
      </c>
      <c r="V160" s="1"/>
      <c r="Z160" s="4"/>
      <c r="AA160" s="19"/>
      <c r="AB160" s="4"/>
      <c r="AC160" s="214"/>
      <c r="AD160" s="19"/>
      <c r="AE160" s="4"/>
      <c r="AF160" s="4"/>
      <c r="AG160" s="4"/>
      <c r="AH160" s="4"/>
      <c r="AI160" s="4"/>
      <c r="AJ160" s="4"/>
      <c r="AK160" s="4"/>
      <c r="AM160" s="1"/>
    </row>
    <row r="161" ht="12.75" customHeight="1">
      <c r="A161" s="214" t="str">
        <f t="shared" si="71"/>
        <v>3 </v>
      </c>
      <c r="B161" s="245" t="str">
        <f t="array" ref="B161">CONCATENATE(INDEX(array1,21,arrayindex)," ",INDEX(array1,61,arrayindex))</f>
        <v>Water injection Cooling tower</v>
      </c>
      <c r="C161" s="84" t="str">
        <f>E161/1245</f>
        <v>0.001 </v>
      </c>
      <c r="D161" s="35"/>
      <c r="E161" s="241" t="str">
        <f>IF(ISNUMBER(ct_2(C160:R160,C162:R162,K161,E161,L161,1)),ct_2(C160:R160,C162:R162,K161,E161,L161,1),1)</f>
        <v>1.0 </v>
      </c>
      <c r="F161" s="241"/>
      <c r="G161" s="241">
        <v>100.0</v>
      </c>
      <c r="H161" s="241"/>
      <c r="I161" s="241"/>
      <c r="J161" s="241" t="str">
        <f>18000/22.41</f>
        <v>803.2 </v>
      </c>
      <c r="K161" s="241" t="str">
        <f>watertemp</f>
        <v>22.0 </v>
      </c>
      <c r="L161" s="1" t="str">
        <f>L160</f>
        <v>#REF!</v>
      </c>
      <c r="M161" s="241"/>
      <c r="N161" s="1"/>
      <c r="O161" s="241" t="str">
        <f>(EnthalpySatLiqTW(K161+273.16)-EnthalpySatLiqTW(293.16))*C161</f>
        <v>#NAME?</v>
      </c>
      <c r="P161" s="1" t="str">
        <f>(EnthalpySatVapTW(L161+273.16)-EnthalpySatLiqTW(293.16))*C161</f>
        <v>#NAME?</v>
      </c>
      <c r="Q161" s="1" t="str">
        <f t="shared" ref="Q161:Q162" si="72">E161</f>
        <v>1 </v>
      </c>
      <c r="R161" s="243"/>
      <c r="V161" s="1"/>
      <c r="Z161" s="4"/>
      <c r="AA161" s="19"/>
      <c r="AB161" s="4"/>
      <c r="AC161" s="214"/>
      <c r="AD161" s="19"/>
      <c r="AE161" s="4"/>
      <c r="AF161" s="4"/>
      <c r="AG161" s="4"/>
      <c r="AH161" s="4"/>
      <c r="AI161" s="4"/>
      <c r="AJ161" s="4"/>
      <c r="AK161" s="4"/>
      <c r="AM161" s="1"/>
    </row>
    <row r="162" ht="12.75" customHeight="1">
      <c r="A162" s="214" t="str">
        <f t="shared" si="71"/>
        <v>4 </v>
      </c>
      <c r="B162" s="245" t="str">
        <f t="array" ref="B162">CONCATENATE(INDEX(array1,22,arrayindex)," ",INDEX(array1,61,arrayindex))</f>
        <v>False air rate Cooling tower</v>
      </c>
      <c r="C162" s="84" t="str">
        <f>J162*E162/1000000</f>
        <v>#NAME?</v>
      </c>
      <c r="D162" s="35" t="str">
        <f>E162*R162/1000000</f>
        <v>0.00 </v>
      </c>
      <c r="E162" s="1" t="str">
        <f>E160*fakct/100</f>
        <v>0 </v>
      </c>
      <c r="F162" s="241">
        <v>0.0</v>
      </c>
      <c r="G162" s="241" t="str">
        <f>J162*(22.41/18)/10</f>
        <v>#NAME?</v>
      </c>
      <c r="H162" s="241" t="str">
        <f>79*(100-G162)/100</f>
        <v>#NAME?</v>
      </c>
      <c r="I162" s="241" t="str">
        <f>(100-G162)*21/100</f>
        <v>#NAME?</v>
      </c>
      <c r="J162" s="241" t="str">
        <f>freshairaqua</f>
        <v>#NAME?</v>
      </c>
      <c r="K162" s="241" t="str">
        <f>freshairtemp</f>
        <v>20.0 </v>
      </c>
      <c r="L162" s="1" t="str">
        <f>L160</f>
        <v>#REF!</v>
      </c>
      <c r="M162" s="241" t="str">
        <f>1000*(F162*h_co2(K162)+G162*h_h2ogas(K162)+H162*h_n2(K162)+I162*h_o2(K162))/100/22.41</f>
        <v>#NAME?</v>
      </c>
      <c r="N162" s="1" t="str">
        <f>1000*(F162*h_co2(L162)+G162*h_h2ogas(L162)+H162*h_n2(L162)+I162*h_o2(L162))/100/22.41</f>
        <v>#NAME?</v>
      </c>
      <c r="O162" s="241" t="str">
        <f t="shared" ref="O162:O165" si="75">M162*E162/1000</f>
        <v>#NAME?</v>
      </c>
      <c r="P162" s="1" t="str">
        <f>N162*E162/1000</f>
        <v>#NAME?</v>
      </c>
      <c r="Q162" s="1" t="str">
        <f t="shared" si="72"/>
        <v>0 </v>
      </c>
      <c r="R162" s="243"/>
      <c r="V162" s="1"/>
      <c r="Z162" s="4"/>
      <c r="AA162" s="19"/>
      <c r="AB162" s="4"/>
      <c r="AC162" s="214"/>
      <c r="AD162" s="19"/>
      <c r="AE162" s="4"/>
      <c r="AF162" s="4"/>
      <c r="AG162" s="4"/>
      <c r="AH162" s="4"/>
      <c r="AI162" s="4"/>
      <c r="AJ162" s="4"/>
      <c r="AK162" s="4"/>
      <c r="AM162" s="1"/>
    </row>
    <row r="163" ht="12.75" customHeight="1">
      <c r="A163" s="214" t="str">
        <f t="shared" si="71"/>
        <v>5 </v>
      </c>
      <c r="B163" s="245" t="str">
        <f t="array" ref="B163">INDEX(array1,78,arrayindex)</f>
        <v>Gases after CT</v>
      </c>
      <c r="C163" s="84" t="str">
        <f t="shared" ref="C163:E163" si="73">SUM(C160:C162)</f>
        <v>#NAME?</v>
      </c>
      <c r="D163" s="35" t="str">
        <f t="shared" si="73"/>
        <v>0.00 </v>
      </c>
      <c r="E163" s="241" t="str">
        <f t="shared" si="73"/>
        <v>1.0 </v>
      </c>
      <c r="F163" s="241" t="str">
        <f t="shared" ref="F163:J163" si="74">IF($E163&gt;0,($E160*F160+$E161*F161+$E162*F162)/$E163,F160)</f>
        <v>0.3 </v>
      </c>
      <c r="G163" s="241" t="str">
        <f t="shared" si="74"/>
        <v>#NAME?</v>
      </c>
      <c r="H163" s="241" t="str">
        <f t="shared" si="74"/>
        <v>#NAME?</v>
      </c>
      <c r="I163" s="241" t="str">
        <f t="shared" si="74"/>
        <v>#NAME?</v>
      </c>
      <c r="J163" s="241" t="str">
        <f t="shared" si="74"/>
        <v>#NAME?</v>
      </c>
      <c r="K163" s="241" t="str">
        <f>CTexittemp</f>
        <v>#REF!</v>
      </c>
      <c r="L163" s="241" t="str">
        <f>IF(ISNUMBER(ct_2(C160:R160,C162:R162,K161,0,L161,2)),ct_2(C160:R160,C162:R162,K161,0,L161,2),K163)</f>
        <v>#REF!</v>
      </c>
      <c r="M163" s="241" t="str">
        <f t="shared" ref="M163:M166" si="77">1000*(F163*(h_co2(K163)-h_co2(20))+G163*(h_h2ogas(K163)-h_h2ogas(20))+H163*(h_n2(K163)-h_n2(20))+I163*(h_o2(K163)-h_o2(20)))/100/22.41+cpRM(K163)*(K163-20)*R163/1000</f>
        <v>#NAME?</v>
      </c>
      <c r="N163" s="1"/>
      <c r="O163" s="241" t="str">
        <f t="shared" si="75"/>
        <v>#NAME?</v>
      </c>
      <c r="Q163" s="1" t="str">
        <f>SUM(Q160:Q162)</f>
        <v>1.01 </v>
      </c>
      <c r="R163" s="243" t="str">
        <f>IF($E163&gt;0,($E160*R160+$E161*R161+$E162*R162)/$E163,R160)</f>
        <v>0.495049505 </v>
      </c>
      <c r="V163" s="1"/>
      <c r="Z163" s="4"/>
      <c r="AA163" s="19"/>
      <c r="AB163" s="4"/>
      <c r="AC163" s="214"/>
      <c r="AD163" s="19"/>
      <c r="AE163" s="4"/>
      <c r="AF163" s="4"/>
      <c r="AG163" s="4"/>
      <c r="AH163" s="4"/>
      <c r="AI163" s="4"/>
      <c r="AJ163" s="4"/>
      <c r="AK163" s="4"/>
      <c r="AM163" s="1"/>
    </row>
    <row r="164" ht="12.75" customHeight="1">
      <c r="A164" s="214" t="str">
        <f t="shared" si="71"/>
        <v>6 </v>
      </c>
      <c r="B164" s="245" t="str">
        <f t="array" ref="B164">CONCATENATE(INDEX(array1,77,arrayindex)," - ",INDEX(array1,75,arrayindex))</f>
        <v>Kiln fan - Outlet</v>
      </c>
      <c r="C164" s="84" t="str">
        <f t="shared" ref="C164:J164" si="76">C163</f>
        <v>#NAME?</v>
      </c>
      <c r="D164" s="1" t="str">
        <f t="shared" si="76"/>
        <v>0.0000005 </v>
      </c>
      <c r="E164" s="241" t="str">
        <f t="shared" si="76"/>
        <v>1.0 </v>
      </c>
      <c r="F164" s="241" t="str">
        <f t="shared" si="76"/>
        <v>0.3 </v>
      </c>
      <c r="G164" s="241" t="str">
        <f t="shared" si="76"/>
        <v>#NAME?</v>
      </c>
      <c r="H164" s="241" t="str">
        <f t="shared" si="76"/>
        <v>#NAME?</v>
      </c>
      <c r="I164" s="241" t="str">
        <f t="shared" si="76"/>
        <v>#NAME?</v>
      </c>
      <c r="J164" s="241" t="str">
        <f t="shared" si="76"/>
        <v>#NAME?</v>
      </c>
      <c r="K164" s="247" t="str">
        <f>gasmix_2(C163:R163,C163:R163,111,kilnfanpower_s,2,_dustratio)</f>
        <v>#NAME?</v>
      </c>
      <c r="L164" s="1"/>
      <c r="M164" s="241" t="str">
        <f t="shared" si="77"/>
        <v>#NAME?</v>
      </c>
      <c r="N164" s="1"/>
      <c r="O164" s="241" t="str">
        <f t="shared" si="75"/>
        <v>#NAME?</v>
      </c>
      <c r="Q164" s="1" t="str">
        <f t="shared" ref="Q164:R164" si="78">Q163</f>
        <v>1.01 </v>
      </c>
      <c r="R164" s="243" t="str">
        <f t="shared" si="78"/>
        <v>0.495049505 </v>
      </c>
      <c r="V164" s="1"/>
      <c r="Z164" s="4"/>
      <c r="AA164" s="19"/>
      <c r="AB164" s="4"/>
      <c r="AC164" s="214"/>
      <c r="AD164" s="19"/>
      <c r="AE164" s="4"/>
      <c r="AF164" s="4"/>
      <c r="AG164" s="4"/>
      <c r="AH164" s="4"/>
      <c r="AI164" s="4"/>
      <c r="AJ164" s="4"/>
      <c r="AK164" s="4"/>
      <c r="AM164" s="1"/>
    </row>
    <row r="165" ht="12.75" customHeight="1">
      <c r="A165" s="214" t="str">
        <f>IF(OR(_coalm_pos=1,_coalm_pos=3),0,MAX(A$158:A164)+1)</f>
        <v>7 </v>
      </c>
      <c r="B165" s="1" t="str">
        <f t="array" ref="B165">INDEX(array1,73,arrayindex)</f>
        <v>Coalmill</v>
      </c>
      <c r="C165" s="84" t="str">
        <f t="shared" ref="C165:C168" si="80">J165*E165/1000000</f>
        <v>#NAME?</v>
      </c>
      <c r="D165" s="35" t="str">
        <f t="shared" ref="D165:D167" si="81">E165*R165/1000000</f>
        <v>0.00 </v>
      </c>
      <c r="E165" s="1" t="str">
        <f>IF(OR(_coalm_pos=0,_coalm_pos=2),_coalm_gasamount,0)</f>
        <v>0 </v>
      </c>
      <c r="F165" s="241" t="str">
        <f t="shared" ref="F165:K165" si="79">F164</f>
        <v>0.3 </v>
      </c>
      <c r="G165" s="241" t="str">
        <f t="shared" si="79"/>
        <v>#NAME?</v>
      </c>
      <c r="H165" s="241" t="str">
        <f t="shared" si="79"/>
        <v>#NAME?</v>
      </c>
      <c r="I165" s="241" t="str">
        <f t="shared" si="79"/>
        <v>#NAME?</v>
      </c>
      <c r="J165" s="241" t="str">
        <f t="shared" si="79"/>
        <v>#NAME?</v>
      </c>
      <c r="K165" s="241" t="str">
        <f t="shared" si="79"/>
        <v>#NAME?</v>
      </c>
      <c r="L165" s="1"/>
      <c r="M165" s="241" t="str">
        <f t="shared" si="77"/>
        <v>#NAME?</v>
      </c>
      <c r="N165" s="1"/>
      <c r="O165" s="241" t="str">
        <f t="shared" si="75"/>
        <v>#NAME?</v>
      </c>
      <c r="Q165" s="1" t="str">
        <f>E165</f>
        <v>0 </v>
      </c>
      <c r="R165" s="243" t="str">
        <f t="shared" ref="R165:R166" si="83">R164</f>
        <v>0.495049505 </v>
      </c>
      <c r="V165" s="1"/>
      <c r="Z165" s="4"/>
      <c r="AA165" s="19"/>
      <c r="AB165" s="4"/>
      <c r="AC165" s="214"/>
      <c r="AD165" s="19"/>
      <c r="AE165" s="4"/>
      <c r="AF165" s="4"/>
      <c r="AG165" s="4"/>
      <c r="AH165" s="4"/>
      <c r="AI165" s="4"/>
      <c r="AJ165" s="4"/>
      <c r="AK165" s="4"/>
      <c r="AM165" s="1"/>
    </row>
    <row r="166" ht="12.75" customHeight="1">
      <c r="A166" s="214" t="str">
        <f>IF(A165&gt;0,MAX(A$158:A165)+1,0)</f>
        <v>8 </v>
      </c>
      <c r="B166" s="182" t="str">
        <f t="array" ref="B166">IF(E166&gt;=0,INDEX(array1,79,arrayindex),"invalid : flow is less than Zero")</f>
        <v>residual</v>
      </c>
      <c r="C166" s="84" t="str">
        <f t="shared" si="80"/>
        <v>#NAME?</v>
      </c>
      <c r="D166" s="35" t="str">
        <f t="shared" si="81"/>
        <v>0.00 </v>
      </c>
      <c r="E166" s="241" t="str">
        <f>E164-E165</f>
        <v>1.0 </v>
      </c>
      <c r="F166" s="241" t="str">
        <f t="shared" ref="F166:K166" si="82">F165</f>
        <v>0.3 </v>
      </c>
      <c r="G166" s="241" t="str">
        <f t="shared" si="82"/>
        <v>#NAME?</v>
      </c>
      <c r="H166" s="241" t="str">
        <f t="shared" si="82"/>
        <v>#NAME?</v>
      </c>
      <c r="I166" s="241" t="str">
        <f t="shared" si="82"/>
        <v>#NAME?</v>
      </c>
      <c r="J166" s="241" t="str">
        <f t="shared" si="82"/>
        <v>#NAME?</v>
      </c>
      <c r="K166" s="241" t="str">
        <f t="shared" si="82"/>
        <v>#NAME?</v>
      </c>
      <c r="L166" s="1"/>
      <c r="M166" s="241" t="str">
        <f t="shared" si="77"/>
        <v>#NAME?</v>
      </c>
      <c r="N166" s="1"/>
      <c r="O166" s="241" t="str">
        <f>O164-O165</f>
        <v>#NAME?</v>
      </c>
      <c r="Q166" s="1" t="str">
        <f>Q164-Q165</f>
        <v>1.01 </v>
      </c>
      <c r="R166" s="243" t="str">
        <f t="shared" si="83"/>
        <v>0.495049505 </v>
      </c>
      <c r="V166" s="1"/>
      <c r="Z166" s="4"/>
      <c r="AA166" s="19"/>
      <c r="AB166" s="4"/>
      <c r="AC166" s="214"/>
      <c r="AD166" s="19"/>
      <c r="AE166" s="4"/>
      <c r="AF166" s="4"/>
      <c r="AG166" s="4"/>
      <c r="AH166" s="4"/>
      <c r="AI166" s="4"/>
      <c r="AJ166" s="4"/>
      <c r="AK166" s="4"/>
      <c r="AM166" s="1"/>
    </row>
    <row r="167" ht="12.75" customHeight="1">
      <c r="A167" s="214" t="str">
        <f t="shared" ref="A167:A170" si="84">MAX(A$158:A166)+1</f>
        <v>9 </v>
      </c>
      <c r="B167" s="1" t="str">
        <f t="array" ref="B167">INDEX(array1,26,arrayindex)</f>
        <v>Cooler exhaust gases</v>
      </c>
      <c r="C167" s="84" t="str">
        <f t="shared" si="80"/>
        <v>#NAME?</v>
      </c>
      <c r="D167" s="35" t="str">
        <f t="shared" si="81"/>
        <v>0.00 </v>
      </c>
      <c r="E167" s="182" t="str">
        <f>coolergasmax</f>
        <v>0 </v>
      </c>
      <c r="F167" s="241">
        <v>0.0</v>
      </c>
      <c r="G167" s="241" t="str">
        <f>J167*(22.41/18)/10</f>
        <v>#NAME?</v>
      </c>
      <c r="H167" s="241" t="str">
        <f>79*(100-G167)/100</f>
        <v>#NAME?</v>
      </c>
      <c r="I167" s="241" t="str">
        <f>(100-G167)*21/100</f>
        <v>#NAME?</v>
      </c>
      <c r="J167" s="241" t="str">
        <f>coolergasaqua</f>
        <v>#NAME?</v>
      </c>
      <c r="K167" s="241" t="str">
        <f>coolergastemp</f>
        <v>330.0 </v>
      </c>
      <c r="L167" s="1" t="str">
        <f>CTexittemp</f>
        <v>#REF!</v>
      </c>
      <c r="M167" s="241" t="str">
        <f>1000*(F167*(h_co2(K167)-h_co2(20))+G167*(h_h2ogas(K167)-h_h2ogas(20))+H167*(h_n2(K167)-h_n2(20))+I167*(h_o2(K167)-h_o2(20)))/100/22.41+cpCli(K167)*(K167-20)*R167/1000</f>
        <v>#NAME?</v>
      </c>
      <c r="N167" s="1" t="str">
        <f>1000*(F167*(h_co2(L167)-h_co2(20))+G167*(h_h2ogas(L167)-h_h2ogas(20))+H167*(h_n2(L167)-h_n2(20))+I167*(h_o2(L167)-h_o2(20)))/100/22.41+cpCli(L167)*(L167-20)*R167/1000</f>
        <v>#NAME?</v>
      </c>
      <c r="O167" s="241" t="str">
        <f>M167*E167/1000</f>
        <v>#NAME?</v>
      </c>
      <c r="P167" s="1" t="str">
        <f>N167*E167/1000</f>
        <v>#NAME?</v>
      </c>
      <c r="Q167" s="1" t="str">
        <f>coolergasmax</f>
        <v>0 </v>
      </c>
      <c r="R167" s="243" t="str">
        <f>coolergasdust</f>
        <v>30 </v>
      </c>
      <c r="V167" s="1"/>
      <c r="Z167" s="4"/>
      <c r="AA167" s="19"/>
      <c r="AB167" s="4"/>
      <c r="AC167" s="214"/>
      <c r="AD167" s="19"/>
      <c r="AE167" s="4"/>
      <c r="AF167" s="4"/>
      <c r="AG167" s="4"/>
      <c r="AH167" s="4"/>
      <c r="AI167" s="4"/>
      <c r="AJ167" s="4"/>
      <c r="AK167" s="4"/>
      <c r="AM167" s="1"/>
    </row>
    <row r="168" ht="12.75" customHeight="1">
      <c r="A168" s="214" t="str">
        <f t="shared" si="84"/>
        <v>10 </v>
      </c>
      <c r="B168" s="245" t="str">
        <f t="array" ref="B168">CONCATENATE(INDEX(array1,20,arrayindex)," - ",INDEX(array1,23,arrayindex))</f>
        <v>Mill - Available gases</v>
      </c>
      <c r="C168" s="84" t="str">
        <f t="shared" si="80"/>
        <v>#NAME?</v>
      </c>
      <c r="D168" s="35" t="str">
        <f t="shared" ref="D168:E168" si="85">SUM(D166:D167)</f>
        <v>0.00 </v>
      </c>
      <c r="E168" s="241" t="str">
        <f t="shared" si="85"/>
        <v>1.0 </v>
      </c>
      <c r="F168" s="241" t="str">
        <f t="shared" ref="F168:J168" si="86">($E166*F166+$E167*F167)/$E168</f>
        <v>0.3 </v>
      </c>
      <c r="G168" s="241" t="str">
        <f t="shared" si="86"/>
        <v>#NAME?</v>
      </c>
      <c r="H168" s="241" t="str">
        <f t="shared" si="86"/>
        <v>#NAME?</v>
      </c>
      <c r="I168" s="241" t="str">
        <f t="shared" si="86"/>
        <v>#NAME?</v>
      </c>
      <c r="J168" s="241" t="str">
        <f t="shared" si="86"/>
        <v>#NAME?</v>
      </c>
      <c r="K168" s="241" t="str">
        <f>gasmix_2(C166:R166,C167:R167,12,0*kilnfanpower_s,2,_dustratio)</f>
        <v>#NAME?</v>
      </c>
      <c r="L168" s="1" t="str">
        <f>CTexittemp</f>
        <v>#REF!</v>
      </c>
      <c r="M168" s="241" t="str">
        <f>1000*O168/E168</f>
        <v>#NAME?</v>
      </c>
      <c r="N168" s="1"/>
      <c r="O168" s="241" t="str">
        <f>SUM(O166:O167)</f>
        <v>#NAME?</v>
      </c>
      <c r="Q168" s="1" t="str">
        <f>SUM(Q166:Q167)</f>
        <v>1.01 </v>
      </c>
      <c r="R168" s="243" t="str">
        <f>1000000*D168/E168</f>
        <v>0.495049505 </v>
      </c>
      <c r="V168" s="1"/>
      <c r="Z168" s="4"/>
      <c r="AA168" s="19"/>
      <c r="AB168" s="4"/>
      <c r="AC168" s="214"/>
      <c r="AD168" s="19"/>
      <c r="AE168" s="4"/>
      <c r="AF168" s="4"/>
      <c r="AG168" s="4"/>
      <c r="AH168" s="4"/>
      <c r="AI168" s="4"/>
      <c r="AJ168" s="4"/>
      <c r="AK168" s="4"/>
      <c r="AM168" s="1"/>
    </row>
    <row r="169" ht="12.75" customHeight="1">
      <c r="A169" s="214" t="str">
        <f t="shared" si="84"/>
        <v>11 </v>
      </c>
      <c r="B169" s="245" t="str">
        <f t="array" ref="B169">IF(it_v1=TRUE,INDEX(array1,121,arrayindex),"Excess gas")</f>
        <v>Excess gas</v>
      </c>
      <c r="C169" s="84" t="str">
        <f t="shared" ref="C169:D169" si="87">C$263</f>
        <v>#NAME?</v>
      </c>
      <c r="D169" s="35" t="str">
        <f t="shared" si="87"/>
        <v>#NAME?</v>
      </c>
      <c r="E169" s="241" t="str">
        <f t="array" ref="E169">INDEX($E$257:$E$259,_millgas_pos+1)</f>
        <v>#NAME?</v>
      </c>
      <c r="F169" s="241" t="str">
        <f t="shared" ref="F169:R169" si="88">F$263</f>
        <v>0.3 </v>
      </c>
      <c r="G169" s="241" t="str">
        <f t="shared" si="88"/>
        <v>#NAME?</v>
      </c>
      <c r="H169" s="241" t="str">
        <f t="shared" si="88"/>
        <v>#NAME?</v>
      </c>
      <c r="I169" s="241" t="str">
        <f t="shared" si="88"/>
        <v>#NAME?</v>
      </c>
      <c r="J169" s="241" t="str">
        <f t="shared" si="88"/>
        <v>#NAME?</v>
      </c>
      <c r="K169" s="241" t="str">
        <f t="shared" si="88"/>
        <v>#NAME?</v>
      </c>
      <c r="L169" s="1" t="str">
        <f t="shared" si="88"/>
        <v/>
      </c>
      <c r="M169" s="241" t="str">
        <f t="shared" si="88"/>
        <v>#NAME?</v>
      </c>
      <c r="N169" s="1" t="str">
        <f t="shared" si="88"/>
        <v/>
      </c>
      <c r="O169" s="241" t="str">
        <f t="shared" si="88"/>
        <v/>
      </c>
      <c r="P169" s="1" t="str">
        <f t="shared" si="88"/>
        <v/>
      </c>
      <c r="Q169" s="1" t="str">
        <f t="shared" si="88"/>
        <v/>
      </c>
      <c r="R169" s="4" t="str">
        <f t="shared" si="88"/>
        <v>0.495049505 </v>
      </c>
      <c r="V169" s="1"/>
      <c r="Z169" s="4"/>
      <c r="AA169" s="19"/>
      <c r="AB169" s="4"/>
      <c r="AC169" s="214"/>
      <c r="AD169" s="19"/>
      <c r="AE169" s="4"/>
      <c r="AF169" s="4"/>
      <c r="AG169" s="4"/>
      <c r="AH169" s="4"/>
      <c r="AI169" s="4"/>
      <c r="AJ169" s="4"/>
      <c r="AK169" s="4"/>
      <c r="AM169" s="1"/>
    </row>
    <row r="170" ht="12.75" customHeight="1">
      <c r="A170" s="214" t="str">
        <f t="shared" si="84"/>
        <v>12 </v>
      </c>
      <c r="B170" s="1" t="str">
        <f t="array" ref="B170">INDEX(array1,120,arrayindex)</f>
        <v>Gas to mill</v>
      </c>
      <c r="C170" s="84" t="str">
        <f t="shared" ref="C170:R170" si="89">C$235</f>
        <v>#NAME?</v>
      </c>
      <c r="D170" s="35" t="str">
        <f t="shared" si="89"/>
        <v>#NAME?</v>
      </c>
      <c r="E170" s="241" t="str">
        <f t="shared" si="89"/>
        <v>#NAME?</v>
      </c>
      <c r="F170" s="241" t="str">
        <f t="shared" si="89"/>
        <v>0.3 </v>
      </c>
      <c r="G170" s="241" t="str">
        <f t="shared" si="89"/>
        <v>#NAME?</v>
      </c>
      <c r="H170" s="241" t="str">
        <f t="shared" si="89"/>
        <v>#NAME?</v>
      </c>
      <c r="I170" s="241" t="str">
        <f t="shared" si="89"/>
        <v>#NAME?</v>
      </c>
      <c r="J170" s="241" t="str">
        <f t="shared" si="89"/>
        <v>#NAME?</v>
      </c>
      <c r="K170" s="241" t="str">
        <f t="shared" si="89"/>
        <v>#NAME?</v>
      </c>
      <c r="L170" s="1" t="str">
        <f t="shared" si="89"/>
        <v>85 </v>
      </c>
      <c r="M170" s="241" t="str">
        <f t="shared" si="89"/>
        <v>#NAME?</v>
      </c>
      <c r="N170" s="1" t="str">
        <f t="shared" si="89"/>
        <v>#NAME?</v>
      </c>
      <c r="O170" s="241" t="str">
        <f t="shared" si="89"/>
        <v>#NAME?</v>
      </c>
      <c r="P170" s="1" t="str">
        <f t="shared" si="89"/>
        <v>#NAME?</v>
      </c>
      <c r="Q170" s="1" t="str">
        <f t="shared" si="89"/>
        <v>1.01 </v>
      </c>
      <c r="R170" s="4" t="str">
        <f t="shared" si="89"/>
        <v>0.495049505 </v>
      </c>
      <c r="V170" s="1"/>
      <c r="Z170" s="4"/>
      <c r="AA170" s="19"/>
      <c r="AB170" s="4"/>
      <c r="AC170" s="214"/>
      <c r="AD170" s="19"/>
      <c r="AE170" s="4"/>
      <c r="AF170" s="4"/>
      <c r="AG170" s="4"/>
      <c r="AH170" s="4"/>
      <c r="AI170" s="4"/>
      <c r="AJ170" s="4"/>
      <c r="AK170" s="4"/>
      <c r="AM170" s="1"/>
    </row>
    <row r="171" ht="12.75" customHeight="1">
      <c r="A171" s="1"/>
      <c r="B171" s="1"/>
      <c r="C171" s="84"/>
      <c r="D171" s="35"/>
      <c r="E171" s="1"/>
      <c r="F171" s="241"/>
      <c r="G171" s="241"/>
      <c r="H171" s="241"/>
      <c r="I171" s="241"/>
      <c r="J171" s="241"/>
      <c r="K171" s="241"/>
      <c r="L171" s="1"/>
      <c r="M171" s="241"/>
      <c r="N171" s="1"/>
      <c r="O171" s="241"/>
      <c r="V171" s="1"/>
      <c r="Z171" s="4"/>
      <c r="AA171" s="19"/>
      <c r="AB171" s="4"/>
      <c r="AC171" s="214"/>
      <c r="AD171" s="19"/>
      <c r="AE171" s="4"/>
      <c r="AF171" s="4"/>
      <c r="AG171" s="4"/>
      <c r="AH171" s="4"/>
      <c r="AI171" s="4"/>
      <c r="AJ171" s="4"/>
      <c r="AK171" s="4"/>
      <c r="AM171" s="1"/>
    </row>
    <row r="172" ht="12.75" customHeight="1">
      <c r="A172" s="1"/>
      <c r="B172" s="1"/>
      <c r="C172" s="84"/>
      <c r="D172" s="35"/>
      <c r="E172" s="1"/>
      <c r="F172" s="241"/>
      <c r="G172" s="241"/>
      <c r="H172" s="241"/>
      <c r="I172" s="241"/>
      <c r="J172" s="241"/>
      <c r="K172" s="241"/>
      <c r="L172" s="1"/>
      <c r="M172" s="241"/>
      <c r="N172" s="1"/>
      <c r="O172" s="241"/>
      <c r="V172" s="1"/>
      <c r="Z172" s="4"/>
      <c r="AA172" s="19"/>
      <c r="AB172" s="4"/>
      <c r="AC172" s="214"/>
      <c r="AD172" s="19"/>
      <c r="AE172" s="4"/>
      <c r="AF172" s="4"/>
      <c r="AG172" s="4"/>
      <c r="AH172" s="4"/>
      <c r="AI172" s="4"/>
      <c r="AJ172" s="4"/>
      <c r="AK172" s="4"/>
      <c r="AM172" s="1"/>
    </row>
    <row r="173" ht="12.75" customHeight="1">
      <c r="A173" s="1"/>
      <c r="B173" s="238" t="s">
        <v>80</v>
      </c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V173" s="1"/>
      <c r="Z173" s="4"/>
      <c r="AA173" s="19"/>
      <c r="AB173" s="4"/>
      <c r="AC173" s="214"/>
      <c r="AD173" s="19"/>
      <c r="AE173" s="4"/>
      <c r="AF173" s="4"/>
      <c r="AG173" s="4"/>
      <c r="AH173" s="4"/>
      <c r="AI173" s="4"/>
      <c r="AJ173" s="4"/>
      <c r="AK173" s="4"/>
      <c r="AM173" s="1"/>
    </row>
    <row r="174" ht="12.75" customHeight="1">
      <c r="A174" s="214">
        <v>1.0</v>
      </c>
      <c r="B174" s="1" t="str">
        <f t="array" ref="B174">INDEX(array1,34,arrayindex)</f>
        <v>Kiln exhaust gases after PH</v>
      </c>
      <c r="C174" s="84" t="str">
        <f>J174*E174/1000000</f>
        <v>0.000 </v>
      </c>
      <c r="D174" s="35" t="str">
        <f>E174*R174/1000000</f>
        <v>0.00 </v>
      </c>
      <c r="E174" s="1" t="str">
        <f>kgmax</f>
        <v>0.01 </v>
      </c>
      <c r="F174" s="241" t="str">
        <f>(1-$G174/100)*kilng_co2</f>
        <v>30.4 </v>
      </c>
      <c r="G174" s="241" t="str">
        <f>J174*(22.41/18)/10</f>
        <v>6.2 </v>
      </c>
      <c r="H174" s="241" t="str">
        <f>(1-$G174/100)*kilng_n2</f>
        <v>60.1 </v>
      </c>
      <c r="I174" s="241" t="str">
        <f>(1-$G174/100)*kilng_o2</f>
        <v>3.3 </v>
      </c>
      <c r="J174" s="241" t="str">
        <f>kgaqua</f>
        <v>50.0 </v>
      </c>
      <c r="K174" s="241" t="str">
        <f>kgtemp</f>
        <v>360.0 </v>
      </c>
      <c r="L174" s="1" t="str">
        <f>CTexittemp</f>
        <v>#REF!</v>
      </c>
      <c r="M174" s="241" t="str">
        <f t="shared" ref="M174:M177" si="91">1000*(F174*(h_co2(K174)-h_co2(20))+G174*(h_h2ogas(K174)-h_h2ogas(20))+H174*(h_n2(K174)-h_n2(20))+I174*(h_o2(K174)-h_o2(20)))/100/22.41+cpRM(K174)*(K174-20)*R174/1000</f>
        <v>#NAME?</v>
      </c>
      <c r="N174" s="1" t="str">
        <f>1000*(F174*(h_co2(L174)-h_co2(20))+G174*(h_h2ogas(L174)-h_h2ogas(20))+H174*(h_n2(L174)-h_n2(20))+I174*(h_o2(L174)-h_o2(20)))/100/22.41+cpRM(L174)*(L174-20)*R174/1000</f>
        <v>#NAME?</v>
      </c>
      <c r="O174" s="241" t="str">
        <f t="shared" ref="O174:O177" si="92">M174*E174/1000</f>
        <v>#NAME?</v>
      </c>
      <c r="P174" s="1" t="str">
        <f>N174*E174/1000</f>
        <v>#NAME?</v>
      </c>
      <c r="Q174" s="1" t="str">
        <f>kgmax</f>
        <v>0.01 </v>
      </c>
      <c r="R174" s="243" t="str">
        <f>kgdust</f>
        <v>50 </v>
      </c>
      <c r="V174" s="1"/>
      <c r="Z174" s="4"/>
      <c r="AA174" s="19"/>
      <c r="AB174" s="4"/>
      <c r="AC174" s="214"/>
      <c r="AD174" s="19"/>
      <c r="AE174" s="4"/>
      <c r="AF174" s="4"/>
      <c r="AG174" s="4"/>
      <c r="AH174" s="4"/>
      <c r="AI174" s="4"/>
      <c r="AJ174" s="4"/>
      <c r="AK174" s="4"/>
      <c r="AM174" s="1"/>
    </row>
    <row r="175" ht="12.75" customHeight="1">
      <c r="A175" s="214" t="str">
        <f>MAX(A$174:A174)+1</f>
        <v>2 </v>
      </c>
      <c r="B175" s="245" t="str">
        <f t="array" ref="B175">CONCATENATE(INDEX(array1,77,arrayindex)," - ",INDEX(array1,75,arrayindex))</f>
        <v>Kiln fan - Outlet</v>
      </c>
      <c r="C175" s="84" t="str">
        <f t="shared" ref="C175:J175" si="90">C174</f>
        <v>0.000 </v>
      </c>
      <c r="D175" s="240" t="str">
        <f t="shared" si="90"/>
        <v>0.00</v>
      </c>
      <c r="E175" s="1" t="str">
        <f t="shared" si="90"/>
        <v>0.01 </v>
      </c>
      <c r="F175" s="240" t="str">
        <f t="shared" si="90"/>
        <v>30.40</v>
      </c>
      <c r="G175" s="4" t="str">
        <f t="shared" si="90"/>
        <v>6.225 </v>
      </c>
      <c r="H175" s="240" t="str">
        <f t="shared" si="90"/>
        <v>60.09</v>
      </c>
      <c r="I175" s="240" t="str">
        <f t="shared" si="90"/>
        <v>3.28</v>
      </c>
      <c r="J175" s="4" t="str">
        <f t="shared" si="90"/>
        <v>50 </v>
      </c>
      <c r="K175" s="247" t="str">
        <f>gasmix_2(C174:R174,C174:R174,111,kilnfanpower_s,2,_dustratio)</f>
        <v>#NAME?</v>
      </c>
      <c r="L175" s="1"/>
      <c r="M175" s="241" t="str">
        <f t="shared" si="91"/>
        <v>#NAME?</v>
      </c>
      <c r="N175" s="1"/>
      <c r="O175" s="242" t="str">
        <f t="shared" si="92"/>
        <v>#NAME?</v>
      </c>
      <c r="Q175" s="1" t="str">
        <f t="shared" ref="Q175:R175" si="93">Q174</f>
        <v>0.01 </v>
      </c>
      <c r="R175" s="243" t="str">
        <f t="shared" si="93"/>
        <v>50 </v>
      </c>
      <c r="V175" s="1"/>
      <c r="Z175" s="4"/>
      <c r="AA175" s="19"/>
      <c r="AB175" s="4"/>
      <c r="AC175" s="214"/>
      <c r="AD175" s="19"/>
      <c r="AE175" s="4"/>
      <c r="AF175" s="4"/>
      <c r="AG175" s="4"/>
      <c r="AH175" s="4"/>
      <c r="AI175" s="4"/>
      <c r="AJ175" s="4"/>
      <c r="AK175" s="4"/>
      <c r="AM175" s="1"/>
    </row>
    <row r="176" ht="12.75" customHeight="1">
      <c r="A176" s="214" t="str">
        <f>IF(OR(_coalm_pos=1,_coalm_pos=3),MAX(A$174:A175)+1,0)</f>
        <v>0 </v>
      </c>
      <c r="B176" s="1" t="str">
        <f t="array" ref="B176">INDEX(array1,73,arrayindex)</f>
        <v>Coalmill</v>
      </c>
      <c r="C176" s="84" t="str">
        <f t="shared" ref="C176:C177" si="95">J176*E176/1000000</f>
        <v>0.000 </v>
      </c>
      <c r="D176" s="240" t="str">
        <f t="shared" ref="D176:D177" si="96">E176*R176/1000000</f>
        <v>0.00</v>
      </c>
      <c r="E176" s="1" t="str">
        <f>IF(OR(_coalm_pos=1,_coalm_pos=3),_coalm_gasamount,0)</f>
        <v>0 </v>
      </c>
      <c r="F176" s="240" t="str">
        <f t="shared" ref="F176:K176" si="94">F175</f>
        <v>30.40</v>
      </c>
      <c r="G176" s="4" t="str">
        <f t="shared" si="94"/>
        <v>6.225 </v>
      </c>
      <c r="H176" s="240" t="str">
        <f t="shared" si="94"/>
        <v>60.09</v>
      </c>
      <c r="I176" s="240" t="str">
        <f t="shared" si="94"/>
        <v>3.28</v>
      </c>
      <c r="J176" s="4" t="str">
        <f t="shared" si="94"/>
        <v>50 </v>
      </c>
      <c r="K176" s="241" t="str">
        <f t="shared" si="94"/>
        <v>#NAME?</v>
      </c>
      <c r="L176" s="1"/>
      <c r="M176" s="241" t="str">
        <f t="shared" si="91"/>
        <v>#NAME?</v>
      </c>
      <c r="N176" s="241"/>
      <c r="O176" s="242" t="str">
        <f t="shared" si="92"/>
        <v>#NAME?</v>
      </c>
      <c r="P176" s="242"/>
      <c r="Q176" s="1" t="str">
        <f>E176</f>
        <v>0 </v>
      </c>
      <c r="R176" s="243" t="str">
        <f>R175</f>
        <v>50 </v>
      </c>
      <c r="V176" s="1"/>
      <c r="Z176" s="4"/>
      <c r="AA176" s="19"/>
      <c r="AB176" s="4"/>
      <c r="AC176" s="214"/>
      <c r="AD176" s="19"/>
      <c r="AE176" s="4"/>
      <c r="AF176" s="4"/>
      <c r="AG176" s="4"/>
      <c r="AH176" s="4"/>
      <c r="AI176" s="4"/>
      <c r="AJ176" s="4"/>
      <c r="AK176" s="4"/>
      <c r="AM176" s="1"/>
    </row>
    <row r="177" ht="12.75" customHeight="1">
      <c r="A177" s="214" t="str">
        <f t="shared" ref="A177:A180" si="97">MAX(A$174:A176)+1</f>
        <v>3 </v>
      </c>
      <c r="B177" s="245" t="str">
        <f t="array" ref="B177">IF(E177&gt;0,CONCATENATE(INDEX(array1,61,arrayindex)," - ",INDEX(array1,74,arrayindex)),"invalid : flow less than Zero")</f>
        <v>Cooling tower - Inlet</v>
      </c>
      <c r="C177" s="84" t="str">
        <f t="shared" si="95"/>
        <v>0.000 </v>
      </c>
      <c r="D177" s="35" t="str">
        <f t="shared" si="96"/>
        <v>0.00 </v>
      </c>
      <c r="E177" s="241" t="str">
        <f>E175-E176</f>
        <v>0.0 </v>
      </c>
      <c r="F177" s="241" t="str">
        <f>(1-$G177/100)*kilng_co2</f>
        <v>30.4 </v>
      </c>
      <c r="G177" s="241" t="str">
        <f>J177*(22.41/18)/10</f>
        <v>6.2 </v>
      </c>
      <c r="H177" s="241" t="str">
        <f>(1-$G177/100)*kilng_n2</f>
        <v>60.1 </v>
      </c>
      <c r="I177" s="241" t="str">
        <f>(1-$G177/100)*kilng_o2</f>
        <v>3.3 </v>
      </c>
      <c r="J177" s="241" t="str">
        <f>kgaqua</f>
        <v>50.0 </v>
      </c>
      <c r="K177" s="241" t="str">
        <f>K176</f>
        <v>#NAME?</v>
      </c>
      <c r="L177" s="1" t="str">
        <f>CTexittemp</f>
        <v>#REF!</v>
      </c>
      <c r="M177" s="241" t="str">
        <f t="shared" si="91"/>
        <v>#NAME?</v>
      </c>
      <c r="N177" s="1"/>
      <c r="O177" s="241" t="str">
        <f t="shared" si="92"/>
        <v>#NAME?</v>
      </c>
      <c r="P177" s="1" t="str">
        <f>N177*E177/1000</f>
        <v>0 </v>
      </c>
      <c r="Q177" s="1" t="str">
        <f>Q175-Q176</f>
        <v>0.01 </v>
      </c>
      <c r="R177" s="243" t="str">
        <f>kgdust</f>
        <v>50 </v>
      </c>
      <c r="V177" s="1"/>
      <c r="Z177" s="4"/>
      <c r="AA177" s="19"/>
      <c r="AB177" s="4"/>
      <c r="AC177" s="214"/>
      <c r="AD177" s="19"/>
      <c r="AE177" s="4"/>
      <c r="AF177" s="4"/>
      <c r="AG177" s="4"/>
      <c r="AH177" s="4"/>
      <c r="AI177" s="4"/>
      <c r="AJ177" s="4"/>
      <c r="AK177" s="4"/>
      <c r="AM177" s="1"/>
    </row>
    <row r="178" ht="12.75" customHeight="1">
      <c r="A178" s="214" t="str">
        <f t="shared" si="97"/>
        <v>4 </v>
      </c>
      <c r="B178" s="245" t="str">
        <f t="array" ref="B178">CONCATENATE(INDEX(array1,21,arrayindex)," ",INDEX(array1,61,arrayindex))</f>
        <v>Water injection Cooling tower</v>
      </c>
      <c r="C178" s="84" t="str">
        <f>E178/1245</f>
        <v>0.001 </v>
      </c>
      <c r="D178" s="35"/>
      <c r="E178" s="241" t="str">
        <f>IF(ISNUMBER(ct_2(C177:R177,C179:R179,K178,E178,L178,1)),ct_2(C177:R177,C179:R179,K178,E178,L178,1),1)</f>
        <v>1.0 </v>
      </c>
      <c r="F178" s="241"/>
      <c r="G178" s="241">
        <v>100.0</v>
      </c>
      <c r="H178" s="241"/>
      <c r="I178" s="241"/>
      <c r="J178" s="241" t="str">
        <f>18000/22.41</f>
        <v>803.2 </v>
      </c>
      <c r="K178" s="241" t="str">
        <f>watertemp</f>
        <v>22.0 </v>
      </c>
      <c r="L178" s="1" t="str">
        <f>L177</f>
        <v>#REF!</v>
      </c>
      <c r="M178" s="241"/>
      <c r="N178" s="1"/>
      <c r="O178" s="241" t="str">
        <f>(EnthalpySatLiqTW(K178+273.16)-EnthalpySatLiqTW(293.16))*C178</f>
        <v>#NAME?</v>
      </c>
      <c r="P178" s="1" t="str">
        <f>(EnthalpySatVapTW(L178+273.16)-EnthalpySatLiqTW(293.16))*C178</f>
        <v>#NAME?</v>
      </c>
      <c r="Q178" s="1" t="str">
        <f t="shared" ref="Q178:Q179" si="98">E178</f>
        <v>1 </v>
      </c>
      <c r="R178" s="243"/>
      <c r="V178" s="1"/>
      <c r="Z178" s="4"/>
      <c r="AA178" s="19"/>
      <c r="AB178" s="4"/>
      <c r="AC178" s="214"/>
      <c r="AD178" s="19"/>
      <c r="AE178" s="4"/>
      <c r="AF178" s="4"/>
      <c r="AG178" s="4"/>
      <c r="AH178" s="4"/>
      <c r="AI178" s="4"/>
      <c r="AJ178" s="4"/>
      <c r="AK178" s="4"/>
      <c r="AM178" s="1"/>
    </row>
    <row r="179" ht="12.75" customHeight="1">
      <c r="A179" s="214" t="str">
        <f t="shared" si="97"/>
        <v>5 </v>
      </c>
      <c r="B179" s="245" t="str">
        <f t="array" ref="B179">CONCATENATE(INDEX(array1,22,arrayindex)," ",INDEX(array1,61,arrayindex))</f>
        <v>False air rate Cooling tower</v>
      </c>
      <c r="C179" s="84" t="str">
        <f>J179*E179/1000000</f>
        <v>#NAME?</v>
      </c>
      <c r="D179" s="35" t="str">
        <f>E179*R179/1000000</f>
        <v>0.00 </v>
      </c>
      <c r="E179" s="1" t="str">
        <f>E177*fakct/100</f>
        <v>0 </v>
      </c>
      <c r="F179" s="241">
        <v>0.0</v>
      </c>
      <c r="G179" s="241" t="str">
        <f>J179*(22.41/18)/10</f>
        <v>#NAME?</v>
      </c>
      <c r="H179" s="241" t="str">
        <f>79*(100-G179)/100</f>
        <v>#NAME?</v>
      </c>
      <c r="I179" s="241" t="str">
        <f>(100-G179)*21/100</f>
        <v>#NAME?</v>
      </c>
      <c r="J179" s="241" t="str">
        <f>freshairaqua</f>
        <v>#NAME?</v>
      </c>
      <c r="K179" s="241" t="str">
        <f>freshairtemp</f>
        <v>20.0 </v>
      </c>
      <c r="L179" s="1" t="str">
        <f>L177</f>
        <v>#REF!</v>
      </c>
      <c r="M179" s="241" t="str">
        <f>1000*(F179*h_co2(K179)+G179*h_h2ogas(K179)+H179*h_n2(K179)+I179*h_o2(K179))/100/22.41</f>
        <v>#NAME?</v>
      </c>
      <c r="N179" s="1" t="str">
        <f>1000*(F179*h_co2(L179)+G179*h_h2ogas(L179)+H179*h_n2(L179)+I179*h_o2(L179))/100/22.41</f>
        <v>#NAME?</v>
      </c>
      <c r="O179" s="241" t="str">
        <f t="shared" ref="O179:O181" si="101">M179*E179/1000</f>
        <v>#NAME?</v>
      </c>
      <c r="P179" s="1" t="str">
        <f>N179*E179/1000</f>
        <v>#NAME?</v>
      </c>
      <c r="Q179" s="1" t="str">
        <f t="shared" si="98"/>
        <v>0 </v>
      </c>
      <c r="R179" s="243"/>
      <c r="V179" s="1"/>
      <c r="Z179" s="4"/>
      <c r="AA179" s="19"/>
      <c r="AB179" s="4"/>
      <c r="AC179" s="214"/>
      <c r="AD179" s="19"/>
      <c r="AE179" s="4"/>
      <c r="AF179" s="4"/>
      <c r="AG179" s="4"/>
      <c r="AH179" s="4"/>
      <c r="AI179" s="4"/>
      <c r="AJ179" s="4"/>
      <c r="AK179" s="4"/>
      <c r="AM179" s="1"/>
    </row>
    <row r="180" ht="12.75" customHeight="1">
      <c r="A180" s="214" t="str">
        <f t="shared" si="97"/>
        <v>6 </v>
      </c>
      <c r="B180" s="245" t="str">
        <f t="array" ref="B180">INDEX(array1,78,arrayindex)</f>
        <v>Gases after CT</v>
      </c>
      <c r="C180" s="84" t="str">
        <f t="shared" ref="C180:E180" si="99">SUM(C177:C179)</f>
        <v>#NAME?</v>
      </c>
      <c r="D180" s="1" t="str">
        <f t="shared" si="99"/>
        <v>0.0000005 </v>
      </c>
      <c r="E180" s="241" t="str">
        <f t="shared" si="99"/>
        <v>1.0 </v>
      </c>
      <c r="F180" s="241" t="str">
        <f t="shared" ref="F180:J180" si="100">IF($E180&gt;0,($E177*F177+$E178*F178+$E179*F179)/$E180,F177)</f>
        <v>0.3 </v>
      </c>
      <c r="G180" s="241" t="str">
        <f t="shared" si="100"/>
        <v>#NAME?</v>
      </c>
      <c r="H180" s="241" t="str">
        <f t="shared" si="100"/>
        <v>#NAME?</v>
      </c>
      <c r="I180" s="241" t="str">
        <f t="shared" si="100"/>
        <v>#NAME?</v>
      </c>
      <c r="J180" s="241" t="str">
        <f t="shared" si="100"/>
        <v>#NAME?</v>
      </c>
      <c r="K180" s="247" t="str">
        <f>CTexittemp</f>
        <v>#REF!</v>
      </c>
      <c r="L180" s="248" t="str">
        <f>IF(ISNUMBER(ct_2(C177:R177,C179:R179,K178,0,L178,2)),ct_2(C177:R177,C179:R179,K178,0,L178,2),K180)</f>
        <v>#REF!</v>
      </c>
      <c r="M180" s="241" t="str">
        <f t="shared" ref="M180:M182" si="103">1000*(F180*(h_co2(K180)-h_co2(20))+G180*(h_h2ogas(K180)-h_h2ogas(20))+H180*(h_n2(K180)-h_n2(20))+I180*(h_o2(K180)-h_o2(20)))/100/22.41+cpRM(K180)*(K180-20)*R180/1000</f>
        <v>#NAME?</v>
      </c>
      <c r="N180" s="1"/>
      <c r="O180" s="241" t="str">
        <f t="shared" si="101"/>
        <v>#NAME?</v>
      </c>
      <c r="Q180" s="1" t="str">
        <f>SUM(Q177:Q179)</f>
        <v>1.01 </v>
      </c>
      <c r="R180" s="243" t="str">
        <f>IF($E180&gt;0,($E177*R177+$E178*R178+$E179*R179)/$E180,R177)</f>
        <v>0.495049505 </v>
      </c>
      <c r="V180" s="1"/>
      <c r="Z180" s="4"/>
      <c r="AA180" s="19"/>
      <c r="AB180" s="4"/>
      <c r="AC180" s="214"/>
      <c r="AD180" s="19"/>
      <c r="AE180" s="4"/>
      <c r="AF180" s="4"/>
      <c r="AG180" s="4"/>
      <c r="AH180" s="4"/>
      <c r="AI180" s="4"/>
      <c r="AJ180" s="4"/>
      <c r="AK180" s="4"/>
      <c r="AM180" s="1"/>
    </row>
    <row r="181" ht="12.75" customHeight="1">
      <c r="A181" s="214" t="str">
        <f>IF(OR(_coalm_pos=1,_coalm_pos=3),0,MAX(A$174:A180)+1)</f>
        <v>7 </v>
      </c>
      <c r="B181" s="1" t="str">
        <f t="array" ref="B181">INDEX(array1,73,arrayindex)</f>
        <v>Coalmill</v>
      </c>
      <c r="C181" s="84" t="str">
        <f t="shared" ref="C181:C184" si="104">J181*E181/1000000</f>
        <v>#NAME?</v>
      </c>
      <c r="D181" s="35" t="str">
        <f t="shared" ref="D181:D183" si="105">E181*R181/1000000</f>
        <v>0.00 </v>
      </c>
      <c r="E181" s="1" t="str">
        <f>IF(OR(_coalm_pos=0,_coalm_pos=2),_coalm_gasamount,0)</f>
        <v>0 </v>
      </c>
      <c r="F181" s="241" t="str">
        <f t="shared" ref="F181:K181" si="102">F180</f>
        <v>0.3 </v>
      </c>
      <c r="G181" s="241" t="str">
        <f t="shared" si="102"/>
        <v>#NAME?</v>
      </c>
      <c r="H181" s="241" t="str">
        <f t="shared" si="102"/>
        <v>#NAME?</v>
      </c>
      <c r="I181" s="241" t="str">
        <f t="shared" si="102"/>
        <v>#NAME?</v>
      </c>
      <c r="J181" s="241" t="str">
        <f t="shared" si="102"/>
        <v>#NAME?</v>
      </c>
      <c r="K181" s="241" t="str">
        <f t="shared" si="102"/>
        <v>#REF!</v>
      </c>
      <c r="L181" s="1"/>
      <c r="M181" s="241" t="str">
        <f t="shared" si="103"/>
        <v>#NAME?</v>
      </c>
      <c r="N181" s="1"/>
      <c r="O181" s="241" t="str">
        <f t="shared" si="101"/>
        <v>#NAME?</v>
      </c>
      <c r="Q181" s="1" t="str">
        <f>E181</f>
        <v>0 </v>
      </c>
      <c r="R181" s="243" t="str">
        <f t="shared" ref="R181:R182" si="107">R180</f>
        <v>0.495049505 </v>
      </c>
      <c r="V181" s="1"/>
      <c r="Z181" s="4"/>
      <c r="AA181" s="19"/>
      <c r="AB181" s="4"/>
      <c r="AC181" s="214"/>
      <c r="AD181" s="19"/>
      <c r="AE181" s="4"/>
      <c r="AF181" s="4"/>
      <c r="AG181" s="4"/>
      <c r="AH181" s="4"/>
      <c r="AI181" s="4"/>
      <c r="AJ181" s="4"/>
      <c r="AK181" s="4"/>
      <c r="AM181" s="1"/>
    </row>
    <row r="182" ht="12.75" customHeight="1">
      <c r="A182" s="214" t="str">
        <f>IF(A181&gt;0,MAX(A$174:A181)+1,0)</f>
        <v>8 </v>
      </c>
      <c r="B182" s="182" t="str">
        <f t="array" ref="B182">IF(E182&gt;=0,INDEX(array1,79,arrayindex),"invalid : flow is less than Zero")</f>
        <v>residual</v>
      </c>
      <c r="C182" s="84" t="str">
        <f t="shared" si="104"/>
        <v>#NAME?</v>
      </c>
      <c r="D182" s="35" t="str">
        <f t="shared" si="105"/>
        <v>0.00 </v>
      </c>
      <c r="E182" s="241" t="str">
        <f>E180-E181</f>
        <v>1.0 </v>
      </c>
      <c r="F182" s="241" t="str">
        <f t="shared" ref="F182:K182" si="106">F181</f>
        <v>0.3 </v>
      </c>
      <c r="G182" s="241" t="str">
        <f t="shared" si="106"/>
        <v>#NAME?</v>
      </c>
      <c r="H182" s="241" t="str">
        <f t="shared" si="106"/>
        <v>#NAME?</v>
      </c>
      <c r="I182" s="241" t="str">
        <f t="shared" si="106"/>
        <v>#NAME?</v>
      </c>
      <c r="J182" s="241" t="str">
        <f t="shared" si="106"/>
        <v>#NAME?</v>
      </c>
      <c r="K182" s="241" t="str">
        <f t="shared" si="106"/>
        <v>#REF!</v>
      </c>
      <c r="L182" s="1"/>
      <c r="M182" s="241" t="str">
        <f t="shared" si="103"/>
        <v>#NAME?</v>
      </c>
      <c r="N182" s="1"/>
      <c r="O182" s="241" t="str">
        <f>O180-O181</f>
        <v>#NAME?</v>
      </c>
      <c r="Q182" s="1" t="str">
        <f>Q180-Q181</f>
        <v>1.01 </v>
      </c>
      <c r="R182" s="243" t="str">
        <f t="shared" si="107"/>
        <v>0.495049505 </v>
      </c>
      <c r="V182" s="1"/>
      <c r="Z182" s="4"/>
      <c r="AA182" s="19"/>
      <c r="AB182" s="4"/>
      <c r="AC182" s="214"/>
      <c r="AD182" s="19"/>
      <c r="AE182" s="4"/>
      <c r="AF182" s="4"/>
      <c r="AG182" s="4"/>
      <c r="AH182" s="4"/>
      <c r="AI182" s="4"/>
      <c r="AJ182" s="4"/>
      <c r="AK182" s="4"/>
      <c r="AM182" s="1"/>
    </row>
    <row r="183" ht="12.75" customHeight="1">
      <c r="A183" s="214" t="str">
        <f t="shared" ref="A183:A186" si="108">MAX(A$174:A182)+1</f>
        <v>9 </v>
      </c>
      <c r="B183" s="1" t="str">
        <f t="array" ref="B183">INDEX(array1,26,arrayindex)</f>
        <v>Cooler exhaust gases</v>
      </c>
      <c r="C183" s="84" t="str">
        <f t="shared" si="104"/>
        <v>#NAME?</v>
      </c>
      <c r="D183" s="35" t="str">
        <f t="shared" si="105"/>
        <v>0.00 </v>
      </c>
      <c r="E183" s="182" t="str">
        <f>coolergasmax</f>
        <v>0 </v>
      </c>
      <c r="F183" s="241">
        <v>0.0</v>
      </c>
      <c r="G183" s="241" t="str">
        <f>J183*(22.41/18)/10</f>
        <v>#NAME?</v>
      </c>
      <c r="H183" s="241" t="str">
        <f>79*(100-G183)/100</f>
        <v>#NAME?</v>
      </c>
      <c r="I183" s="241" t="str">
        <f>(100-G183)*21/100</f>
        <v>#NAME?</v>
      </c>
      <c r="J183" s="241" t="str">
        <f>coolergasaqua</f>
        <v>#NAME?</v>
      </c>
      <c r="K183" s="241" t="str">
        <f>coolergastemp</f>
        <v>330.0 </v>
      </c>
      <c r="L183" s="1" t="str">
        <f>CTexittemp</f>
        <v>#REF!</v>
      </c>
      <c r="M183" s="241" t="str">
        <f>1000*(F183*(h_co2(K183)-h_co2(20))+G183*(h_h2ogas(K183)-h_h2ogas(20))+H183*(h_n2(K183)-h_n2(20))+I183*(h_o2(K183)-h_o2(20)))/100/22.41+cpCli(K183)*(K183-20)*R183/1000</f>
        <v>#NAME?</v>
      </c>
      <c r="N183" s="1" t="str">
        <f>1000*(F183*(h_co2(L183)-h_co2(20))+G183*(h_h2ogas(L183)-h_h2ogas(20))+H183*(h_n2(L183)-h_n2(20))+I183*(h_o2(L183)-h_o2(20)))/100/22.41+cpCli(L183)*(L183-20)*R183/1000</f>
        <v>#NAME?</v>
      </c>
      <c r="O183" s="241" t="str">
        <f>M183*E183/1000</f>
        <v>#NAME?</v>
      </c>
      <c r="P183" s="1" t="str">
        <f>N183*E183/1000</f>
        <v>#NAME?</v>
      </c>
      <c r="Q183" s="1" t="str">
        <f>coolergasmax</f>
        <v>0 </v>
      </c>
      <c r="R183" s="243" t="str">
        <f>coolergasdust</f>
        <v>30 </v>
      </c>
      <c r="V183" s="1"/>
      <c r="Z183" s="4"/>
      <c r="AA183" s="19"/>
      <c r="AB183" s="4"/>
      <c r="AC183" s="214"/>
      <c r="AD183" s="19"/>
      <c r="AE183" s="4"/>
      <c r="AF183" s="4"/>
      <c r="AG183" s="4"/>
      <c r="AH183" s="4"/>
      <c r="AI183" s="4"/>
      <c r="AJ183" s="4"/>
      <c r="AK183" s="4"/>
      <c r="AM183" s="1"/>
    </row>
    <row r="184" ht="12.75" customHeight="1">
      <c r="A184" s="214" t="str">
        <f t="shared" si="108"/>
        <v>10 </v>
      </c>
      <c r="B184" s="245" t="str">
        <f t="array" ref="B184">CONCATENATE(INDEX(array1,20,arrayindex)," - ",INDEX(array1,23,arrayindex))</f>
        <v>Mill - Available gases</v>
      </c>
      <c r="C184" s="84" t="str">
        <f t="shared" si="104"/>
        <v>#NAME?</v>
      </c>
      <c r="D184" s="35" t="str">
        <f t="shared" ref="D184:E184" si="109">SUM(D182:D183)</f>
        <v>0.00 </v>
      </c>
      <c r="E184" s="1" t="str">
        <f t="shared" si="109"/>
        <v>1.01 </v>
      </c>
      <c r="F184" s="241" t="str">
        <f t="shared" ref="F184:J184" si="110">($E182*F182+$E183*F183)/$E184</f>
        <v>0.3 </v>
      </c>
      <c r="G184" s="241" t="str">
        <f t="shared" si="110"/>
        <v>#NAME?</v>
      </c>
      <c r="H184" s="241" t="str">
        <f t="shared" si="110"/>
        <v>#NAME?</v>
      </c>
      <c r="I184" s="241" t="str">
        <f t="shared" si="110"/>
        <v>#NAME?</v>
      </c>
      <c r="J184" s="241" t="str">
        <f t="shared" si="110"/>
        <v>#NAME?</v>
      </c>
      <c r="K184" s="241" t="str">
        <f>gasmix_2(C182:R182,C183:R183,12,0*kilnfanpower_s,2,_dustratio)</f>
        <v>#NAME?</v>
      </c>
      <c r="L184" s="1" t="str">
        <f>CTexittemp</f>
        <v>#REF!</v>
      </c>
      <c r="M184" s="241" t="str">
        <f>1000*O184/E184</f>
        <v>#NAME?</v>
      </c>
      <c r="N184" s="1"/>
      <c r="O184" s="241" t="str">
        <f>SUM(O182:O183)</f>
        <v>#NAME?</v>
      </c>
      <c r="Q184" s="1" t="str">
        <f>SUM(Q182:Q183)</f>
        <v>1.01 </v>
      </c>
      <c r="R184" s="243" t="str">
        <f>1000000*D184/E184</f>
        <v>0.495049505 </v>
      </c>
      <c r="V184" s="1"/>
      <c r="Z184" s="4"/>
      <c r="AA184" s="19"/>
      <c r="AB184" s="4"/>
      <c r="AC184" s="214"/>
      <c r="AD184" s="19"/>
      <c r="AE184" s="4"/>
      <c r="AF184" s="4"/>
      <c r="AG184" s="4"/>
      <c r="AH184" s="4"/>
      <c r="AI184" s="4"/>
      <c r="AJ184" s="4"/>
      <c r="AK184" s="4"/>
      <c r="AM184" s="1"/>
    </row>
    <row r="185" ht="12.75" customHeight="1">
      <c r="A185" s="214" t="str">
        <f t="shared" si="108"/>
        <v>11 </v>
      </c>
      <c r="B185" s="245" t="str">
        <f t="array" ref="B185">IF(it_v1=TRUE,INDEX(array1,121,arrayindex),"Excess gas")</f>
        <v>Excess gas</v>
      </c>
      <c r="C185" s="84" t="str">
        <f t="shared" ref="C185:D185" si="111">C$263</f>
        <v>#NAME?</v>
      </c>
      <c r="D185" s="35" t="str">
        <f t="shared" si="111"/>
        <v>#NAME?</v>
      </c>
      <c r="E185" s="1" t="str">
        <f t="array" ref="E185">INDEX($E$257:$E$259,_millgas_pos+1)</f>
        <v>#NAME?</v>
      </c>
      <c r="F185" s="241" t="str">
        <f t="shared" ref="F185:R185" si="112">F$263</f>
        <v>0.3 </v>
      </c>
      <c r="G185" s="241" t="str">
        <f t="shared" si="112"/>
        <v>#NAME?</v>
      </c>
      <c r="H185" s="241" t="str">
        <f t="shared" si="112"/>
        <v>#NAME?</v>
      </c>
      <c r="I185" s="241" t="str">
        <f t="shared" si="112"/>
        <v>#NAME?</v>
      </c>
      <c r="J185" s="241" t="str">
        <f t="shared" si="112"/>
        <v>#NAME?</v>
      </c>
      <c r="K185" s="241" t="str">
        <f t="shared" si="112"/>
        <v>#NAME?</v>
      </c>
      <c r="L185" s="1" t="str">
        <f t="shared" si="112"/>
        <v/>
      </c>
      <c r="M185" s="241" t="str">
        <f t="shared" si="112"/>
        <v>#NAME?</v>
      </c>
      <c r="N185" s="1" t="str">
        <f t="shared" si="112"/>
        <v/>
      </c>
      <c r="O185" s="241" t="str">
        <f t="shared" si="112"/>
        <v/>
      </c>
      <c r="P185" s="1" t="str">
        <f t="shared" si="112"/>
        <v/>
      </c>
      <c r="Q185" s="1" t="str">
        <f t="shared" si="112"/>
        <v/>
      </c>
      <c r="R185" s="4" t="str">
        <f t="shared" si="112"/>
        <v>0.495049505 </v>
      </c>
      <c r="V185" s="1"/>
      <c r="Z185" s="4"/>
      <c r="AA185" s="19"/>
      <c r="AB185" s="4"/>
      <c r="AC185" s="214"/>
      <c r="AD185" s="19"/>
      <c r="AE185" s="4"/>
      <c r="AF185" s="4"/>
      <c r="AG185" s="4"/>
      <c r="AH185" s="4"/>
      <c r="AI185" s="4"/>
      <c r="AJ185" s="4"/>
      <c r="AK185" s="4"/>
      <c r="AM185" s="1"/>
    </row>
    <row r="186" ht="12.75" customHeight="1">
      <c r="A186" s="214" t="str">
        <f t="shared" si="108"/>
        <v>12 </v>
      </c>
      <c r="B186" s="1" t="str">
        <f t="array" ref="B186">INDEX(array1,120,arrayindex)</f>
        <v>Gas to mill</v>
      </c>
      <c r="C186" s="84" t="str">
        <f t="shared" ref="C186:R186" si="113">C$235</f>
        <v>#NAME?</v>
      </c>
      <c r="D186" s="35" t="str">
        <f t="shared" si="113"/>
        <v>#NAME?</v>
      </c>
      <c r="E186" s="1" t="str">
        <f t="shared" si="113"/>
        <v>#NAME?</v>
      </c>
      <c r="F186" s="241" t="str">
        <f t="shared" si="113"/>
        <v>0.3 </v>
      </c>
      <c r="G186" s="241" t="str">
        <f t="shared" si="113"/>
        <v>#NAME?</v>
      </c>
      <c r="H186" s="241" t="str">
        <f t="shared" si="113"/>
        <v>#NAME?</v>
      </c>
      <c r="I186" s="241" t="str">
        <f t="shared" si="113"/>
        <v>#NAME?</v>
      </c>
      <c r="J186" s="241" t="str">
        <f t="shared" si="113"/>
        <v>#NAME?</v>
      </c>
      <c r="K186" s="241" t="str">
        <f t="shared" si="113"/>
        <v>#NAME?</v>
      </c>
      <c r="L186" s="1" t="str">
        <f t="shared" si="113"/>
        <v>85 </v>
      </c>
      <c r="M186" s="241" t="str">
        <f t="shared" si="113"/>
        <v>#NAME?</v>
      </c>
      <c r="N186" s="1" t="str">
        <f t="shared" si="113"/>
        <v>#NAME?</v>
      </c>
      <c r="O186" s="241" t="str">
        <f t="shared" si="113"/>
        <v>#NAME?</v>
      </c>
      <c r="P186" s="1" t="str">
        <f t="shared" si="113"/>
        <v>#NAME?</v>
      </c>
      <c r="Q186" s="1" t="str">
        <f t="shared" si="113"/>
        <v>1.01 </v>
      </c>
      <c r="R186" s="4" t="str">
        <f t="shared" si="113"/>
        <v>0.495049505 </v>
      </c>
      <c r="V186" s="1"/>
      <c r="Z186" s="4"/>
      <c r="AA186" s="19"/>
      <c r="AB186" s="4"/>
      <c r="AC186" s="214"/>
      <c r="AD186" s="19"/>
      <c r="AE186" s="4"/>
      <c r="AF186" s="4"/>
      <c r="AG186" s="4"/>
      <c r="AH186" s="4"/>
      <c r="AI186" s="4"/>
      <c r="AJ186" s="4"/>
      <c r="AK186" s="4"/>
      <c r="AM186" s="1"/>
    </row>
    <row r="187" ht="12.75" customHeight="1">
      <c r="A187" s="214"/>
      <c r="B187" s="1"/>
      <c r="C187" s="84"/>
      <c r="D187" s="35"/>
      <c r="E187" s="1"/>
      <c r="F187" s="241"/>
      <c r="G187" s="241"/>
      <c r="H187" s="241"/>
      <c r="I187" s="241"/>
      <c r="J187" s="241"/>
      <c r="K187" s="241"/>
      <c r="L187" s="1"/>
      <c r="M187" s="241"/>
      <c r="N187" s="1"/>
      <c r="O187" s="241"/>
      <c r="R187" s="4"/>
      <c r="V187" s="1"/>
      <c r="Z187" s="4"/>
      <c r="AA187" s="19"/>
      <c r="AB187" s="4"/>
      <c r="AC187" s="214"/>
      <c r="AD187" s="19"/>
      <c r="AE187" s="4"/>
      <c r="AF187" s="4"/>
      <c r="AG187" s="4"/>
      <c r="AH187" s="4"/>
      <c r="AI187" s="4"/>
      <c r="AJ187" s="4"/>
      <c r="AK187" s="4"/>
      <c r="AM187" s="1"/>
    </row>
    <row r="188" ht="12.75" customHeight="1">
      <c r="A188" s="214"/>
      <c r="B188" s="249"/>
      <c r="C188" s="84"/>
      <c r="D188" s="35"/>
      <c r="E188" s="1"/>
      <c r="F188" s="241"/>
      <c r="G188" s="241"/>
      <c r="H188" s="241"/>
      <c r="I188" s="241"/>
      <c r="J188" s="241"/>
      <c r="K188" s="241"/>
      <c r="L188" s="1"/>
      <c r="M188" s="241"/>
      <c r="N188" s="1"/>
      <c r="O188" s="241"/>
      <c r="R188" s="4"/>
      <c r="V188" s="1"/>
      <c r="Z188" s="4"/>
      <c r="AA188" s="19"/>
      <c r="AB188" s="4"/>
      <c r="AC188" s="214"/>
      <c r="AD188" s="19"/>
      <c r="AE188" s="4"/>
      <c r="AF188" s="4"/>
      <c r="AG188" s="4"/>
      <c r="AH188" s="4"/>
      <c r="AI188" s="4"/>
      <c r="AJ188" s="4"/>
      <c r="AK188" s="4"/>
      <c r="AM188" s="1"/>
    </row>
    <row r="189" ht="12.75" customHeight="1">
      <c r="A189" s="1"/>
      <c r="B189" s="238" t="s">
        <v>81</v>
      </c>
      <c r="C189" s="84"/>
      <c r="D189" s="35"/>
      <c r="E189" s="1"/>
      <c r="F189" s="241"/>
      <c r="G189" s="241"/>
      <c r="H189" s="241"/>
      <c r="I189" s="241"/>
      <c r="J189" s="241"/>
      <c r="K189" s="241"/>
      <c r="L189" s="1"/>
      <c r="M189" s="241"/>
      <c r="N189" s="1"/>
      <c r="O189" s="241"/>
      <c r="R189" s="4"/>
      <c r="V189" s="1"/>
      <c r="Z189" s="4"/>
      <c r="AA189" s="19"/>
      <c r="AB189" s="4"/>
      <c r="AC189" s="214"/>
      <c r="AD189" s="19"/>
      <c r="AE189" s="4"/>
      <c r="AF189" s="4"/>
      <c r="AG189" s="4"/>
      <c r="AH189" s="4"/>
      <c r="AI189" s="4"/>
      <c r="AJ189" s="4"/>
      <c r="AK189" s="4"/>
      <c r="AM189" s="1"/>
    </row>
    <row r="190" ht="12.75" customHeight="1">
      <c r="A190" s="214">
        <v>1.0</v>
      </c>
      <c r="B190" s="1" t="str">
        <f t="array" ref="B190">INDEX(array1,34,arrayindex)</f>
        <v>Kiln exhaust gases after PH</v>
      </c>
      <c r="C190" s="84" t="str">
        <f>J190*E190/1000000</f>
        <v>0.000 </v>
      </c>
      <c r="D190" s="35" t="str">
        <f>E190*R190/1000000</f>
        <v>0.00 </v>
      </c>
      <c r="E190" s="1" t="str">
        <f>kgmax</f>
        <v>0.01 </v>
      </c>
      <c r="F190" s="241" t="str">
        <f>(1-$G190/100)*kilng_co2</f>
        <v>30.4 </v>
      </c>
      <c r="G190" s="241" t="str">
        <f>J190*(22.41/18)/10</f>
        <v>6.2 </v>
      </c>
      <c r="H190" s="241" t="str">
        <f>(1-$G190/100)*kilng_n2</f>
        <v>60.1 </v>
      </c>
      <c r="I190" s="241" t="str">
        <f>(1-$G190/100)*kilng_o2</f>
        <v>3.3 </v>
      </c>
      <c r="J190" s="241" t="str">
        <f>kgaqua</f>
        <v>50.0 </v>
      </c>
      <c r="K190" s="241" t="str">
        <f>kgtemp</f>
        <v>360.0 </v>
      </c>
      <c r="L190" s="1" t="str">
        <f>CTexittemp</f>
        <v>#REF!</v>
      </c>
      <c r="M190" s="241" t="str">
        <f t="shared" ref="M190:M195" si="115">1000*(F190*(h_co2(K190)-h_co2(20))+G190*(h_h2ogas(K190)-h_h2ogas(20))+H190*(h_n2(K190)-h_n2(20))+I190*(h_o2(K190)-h_o2(20)))/100/22.41+cpRM(K190)*(K190-20)*R190/1000</f>
        <v>#NAME?</v>
      </c>
      <c r="N190" s="1" t="str">
        <f>1000*(F190*(h_co2(L190)-h_co2(20))+G190*(h_h2ogas(L190)-h_h2ogas(20))+H190*(h_n2(L190)-h_n2(20))+I190*(h_o2(L190)-h_o2(20)))/100/22.41+cpRM(L190)*(L190-20)*R190/1000</f>
        <v>#NAME?</v>
      </c>
      <c r="O190" s="241" t="str">
        <f t="shared" ref="O190:O196" si="116">M190*E190/1000</f>
        <v>#NAME?</v>
      </c>
      <c r="P190" s="1" t="str">
        <f>N190*E190/1000</f>
        <v>#NAME?</v>
      </c>
      <c r="Q190" s="1" t="str">
        <f>kgmax</f>
        <v>0.01 </v>
      </c>
      <c r="R190" s="243" t="str">
        <f>kgdust</f>
        <v>50 </v>
      </c>
      <c r="V190" s="1"/>
      <c r="Z190" s="4"/>
      <c r="AA190" s="19"/>
      <c r="AB190" s="4"/>
      <c r="AC190" s="214"/>
      <c r="AD190" s="19"/>
      <c r="AE190" s="4"/>
      <c r="AF190" s="4"/>
      <c r="AG190" s="4"/>
      <c r="AH190" s="4"/>
      <c r="AI190" s="4"/>
      <c r="AJ190" s="4"/>
      <c r="AK190" s="4"/>
      <c r="AM190" s="1"/>
    </row>
    <row r="191" ht="12.75" customHeight="1">
      <c r="A191" s="214" t="str">
        <f>MAX(case5_start:A190)+1</f>
        <v>2 </v>
      </c>
      <c r="B191" s="245" t="str">
        <f t="array" ref="B191">CONCATENATE(INDEX(array1,77,arrayindex)," - ",INDEX(array1,75,arrayindex))</f>
        <v>Kiln fan - Outlet</v>
      </c>
      <c r="C191" s="84" t="str">
        <f t="shared" ref="C191:J191" si="114">C190</f>
        <v>0.000 </v>
      </c>
      <c r="D191" s="35" t="str">
        <f t="shared" si="114"/>
        <v>0.00 </v>
      </c>
      <c r="E191" s="1" t="str">
        <f t="shared" si="114"/>
        <v>0.01 </v>
      </c>
      <c r="F191" s="241" t="str">
        <f t="shared" si="114"/>
        <v>30.4 </v>
      </c>
      <c r="G191" s="241" t="str">
        <f t="shared" si="114"/>
        <v>6.2 </v>
      </c>
      <c r="H191" s="241" t="str">
        <f t="shared" si="114"/>
        <v>60.1 </v>
      </c>
      <c r="I191" s="241" t="str">
        <f t="shared" si="114"/>
        <v>3.3 </v>
      </c>
      <c r="J191" s="241" t="str">
        <f t="shared" si="114"/>
        <v>50.0 </v>
      </c>
      <c r="K191" s="247" t="str">
        <f>gasmix_2(C190:R190,C190:R190,111,kilnfanpower_s,2,_dustratio)</f>
        <v>#NAME?</v>
      </c>
      <c r="L191" s="1"/>
      <c r="M191" s="241" t="str">
        <f t="shared" si="115"/>
        <v>#NAME?</v>
      </c>
      <c r="N191" s="1"/>
      <c r="O191" s="241" t="str">
        <f t="shared" si="116"/>
        <v>#NAME?</v>
      </c>
      <c r="Q191" s="1" t="str">
        <f t="shared" ref="Q191:R191" si="117">Q190</f>
        <v>0.01 </v>
      </c>
      <c r="R191" s="243" t="str">
        <f t="shared" si="117"/>
        <v>50 </v>
      </c>
      <c r="V191" s="1"/>
      <c r="Z191" s="4"/>
      <c r="AA191" s="19"/>
      <c r="AB191" s="4"/>
      <c r="AC191" s="214"/>
      <c r="AD191" s="19"/>
      <c r="AE191" s="4"/>
      <c r="AF191" s="4"/>
      <c r="AG191" s="4"/>
      <c r="AH191" s="4"/>
      <c r="AI191" s="4"/>
      <c r="AJ191" s="4"/>
      <c r="AK191" s="4"/>
      <c r="AM191" s="1"/>
    </row>
    <row r="192" ht="12.75" customHeight="1">
      <c r="A192" s="214" t="str">
        <f>IF(OR(_coalm_pos=1,_coalm_pos=3),MAX(case5_start:A191)+1,0)</f>
        <v>0 </v>
      </c>
      <c r="B192" s="1" t="str">
        <f t="array" ref="B192">INDEX(array1,73,arrayindex)</f>
        <v>Coalmill</v>
      </c>
      <c r="C192" s="84" t="str">
        <f t="shared" ref="C192:C197" si="119">J192*E192/1000000</f>
        <v>0.000 </v>
      </c>
      <c r="D192" s="35" t="str">
        <f t="shared" ref="D192:D196" si="120">E192*R192/1000000</f>
        <v>0.00 </v>
      </c>
      <c r="E192" s="1" t="str">
        <f>IF(OR(_coalm_pos=1,_coalm_pos=3),_coalm_gasamount,0)</f>
        <v>0 </v>
      </c>
      <c r="F192" s="241" t="str">
        <f t="shared" ref="F192:K192" si="118">F191</f>
        <v>30.4 </v>
      </c>
      <c r="G192" s="241" t="str">
        <f t="shared" si="118"/>
        <v>6.2 </v>
      </c>
      <c r="H192" s="241" t="str">
        <f t="shared" si="118"/>
        <v>60.1 </v>
      </c>
      <c r="I192" s="241" t="str">
        <f t="shared" si="118"/>
        <v>3.3 </v>
      </c>
      <c r="J192" s="241" t="str">
        <f t="shared" si="118"/>
        <v>50.0 </v>
      </c>
      <c r="K192" s="241" t="str">
        <f t="shared" si="118"/>
        <v>#NAME?</v>
      </c>
      <c r="L192" s="1"/>
      <c r="M192" s="241" t="str">
        <f t="shared" si="115"/>
        <v>#NAME?</v>
      </c>
      <c r="N192" s="1"/>
      <c r="O192" s="241" t="str">
        <f t="shared" si="116"/>
        <v>#NAME?</v>
      </c>
      <c r="Q192" s="1" t="str">
        <f>E192</f>
        <v>0 </v>
      </c>
      <c r="R192" s="243" t="str">
        <f>R191</f>
        <v>50 </v>
      </c>
      <c r="V192" s="1"/>
      <c r="Z192" s="4"/>
      <c r="AA192" s="19"/>
      <c r="AB192" s="4"/>
      <c r="AC192" s="214"/>
      <c r="AD192" s="19"/>
      <c r="AE192" s="4"/>
      <c r="AF192" s="4"/>
      <c r="AG192" s="4"/>
      <c r="AH192" s="4"/>
      <c r="AI192" s="4"/>
      <c r="AJ192" s="4"/>
      <c r="AK192" s="4"/>
      <c r="AM192" s="1"/>
    </row>
    <row r="193" ht="12.75" customHeight="1">
      <c r="A193" s="214" t="str">
        <f>MAX(case5_start:A192)+1</f>
        <v>3 </v>
      </c>
      <c r="B193" s="245" t="str">
        <f t="array" ref="B193">CONCATENATE(INDEX(array1,20,arrayindex)," - ",INDEX(array1,23,arrayindex))</f>
        <v>Mill - Available gases</v>
      </c>
      <c r="C193" s="84" t="str">
        <f t="shared" si="119"/>
        <v>0.000 </v>
      </c>
      <c r="D193" s="35" t="str">
        <f t="shared" si="120"/>
        <v>0.00 </v>
      </c>
      <c r="E193" s="1" t="str">
        <f>E191-E192</f>
        <v>0.01 </v>
      </c>
      <c r="F193" s="241" t="str">
        <f>(1-$G193/100)*kilng_co2</f>
        <v>30.4 </v>
      </c>
      <c r="G193" s="241" t="str">
        <f t="shared" ref="G193:G196" si="121">J193*(22.41/18)/10</f>
        <v>6.2 </v>
      </c>
      <c r="H193" s="241" t="str">
        <f>(1-$G193/100)*kilng_n2</f>
        <v>60.1 </v>
      </c>
      <c r="I193" s="241" t="str">
        <f>(1-$G193/100)*kilng_o2</f>
        <v>3.3 </v>
      </c>
      <c r="J193" s="241" t="str">
        <f>kgaqua</f>
        <v>50.0 </v>
      </c>
      <c r="K193" s="241" t="str">
        <f t="shared" ref="K193:K195" si="122">K192</f>
        <v>#NAME?</v>
      </c>
      <c r="L193" s="1"/>
      <c r="M193" s="241" t="str">
        <f t="shared" si="115"/>
        <v>#NAME?</v>
      </c>
      <c r="N193" s="1"/>
      <c r="O193" s="241" t="str">
        <f t="shared" si="116"/>
        <v>#NAME?</v>
      </c>
      <c r="P193" s="1" t="str">
        <f t="shared" ref="P193:P196" si="123">N193*E193/1000</f>
        <v>0 </v>
      </c>
      <c r="Q193" s="1" t="str">
        <f>Q191-Q192</f>
        <v>0.01 </v>
      </c>
      <c r="R193" s="243" t="str">
        <f>kgdust</f>
        <v>50 </v>
      </c>
      <c r="V193" s="1"/>
      <c r="Z193" s="4"/>
      <c r="AA193" s="19"/>
      <c r="AB193" s="4"/>
      <c r="AC193" s="214"/>
      <c r="AD193" s="19"/>
      <c r="AE193" s="4"/>
      <c r="AF193" s="4"/>
      <c r="AG193" s="4"/>
      <c r="AH193" s="4"/>
      <c r="AI193" s="4"/>
      <c r="AJ193" s="4"/>
      <c r="AK193" s="4"/>
      <c r="AM193" s="1"/>
    </row>
    <row r="194" ht="12.75" customHeight="1">
      <c r="A194" s="214" t="str">
        <f>MAX(case5_start:A193)+1</f>
        <v>4 </v>
      </c>
      <c r="B194" s="1" t="str">
        <f t="array" ref="B194">INDEX(array1,120,arrayindex)</f>
        <v>Gas to mill</v>
      </c>
      <c r="C194" s="84" t="str">
        <f t="shared" si="119"/>
        <v>0.000 </v>
      </c>
      <c r="D194" s="35" t="str">
        <f t="shared" si="120"/>
        <v>0.00 </v>
      </c>
      <c r="E194" s="4" t="str">
        <f>IF(ISNUMBER(E$235),E$235,0)</f>
        <v>0 </v>
      </c>
      <c r="F194" s="241" t="str">
        <f>(1-$G194/100)*kilng_co2</f>
        <v>30.4 </v>
      </c>
      <c r="G194" s="241" t="str">
        <f t="shared" si="121"/>
        <v>6.2 </v>
      </c>
      <c r="H194" s="241" t="str">
        <f>(1-$G194/100)*kilng_n2</f>
        <v>60.1 </v>
      </c>
      <c r="I194" s="241" t="str">
        <f>(1-$G194/100)*kilng_o2</f>
        <v>3.3 </v>
      </c>
      <c r="J194" s="241" t="str">
        <f>kgaqua</f>
        <v>50.0 </v>
      </c>
      <c r="K194" s="241" t="str">
        <f t="shared" si="122"/>
        <v>#NAME?</v>
      </c>
      <c r="L194" s="1"/>
      <c r="M194" s="241" t="str">
        <f t="shared" si="115"/>
        <v>#NAME?</v>
      </c>
      <c r="N194" s="1"/>
      <c r="O194" s="241" t="str">
        <f t="shared" si="116"/>
        <v>#NAME?</v>
      </c>
      <c r="P194" s="1" t="str">
        <f t="shared" si="123"/>
        <v>0 </v>
      </c>
      <c r="Q194" s="1" t="str">
        <f>E194</f>
        <v>0 </v>
      </c>
      <c r="R194" s="243" t="str">
        <f>kgdust</f>
        <v>50 </v>
      </c>
      <c r="V194" s="1"/>
      <c r="Z194" s="4"/>
      <c r="AA194" s="19"/>
      <c r="AB194" s="4"/>
      <c r="AC194" s="214"/>
      <c r="AD194" s="19"/>
      <c r="AE194" s="4"/>
      <c r="AF194" s="4"/>
      <c r="AG194" s="4"/>
      <c r="AH194" s="4"/>
      <c r="AI194" s="4"/>
      <c r="AJ194" s="4"/>
      <c r="AK194" s="4"/>
      <c r="AM194" s="1"/>
    </row>
    <row r="195" ht="12.75" customHeight="1">
      <c r="A195" s="214" t="str">
        <f>MAX(case5_start:A194)+1</f>
        <v>5 </v>
      </c>
      <c r="B195" s="182" t="s">
        <v>82</v>
      </c>
      <c r="C195" s="84" t="str">
        <f t="shared" si="119"/>
        <v>0.000 </v>
      </c>
      <c r="D195" s="35" t="str">
        <f t="shared" si="120"/>
        <v>0.00 </v>
      </c>
      <c r="E195" s="1" t="str">
        <f>E193-E194</f>
        <v>0.01 </v>
      </c>
      <c r="F195" s="241" t="str">
        <f>(1-$G195/100)*kilng_co2</f>
        <v>30.4 </v>
      </c>
      <c r="G195" s="241" t="str">
        <f t="shared" si="121"/>
        <v>6.2 </v>
      </c>
      <c r="H195" s="241" t="str">
        <f>(1-$G195/100)*kilng_n2</f>
        <v>60.1 </v>
      </c>
      <c r="I195" s="241" t="str">
        <f>(1-$G195/100)*kilng_o2</f>
        <v>3.3 </v>
      </c>
      <c r="J195" s="241" t="str">
        <f>kgaqua</f>
        <v>50.0 </v>
      </c>
      <c r="K195" s="241" t="str">
        <f t="shared" si="122"/>
        <v>#NAME?</v>
      </c>
      <c r="L195" s="1"/>
      <c r="M195" s="241" t="str">
        <f t="shared" si="115"/>
        <v>#NAME?</v>
      </c>
      <c r="N195" s="1"/>
      <c r="O195" s="241" t="str">
        <f t="shared" si="116"/>
        <v>#NAME?</v>
      </c>
      <c r="P195" s="1" t="str">
        <f t="shared" si="123"/>
        <v>0 </v>
      </c>
      <c r="Q195" s="1" t="str">
        <f>Q193-Q194</f>
        <v>0.01 </v>
      </c>
      <c r="R195" s="243" t="str">
        <f>kgdust</f>
        <v>50 </v>
      </c>
      <c r="V195" s="1"/>
      <c r="Z195" s="4"/>
      <c r="AA195" s="19"/>
      <c r="AB195" s="4"/>
      <c r="AC195" s="214"/>
      <c r="AD195" s="19"/>
      <c r="AE195" s="4"/>
      <c r="AF195" s="4"/>
      <c r="AG195" s="4"/>
      <c r="AH195" s="4"/>
      <c r="AI195" s="4"/>
      <c r="AJ195" s="4"/>
      <c r="AK195" s="4"/>
      <c r="AM195" s="1"/>
    </row>
    <row r="196" ht="12.75" customHeight="1">
      <c r="A196" s="214" t="str">
        <f>MAX(case5_start:A195)+1</f>
        <v>6 </v>
      </c>
      <c r="B196" s="1" t="str">
        <f t="array" ref="B196">INDEX(array1,26,arrayindex)</f>
        <v>Cooler exhaust gases</v>
      </c>
      <c r="C196" s="84" t="str">
        <f t="shared" si="119"/>
        <v>#NAME?</v>
      </c>
      <c r="D196" s="35" t="str">
        <f t="shared" si="120"/>
        <v>0.00 </v>
      </c>
      <c r="E196" s="182" t="str">
        <f>coolergasmax</f>
        <v>0 </v>
      </c>
      <c r="F196" s="241">
        <v>0.0</v>
      </c>
      <c r="G196" s="241" t="str">
        <f t="shared" si="121"/>
        <v>#NAME?</v>
      </c>
      <c r="H196" s="241" t="str">
        <f>79*(100-G196)/100</f>
        <v>#NAME?</v>
      </c>
      <c r="I196" s="241" t="str">
        <f>(100-G196)*21/100</f>
        <v>#NAME?</v>
      </c>
      <c r="J196" s="35" t="str">
        <f>coolergasaqua</f>
        <v>#NAME?</v>
      </c>
      <c r="K196" s="241" t="str">
        <f>coolergastemp</f>
        <v>330.0 </v>
      </c>
      <c r="L196" s="1" t="str">
        <f>CTexittemp</f>
        <v>#REF!</v>
      </c>
      <c r="M196" s="241" t="str">
        <f>1000*(F196*(h_co2(K196)-h_co2(20))+G196*(h_h2ogas(K196)-h_h2ogas(20))+H196*(h_n2(K196)-h_n2(20))+I196*(h_o2(K196)-h_o2(20)))/100/22.41+cpCli(K196)*(K196-20)*R196/1000</f>
        <v>#NAME?</v>
      </c>
      <c r="N196" s="1" t="str">
        <f>1000*(F196*(h_co2(L196)-h_co2(20))+G196*(h_h2ogas(L196)-h_h2ogas(20))+H196*(h_n2(L196)-h_n2(20))+I196*(h_o2(L196)-h_o2(20)))/100/22.41+cpCli(L196)*(L196-20)*R196/1000</f>
        <v>#NAME?</v>
      </c>
      <c r="O196" s="241" t="str">
        <f t="shared" si="116"/>
        <v>#NAME?</v>
      </c>
      <c r="P196" s="1" t="str">
        <f t="shared" si="123"/>
        <v>#NAME?</v>
      </c>
      <c r="Q196" s="1" t="str">
        <f>coolergasmax</f>
        <v>0 </v>
      </c>
      <c r="R196" s="243" t="str">
        <f>coolergasdust</f>
        <v>30 </v>
      </c>
      <c r="V196" s="1"/>
      <c r="Z196" s="4"/>
      <c r="AA196" s="19"/>
      <c r="AB196" s="4"/>
      <c r="AC196" s="214"/>
      <c r="AD196" s="19"/>
      <c r="AE196" s="4"/>
      <c r="AF196" s="4"/>
      <c r="AG196" s="4"/>
      <c r="AH196" s="4"/>
      <c r="AI196" s="4"/>
      <c r="AJ196" s="4"/>
      <c r="AK196" s="4"/>
      <c r="AM196" s="1"/>
    </row>
    <row r="197" ht="12.75" customHeight="1">
      <c r="A197" s="214" t="str">
        <f>MAX(case5_start:A196)+1</f>
        <v>7 </v>
      </c>
      <c r="B197" s="245" t="str">
        <f t="array" ref="B197">CONCATENATE(INDEX(array1,61,arrayindex)," - ",INDEX(array1,74,arrayindex))</f>
        <v>Cooling tower - Inlet</v>
      </c>
      <c r="C197" s="84" t="str">
        <f t="shared" si="119"/>
        <v>#NAME?</v>
      </c>
      <c r="D197" s="35" t="str">
        <f t="shared" ref="D197:E197" si="124">SUM(D195:D196)</f>
        <v>0.00 </v>
      </c>
      <c r="E197" s="1" t="str">
        <f t="shared" si="124"/>
        <v>0.01 </v>
      </c>
      <c r="F197" s="35" t="str">
        <f t="shared" ref="F197:J197" si="125">IF($E197&gt;0,($E195*F195+$E196*F196)/$E197,F196)</f>
        <v>30.40 </v>
      </c>
      <c r="G197" s="35" t="str">
        <f t="shared" si="125"/>
        <v>#NAME?</v>
      </c>
      <c r="H197" s="35" t="str">
        <f t="shared" si="125"/>
        <v>#NAME?</v>
      </c>
      <c r="I197" s="35" t="str">
        <f t="shared" si="125"/>
        <v>#NAME?</v>
      </c>
      <c r="J197" s="35" t="str">
        <f t="shared" si="125"/>
        <v>#NAME?</v>
      </c>
      <c r="K197" s="241" t="str">
        <f>gasmix_2(C195:R195,C196:R196,12,0*kilnfanpower_s,2,_dustratio)</f>
        <v>#NAME?</v>
      </c>
      <c r="L197" s="1" t="str">
        <f>CTexittemp</f>
        <v>#REF!</v>
      </c>
      <c r="M197" s="241" t="str">
        <f>IF(E197&lt;&gt;0,1000*O197/E197,0)</f>
        <v>#NAME?</v>
      </c>
      <c r="N197" s="1"/>
      <c r="O197" s="241" t="str">
        <f>SUM(O195:O196)</f>
        <v>#NAME?</v>
      </c>
      <c r="Q197" s="1" t="str">
        <f>SUM(Q195:Q196)</f>
        <v>0.01 </v>
      </c>
      <c r="R197" s="243" t="str">
        <f>IF(E197&lt;&gt;0,1000000*D197/E197,0)</f>
        <v>50 </v>
      </c>
      <c r="V197" s="1"/>
      <c r="Z197" s="4"/>
      <c r="AA197" s="19"/>
      <c r="AB197" s="4"/>
      <c r="AC197" s="214"/>
      <c r="AD197" s="19"/>
      <c r="AE197" s="4"/>
      <c r="AF197" s="4"/>
      <c r="AG197" s="4"/>
      <c r="AH197" s="4"/>
      <c r="AI197" s="4"/>
      <c r="AJ197" s="4"/>
      <c r="AK197" s="4"/>
      <c r="AM197" s="1"/>
    </row>
    <row r="198" ht="12.75" customHeight="1">
      <c r="A198" s="214" t="str">
        <f>MAX(case5_start:A197)+1</f>
        <v>8 </v>
      </c>
      <c r="B198" s="245" t="str">
        <f t="array" ref="B198">CONCATENATE(INDEX(array1,21,arrayindex)," ",INDEX(array1,61,arrayindex))</f>
        <v>Water injection Cooling tower</v>
      </c>
      <c r="C198" s="84" t="str">
        <f>E198/1245</f>
        <v>0.001 </v>
      </c>
      <c r="D198" s="35"/>
      <c r="E198" s="1" t="str">
        <f>IF(ISNUMBER(ct_2(C197:R197,C199:R199,K198,E198,L198,1)),ct_2(C197:R197,C199:R199,K198,E198,L198,1),1)</f>
        <v>1 </v>
      </c>
      <c r="F198" s="241"/>
      <c r="G198" s="241">
        <v>100.0</v>
      </c>
      <c r="H198" s="241"/>
      <c r="I198" s="241"/>
      <c r="J198" s="241" t="str">
        <f>18000/22.41</f>
        <v>803.2 </v>
      </c>
      <c r="K198" s="241" t="str">
        <f>watertemp</f>
        <v>22.0 </v>
      </c>
      <c r="L198" s="1" t="str">
        <f>L197</f>
        <v>#REF!</v>
      </c>
      <c r="M198" s="241"/>
      <c r="N198" s="1"/>
      <c r="O198" s="241" t="str">
        <f>(EnthalpySatLiqTW(K198+273.16)-EnthalpySatLiqTW(293.16))*C198</f>
        <v>#NAME?</v>
      </c>
      <c r="P198" s="1" t="str">
        <f>(EnthalpySatVapTW(L198+273.16)-EnthalpySatLiqTW(293.16))*C198</f>
        <v>#NAME?</v>
      </c>
      <c r="Q198" s="1" t="str">
        <f t="shared" ref="Q198:Q199" si="126">E198</f>
        <v>1 </v>
      </c>
      <c r="R198" s="243"/>
      <c r="V198" s="1"/>
      <c r="Z198" s="4"/>
      <c r="AA198" s="19"/>
      <c r="AB198" s="4"/>
      <c r="AC198" s="214"/>
      <c r="AD198" s="19"/>
      <c r="AE198" s="4"/>
      <c r="AF198" s="4"/>
      <c r="AG198" s="4"/>
      <c r="AH198" s="4"/>
      <c r="AI198" s="4"/>
      <c r="AJ198" s="4"/>
      <c r="AK198" s="4"/>
      <c r="AM198" s="1"/>
    </row>
    <row r="199" ht="12.75" customHeight="1">
      <c r="A199" s="214" t="str">
        <f>MAX(case5_start:A198)+1</f>
        <v>9 </v>
      </c>
      <c r="B199" s="245" t="str">
        <f t="array" ref="B199">CONCATENATE(INDEX(array1,22,arrayindex)," ",INDEX(array1,61,arrayindex))</f>
        <v>False air rate Cooling tower</v>
      </c>
      <c r="C199" s="84" t="str">
        <f>J199*E199/1000000</f>
        <v>#NAME?</v>
      </c>
      <c r="D199" s="35" t="str">
        <f>E199*R199/1000000</f>
        <v>0.00 </v>
      </c>
      <c r="E199" s="1" t="str">
        <f>E197*fakct/100</f>
        <v>0 </v>
      </c>
      <c r="F199" s="241">
        <v>0.0</v>
      </c>
      <c r="G199" s="241" t="str">
        <f>J199*(22.41/18)/10</f>
        <v>#NAME?</v>
      </c>
      <c r="H199" s="241" t="str">
        <f>79*(100-G199)/100</f>
        <v>#NAME?</v>
      </c>
      <c r="I199" s="241" t="str">
        <f>(100-G199)*21/100</f>
        <v>#NAME?</v>
      </c>
      <c r="J199" s="241" t="str">
        <f>freshairaqua</f>
        <v>#NAME?</v>
      </c>
      <c r="K199" s="241" t="str">
        <f>freshairtemp</f>
        <v>20.0 </v>
      </c>
      <c r="L199" s="1" t="str">
        <f>L197</f>
        <v>#REF!</v>
      </c>
      <c r="M199" s="241" t="str">
        <f>1000*(F199*h_co2(K199)+G199*h_h2ogas(K199)+H199*h_n2(K199)+I199*h_o2(K199))/100/22.41</f>
        <v>#NAME?</v>
      </c>
      <c r="N199" s="1" t="str">
        <f>1000*(F199*h_co2(L199)+G199*h_h2ogas(L199)+H199*h_n2(L199)+I199*h_o2(L199))/100/22.41</f>
        <v>#NAME?</v>
      </c>
      <c r="O199" s="241" t="str">
        <f t="shared" ref="O199:O201" si="129">M199*E199/1000</f>
        <v>#NAME?</v>
      </c>
      <c r="P199" s="1" t="str">
        <f>N199*E199/1000</f>
        <v>#NAME?</v>
      </c>
      <c r="Q199" s="1" t="str">
        <f t="shared" si="126"/>
        <v>0 </v>
      </c>
      <c r="R199" s="243"/>
      <c r="V199" s="1"/>
      <c r="Z199" s="4"/>
      <c r="AA199" s="19"/>
      <c r="AB199" s="4"/>
      <c r="AC199" s="214"/>
      <c r="AD199" s="19"/>
      <c r="AE199" s="4"/>
      <c r="AF199" s="4"/>
      <c r="AG199" s="4"/>
      <c r="AH199" s="4"/>
      <c r="AI199" s="4"/>
      <c r="AJ199" s="4"/>
      <c r="AK199" s="4"/>
      <c r="AM199" s="1"/>
    </row>
    <row r="200" ht="12.75" customHeight="1">
      <c r="A200" s="214" t="str">
        <f>MAX(case5_start:A199)+1</f>
        <v>10 </v>
      </c>
      <c r="B200" s="245" t="str">
        <f t="array" ref="B200">INDEX(array1,78,arrayindex)</f>
        <v>Gases after CT</v>
      </c>
      <c r="C200" s="84" t="str">
        <f t="shared" ref="C200:E200" si="127">SUM(C197:C199)</f>
        <v>#NAME?</v>
      </c>
      <c r="D200" s="35" t="str">
        <f t="shared" si="127"/>
        <v>0.00 </v>
      </c>
      <c r="E200" s="1" t="str">
        <f t="shared" si="127"/>
        <v>1.01 </v>
      </c>
      <c r="F200" s="241" t="str">
        <f t="shared" ref="F200:J200" si="128">IF($E200&gt;0,($E197*F197+$E198*F198+$E199*F199)/$E200,F197)</f>
        <v>0.3 </v>
      </c>
      <c r="G200" s="241" t="str">
        <f t="shared" si="128"/>
        <v>#NAME?</v>
      </c>
      <c r="H200" s="241" t="str">
        <f t="shared" si="128"/>
        <v>#NAME?</v>
      </c>
      <c r="I200" s="241" t="str">
        <f t="shared" si="128"/>
        <v>#NAME?</v>
      </c>
      <c r="J200" s="241" t="str">
        <f t="shared" si="128"/>
        <v>#NAME?</v>
      </c>
      <c r="K200" s="241" t="str">
        <f>CTexittemp</f>
        <v>#REF!</v>
      </c>
      <c r="L200" s="241" t="str">
        <f>IF(ISNUMBER(ct_2(C197:R197,C199:R199,K198,0,L198,2)),ct_2(C197:R197,C199:R199,K198,0,L198,2),K200)</f>
        <v>#REF!</v>
      </c>
      <c r="M200" s="241" t="str">
        <f t="shared" ref="M200:M202" si="131">1000*(F200*(h_co2(K200)-h_co2(20))+G200*(h_h2ogas(K200)-h_h2ogas(20))+H200*(h_n2(K200)-h_n2(20))+I200*(h_o2(K200)-h_o2(20)))/100/22.41+cpRM(K200)*(K200-20)*R200/1000</f>
        <v>#NAME?</v>
      </c>
      <c r="N200" s="1"/>
      <c r="O200" s="241" t="str">
        <f t="shared" si="129"/>
        <v>#NAME?</v>
      </c>
      <c r="Q200" s="1" t="str">
        <f>SUM(Q197:Q199)</f>
        <v>1.01 </v>
      </c>
      <c r="R200" s="243" t="str">
        <f>IF($E200&gt;0,($E197*R197+$E198*R198+$E199*R199)/$E200,R197)</f>
        <v>0.495049505 </v>
      </c>
      <c r="V200" s="1"/>
      <c r="Z200" s="4"/>
      <c r="AA200" s="19"/>
      <c r="AB200" s="4"/>
      <c r="AC200" s="214"/>
      <c r="AD200" s="19"/>
      <c r="AE200" s="4"/>
      <c r="AF200" s="4"/>
      <c r="AG200" s="4"/>
      <c r="AH200" s="4"/>
      <c r="AI200" s="4"/>
      <c r="AJ200" s="4"/>
      <c r="AK200" s="4"/>
      <c r="AM200" s="1"/>
    </row>
    <row r="201" ht="12.75" customHeight="1">
      <c r="A201" s="214" t="str">
        <f>IF(_coalm_pos=2,MAX(case5_start:A200)+1,0)</f>
        <v>0 </v>
      </c>
      <c r="B201" s="1" t="str">
        <f t="array" ref="B201">INDEX(array1,73,arrayindex)</f>
        <v>Coalmill</v>
      </c>
      <c r="C201" s="84" t="str">
        <f t="shared" ref="C201:C202" si="132">J201*E201/1000000</f>
        <v>#NAME?</v>
      </c>
      <c r="D201" s="35" t="str">
        <f t="shared" ref="D201:D202" si="133">E201*R201/1000000</f>
        <v>0.00 </v>
      </c>
      <c r="E201" s="1" t="str">
        <f>IF(OR(_coalm_pos=0,_coalm_pos=2),_coalm_gasamount,0)</f>
        <v>0 </v>
      </c>
      <c r="F201" s="241" t="str">
        <f t="shared" ref="F201:K201" si="130">F200</f>
        <v>0.3 </v>
      </c>
      <c r="G201" s="241" t="str">
        <f t="shared" si="130"/>
        <v>#NAME?</v>
      </c>
      <c r="H201" s="241" t="str">
        <f t="shared" si="130"/>
        <v>#NAME?</v>
      </c>
      <c r="I201" s="241" t="str">
        <f t="shared" si="130"/>
        <v>#NAME?</v>
      </c>
      <c r="J201" s="241" t="str">
        <f t="shared" si="130"/>
        <v>#NAME?</v>
      </c>
      <c r="K201" s="241" t="str">
        <f t="shared" si="130"/>
        <v>#REF!</v>
      </c>
      <c r="L201" s="1"/>
      <c r="M201" s="241" t="str">
        <f t="shared" si="131"/>
        <v>#NAME?</v>
      </c>
      <c r="N201" s="1"/>
      <c r="O201" s="241" t="str">
        <f t="shared" si="129"/>
        <v>#NAME?</v>
      </c>
      <c r="Q201" s="1" t="str">
        <f>E201</f>
        <v>0 </v>
      </c>
      <c r="R201" s="243" t="str">
        <f t="shared" ref="R201:R202" si="135">R200</f>
        <v>0.495049505 </v>
      </c>
      <c r="V201" s="1"/>
      <c r="Z201" s="4"/>
      <c r="AA201" s="19"/>
      <c r="AB201" s="4"/>
      <c r="AC201" s="214"/>
      <c r="AD201" s="19"/>
      <c r="AE201" s="4"/>
      <c r="AF201" s="4"/>
      <c r="AG201" s="4"/>
      <c r="AH201" s="4"/>
      <c r="AI201" s="4"/>
      <c r="AJ201" s="4"/>
      <c r="AK201" s="4"/>
      <c r="AM201" s="1"/>
    </row>
    <row r="202" ht="12.75" customHeight="1">
      <c r="A202" s="214" t="str">
        <f>MAX(case5_start:A201)+1</f>
        <v>11 </v>
      </c>
      <c r="B202" s="245" t="str">
        <f t="array" ref="B202">IF(it_v1=TRUE,INDEX(array1,121,arrayindex),"Excess gas")</f>
        <v>Excess gas</v>
      </c>
      <c r="C202" s="84" t="str">
        <f t="shared" si="132"/>
        <v>#NAME?</v>
      </c>
      <c r="D202" s="35" t="str">
        <f t="shared" si="133"/>
        <v>0.00 </v>
      </c>
      <c r="E202" s="1" t="str">
        <f>E200-E201</f>
        <v>1.01 </v>
      </c>
      <c r="F202" s="241" t="str">
        <f t="shared" ref="F202:K202" si="134">F201</f>
        <v>0.3 </v>
      </c>
      <c r="G202" s="241" t="str">
        <f t="shared" si="134"/>
        <v>#NAME?</v>
      </c>
      <c r="H202" s="241" t="str">
        <f t="shared" si="134"/>
        <v>#NAME?</v>
      </c>
      <c r="I202" s="241" t="str">
        <f t="shared" si="134"/>
        <v>#NAME?</v>
      </c>
      <c r="J202" s="241" t="str">
        <f t="shared" si="134"/>
        <v>#NAME?</v>
      </c>
      <c r="K202" s="241" t="str">
        <f t="shared" si="134"/>
        <v>#REF!</v>
      </c>
      <c r="L202" s="1"/>
      <c r="M202" s="241" t="str">
        <f t="shared" si="131"/>
        <v>#NAME?</v>
      </c>
      <c r="N202" s="1"/>
      <c r="O202" s="241" t="str">
        <f>O200-O201</f>
        <v>#NAME?</v>
      </c>
      <c r="Q202" s="1" t="str">
        <f>Q200-Q201</f>
        <v>1.01 </v>
      </c>
      <c r="R202" s="243" t="str">
        <f t="shared" si="135"/>
        <v>0.495049505 </v>
      </c>
      <c r="V202" s="1"/>
      <c r="Z202" s="4"/>
      <c r="AA202" s="19"/>
      <c r="AB202" s="4"/>
      <c r="AC202" s="214"/>
      <c r="AD202" s="19"/>
      <c r="AE202" s="4"/>
      <c r="AF202" s="4"/>
      <c r="AG202" s="4"/>
      <c r="AH202" s="4"/>
      <c r="AI202" s="4"/>
      <c r="AJ202" s="4"/>
      <c r="AK202" s="4"/>
      <c r="AM202" s="1"/>
    </row>
    <row r="203" ht="12.75" customHeight="1">
      <c r="A203" s="214"/>
      <c r="B203" s="245"/>
      <c r="C203" s="84"/>
      <c r="D203" s="35"/>
      <c r="E203" s="1"/>
      <c r="F203" s="241"/>
      <c r="G203" s="241"/>
      <c r="H203" s="241"/>
      <c r="I203" s="241"/>
      <c r="J203" s="241"/>
      <c r="K203" s="241"/>
      <c r="L203" s="1"/>
      <c r="M203" s="241"/>
      <c r="N203" s="1"/>
      <c r="O203" s="241"/>
      <c r="R203" s="4"/>
      <c r="V203" s="1"/>
      <c r="Z203" s="4"/>
      <c r="AA203" s="19"/>
      <c r="AB203" s="4"/>
      <c r="AC203" s="214"/>
      <c r="AD203" s="19"/>
      <c r="AE203" s="4"/>
      <c r="AF203" s="4"/>
      <c r="AG203" s="4"/>
      <c r="AH203" s="4"/>
      <c r="AI203" s="4"/>
      <c r="AJ203" s="4"/>
      <c r="AK203" s="4"/>
      <c r="AM203" s="1"/>
    </row>
    <row r="204" ht="12.75" customHeight="1">
      <c r="A204" s="214"/>
      <c r="B204" s="245"/>
      <c r="C204" s="84"/>
      <c r="D204" s="35"/>
      <c r="E204" s="1"/>
      <c r="F204" s="241"/>
      <c r="G204" s="241"/>
      <c r="H204" s="241"/>
      <c r="I204" s="241"/>
      <c r="J204" s="241"/>
      <c r="K204" s="241"/>
      <c r="L204" s="1"/>
      <c r="M204" s="241"/>
      <c r="N204" s="1"/>
      <c r="O204" s="241"/>
      <c r="R204" s="4"/>
      <c r="V204" s="1"/>
      <c r="Z204" s="4"/>
      <c r="AA204" s="19"/>
      <c r="AB204" s="4"/>
      <c r="AC204" s="214"/>
      <c r="AD204" s="19"/>
      <c r="AE204" s="4"/>
      <c r="AF204" s="4"/>
      <c r="AG204" s="4"/>
      <c r="AH204" s="4"/>
      <c r="AI204" s="4"/>
      <c r="AJ204" s="4"/>
      <c r="AK204" s="4"/>
      <c r="AM204" s="1"/>
    </row>
    <row r="205" ht="12.75" customHeight="1">
      <c r="A205" s="1"/>
      <c r="B205" s="238" t="s">
        <v>83</v>
      </c>
      <c r="C205" s="84"/>
      <c r="D205" s="35"/>
      <c r="E205" s="1"/>
      <c r="F205" s="241"/>
      <c r="G205" s="241"/>
      <c r="H205" s="241"/>
      <c r="I205" s="241"/>
      <c r="J205" s="241"/>
      <c r="K205" s="241"/>
      <c r="L205" s="1"/>
      <c r="M205" s="241"/>
      <c r="N205" s="1"/>
      <c r="O205" s="241"/>
      <c r="R205" s="4"/>
      <c r="V205" s="1"/>
      <c r="Z205" s="4"/>
      <c r="AA205" s="19"/>
      <c r="AB205" s="4"/>
      <c r="AC205" s="214"/>
      <c r="AD205" s="19"/>
      <c r="AE205" s="4"/>
      <c r="AF205" s="4"/>
      <c r="AG205" s="4"/>
      <c r="AH205" s="4"/>
      <c r="AI205" s="4"/>
      <c r="AJ205" s="4"/>
      <c r="AK205" s="4"/>
      <c r="AM205" s="1"/>
    </row>
    <row r="206" ht="12.75" customHeight="1">
      <c r="A206" s="214">
        <v>1.0</v>
      </c>
      <c r="B206" s="1" t="str">
        <f t="array" ref="B206">INDEX(array1,34,arrayindex)</f>
        <v>Kiln exhaust gases after PH</v>
      </c>
      <c r="C206" s="84" t="str">
        <f>J206*E206/1000000</f>
        <v>0.000 </v>
      </c>
      <c r="D206" s="35" t="str">
        <f>E206*R206/1000000</f>
        <v>0.00 </v>
      </c>
      <c r="E206" s="1" t="str">
        <f>kgmax</f>
        <v>0.01 </v>
      </c>
      <c r="F206" s="241" t="str">
        <f>(1-$G206/100)*kilng_co2</f>
        <v>30.4 </v>
      </c>
      <c r="G206" s="241" t="str">
        <f>J206*(22.41/18)/10</f>
        <v>6.2 </v>
      </c>
      <c r="H206" s="241" t="str">
        <f>(1-$G206/100)*kilng_n2</f>
        <v>60.1 </v>
      </c>
      <c r="I206" s="241" t="str">
        <f>(1-$G206/100)*kilng_o2</f>
        <v>3.3 </v>
      </c>
      <c r="J206" s="241" t="str">
        <f>kgaqua</f>
        <v>50.0 </v>
      </c>
      <c r="K206" s="241" t="str">
        <f>kgtemp</f>
        <v>360.0 </v>
      </c>
      <c r="L206" s="1" t="str">
        <f>CTexittemp</f>
        <v>#REF!</v>
      </c>
      <c r="M206" s="241" t="str">
        <f t="shared" ref="M206:M209" si="137">1000*(F206*(h_co2(K206)-h_co2(20))+G206*(h_h2ogas(K206)-h_h2ogas(20))+H206*(h_n2(K206)-h_n2(20))+I206*(h_o2(K206)-h_o2(20)))/100/22.41+cpRM(K206)*(K206-20)*R206/1000</f>
        <v>#NAME?</v>
      </c>
      <c r="N206" s="1" t="str">
        <f>1000*(F206*(h_co2(L206)-h_co2(20))+G206*(h_h2ogas(L206)-h_h2ogas(20))+H206*(h_n2(L206)-h_n2(20))+I206*(h_o2(L206)-h_o2(20)))/100/22.41+cpRM(L206)*(L206-20)*R206/1000</f>
        <v>#NAME?</v>
      </c>
      <c r="O206" s="241" t="str">
        <f t="shared" ref="O206:O210" si="138">M206*E206/1000</f>
        <v>#NAME?</v>
      </c>
      <c r="P206" s="1" t="str">
        <f>N206*E206/1000</f>
        <v>#NAME?</v>
      </c>
      <c r="Q206" s="1" t="str">
        <f>kgmax</f>
        <v>0.01 </v>
      </c>
      <c r="R206" s="243" t="str">
        <f>kgdust</f>
        <v>50 </v>
      </c>
      <c r="V206" s="1"/>
      <c r="Z206" s="4"/>
      <c r="AA206" s="19"/>
      <c r="AB206" s="4"/>
      <c r="AC206" s="214"/>
      <c r="AD206" s="19"/>
      <c r="AE206" s="4"/>
      <c r="AF206" s="4"/>
      <c r="AG206" s="4"/>
      <c r="AH206" s="4"/>
      <c r="AI206" s="4"/>
      <c r="AJ206" s="4"/>
      <c r="AK206" s="4"/>
      <c r="AM206" s="1"/>
    </row>
    <row r="207" ht="12.75" customHeight="1">
      <c r="A207" s="214" t="str">
        <f>MAX(case6_start:A206)+1</f>
        <v>2 </v>
      </c>
      <c r="B207" s="245" t="str">
        <f t="array" ref="B207">CONCATENATE(INDEX(array1,77,arrayindex)," - ",INDEX(array1,75,arrayindex))</f>
        <v>Kiln fan - Outlet</v>
      </c>
      <c r="C207" s="84" t="str">
        <f t="shared" ref="C207:J207" si="136">C206</f>
        <v>0.000 </v>
      </c>
      <c r="D207" s="35" t="str">
        <f t="shared" si="136"/>
        <v>0.00 </v>
      </c>
      <c r="E207" s="1" t="str">
        <f t="shared" si="136"/>
        <v>0.01 </v>
      </c>
      <c r="F207" s="241" t="str">
        <f t="shared" si="136"/>
        <v>30.4 </v>
      </c>
      <c r="G207" s="241" t="str">
        <f t="shared" si="136"/>
        <v>6.2 </v>
      </c>
      <c r="H207" s="241" t="str">
        <f t="shared" si="136"/>
        <v>60.1 </v>
      </c>
      <c r="I207" s="241" t="str">
        <f t="shared" si="136"/>
        <v>3.3 </v>
      </c>
      <c r="J207" s="241" t="str">
        <f t="shared" si="136"/>
        <v>50.0 </v>
      </c>
      <c r="K207" s="247" t="str">
        <f>gasmix_2(C206:R206,C206:R206,111,kilnfanpower_s,2,_dustratio)</f>
        <v>#NAME?</v>
      </c>
      <c r="L207" s="1"/>
      <c r="M207" s="241" t="str">
        <f t="shared" si="137"/>
        <v>#NAME?</v>
      </c>
      <c r="N207" s="1"/>
      <c r="O207" s="241" t="str">
        <f t="shared" si="138"/>
        <v>#NAME?</v>
      </c>
      <c r="Q207" s="1" t="str">
        <f t="shared" ref="Q207:R207" si="139">Q206</f>
        <v>0.01 </v>
      </c>
      <c r="R207" s="243" t="str">
        <f t="shared" si="139"/>
        <v>50 </v>
      </c>
      <c r="V207" s="1"/>
      <c r="Z207" s="4"/>
      <c r="AA207" s="19"/>
      <c r="AB207" s="4"/>
      <c r="AC207" s="214"/>
      <c r="AD207" s="19"/>
      <c r="AE207" s="4"/>
      <c r="AF207" s="4"/>
      <c r="AG207" s="4"/>
      <c r="AH207" s="4"/>
      <c r="AI207" s="4"/>
      <c r="AJ207" s="4"/>
      <c r="AK207" s="4"/>
      <c r="AM207" s="1"/>
    </row>
    <row r="208" ht="12.75" customHeight="1">
      <c r="A208" s="214" t="str">
        <f>IF(OR(_coalm_pos=1,_coalm_pos=3),MAX(case6_start:A207)+1,0)</f>
        <v>0 </v>
      </c>
      <c r="B208" s="1" t="str">
        <f t="array" ref="B208">INDEX(array1,73,arrayindex)</f>
        <v>Coalmill</v>
      </c>
      <c r="C208" s="84" t="str">
        <f t="shared" ref="C208:C213" si="141">J208*E208/1000000</f>
        <v>0.000 </v>
      </c>
      <c r="D208" s="35" t="str">
        <f t="shared" ref="D208:D210" si="142">E208*R208/1000000</f>
        <v>0.00 </v>
      </c>
      <c r="E208" s="1" t="str">
        <f>IF(OR(_coalm_pos=1,_coalm_pos=3),_coalm_gasamount,0)</f>
        <v>0 </v>
      </c>
      <c r="F208" s="241" t="str">
        <f t="shared" ref="F208:K208" si="140">F207</f>
        <v>30.4 </v>
      </c>
      <c r="G208" s="241" t="str">
        <f t="shared" si="140"/>
        <v>6.2 </v>
      </c>
      <c r="H208" s="241" t="str">
        <f t="shared" si="140"/>
        <v>60.1 </v>
      </c>
      <c r="I208" s="241" t="str">
        <f t="shared" si="140"/>
        <v>3.3 </v>
      </c>
      <c r="J208" s="241" t="str">
        <f t="shared" si="140"/>
        <v>50.0 </v>
      </c>
      <c r="K208" s="241" t="str">
        <f t="shared" si="140"/>
        <v>#NAME?</v>
      </c>
      <c r="L208" s="1"/>
      <c r="M208" s="241" t="str">
        <f t="shared" si="137"/>
        <v>#NAME?</v>
      </c>
      <c r="N208" s="1"/>
      <c r="O208" s="241" t="str">
        <f t="shared" si="138"/>
        <v>#NAME?</v>
      </c>
      <c r="Q208" s="1" t="str">
        <f>E208</f>
        <v>0 </v>
      </c>
      <c r="R208" s="243" t="str">
        <f>R207</f>
        <v>50 </v>
      </c>
      <c r="V208" s="1"/>
      <c r="Z208" s="4"/>
      <c r="AA208" s="19"/>
      <c r="AB208" s="4"/>
      <c r="AC208" s="214"/>
      <c r="AD208" s="19"/>
      <c r="AE208" s="4"/>
      <c r="AF208" s="4"/>
      <c r="AG208" s="4"/>
      <c r="AH208" s="4"/>
      <c r="AI208" s="4"/>
      <c r="AJ208" s="4"/>
      <c r="AK208" s="4"/>
      <c r="AM208" s="1"/>
    </row>
    <row r="209" ht="12.75" customHeight="1">
      <c r="A209" s="214" t="str">
        <f>MAX(case6_start:A208)+1</f>
        <v>3 </v>
      </c>
      <c r="B209" s="182" t="str">
        <f t="array" ref="B209">IF(E209&gt;=0,INDEX(array1,79,arrayindex),"invalid : flow is less than Zero")</f>
        <v>residual</v>
      </c>
      <c r="C209" s="84" t="str">
        <f t="shared" si="141"/>
        <v>0.000 </v>
      </c>
      <c r="D209" s="35" t="str">
        <f t="shared" si="142"/>
        <v>0.00 </v>
      </c>
      <c r="E209" s="1" t="str">
        <f>E207-E208</f>
        <v>0.01 </v>
      </c>
      <c r="F209" s="241" t="str">
        <f>(1-$G209/100)*kilng_co2</f>
        <v>30.4 </v>
      </c>
      <c r="G209" s="241" t="str">
        <f t="shared" ref="G209:G210" si="143">J209*(22.41/18)/10</f>
        <v>6.2 </v>
      </c>
      <c r="H209" s="241" t="str">
        <f>(1-$G209/100)*kilng_n2</f>
        <v>60.1 </v>
      </c>
      <c r="I209" s="241" t="str">
        <f>(1-$G209/100)*kilng_o2</f>
        <v>3.3 </v>
      </c>
      <c r="J209" s="241" t="str">
        <f>kgaqua</f>
        <v>50.0 </v>
      </c>
      <c r="K209" s="241" t="str">
        <f>K208</f>
        <v>#NAME?</v>
      </c>
      <c r="L209" s="1"/>
      <c r="M209" s="241" t="str">
        <f t="shared" si="137"/>
        <v>#NAME?</v>
      </c>
      <c r="N209" s="1"/>
      <c r="O209" s="241" t="str">
        <f t="shared" si="138"/>
        <v>#NAME?</v>
      </c>
      <c r="P209" s="1" t="str">
        <f t="shared" ref="P209:P210" si="144">N209*E209/1000</f>
        <v>0 </v>
      </c>
      <c r="Q209" s="1" t="str">
        <f>Q207-Q208</f>
        <v>0.01 </v>
      </c>
      <c r="R209" s="243" t="str">
        <f>kgdust</f>
        <v>50 </v>
      </c>
      <c r="V209" s="1"/>
      <c r="Z209" s="4"/>
      <c r="AA209" s="19"/>
      <c r="AB209" s="4"/>
      <c r="AC209" s="214"/>
      <c r="AD209" s="19"/>
      <c r="AE209" s="4"/>
      <c r="AF209" s="4"/>
      <c r="AG209" s="4"/>
      <c r="AH209" s="4"/>
      <c r="AI209" s="4"/>
      <c r="AJ209" s="4"/>
      <c r="AK209" s="4"/>
      <c r="AM209" s="1"/>
    </row>
    <row r="210" ht="12.75" customHeight="1">
      <c r="A210" s="214" t="str">
        <f>MAX(case6_start:A209)+1</f>
        <v>4 </v>
      </c>
      <c r="B210" s="1" t="str">
        <f t="array" ref="B210">INDEX(array1,26,arrayindex)</f>
        <v>Cooler exhaust gases</v>
      </c>
      <c r="C210" s="84" t="str">
        <f t="shared" si="141"/>
        <v>#NAME?</v>
      </c>
      <c r="D210" s="35" t="str">
        <f t="shared" si="142"/>
        <v>0.00 </v>
      </c>
      <c r="E210" s="182" t="str">
        <f>coolergasmax</f>
        <v>0 </v>
      </c>
      <c r="F210" s="241">
        <v>0.0</v>
      </c>
      <c r="G210" s="241" t="str">
        <f t="shared" si="143"/>
        <v>#NAME?</v>
      </c>
      <c r="H210" s="241" t="str">
        <f>79*(100-G210)/100</f>
        <v>#NAME?</v>
      </c>
      <c r="I210" s="241" t="str">
        <f>(100-G210)*21/100</f>
        <v>#NAME?</v>
      </c>
      <c r="J210" s="35" t="str">
        <f>coolergasaqua</f>
        <v>#NAME?</v>
      </c>
      <c r="K210" s="241" t="str">
        <f>coolergastemp</f>
        <v>330.0 </v>
      </c>
      <c r="L210" s="1" t="str">
        <f>CTexittemp</f>
        <v>#REF!</v>
      </c>
      <c r="M210" s="241" t="str">
        <f t="shared" ref="M210:M213" si="147">1000*(F210*(h_co2(K210)-h_co2(20))+G210*(h_h2ogas(K210)-h_h2ogas(20))+H210*(h_n2(K210)-h_n2(20))+I210*(h_o2(K210)-h_o2(20)))/100/22.41+cpCli(K210)*(K210-20)*R210/1000</f>
        <v>#NAME?</v>
      </c>
      <c r="N210" s="1" t="str">
        <f>1000*(F210*(h_co2(L210)-h_co2(20))+G210*(h_h2ogas(L210)-h_h2ogas(20))+H210*(h_n2(L210)-h_n2(20))+I210*(h_o2(L210)-h_o2(20)))/100/22.41+cpCli(L210)*(L210-20)*R210/1000</f>
        <v>#NAME?</v>
      </c>
      <c r="O210" s="241" t="str">
        <f t="shared" si="138"/>
        <v>#NAME?</v>
      </c>
      <c r="P210" s="1" t="str">
        <f t="shared" si="144"/>
        <v>#NAME?</v>
      </c>
      <c r="Q210" s="1" t="str">
        <f>coolergasmax</f>
        <v>0 </v>
      </c>
      <c r="R210" s="243" t="str">
        <f>coolergasdust</f>
        <v>30 </v>
      </c>
      <c r="V210" s="1"/>
      <c r="Z210" s="4"/>
      <c r="AA210" s="19"/>
      <c r="AB210" s="4"/>
      <c r="AC210" s="214"/>
      <c r="AD210" s="19"/>
      <c r="AE210" s="4"/>
      <c r="AF210" s="4"/>
      <c r="AG210" s="4"/>
      <c r="AH210" s="4"/>
      <c r="AI210" s="4"/>
      <c r="AJ210" s="4"/>
      <c r="AK210" s="4"/>
      <c r="AM210" s="1"/>
    </row>
    <row r="211" ht="12.75" customHeight="1">
      <c r="A211" s="214" t="str">
        <f>MAX(case6_start:A210)+1</f>
        <v>5 </v>
      </c>
      <c r="B211" s="245" t="str">
        <f t="array" ref="B211">CONCATENATE(INDEX(array1,20,arrayindex)," - ",INDEX(array1,23,arrayindex))</f>
        <v>Mill - Available gases</v>
      </c>
      <c r="C211" s="84" t="str">
        <f t="shared" si="141"/>
        <v>#NAME?</v>
      </c>
      <c r="D211" s="35" t="str">
        <f t="shared" ref="D211:E211" si="145">SUM(D209:D210)</f>
        <v>0.00 </v>
      </c>
      <c r="E211" s="35" t="str">
        <f t="shared" si="145"/>
        <v>0.01 </v>
      </c>
      <c r="F211" s="35" t="str">
        <f t="shared" ref="F211:J211" si="146">IF($E211&gt;0,($E209*F209+$E210*F210)/$E211,F209)</f>
        <v>30.40 </v>
      </c>
      <c r="G211" s="35" t="str">
        <f t="shared" si="146"/>
        <v>#NAME?</v>
      </c>
      <c r="H211" s="35" t="str">
        <f t="shared" si="146"/>
        <v>#NAME?</v>
      </c>
      <c r="I211" s="35" t="str">
        <f t="shared" si="146"/>
        <v>#NAME?</v>
      </c>
      <c r="J211" s="35" t="str">
        <f t="shared" si="146"/>
        <v>#NAME?</v>
      </c>
      <c r="K211" s="241" t="str">
        <f>gasmix_2(C209:R209,C210:R210,12,0*kilnfanpower_s,2,_dustratio)</f>
        <v>#NAME?</v>
      </c>
      <c r="L211" s="1"/>
      <c r="M211" s="241" t="str">
        <f t="shared" si="147"/>
        <v>#NAME?</v>
      </c>
      <c r="N211" s="1"/>
      <c r="O211" s="241"/>
      <c r="Q211" s="1" t="str">
        <f>SUM(Q209:Q210)</f>
        <v>0.01 </v>
      </c>
      <c r="R211" s="243" t="str">
        <f>IF($E211&gt;0,($E209*R209+$E210*R210)/$E211,R209)</f>
        <v>50 </v>
      </c>
      <c r="V211" s="1"/>
      <c r="Z211" s="4"/>
      <c r="AA211" s="19"/>
      <c r="AB211" s="4"/>
      <c r="AC211" s="214"/>
      <c r="AD211" s="19"/>
      <c r="AE211" s="4"/>
      <c r="AF211" s="4"/>
      <c r="AG211" s="4"/>
      <c r="AH211" s="4"/>
      <c r="AI211" s="4"/>
      <c r="AJ211" s="4"/>
      <c r="AK211" s="4"/>
      <c r="AM211" s="1"/>
    </row>
    <row r="212" ht="12.75" customHeight="1">
      <c r="A212" s="214" t="str">
        <f>MAX(case6_start:A211)+1</f>
        <v>6 </v>
      </c>
      <c r="B212" s="1" t="str">
        <f t="array" ref="B212">INDEX(array1,120,arrayindex)</f>
        <v>Gas to mill</v>
      </c>
      <c r="C212" s="84" t="str">
        <f t="shared" si="141"/>
        <v>#NAME?</v>
      </c>
      <c r="D212" s="35" t="str">
        <f t="shared" ref="D212:D213" si="149">E212*R212/1000000</f>
        <v>0.00 </v>
      </c>
      <c r="E212" s="4" t="str">
        <f>IF(ISNUMBER(E$235),E$235,0)</f>
        <v>0 </v>
      </c>
      <c r="F212" s="35" t="str">
        <f t="shared" ref="F212:K212" si="148">F211</f>
        <v>30.40 </v>
      </c>
      <c r="G212" s="35" t="str">
        <f t="shared" si="148"/>
        <v>#NAME?</v>
      </c>
      <c r="H212" s="35" t="str">
        <f t="shared" si="148"/>
        <v>#NAME?</v>
      </c>
      <c r="I212" s="35" t="str">
        <f t="shared" si="148"/>
        <v>#NAME?</v>
      </c>
      <c r="J212" s="35" t="str">
        <f t="shared" si="148"/>
        <v>#NAME?</v>
      </c>
      <c r="K212" s="241" t="str">
        <f t="shared" si="148"/>
        <v>#NAME?</v>
      </c>
      <c r="L212" s="1" t="str">
        <f>CTexittemp</f>
        <v>#REF!</v>
      </c>
      <c r="M212" s="241" t="str">
        <f t="shared" si="147"/>
        <v>#NAME?</v>
      </c>
      <c r="N212" s="1"/>
      <c r="O212" s="241" t="str">
        <f t="shared" ref="O212:O213" si="151">M212*E212/1000</f>
        <v>#NAME?</v>
      </c>
      <c r="Q212" s="1" t="str">
        <f>E212</f>
        <v>0 </v>
      </c>
      <c r="R212" s="243" t="str">
        <f t="shared" ref="R212:R213" si="152">R211</f>
        <v>50 </v>
      </c>
      <c r="V212" s="1"/>
      <c r="Z212" s="4"/>
      <c r="AA212" s="19"/>
      <c r="AB212" s="4"/>
      <c r="AC212" s="214"/>
      <c r="AD212" s="19"/>
      <c r="AE212" s="4"/>
      <c r="AF212" s="4"/>
      <c r="AG212" s="4"/>
      <c r="AH212" s="4"/>
      <c r="AI212" s="4"/>
      <c r="AJ212" s="4"/>
      <c r="AK212" s="4"/>
      <c r="AM212" s="1"/>
    </row>
    <row r="213" ht="12.75" customHeight="1">
      <c r="A213" s="214" t="str">
        <f>MAX(case6_start:A212)+1</f>
        <v>7 </v>
      </c>
      <c r="B213" s="245" t="str">
        <f t="array" ref="B213">CONCATENATE(INDEX(array1,61,arrayindex)," - ",INDEX(array1,74,arrayindex))</f>
        <v>Cooling tower - Inlet</v>
      </c>
      <c r="C213" s="84" t="str">
        <f t="shared" si="141"/>
        <v>#NAME?</v>
      </c>
      <c r="D213" s="35" t="str">
        <f t="shared" si="149"/>
        <v>0.00 </v>
      </c>
      <c r="E213" s="1" t="str">
        <f>E211-E212</f>
        <v>0.01 </v>
      </c>
      <c r="F213" s="35" t="str">
        <f t="shared" ref="F213:K213" si="150">F212</f>
        <v>30.40 </v>
      </c>
      <c r="G213" s="35" t="str">
        <f t="shared" si="150"/>
        <v>#NAME?</v>
      </c>
      <c r="H213" s="35" t="str">
        <f t="shared" si="150"/>
        <v>#NAME?</v>
      </c>
      <c r="I213" s="35" t="str">
        <f t="shared" si="150"/>
        <v>#NAME?</v>
      </c>
      <c r="J213" s="35" t="str">
        <f t="shared" si="150"/>
        <v>#NAME?</v>
      </c>
      <c r="K213" s="241" t="str">
        <f t="shared" si="150"/>
        <v>#NAME?</v>
      </c>
      <c r="L213" s="1" t="str">
        <f>CTexittemp</f>
        <v>#REF!</v>
      </c>
      <c r="M213" s="241" t="str">
        <f t="shared" si="147"/>
        <v>#NAME?</v>
      </c>
      <c r="N213" s="1" t="str">
        <f>1000*(F213*(h_co2(L213)-h_co2(20))+G213*(h_h2ogas(L213)-h_h2ogas(20))+H213*(h_n2(L213)-h_n2(20))+I213*(h_o2(L213)-h_o2(20)))/100/22.41+cpCli(L213)*(L213-20)*R213/1000</f>
        <v>#NAME?</v>
      </c>
      <c r="O213" s="241" t="str">
        <f t="shared" si="151"/>
        <v>#NAME?</v>
      </c>
      <c r="P213" s="1" t="str">
        <f>N213*E213/1000</f>
        <v>#NAME?</v>
      </c>
      <c r="Q213" s="1" t="str">
        <f>Q211-Q212</f>
        <v>0.01 </v>
      </c>
      <c r="R213" s="243" t="str">
        <f t="shared" si="152"/>
        <v>50 </v>
      </c>
      <c r="V213" s="1"/>
      <c r="Z213" s="4"/>
      <c r="AA213" s="19"/>
      <c r="AB213" s="4"/>
      <c r="AC213" s="214"/>
      <c r="AD213" s="19"/>
      <c r="AE213" s="4"/>
      <c r="AF213" s="4"/>
      <c r="AG213" s="4"/>
      <c r="AH213" s="4"/>
      <c r="AI213" s="4"/>
      <c r="AJ213" s="4"/>
      <c r="AK213" s="4"/>
      <c r="AM213" s="1"/>
    </row>
    <row r="214" ht="12.75" customHeight="1">
      <c r="A214" s="214" t="str">
        <f>MAX(case6_start:A213)+1</f>
        <v>8 </v>
      </c>
      <c r="B214" s="245" t="str">
        <f t="array" ref="B214">CONCATENATE(INDEX(array1,21,arrayindex)," ",INDEX(array1,61,arrayindex))</f>
        <v>Water injection Cooling tower</v>
      </c>
      <c r="C214" s="84" t="str">
        <f>E214/1245</f>
        <v>0.001 </v>
      </c>
      <c r="D214" s="35"/>
      <c r="E214" s="1" t="str">
        <f>IF(ISNUMBER(ct_2(C213:R213,C215:R215,K214,E214,L214,1)),ct_2(C213:R213,C215:R215,K214,E214,L214,1),1)</f>
        <v>1 </v>
      </c>
      <c r="F214" s="241"/>
      <c r="G214" s="241">
        <v>100.0</v>
      </c>
      <c r="H214" s="241"/>
      <c r="I214" s="241"/>
      <c r="J214" s="241" t="str">
        <f>18000/22.41</f>
        <v>803.2 </v>
      </c>
      <c r="K214" s="241" t="str">
        <f>watertemp</f>
        <v>22.0 </v>
      </c>
      <c r="L214" s="1" t="str">
        <f>L212</f>
        <v>#REF!</v>
      </c>
      <c r="M214" s="241"/>
      <c r="N214" s="1"/>
      <c r="O214" s="241" t="str">
        <f>(EnthalpySatLiqTW(K214+273.16)-EnthalpySatLiqTW(293.16))*C214</f>
        <v>#NAME?</v>
      </c>
      <c r="P214" s="1" t="str">
        <f>(EnthalpySatVapTW(L214+273.16)-EnthalpySatLiqTW(293.16))*C214</f>
        <v>#NAME?</v>
      </c>
      <c r="Q214" s="1" t="str">
        <f t="shared" ref="Q214:Q215" si="153">E214</f>
        <v>1 </v>
      </c>
      <c r="R214" s="243"/>
      <c r="V214" s="1"/>
      <c r="Z214" s="4"/>
      <c r="AA214" s="19"/>
      <c r="AB214" s="4"/>
      <c r="AC214" s="214"/>
      <c r="AD214" s="19"/>
      <c r="AE214" s="4"/>
      <c r="AF214" s="4"/>
      <c r="AG214" s="4"/>
      <c r="AH214" s="4"/>
      <c r="AI214" s="4"/>
      <c r="AJ214" s="4"/>
      <c r="AK214" s="4"/>
      <c r="AM214" s="1"/>
    </row>
    <row r="215" ht="12.75" customHeight="1">
      <c r="A215" s="214" t="str">
        <f>MAX(case6_start:A214)+1</f>
        <v>9 </v>
      </c>
      <c r="B215" s="245" t="str">
        <f t="array" ref="B215">CONCATENATE(INDEX(array1,22,arrayindex)," ",INDEX(array1,61,arrayindex))</f>
        <v>False air rate Cooling tower</v>
      </c>
      <c r="C215" s="84" t="str">
        <f>J215*E215/1000000</f>
        <v>#NAME?</v>
      </c>
      <c r="D215" s="35" t="str">
        <f>E215*R215/1000000</f>
        <v>0.00 </v>
      </c>
      <c r="E215" s="1" t="str">
        <f>E212*fakct/100</f>
        <v>0 </v>
      </c>
      <c r="F215" s="241">
        <v>0.0</v>
      </c>
      <c r="G215" s="241" t="str">
        <f>J215*(22.41/18)/10</f>
        <v>#NAME?</v>
      </c>
      <c r="H215" s="241" t="str">
        <f>79*(100-G215)/100</f>
        <v>#NAME?</v>
      </c>
      <c r="I215" s="241" t="str">
        <f>(100-G215)*21/100</f>
        <v>#NAME?</v>
      </c>
      <c r="J215" s="241" t="str">
        <f>freshairaqua</f>
        <v>#NAME?</v>
      </c>
      <c r="K215" s="241" t="str">
        <f>freshairtemp</f>
        <v>20.0 </v>
      </c>
      <c r="L215" s="1" t="str">
        <f>L212</f>
        <v>#REF!</v>
      </c>
      <c r="M215" s="241" t="str">
        <f>1000*(F215*h_co2(K215)+G215*h_h2ogas(K215)+H215*h_n2(K215)+I215*h_o2(K215))/100/22.41</f>
        <v>#NAME?</v>
      </c>
      <c r="N215" s="1" t="str">
        <f>1000*(F215*h_co2(L215)+G215*h_h2ogas(L215)+H215*h_n2(L215)+I215*h_o2(L215))/100/22.41</f>
        <v>#NAME?</v>
      </c>
      <c r="O215" s="241" t="str">
        <f t="shared" ref="O215:O217" si="156">M215*E215/1000</f>
        <v>#NAME?</v>
      </c>
      <c r="P215" s="1" t="str">
        <f>N215*E215/1000</f>
        <v>#NAME?</v>
      </c>
      <c r="Q215" s="1" t="str">
        <f t="shared" si="153"/>
        <v>0 </v>
      </c>
      <c r="R215" s="243"/>
      <c r="V215" s="1"/>
      <c r="Z215" s="4"/>
      <c r="AA215" s="19"/>
      <c r="AB215" s="4"/>
      <c r="AC215" s="214"/>
      <c r="AD215" s="19"/>
      <c r="AE215" s="4"/>
      <c r="AF215" s="4"/>
      <c r="AG215" s="4"/>
      <c r="AH215" s="4"/>
      <c r="AI215" s="4"/>
      <c r="AJ215" s="4"/>
      <c r="AK215" s="4"/>
      <c r="AM215" s="1"/>
    </row>
    <row r="216" ht="12.75" customHeight="1">
      <c r="A216" s="214" t="str">
        <f>MAX(case6_start:A215)+1</f>
        <v>10 </v>
      </c>
      <c r="B216" s="245" t="str">
        <f t="array" ref="B216">INDEX(array1,78,arrayindex)</f>
        <v>Gases after CT</v>
      </c>
      <c r="C216" s="84" t="str">
        <f t="shared" ref="C216:D216" si="154">SUM(C212:C215)</f>
        <v>#NAME?</v>
      </c>
      <c r="D216" s="35" t="str">
        <f t="shared" si="154"/>
        <v>0.00 </v>
      </c>
      <c r="E216" s="1" t="str">
        <f>SUM(E213:E215)</f>
        <v>1.01 </v>
      </c>
      <c r="F216" s="241" t="str">
        <f t="shared" ref="F216:J216" si="155">IF($E216&gt;0,($E213*F213+$E214*F214+$E215*F215)/$E216,F213)</f>
        <v>0.3 </v>
      </c>
      <c r="G216" s="241" t="str">
        <f t="shared" si="155"/>
        <v>#NAME?</v>
      </c>
      <c r="H216" s="241" t="str">
        <f t="shared" si="155"/>
        <v>#NAME?</v>
      </c>
      <c r="I216" s="241" t="str">
        <f t="shared" si="155"/>
        <v>#NAME?</v>
      </c>
      <c r="J216" s="241" t="str">
        <f t="shared" si="155"/>
        <v>#NAME?</v>
      </c>
      <c r="K216" s="241" t="str">
        <f>CTexittemp</f>
        <v>#REF!</v>
      </c>
      <c r="L216" s="241" t="str">
        <f>IF(ISNUMBER(ct_2(C213:R213,C215:R215,K214,0,L214,2)),ct_2(C213:R213,C215:R215,K214,0,L214,2),K216)</f>
        <v>#REF!</v>
      </c>
      <c r="M216" s="241" t="str">
        <f t="shared" ref="M216:M218" si="158">1000*(F216*(h_co2(K216)-h_co2(20))+G216*(h_h2ogas(K216)-h_h2ogas(20))+H216*(h_n2(K216)-h_n2(20))+I216*(h_o2(K216)-h_o2(20)))/100/22.41+cpRM(K216)*(K216-20)*R216/1000</f>
        <v>#NAME?</v>
      </c>
      <c r="N216" s="1"/>
      <c r="O216" s="241" t="str">
        <f t="shared" si="156"/>
        <v>#NAME?</v>
      </c>
      <c r="Q216" s="1" t="str">
        <f>SUM(Q213:Q215)</f>
        <v>1.01 </v>
      </c>
      <c r="R216" s="246" t="str">
        <f>IF($E216&gt;0,($E213*R213+$E214*R214+$E215*R215)/$E216,R213)</f>
        <v>0.5 </v>
      </c>
      <c r="V216" s="1"/>
      <c r="Z216" s="4"/>
      <c r="AA216" s="19"/>
      <c r="AB216" s="4"/>
      <c r="AC216" s="214"/>
      <c r="AD216" s="19"/>
      <c r="AE216" s="4"/>
      <c r="AF216" s="4"/>
      <c r="AG216" s="4"/>
      <c r="AH216" s="4"/>
      <c r="AI216" s="4"/>
      <c r="AJ216" s="4"/>
      <c r="AK216" s="4"/>
      <c r="AM216" s="1"/>
    </row>
    <row r="217" ht="12.75" customHeight="1">
      <c r="A217" s="214" t="str">
        <f>IF(_coalm_pos=2,MAX(case6_start:A216)+1,0)</f>
        <v>0 </v>
      </c>
      <c r="B217" s="1" t="str">
        <f t="array" ref="B217">INDEX(array1,73,arrayindex)</f>
        <v>Coalmill</v>
      </c>
      <c r="C217" s="84" t="str">
        <f t="shared" ref="C217:C218" si="159">J217*E217/1000000</f>
        <v>#NAME?</v>
      </c>
      <c r="D217" s="35" t="str">
        <f t="shared" ref="D217:D218" si="160">E217*R217/1000000</f>
        <v>0.00 </v>
      </c>
      <c r="E217" s="1" t="str">
        <f>IF(OR(_coalm_pos=0,_coalm_pos=2),_coalm_gasamount,0)</f>
        <v>0 </v>
      </c>
      <c r="F217" s="241" t="str">
        <f t="shared" ref="F217:K217" si="157">F216</f>
        <v>0.3 </v>
      </c>
      <c r="G217" s="241" t="str">
        <f t="shared" si="157"/>
        <v>#NAME?</v>
      </c>
      <c r="H217" s="241" t="str">
        <f t="shared" si="157"/>
        <v>#NAME?</v>
      </c>
      <c r="I217" s="241" t="str">
        <f t="shared" si="157"/>
        <v>#NAME?</v>
      </c>
      <c r="J217" s="241" t="str">
        <f t="shared" si="157"/>
        <v>#NAME?</v>
      </c>
      <c r="K217" s="241" t="str">
        <f t="shared" si="157"/>
        <v>#REF!</v>
      </c>
      <c r="L217" s="1"/>
      <c r="M217" s="241" t="str">
        <f t="shared" si="158"/>
        <v>#NAME?</v>
      </c>
      <c r="N217" s="1"/>
      <c r="O217" s="241" t="str">
        <f t="shared" si="156"/>
        <v>#NAME?</v>
      </c>
      <c r="Q217" s="1" t="str">
        <f>E217</f>
        <v>0 </v>
      </c>
      <c r="R217" s="243" t="str">
        <f t="shared" ref="R217:R218" si="162">R216</f>
        <v>0.495049505 </v>
      </c>
      <c r="V217" s="1"/>
      <c r="Z217" s="4"/>
      <c r="AA217" s="19"/>
      <c r="AB217" s="4"/>
      <c r="AC217" s="214"/>
      <c r="AD217" s="19"/>
      <c r="AE217" s="4"/>
      <c r="AF217" s="4"/>
      <c r="AG217" s="4"/>
      <c r="AH217" s="4"/>
      <c r="AI217" s="4"/>
      <c r="AJ217" s="4"/>
      <c r="AK217" s="4"/>
      <c r="AM217" s="1"/>
    </row>
    <row r="218" ht="12.75" customHeight="1">
      <c r="A218" s="214" t="str">
        <f>MAX(case6_start:A217)+1</f>
        <v>11 </v>
      </c>
      <c r="B218" s="245" t="str">
        <f t="array" ref="B218">IF(it_v1=TRUE,INDEX(array1,121,arrayindex),"Excess gas")</f>
        <v>Excess gas</v>
      </c>
      <c r="C218" s="84" t="str">
        <f t="shared" si="159"/>
        <v>#NAME?</v>
      </c>
      <c r="D218" s="35" t="str">
        <f t="shared" si="160"/>
        <v>0.00 </v>
      </c>
      <c r="E218" s="1" t="str">
        <f>E216-E217</f>
        <v>1.01 </v>
      </c>
      <c r="F218" s="241" t="str">
        <f t="shared" ref="F218:K218" si="161">F217</f>
        <v>0.3 </v>
      </c>
      <c r="G218" s="241" t="str">
        <f t="shared" si="161"/>
        <v>#NAME?</v>
      </c>
      <c r="H218" s="241" t="str">
        <f t="shared" si="161"/>
        <v>#NAME?</v>
      </c>
      <c r="I218" s="241" t="str">
        <f t="shared" si="161"/>
        <v>#NAME?</v>
      </c>
      <c r="J218" s="241" t="str">
        <f t="shared" si="161"/>
        <v>#NAME?</v>
      </c>
      <c r="K218" s="241" t="str">
        <f t="shared" si="161"/>
        <v>#REF!</v>
      </c>
      <c r="L218" s="1"/>
      <c r="M218" s="241" t="str">
        <f t="shared" si="158"/>
        <v>#NAME?</v>
      </c>
      <c r="N218" s="1"/>
      <c r="O218" s="241" t="str">
        <f>O216-O217</f>
        <v>#NAME?</v>
      </c>
      <c r="Q218" s="1" t="str">
        <f>Q216-Q217</f>
        <v>1.01 </v>
      </c>
      <c r="R218" s="243" t="str">
        <f t="shared" si="162"/>
        <v>0.495049505 </v>
      </c>
      <c r="V218" s="1"/>
      <c r="Z218" s="4"/>
      <c r="AA218" s="19"/>
      <c r="AB218" s="4"/>
      <c r="AC218" s="214"/>
      <c r="AD218" s="19"/>
      <c r="AE218" s="4"/>
      <c r="AF218" s="4"/>
      <c r="AG218" s="4"/>
      <c r="AH218" s="4"/>
      <c r="AI218" s="4"/>
      <c r="AJ218" s="4"/>
      <c r="AK218" s="4"/>
      <c r="AM218" s="1"/>
    </row>
    <row r="219" ht="12.75" customHeight="1">
      <c r="A219" s="1"/>
      <c r="B219" s="1"/>
      <c r="C219" s="84"/>
      <c r="D219" s="35"/>
      <c r="E219" s="1"/>
      <c r="F219" s="241"/>
      <c r="G219" s="241"/>
      <c r="H219" s="241"/>
      <c r="I219" s="241"/>
      <c r="J219" s="241"/>
      <c r="K219" s="241"/>
      <c r="L219" s="1"/>
      <c r="M219" s="241"/>
      <c r="N219" s="1"/>
      <c r="O219" s="241"/>
      <c r="V219" s="1"/>
      <c r="Z219" s="4"/>
      <c r="AA219" s="19"/>
      <c r="AB219" s="4"/>
      <c r="AC219" s="214"/>
      <c r="AD219" s="19"/>
      <c r="AE219" s="4"/>
      <c r="AF219" s="4"/>
      <c r="AG219" s="4"/>
      <c r="AH219" s="4"/>
      <c r="AI219" s="4"/>
      <c r="AJ219" s="4"/>
      <c r="AK219" s="4"/>
      <c r="AM219" s="1"/>
    </row>
    <row r="220" ht="12.75" customHeight="1">
      <c r="A220" s="1"/>
      <c r="B220" s="1" t="s">
        <v>84</v>
      </c>
      <c r="C220" s="84"/>
      <c r="D220" s="35"/>
      <c r="E220" s="1"/>
      <c r="F220" s="241"/>
      <c r="G220" s="241"/>
      <c r="H220" s="241"/>
      <c r="I220" s="241"/>
      <c r="J220" s="241"/>
      <c r="K220" s="241"/>
      <c r="L220" s="1"/>
      <c r="M220" s="241"/>
      <c r="N220" s="1"/>
      <c r="O220" s="241"/>
      <c r="V220" s="1"/>
      <c r="Z220" s="4"/>
      <c r="AA220" s="19"/>
      <c r="AB220" s="4"/>
      <c r="AC220" s="214"/>
      <c r="AD220" s="19"/>
      <c r="AE220" s="4"/>
      <c r="AF220" s="4"/>
      <c r="AG220" s="4"/>
      <c r="AH220" s="4"/>
      <c r="AI220" s="4"/>
      <c r="AJ220" s="4"/>
      <c r="AK220" s="4"/>
      <c r="AM220" s="1"/>
    </row>
    <row r="221" ht="12.75" customHeight="1">
      <c r="A221" s="1"/>
      <c r="B221" s="1" t="s">
        <v>85</v>
      </c>
      <c r="C221" s="84" t="str">
        <f t="shared" ref="C221:R221" si="163">C136</f>
        <v>#NAME?</v>
      </c>
      <c r="D221" s="35" t="str">
        <f t="shared" si="163"/>
        <v>0.00 </v>
      </c>
      <c r="E221" s="241" t="str">
        <f t="shared" si="163"/>
        <v>1.0 </v>
      </c>
      <c r="F221" s="241" t="str">
        <f t="shared" si="163"/>
        <v>0.3 </v>
      </c>
      <c r="G221" s="241" t="str">
        <f t="shared" si="163"/>
        <v>#NAME?</v>
      </c>
      <c r="H221" s="241" t="str">
        <f t="shared" si="163"/>
        <v>#NAME?</v>
      </c>
      <c r="I221" s="241" t="str">
        <f t="shared" si="163"/>
        <v>#NAME?</v>
      </c>
      <c r="J221" s="241" t="str">
        <f t="shared" si="163"/>
        <v>#NAME?</v>
      </c>
      <c r="K221" s="241" t="str">
        <f t="shared" si="163"/>
        <v>#NAME?</v>
      </c>
      <c r="L221" s="1" t="str">
        <f t="shared" si="163"/>
        <v/>
      </c>
      <c r="M221" s="241" t="str">
        <f t="shared" si="163"/>
        <v>#NAME?</v>
      </c>
      <c r="N221" s="1" t="str">
        <f t="shared" si="163"/>
        <v/>
      </c>
      <c r="O221" s="241" t="str">
        <f t="shared" si="163"/>
        <v>#NAME?</v>
      </c>
      <c r="P221" s="1" t="str">
        <f t="shared" si="163"/>
        <v/>
      </c>
      <c r="Q221" s="1" t="str">
        <f t="shared" si="163"/>
        <v>1.01 </v>
      </c>
      <c r="R221" s="243" t="str">
        <f t="shared" si="163"/>
        <v>0.495049505 </v>
      </c>
      <c r="V221" s="1"/>
      <c r="Z221" s="4"/>
      <c r="AA221" s="19"/>
      <c r="AB221" s="4"/>
      <c r="AC221" s="214"/>
      <c r="AD221" s="19"/>
      <c r="AE221" s="4"/>
      <c r="AF221" s="4"/>
      <c r="AG221" s="4"/>
      <c r="AH221" s="4"/>
      <c r="AI221" s="4"/>
      <c r="AJ221" s="4"/>
      <c r="AK221" s="4"/>
      <c r="AM221" s="1"/>
    </row>
    <row r="222" ht="12.75" customHeight="1">
      <c r="A222" s="1"/>
      <c r="B222" s="1" t="s">
        <v>86</v>
      </c>
      <c r="C222" s="84" t="str">
        <f t="shared" ref="C222:R222" si="164">C152</f>
        <v>#NAME?</v>
      </c>
      <c r="D222" s="35" t="str">
        <f t="shared" si="164"/>
        <v>0.00 </v>
      </c>
      <c r="E222" s="241" t="str">
        <f t="shared" si="164"/>
        <v>1.0 </v>
      </c>
      <c r="F222" s="241" t="str">
        <f t="shared" si="164"/>
        <v>0.3 </v>
      </c>
      <c r="G222" s="241" t="str">
        <f t="shared" si="164"/>
        <v>#NAME?</v>
      </c>
      <c r="H222" s="241" t="str">
        <f t="shared" si="164"/>
        <v>#NAME?</v>
      </c>
      <c r="I222" s="241" t="str">
        <f t="shared" si="164"/>
        <v>#NAME?</v>
      </c>
      <c r="J222" s="241" t="str">
        <f t="shared" si="164"/>
        <v>#NAME?</v>
      </c>
      <c r="K222" s="241" t="str">
        <f t="shared" si="164"/>
        <v>#REF!</v>
      </c>
      <c r="L222" s="1" t="str">
        <f t="shared" si="164"/>
        <v/>
      </c>
      <c r="M222" s="241" t="str">
        <f t="shared" si="164"/>
        <v>#NAME?</v>
      </c>
      <c r="N222" s="1" t="str">
        <f t="shared" si="164"/>
        <v/>
      </c>
      <c r="O222" s="241" t="str">
        <f t="shared" si="164"/>
        <v>#NAME?</v>
      </c>
      <c r="P222" s="1" t="str">
        <f t="shared" si="164"/>
        <v/>
      </c>
      <c r="Q222" s="1" t="str">
        <f t="shared" si="164"/>
        <v>1.01 </v>
      </c>
      <c r="R222" s="243" t="str">
        <f t="shared" si="164"/>
        <v>0.495049505 </v>
      </c>
      <c r="V222" s="1"/>
      <c r="Z222" s="4"/>
      <c r="AA222" s="19"/>
      <c r="AB222" s="4"/>
      <c r="AC222" s="214"/>
      <c r="AD222" s="19"/>
      <c r="AE222" s="4"/>
      <c r="AF222" s="4"/>
      <c r="AG222" s="4"/>
      <c r="AH222" s="4"/>
      <c r="AI222" s="4"/>
      <c r="AJ222" s="4"/>
      <c r="AK222" s="4"/>
      <c r="AM222" s="1"/>
    </row>
    <row r="223" ht="12.75" customHeight="1">
      <c r="A223" s="1"/>
      <c r="B223" s="1" t="s">
        <v>87</v>
      </c>
      <c r="C223" s="84" t="str">
        <f t="shared" ref="C223:R223" si="165">C168</f>
        <v>#NAME?</v>
      </c>
      <c r="D223" s="35" t="str">
        <f t="shared" si="165"/>
        <v>0.00 </v>
      </c>
      <c r="E223" s="241" t="str">
        <f t="shared" si="165"/>
        <v>1.0 </v>
      </c>
      <c r="F223" s="241" t="str">
        <f t="shared" si="165"/>
        <v>0.3 </v>
      </c>
      <c r="G223" s="241" t="str">
        <f t="shared" si="165"/>
        <v>#NAME?</v>
      </c>
      <c r="H223" s="241" t="str">
        <f t="shared" si="165"/>
        <v>#NAME?</v>
      </c>
      <c r="I223" s="241" t="str">
        <f t="shared" si="165"/>
        <v>#NAME?</v>
      </c>
      <c r="J223" s="241" t="str">
        <f t="shared" si="165"/>
        <v>#NAME?</v>
      </c>
      <c r="K223" s="241" t="str">
        <f t="shared" si="165"/>
        <v>#NAME?</v>
      </c>
      <c r="L223" s="1" t="str">
        <f t="shared" si="165"/>
        <v>#REF!</v>
      </c>
      <c r="M223" s="241" t="str">
        <f t="shared" si="165"/>
        <v>#NAME?</v>
      </c>
      <c r="N223" s="1" t="str">
        <f t="shared" si="165"/>
        <v/>
      </c>
      <c r="O223" s="241" t="str">
        <f t="shared" si="165"/>
        <v>#NAME?</v>
      </c>
      <c r="P223" s="1" t="str">
        <f t="shared" si="165"/>
        <v/>
      </c>
      <c r="Q223" s="1" t="str">
        <f t="shared" si="165"/>
        <v>1.01 </v>
      </c>
      <c r="R223" s="243" t="str">
        <f t="shared" si="165"/>
        <v>0.495049505 </v>
      </c>
      <c r="V223" s="1"/>
      <c r="Z223" s="4"/>
      <c r="AA223" s="19"/>
      <c r="AB223" s="4"/>
      <c r="AC223" s="214"/>
      <c r="AD223" s="19"/>
      <c r="AE223" s="4"/>
      <c r="AF223" s="4"/>
      <c r="AG223" s="4"/>
      <c r="AH223" s="4"/>
      <c r="AI223" s="4"/>
      <c r="AJ223" s="4"/>
      <c r="AK223" s="4"/>
      <c r="AM223" s="1"/>
    </row>
    <row r="224" ht="12.75" customHeight="1">
      <c r="A224" s="1"/>
      <c r="B224" s="1" t="s">
        <v>88</v>
      </c>
      <c r="C224" s="84" t="str">
        <f t="shared" ref="C224:R224" si="166">C184</f>
        <v>#NAME?</v>
      </c>
      <c r="D224" s="35" t="str">
        <f t="shared" si="166"/>
        <v>0.00 </v>
      </c>
      <c r="E224" s="241" t="str">
        <f t="shared" si="166"/>
        <v>1.0 </v>
      </c>
      <c r="F224" s="241" t="str">
        <f t="shared" si="166"/>
        <v>0.3 </v>
      </c>
      <c r="G224" s="241" t="str">
        <f t="shared" si="166"/>
        <v>#NAME?</v>
      </c>
      <c r="H224" s="241" t="str">
        <f t="shared" si="166"/>
        <v>#NAME?</v>
      </c>
      <c r="I224" s="241" t="str">
        <f t="shared" si="166"/>
        <v>#NAME?</v>
      </c>
      <c r="J224" s="241" t="str">
        <f t="shared" si="166"/>
        <v>#NAME?</v>
      </c>
      <c r="K224" s="241" t="str">
        <f t="shared" si="166"/>
        <v>#NAME?</v>
      </c>
      <c r="L224" s="1" t="str">
        <f t="shared" si="166"/>
        <v>#REF!</v>
      </c>
      <c r="M224" s="1" t="str">
        <f t="shared" si="166"/>
        <v>#NAME?</v>
      </c>
      <c r="N224" s="1" t="str">
        <f t="shared" si="166"/>
        <v/>
      </c>
      <c r="O224" s="1" t="str">
        <f t="shared" si="166"/>
        <v>#NAME?</v>
      </c>
      <c r="P224" s="1" t="str">
        <f t="shared" si="166"/>
        <v/>
      </c>
      <c r="Q224" s="1" t="str">
        <f t="shared" si="166"/>
        <v>1.01 </v>
      </c>
      <c r="R224" s="243" t="str">
        <f t="shared" si="166"/>
        <v>0.495049505 </v>
      </c>
      <c r="V224" s="1"/>
      <c r="Z224" s="4"/>
      <c r="AA224" s="19"/>
      <c r="AB224" s="4"/>
      <c r="AC224" s="214"/>
      <c r="AD224" s="19"/>
      <c r="AE224" s="4"/>
      <c r="AF224" s="4"/>
      <c r="AG224" s="4"/>
      <c r="AH224" s="4"/>
      <c r="AI224" s="4"/>
      <c r="AJ224" s="4"/>
      <c r="AK224" s="4"/>
      <c r="AM224" s="1"/>
    </row>
    <row r="225" ht="12.75" customHeight="1">
      <c r="A225" s="1"/>
      <c r="B225" s="1" t="s">
        <v>89</v>
      </c>
      <c r="C225" s="84" t="str">
        <f t="shared" ref="C225:R225" si="167">C193</f>
        <v>0.000 </v>
      </c>
      <c r="D225" s="35" t="str">
        <f t="shared" si="167"/>
        <v>0.00 </v>
      </c>
      <c r="E225" s="241" t="str">
        <f t="shared" si="167"/>
        <v>0.0 </v>
      </c>
      <c r="F225" s="241" t="str">
        <f t="shared" si="167"/>
        <v>30.4 </v>
      </c>
      <c r="G225" s="241" t="str">
        <f t="shared" si="167"/>
        <v>6.2 </v>
      </c>
      <c r="H225" s="241" t="str">
        <f t="shared" si="167"/>
        <v>60.1 </v>
      </c>
      <c r="I225" s="241" t="str">
        <f t="shared" si="167"/>
        <v>3.3 </v>
      </c>
      <c r="J225" s="241" t="str">
        <f t="shared" si="167"/>
        <v>50.0 </v>
      </c>
      <c r="K225" s="241" t="str">
        <f t="shared" si="167"/>
        <v>#NAME?</v>
      </c>
      <c r="L225" s="1" t="str">
        <f t="shared" si="167"/>
        <v/>
      </c>
      <c r="M225" s="1" t="str">
        <f t="shared" si="167"/>
        <v>#NAME?</v>
      </c>
      <c r="N225" s="1" t="str">
        <f t="shared" si="167"/>
        <v/>
      </c>
      <c r="O225" s="1" t="str">
        <f t="shared" si="167"/>
        <v>#NAME?</v>
      </c>
      <c r="P225" s="1" t="str">
        <f t="shared" si="167"/>
        <v>0 </v>
      </c>
      <c r="Q225" s="1" t="str">
        <f t="shared" si="167"/>
        <v>0.01 </v>
      </c>
      <c r="R225" s="243" t="str">
        <f t="shared" si="167"/>
        <v>50 </v>
      </c>
      <c r="V225" s="1"/>
      <c r="Z225" s="4"/>
      <c r="AA225" s="19"/>
      <c r="AB225" s="4"/>
      <c r="AC225" s="214"/>
      <c r="AD225" s="19"/>
      <c r="AE225" s="4"/>
      <c r="AF225" s="4"/>
      <c r="AG225" s="4"/>
      <c r="AH225" s="4"/>
      <c r="AI225" s="4"/>
      <c r="AJ225" s="4"/>
      <c r="AK225" s="4"/>
      <c r="AM225" s="1"/>
    </row>
    <row r="226" ht="12.75" customHeight="1">
      <c r="A226" s="1"/>
      <c r="B226" s="1" t="s">
        <v>90</v>
      </c>
      <c r="C226" s="84" t="str">
        <f t="shared" ref="C226:R226" si="168">C211</f>
        <v>#NAME?</v>
      </c>
      <c r="D226" s="35" t="str">
        <f t="shared" si="168"/>
        <v>0.00 </v>
      </c>
      <c r="E226" s="241" t="str">
        <f t="shared" si="168"/>
        <v>0.0 </v>
      </c>
      <c r="F226" s="241" t="str">
        <f t="shared" si="168"/>
        <v>30.4 </v>
      </c>
      <c r="G226" s="241" t="str">
        <f t="shared" si="168"/>
        <v>#NAME?</v>
      </c>
      <c r="H226" s="241" t="str">
        <f t="shared" si="168"/>
        <v>#NAME?</v>
      </c>
      <c r="I226" s="241" t="str">
        <f t="shared" si="168"/>
        <v>#NAME?</v>
      </c>
      <c r="J226" s="241" t="str">
        <f t="shared" si="168"/>
        <v>#NAME?</v>
      </c>
      <c r="K226" s="241" t="str">
        <f t="shared" si="168"/>
        <v>#NAME?</v>
      </c>
      <c r="L226" s="1" t="str">
        <f t="shared" si="168"/>
        <v/>
      </c>
      <c r="M226" s="1" t="str">
        <f t="shared" si="168"/>
        <v>#NAME?</v>
      </c>
      <c r="N226" s="1" t="str">
        <f t="shared" si="168"/>
        <v/>
      </c>
      <c r="O226" s="1" t="str">
        <f t="shared" si="168"/>
        <v/>
      </c>
      <c r="P226" s="1" t="str">
        <f t="shared" si="168"/>
        <v/>
      </c>
      <c r="Q226" s="1" t="str">
        <f t="shared" si="168"/>
        <v>0.01 </v>
      </c>
      <c r="R226" s="243" t="str">
        <f t="shared" si="168"/>
        <v>50 </v>
      </c>
      <c r="V226" s="1"/>
      <c r="Z226" s="4"/>
      <c r="AA226" s="19"/>
      <c r="AB226" s="4"/>
      <c r="AC226" s="214"/>
      <c r="AD226" s="19"/>
      <c r="AE226" s="4"/>
      <c r="AF226" s="4"/>
      <c r="AG226" s="4"/>
      <c r="AH226" s="4"/>
      <c r="AI226" s="4"/>
      <c r="AJ226" s="4"/>
      <c r="AK226" s="4"/>
      <c r="AM226" s="1"/>
    </row>
    <row r="227" ht="12.75" customHeight="1">
      <c r="A227" s="1"/>
      <c r="B227" s="1"/>
      <c r="C227" s="84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V227" s="1"/>
      <c r="Z227" s="4"/>
      <c r="AA227" s="19"/>
      <c r="AB227" s="4"/>
      <c r="AC227" s="214"/>
      <c r="AD227" s="19"/>
      <c r="AE227" s="4"/>
      <c r="AF227" s="4"/>
      <c r="AG227" s="4"/>
      <c r="AH227" s="4"/>
      <c r="AI227" s="4"/>
      <c r="AJ227" s="4"/>
      <c r="AK227" s="4"/>
      <c r="AM227" s="1"/>
    </row>
    <row r="228" ht="12.75" customHeight="1">
      <c r="A228" s="1"/>
      <c r="B228" s="1"/>
      <c r="C228" s="84"/>
      <c r="D228" s="1"/>
      <c r="E228" s="1" t="str">
        <f>IF(ISNUMBER(_av_cp_prod-cpCli(prodtemp))/(cpRM(prodtemp)-cpCli(prodtemp)),(_av_cp_prod-cpCli(prodtemp))/(cpRM(prodtemp)-cpCli(prodtemp)),1)</f>
        <v>#NAME?</v>
      </c>
      <c r="F228" s="1" t="s">
        <v>91</v>
      </c>
      <c r="G228" s="1"/>
      <c r="H228" s="1"/>
      <c r="I228" s="1"/>
      <c r="K228" s="1"/>
      <c r="L228" s="1"/>
      <c r="M228" s="1"/>
      <c r="N228" s="1"/>
      <c r="O228" s="1"/>
      <c r="V228" s="1"/>
      <c r="Z228" s="4"/>
      <c r="AA228" s="19"/>
      <c r="AB228" s="4"/>
      <c r="AC228" s="214"/>
      <c r="AD228" s="19"/>
      <c r="AE228" s="4"/>
      <c r="AF228" s="4"/>
      <c r="AG228" s="4"/>
      <c r="AH228" s="4"/>
      <c r="AI228" s="4"/>
      <c r="AJ228" s="4"/>
      <c r="AK228" s="4"/>
      <c r="AM228" s="1"/>
    </row>
    <row r="229" ht="12.75" customHeight="1">
      <c r="A229" s="250"/>
      <c r="B229" s="1"/>
      <c r="C229" s="1"/>
      <c r="D229" s="1"/>
      <c r="E229" s="1" t="str">
        <f>IF(_millgas_pos=1,1,kgmax*kgdust/(kgmax*kgdust+coolergasmax*coolergasdust))</f>
        <v>1 </v>
      </c>
      <c r="F229" s="1" t="s">
        <v>92</v>
      </c>
      <c r="G229" s="1"/>
      <c r="H229" s="1"/>
      <c r="I229" s="1"/>
      <c r="K229" s="1" t="s">
        <v>93</v>
      </c>
      <c r="L229" s="1" t="str">
        <f>CHOOSE(_case,C131,C148,C161,C178,C198,C214)</f>
        <v>0.0008032128514 </v>
      </c>
      <c r="M229" s="1" t="s">
        <v>94</v>
      </c>
      <c r="N229" s="1"/>
      <c r="O229" s="1"/>
      <c r="V229" s="1"/>
      <c r="Z229" s="4"/>
      <c r="AA229" s="19"/>
      <c r="AB229" s="4"/>
      <c r="AC229" s="214"/>
      <c r="AD229" s="19"/>
      <c r="AE229" s="4"/>
      <c r="AF229" s="4"/>
      <c r="AG229" s="4"/>
      <c r="AH229" s="4"/>
      <c r="AI229" s="4"/>
      <c r="AJ229" s="4"/>
      <c r="AK229" s="4"/>
      <c r="AM229" s="1"/>
    </row>
    <row r="230" ht="12.75" customHeight="1">
      <c r="A230" s="250"/>
      <c r="B230" s="1"/>
      <c r="C230" s="1"/>
      <c r="D230" s="1"/>
      <c r="E230" s="245" t="str">
        <f t="array" ref="E230">INDEX(mill_2($P$282-$O$282,Vmexit,evap_mill_total,_system,recirc,millfanpower_s,famill,fasystem,GAS1,GAS2,GAS3,air,it_v1),7)</f>
        <v>#REF!</v>
      </c>
      <c r="F230" s="1"/>
      <c r="G230" s="1"/>
      <c r="H230" s="1"/>
      <c r="I230" s="1"/>
      <c r="K230" s="1" t="s">
        <v>93</v>
      </c>
      <c r="L230" s="1" t="str">
        <f>CHOOSE(_case,L133,L150,L163,L180,L200,L216)</f>
        <v>#REF!</v>
      </c>
      <c r="M230" s="1" t="s">
        <v>95</v>
      </c>
      <c r="N230" s="1"/>
      <c r="O230" s="1"/>
      <c r="V230" s="1"/>
      <c r="Z230" s="4"/>
      <c r="AA230" s="19"/>
      <c r="AB230" s="4"/>
      <c r="AC230" s="214"/>
      <c r="AD230" s="19"/>
      <c r="AE230" s="4"/>
      <c r="AF230" s="4"/>
      <c r="AG230" s="4"/>
      <c r="AH230" s="4"/>
      <c r="AI230" s="4"/>
      <c r="AJ230" s="4"/>
      <c r="AK230" s="4"/>
      <c r="AM230" s="1"/>
    </row>
    <row r="231" ht="12.75" customHeight="1">
      <c r="A231" s="250"/>
      <c r="B231" s="245"/>
      <c r="C231" s="214"/>
      <c r="D231" s="1"/>
      <c r="E231" s="245" t="str">
        <f t="array" ref="E231">INDEX(mill_2($P$282-$O$282,Vmexit,evap_mill_total,_system,recirc,millfanpower_s,famill,fasystem,GAS1,GAS2,GAS3,air,it_v1),6)</f>
        <v>#REF!</v>
      </c>
      <c r="F231" s="1"/>
      <c r="G231" s="1"/>
      <c r="H231" s="1"/>
      <c r="I231" s="1"/>
      <c r="K231" s="1" t="s">
        <v>93</v>
      </c>
      <c r="L231" s="1" t="str">
        <f>CHOOSE(_case,E133,E150,E163,E180,E200,E216)</f>
        <v>1.01 </v>
      </c>
      <c r="M231" s="1" t="s">
        <v>96</v>
      </c>
      <c r="N231" s="1"/>
      <c r="O231" s="1"/>
      <c r="V231" s="1"/>
      <c r="Z231" s="4"/>
      <c r="AA231" s="19"/>
      <c r="AB231" s="4"/>
      <c r="AC231" s="214"/>
      <c r="AD231" s="19"/>
      <c r="AE231" s="4"/>
      <c r="AF231" s="4"/>
      <c r="AG231" s="4"/>
      <c r="AH231" s="4"/>
      <c r="AI231" s="4"/>
      <c r="AJ231" s="4"/>
      <c r="AK231" s="4"/>
      <c r="AM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T232" s="1" t="s">
        <v>97</v>
      </c>
      <c r="V232" s="1"/>
      <c r="W232" s="182" t="s">
        <v>98</v>
      </c>
      <c r="Z232" s="4"/>
      <c r="AA232" s="19"/>
      <c r="AB232" s="4"/>
      <c r="AC232" s="214"/>
      <c r="AD232" s="19"/>
      <c r="AE232" s="4"/>
      <c r="AF232" s="4"/>
      <c r="AG232" s="4"/>
      <c r="AH232" s="4"/>
      <c r="AI232" s="4"/>
      <c r="AJ232" s="4"/>
      <c r="AK232" s="4"/>
      <c r="AM232" s="1"/>
    </row>
    <row r="233" ht="12.75" customHeight="1">
      <c r="A233" s="1"/>
      <c r="B233" s="251" t="s">
        <v>99</v>
      </c>
      <c r="C233" s="252" t="s">
        <v>58</v>
      </c>
      <c r="D233" s="252" t="s">
        <v>59</v>
      </c>
      <c r="E233" s="252" t="s">
        <v>60</v>
      </c>
      <c r="F233" s="252" t="s">
        <v>61</v>
      </c>
      <c r="G233" s="252" t="s">
        <v>62</v>
      </c>
      <c r="H233" s="252" t="s">
        <v>63</v>
      </c>
      <c r="I233" s="252" t="s">
        <v>64</v>
      </c>
      <c r="J233" s="252" t="s">
        <v>62</v>
      </c>
      <c r="K233" s="252" t="s">
        <v>65</v>
      </c>
      <c r="L233" s="252" t="s">
        <v>66</v>
      </c>
      <c r="M233" s="252" t="s">
        <v>67</v>
      </c>
      <c r="N233" s="252" t="s">
        <v>68</v>
      </c>
      <c r="O233" s="252" t="s">
        <v>69</v>
      </c>
      <c r="P233" s="252" t="s">
        <v>70</v>
      </c>
      <c r="Q233" s="252" t="s">
        <v>71</v>
      </c>
      <c r="R233" s="253" t="s">
        <v>72</v>
      </c>
      <c r="T233" s="1" t="s">
        <v>100</v>
      </c>
      <c r="U233" s="1" t="s">
        <v>70</v>
      </c>
      <c r="V233" s="1"/>
      <c r="W233" s="1" t="s">
        <v>101</v>
      </c>
      <c r="X233" s="1" t="s">
        <v>102</v>
      </c>
      <c r="AH233" s="4"/>
      <c r="AI233" s="4"/>
      <c r="AJ233" s="4"/>
      <c r="AK233" s="35"/>
      <c r="AM233" s="1"/>
    </row>
    <row r="234" ht="12.75" customHeight="1">
      <c r="A234" s="1"/>
      <c r="B234" s="254"/>
      <c r="C234" s="18" t="s">
        <v>73</v>
      </c>
      <c r="D234" s="18" t="s">
        <v>73</v>
      </c>
      <c r="E234" s="18" t="s">
        <v>74</v>
      </c>
      <c r="F234" s="18" t="s">
        <v>75</v>
      </c>
      <c r="G234" s="18" t="s">
        <v>75</v>
      </c>
      <c r="H234" s="18" t="s">
        <v>75</v>
      </c>
      <c r="I234" s="18" t="s">
        <v>75</v>
      </c>
      <c r="J234" s="18" t="s">
        <v>38</v>
      </c>
      <c r="K234" s="18" t="s">
        <v>76</v>
      </c>
      <c r="L234" s="18" t="s">
        <v>76</v>
      </c>
      <c r="M234" s="18" t="s">
        <v>77</v>
      </c>
      <c r="N234" s="18" t="s">
        <v>77</v>
      </c>
      <c r="O234" s="18" t="s">
        <v>41</v>
      </c>
      <c r="P234" s="18" t="s">
        <v>41</v>
      </c>
      <c r="Q234" s="4" t="s">
        <v>74</v>
      </c>
      <c r="R234" s="243" t="s">
        <v>38</v>
      </c>
      <c r="V234" s="1"/>
      <c r="AH234" s="4"/>
      <c r="AI234" s="4"/>
      <c r="AJ234" s="4"/>
      <c r="AK234" s="35"/>
      <c r="AM234" s="1"/>
    </row>
    <row r="235" ht="12.75" customHeight="1">
      <c r="A235" s="250"/>
      <c r="B235" s="254" t="s">
        <v>103</v>
      </c>
      <c r="C235" s="84" t="str">
        <f t="shared" ref="C235:C239" si="171">J235*E235/1000000</f>
        <v>#NAME?</v>
      </c>
      <c r="D235" s="240" t="str">
        <f t="shared" ref="D235:D237" si="172">E235*R235/1000000</f>
        <v>#NAME?</v>
      </c>
      <c r="E235" s="245" t="str">
        <f t="array" ref="E235">INDEX(mill_2($P$282-$O$282,Vmexit,evap_mill_total,_system,recirc,millfanpower_s,famill,fasystem,GAS1,GAS2,GAS3,air,it_v1),1)</f>
        <v>#NAME?</v>
      </c>
      <c r="F235" s="35" t="str">
        <f t="array" ref="F235">INDEX(F221:F226,_case)</f>
        <v>0.30 </v>
      </c>
      <c r="G235" s="35" t="str">
        <f t="array" ref="G235">INDEX(G221:G226,_case)</f>
        <v>#NAME?</v>
      </c>
      <c r="H235" s="35" t="str">
        <f t="array" ref="H235">INDEX(H221:H226,_case)</f>
        <v>#NAME?</v>
      </c>
      <c r="I235" s="35" t="str">
        <f t="array" ref="I235">INDEX(I221:I226,_case)</f>
        <v>#NAME?</v>
      </c>
      <c r="J235" s="35" t="str">
        <f t="array" ref="J235">INDEX(J221:J226,_case)</f>
        <v>#NAME?</v>
      </c>
      <c r="K235" s="35" t="str">
        <f t="array" ref="K235">INDEX(K221:K226,_case)</f>
        <v>#NAME?</v>
      </c>
      <c r="L235" s="4" t="str">
        <f>millexittemp</f>
        <v>85 </v>
      </c>
      <c r="M235" s="241" t="str">
        <f>1000*(F235*(h_co2(K235)-h_co2(20))+G235*(h_h2ogas(K235)-h_h2ogas(20))+H235*(h_n2(K235)-h_n2(20))+I235*(h_o2(K235)-h_o2(20)))/100/22.41+(_dustratio*cpRM(K235)+(1-_dustratio)*cpCli(K235))*(K235-20)*R235/1000</f>
        <v>#NAME?</v>
      </c>
      <c r="N235" s="241" t="str">
        <f>1000*(F235*(h_co2(L235)-h_co2(20))+G235*(h_h2ogas(L235)-h_h2ogas(20))+H235*(h_n2(L235)-h_n2(20))+I235*(h_o2(L235)-h_o2(20)))/100/22.41+(_dustratio*cpRM(L235)+(1-_dustratio)*cpCli(L235))*(L235-20)*R235/1000</f>
        <v>#NAME?</v>
      </c>
      <c r="O235" s="242" t="str">
        <f t="shared" ref="O235:O239" si="173">M235*E235/1000</f>
        <v>#NAME?</v>
      </c>
      <c r="P235" s="244" t="str">
        <f t="shared" ref="P235:P239" si="174">N235*E235/1000</f>
        <v>#NAME?</v>
      </c>
      <c r="Q235" s="4" t="str">
        <f t="array" ref="Q235">INDEX(Q221:Q226,_case)</f>
        <v>1.01 </v>
      </c>
      <c r="R235" s="255" t="str">
        <f t="array" ref="R235">INDEX(R221:R226,_case)</f>
        <v>0.50 </v>
      </c>
      <c r="T235" s="1" t="str">
        <f t="shared" ref="T235:U235" si="169">O235</f>
        <v>#NAME?</v>
      </c>
      <c r="U235" s="1" t="str">
        <f t="shared" si="169"/>
        <v>#NAME?</v>
      </c>
      <c r="V235" s="1"/>
      <c r="W235" s="1" t="str">
        <f t="shared" ref="W235:X235" si="170">T235</f>
        <v>#NAME?</v>
      </c>
      <c r="X235" s="1" t="str">
        <f t="shared" si="170"/>
        <v>#NAME?</v>
      </c>
      <c r="AH235" s="4"/>
      <c r="AI235" s="4"/>
      <c r="AJ235" s="4"/>
      <c r="AK235" s="4"/>
      <c r="AM235" s="1"/>
    </row>
    <row r="236" ht="12.75" customHeight="1">
      <c r="A236" s="1"/>
      <c r="B236" s="254" t="s">
        <v>104</v>
      </c>
      <c r="C236" s="84" t="str">
        <f t="shared" si="171"/>
        <v>#NAME?</v>
      </c>
      <c r="D236" s="240" t="str">
        <f t="shared" si="172"/>
        <v>0.00</v>
      </c>
      <c r="E236" s="245">
        <v>0.0</v>
      </c>
      <c r="F236" s="4">
        <v>0.0</v>
      </c>
      <c r="G236" s="242" t="str">
        <f>J236*(22.41/18)/10</f>
        <v>#NAME?</v>
      </c>
      <c r="H236" s="242" t="str">
        <f>79*(100-G236)/100</f>
        <v>#NAME?</v>
      </c>
      <c r="I236" s="242" t="str">
        <f>(100-G236)*21/100</f>
        <v>#NAME?</v>
      </c>
      <c r="J236" s="256" t="str">
        <f>coolergasaqua</f>
        <v>#NAME?</v>
      </c>
      <c r="K236" s="4" t="str">
        <f>coolergastemp</f>
        <v>330 </v>
      </c>
      <c r="L236" s="4" t="str">
        <f>millexittemp</f>
        <v>85 </v>
      </c>
      <c r="M236" s="241" t="str">
        <f>1000*(F236*(h_co2(K236)-h_co2(20))+G236*(h_h2ogas(K236)-h_h2ogas(20))+H236*(h_n2(K236)-h_n2(20))+I236*(h_o2(K236)-h_o2(20)))/100/22.41+(_dustratio*cpRM(K236)+(1-_dustratio)*cpCli(K236))*(K236-20)*R236/1000</f>
        <v>#NAME?</v>
      </c>
      <c r="N236" s="241" t="str">
        <f>1000*(F236*(h_co2(L236)-h_co2(20))+G236*(h_h2ogas(L236)-h_h2ogas(20))+H236*(h_n2(L236)-h_n2(20))+I236*(h_o2(L236)-h_o2(20)))/100/22.41+(_dustratio*cpRM(L236)+(1-_dustratio)*cpCli(L236))*(L236-20)*R236/1000</f>
        <v>#NAME?</v>
      </c>
      <c r="O236" s="242" t="str">
        <f t="shared" si="173"/>
        <v>#NAME?</v>
      </c>
      <c r="P236" s="242" t="str">
        <f t="shared" si="174"/>
        <v>#NAME?</v>
      </c>
      <c r="Q236" s="4">
        <v>0.0</v>
      </c>
      <c r="R236" s="255" t="str">
        <f>coolergasdust</f>
        <v>30.00 </v>
      </c>
      <c r="T236" s="1" t="str">
        <f t="shared" ref="T236:U236" si="175">O236</f>
        <v>#NAME?</v>
      </c>
      <c r="U236" s="1" t="str">
        <f t="shared" si="175"/>
        <v>#NAME?</v>
      </c>
      <c r="V236" s="1"/>
      <c r="AH236" s="4"/>
      <c r="AI236" s="4"/>
      <c r="AJ236" s="4"/>
      <c r="AK236" s="4"/>
      <c r="AM236" s="1"/>
    </row>
    <row r="237" ht="12.75" customHeight="1">
      <c r="A237" s="1"/>
      <c r="B237" s="254" t="s">
        <v>105</v>
      </c>
      <c r="C237" s="84" t="str">
        <f t="shared" si="171"/>
        <v>#REF!</v>
      </c>
      <c r="D237" s="240" t="str">
        <f t="shared" si="172"/>
        <v>#REF!</v>
      </c>
      <c r="E237" s="245" t="str">
        <f t="array" ref="E237">INDEX(mill_2($P$282-$O$282,Vmexit,evap_mill_total,_system,recirc,millfanpower_s,famill,fasystem,GAS1,GAS2,GAS3,air,it_v1),3)</f>
        <v>#REF!</v>
      </c>
      <c r="F237" s="35" t="str">
        <f t="shared" ref="F237:J237" si="176">F325</f>
        <v>#REF!</v>
      </c>
      <c r="G237" s="35" t="str">
        <f t="shared" si="176"/>
        <v>#REF!</v>
      </c>
      <c r="H237" s="35" t="str">
        <f t="shared" si="176"/>
        <v>#REF!</v>
      </c>
      <c r="I237" s="35" t="str">
        <f t="shared" si="176"/>
        <v>#REF!</v>
      </c>
      <c r="J237" s="35" t="str">
        <f t="shared" si="176"/>
        <v>#REF!</v>
      </c>
      <c r="K237" s="4" t="str">
        <f>hotgastemp</f>
        <v>600 </v>
      </c>
      <c r="L237" s="4" t="str">
        <f>millexittemp</f>
        <v>85 </v>
      </c>
      <c r="M237" s="241" t="str">
        <f>1000*(F237*(h_co2(K237)-h_co2(20))+G237*(h_h2ogas(K237)-h_h2ogas(20))+H237*(h_n2(K237)-h_n2(20))+I237*(h_o2(K237)-h_o2(20)))/100/22.41+cpCli(K237)*(K237-20)*R237/1000</f>
        <v>#REF!</v>
      </c>
      <c r="N237" s="241" t="str">
        <f>1000*(F237*(h_co2(L237)-h_co2(20))+G237*(h_h2ogas(L237)-h_h2ogas(20))+H237*(h_n2(L237)-h_n2(20))+I237*(h_o2(L237)-h_o2(20)))/100/22.41+cpCli(L237)*(L237-20)*R237/1000</f>
        <v>#REF!</v>
      </c>
      <c r="O237" s="242" t="str">
        <f t="shared" si="173"/>
        <v>#REF!</v>
      </c>
      <c r="P237" s="242" t="str">
        <f t="shared" si="174"/>
        <v>#REF!</v>
      </c>
      <c r="Q237" s="4"/>
      <c r="R237" s="243"/>
      <c r="T237" s="1" t="str">
        <f t="shared" ref="T237:U237" si="177">O237</f>
        <v>#REF!</v>
      </c>
      <c r="U237" s="1" t="str">
        <f t="shared" si="177"/>
        <v>#REF!</v>
      </c>
      <c r="V237" s="1"/>
      <c r="W237" s="1" t="str">
        <f t="shared" ref="W237:X237" si="178">T237</f>
        <v>#REF!</v>
      </c>
      <c r="X237" s="1" t="str">
        <f t="shared" si="178"/>
        <v>#REF!</v>
      </c>
      <c r="AH237" s="4"/>
      <c r="AI237" s="4"/>
      <c r="AJ237" s="4"/>
      <c r="AK237" s="4"/>
      <c r="AM237" s="1"/>
    </row>
    <row r="238" ht="12.75" customHeight="1">
      <c r="A238" s="1"/>
      <c r="B238" s="254" t="s">
        <v>106</v>
      </c>
      <c r="C238" s="84" t="str">
        <f t="shared" si="171"/>
        <v>#NAME?</v>
      </c>
      <c r="D238" s="4"/>
      <c r="E238" s="245" t="str">
        <f>MAX(freshairmax,(1-recirc)*(E240-SUM(E235:E237)))</f>
        <v>#REF!</v>
      </c>
      <c r="F238" s="4">
        <v>0.0</v>
      </c>
      <c r="G238" s="242" t="str">
        <f>J238*(22.41/18)/10</f>
        <v>#NAME?</v>
      </c>
      <c r="H238" s="242" t="str">
        <f>79*(100-G238)/100</f>
        <v>#NAME?</v>
      </c>
      <c r="I238" s="242" t="str">
        <f>(100-G238)*21/100</f>
        <v>#NAME?</v>
      </c>
      <c r="J238" s="241" t="str">
        <f>freshairaqua</f>
        <v>#NAME?</v>
      </c>
      <c r="K238" s="4" t="str">
        <f>freshairtemp</f>
        <v>20 </v>
      </c>
      <c r="L238" s="4" t="str">
        <f>millexittemp</f>
        <v>85 </v>
      </c>
      <c r="M238" s="241" t="str">
        <f>1000*(F238*(h_co2(K238)-h_co2(20))+G238*(h_h2ogas(K238)-h_h2ogas(20))+H238*(h_n2(K238)-h_n2(20))+I238*(h_o2(K238)-h_o2(20)))/100/22.41</f>
        <v>#NAME?</v>
      </c>
      <c r="N238" s="241" t="str">
        <f>1000*(F238*(h_co2(L238)-h_co2(20))+G238*(h_h2ogas(L238)-h_h2ogas(20))+H238*(h_n2(L238)-h_n2(20))+I238*(h_o2(L238)-h_o2(20)))/100/22.41</f>
        <v>#NAME?</v>
      </c>
      <c r="O238" s="242" t="str">
        <f t="shared" si="173"/>
        <v>#NAME?</v>
      </c>
      <c r="P238" s="242" t="str">
        <f t="shared" si="174"/>
        <v>#NAME?</v>
      </c>
      <c r="Q238" s="4" t="str">
        <f>freshairmax</f>
        <v>0 </v>
      </c>
      <c r="R238" s="257"/>
      <c r="T238" s="1" t="str">
        <f t="shared" ref="T238:U238" si="179">O238</f>
        <v>#NAME?</v>
      </c>
      <c r="U238" s="1" t="str">
        <f t="shared" si="179"/>
        <v>#NAME?</v>
      </c>
      <c r="V238" s="1"/>
      <c r="W238" s="1" t="str">
        <f t="shared" ref="W238:X238" si="180">T238</f>
        <v>#NAME?</v>
      </c>
      <c r="X238" s="1" t="str">
        <f t="shared" si="180"/>
        <v>#NAME?</v>
      </c>
      <c r="AH238" s="4"/>
      <c r="AI238" s="4"/>
      <c r="AJ238" s="4"/>
      <c r="AK238" s="4"/>
      <c r="AM238" s="1"/>
    </row>
    <row r="239" ht="12.75" customHeight="1">
      <c r="A239" s="1"/>
      <c r="B239" s="254" t="s">
        <v>107</v>
      </c>
      <c r="C239" s="84" t="str">
        <f t="shared" si="171"/>
        <v>#REF!</v>
      </c>
      <c r="D239" s="35" t="str">
        <f>IF(ISERROR(R239),0,R239*E239/1000000)</f>
        <v>0.00 </v>
      </c>
      <c r="E239" s="4" t="str">
        <f>recirc*(E240-SUM(E235:E238))</f>
        <v>#REF!</v>
      </c>
      <c r="F239" s="35" t="str">
        <f>CHOOSE(_system+1,F254,F265)</f>
        <v>#REF!</v>
      </c>
      <c r="G239" s="35" t="str">
        <f>CHOOSE(_system+1,G254,G265)</f>
        <v>#REF!</v>
      </c>
      <c r="H239" s="35" t="str">
        <f>CHOOSE(_system+1,H254,H265)</f>
        <v>#REF!</v>
      </c>
      <c r="I239" s="35" t="str">
        <f>CHOOSE(_system+1,I254,I265)</f>
        <v>#REF!</v>
      </c>
      <c r="J239" s="35" t="str">
        <f>CHOOSE(_system+1,J254,J265)</f>
        <v>#REF!</v>
      </c>
      <c r="K239" s="258" t="str">
        <f>CHOOSE(_system+1,K254,K265)</f>
        <v>#NAME?</v>
      </c>
      <c r="L239" s="4" t="str">
        <f>millexittemp</f>
        <v>85 </v>
      </c>
      <c r="M239" s="241" t="str">
        <f>1000*(F239*(h_co2(K239)-h_co2(20))+G239*(h_h2ogas(K239)-h_h2ogas(20))+H239*(h_n2(K239)-h_n2(20))+I239*(h_o2(K239)-h_o2(20)))/100/22.41+0*(dr_2*cpRM(K239)+(1-dr_2)*cpCli(K239))*(K239-20)*R239/1000</f>
        <v>#REF!</v>
      </c>
      <c r="N239" s="241" t="str">
        <f>1000*(F239*(h_co2(L239)-h_co2(20))+G239*(h_h2ogas(L239)-h_h2ogas(20))+H239*(h_n2(L239)-h_n2(20))+I239*(h_o2(L239)-h_o2(20)))/100/22.41+0*(dr_2*cpRM(L239)+(1-dr_2)*cpCli(L239))*(L239-20)*R239/1000</f>
        <v>#REF!</v>
      </c>
      <c r="O239" s="242" t="str">
        <f t="shared" si="173"/>
        <v>#REF!</v>
      </c>
      <c r="P239" s="242" t="str">
        <f t="shared" si="174"/>
        <v>#REF!</v>
      </c>
      <c r="Q239" s="4"/>
      <c r="R239" s="257" t="str">
        <f>CHOOSE(_system+1,R254,R265)</f>
        <v>#REF!</v>
      </c>
      <c r="T239" s="1" t="str">
        <f>M239*E239/1000</f>
        <v>#REF!</v>
      </c>
      <c r="U239" s="1" t="str">
        <f>N239*E239/1000</f>
        <v>#REF!</v>
      </c>
      <c r="V239" s="1"/>
      <c r="W239" s="1" t="str">
        <f>E239*millfanpower_s*3.6</f>
        <v>#REF!</v>
      </c>
      <c r="AH239" s="4"/>
      <c r="AI239" s="4"/>
      <c r="AJ239" s="4"/>
      <c r="AK239" s="4"/>
      <c r="AM239" s="1"/>
    </row>
    <row r="240" ht="12.75" customHeight="1">
      <c r="A240" s="1"/>
      <c r="B240" s="254" t="s">
        <v>108</v>
      </c>
      <c r="C240" s="84"/>
      <c r="D240" s="35" t="str">
        <f>SUM(D235:D239)</f>
        <v>#NAME?</v>
      </c>
      <c r="E240" s="4" t="str">
        <f>(E244-SUM(E269:E280))/(1+famill/100)</f>
        <v>#REF!</v>
      </c>
      <c r="F240" s="35" t="str">
        <f t="shared" ref="F240:J240" si="181">($E235*F235+$E236*F236+$E237*F237+$E238*F238+$E239*F239)/$E240</f>
        <v>#NAME?</v>
      </c>
      <c r="G240" s="35" t="str">
        <f t="shared" si="181"/>
        <v>#NAME?</v>
      </c>
      <c r="H240" s="35" t="str">
        <f t="shared" si="181"/>
        <v>#NAME?</v>
      </c>
      <c r="I240" s="35" t="str">
        <f t="shared" si="181"/>
        <v>#NAME?</v>
      </c>
      <c r="J240" s="35" t="str">
        <f t="shared" si="181"/>
        <v>#NAME?</v>
      </c>
      <c r="K240" s="240" t="str">
        <f>H2t(F240,G240,H240,I240,E240,SUM(O235:O238)+M239*E239/1000,D235,D236)</f>
        <v>#NAME?</v>
      </c>
      <c r="L240" s="4" t="str">
        <f>millexittemp</f>
        <v>85 </v>
      </c>
      <c r="M240" s="241" t="str">
        <f t="shared" ref="M240:M242" si="182">1000*(F240*(h_co2(K240)-h_co2(20))+G240*(h_h2ogas(K240)-h_h2ogas(20))+H240*(h_n2(K240)-h_n2(20))+I240*(h_o2(K240)-h_o2(20)))/100/22.41</f>
        <v>#NAME?</v>
      </c>
      <c r="N240" s="241" t="str">
        <f t="shared" ref="N240:N242" si="183">1000*(F240*(h_co2(L240)-h_co2(20))+G240*(h_h2ogas(L240)-h_h2ogas(20))+H240*(h_n2(L240)-h_n2(20))+I240*(h_o2(L240)-h_o2(20)))/100/22.41</f>
        <v>#NAME?</v>
      </c>
      <c r="O240" s="4"/>
      <c r="P240" s="4"/>
      <c r="Q240" s="4"/>
      <c r="R240" s="257" t="str">
        <f>1000000*D240/E240</f>
        <v>#NAME?</v>
      </c>
      <c r="T240" s="182"/>
      <c r="U240" s="182"/>
      <c r="V240" s="1"/>
      <c r="AH240" s="4"/>
      <c r="AI240" s="4"/>
      <c r="AJ240" s="4"/>
      <c r="AK240" s="4"/>
      <c r="AM240" s="1"/>
    </row>
    <row r="241" ht="12.75" customHeight="1">
      <c r="A241" s="1"/>
      <c r="B241" s="254" t="s">
        <v>109</v>
      </c>
      <c r="C241" s="4"/>
      <c r="D241" s="4"/>
      <c r="E241" s="4" t="str">
        <f>(E240*(fasystem-famill)/100)*E239/Vmfi</f>
        <v>#REF!</v>
      </c>
      <c r="F241" s="4">
        <v>0.0</v>
      </c>
      <c r="G241" s="242" t="str">
        <f t="shared" ref="G241:G242" si="184">J241*(22.41/18)/10</f>
        <v>#NAME?</v>
      </c>
      <c r="H241" s="242" t="str">
        <f t="shared" ref="H241:H242" si="185">79*(100-G241)/100</f>
        <v>#NAME?</v>
      </c>
      <c r="I241" s="242" t="str">
        <f t="shared" ref="I241:I242" si="186">(100-G241)*21/100</f>
        <v>#NAME?</v>
      </c>
      <c r="J241" s="241" t="str">
        <f>freshairaqua</f>
        <v>#NAME?</v>
      </c>
      <c r="K241" s="4" t="str">
        <f>freshairtemp</f>
        <v>20 </v>
      </c>
      <c r="L241" s="4" t="str">
        <f>millexittemp</f>
        <v>85 </v>
      </c>
      <c r="M241" s="241" t="str">
        <f t="shared" si="182"/>
        <v>#NAME?</v>
      </c>
      <c r="N241" s="241" t="str">
        <f t="shared" si="183"/>
        <v>#NAME?</v>
      </c>
      <c r="O241" s="242"/>
      <c r="P241" s="242"/>
      <c r="Q241" s="4"/>
      <c r="R241" s="257"/>
      <c r="V241" s="1"/>
      <c r="W241" s="1" t="str">
        <f>E241*M241/1000</f>
        <v>#REF!</v>
      </c>
      <c r="X241" s="1" t="str">
        <f>E241*N241/1000</f>
        <v>#REF!</v>
      </c>
      <c r="AH241" s="4"/>
      <c r="AI241" s="4"/>
      <c r="AJ241" s="4"/>
      <c r="AK241" s="4"/>
      <c r="AM241" s="1"/>
    </row>
    <row r="242" ht="12.75" customHeight="1">
      <c r="A242" s="1"/>
      <c r="B242" s="259" t="s">
        <v>110</v>
      </c>
      <c r="C242" s="4"/>
      <c r="D242" s="4"/>
      <c r="E242" s="4" t="str">
        <f>E240*famill/100</f>
        <v>#REF!</v>
      </c>
      <c r="F242" s="4">
        <v>0.0</v>
      </c>
      <c r="G242" s="242" t="str">
        <f t="shared" si="184"/>
        <v>#NAME?</v>
      </c>
      <c r="H242" s="242" t="str">
        <f t="shared" si="185"/>
        <v>#NAME?</v>
      </c>
      <c r="I242" s="242" t="str">
        <f t="shared" si="186"/>
        <v>#NAME?</v>
      </c>
      <c r="J242" s="241" t="str">
        <f>freshairaqua</f>
        <v>#NAME?</v>
      </c>
      <c r="K242" s="4" t="str">
        <f>freshairtemp</f>
        <v>20 </v>
      </c>
      <c r="L242" s="4" t="str">
        <f>millexittemp</f>
        <v>85 </v>
      </c>
      <c r="M242" s="241" t="str">
        <f t="shared" si="182"/>
        <v>#NAME?</v>
      </c>
      <c r="N242" s="241" t="str">
        <f t="shared" si="183"/>
        <v>#NAME?</v>
      </c>
      <c r="O242" s="242" t="str">
        <f>M242*E242/1000</f>
        <v>#NAME?</v>
      </c>
      <c r="P242" s="242" t="str">
        <f>N242*E242/1000</f>
        <v>#NAME?</v>
      </c>
      <c r="Q242" s="4"/>
      <c r="R242" s="257"/>
      <c r="T242" s="1" t="str">
        <f t="shared" ref="T242:U242" si="187">O242</f>
        <v>#NAME?</v>
      </c>
      <c r="U242" s="1" t="str">
        <f t="shared" si="187"/>
        <v>#NAME?</v>
      </c>
      <c r="V242" s="1"/>
      <c r="W242" s="1" t="str">
        <f t="shared" ref="W242:X242" si="188">T242</f>
        <v>#NAME?</v>
      </c>
      <c r="X242" s="1" t="str">
        <f t="shared" si="188"/>
        <v>#NAME?</v>
      </c>
      <c r="AH242" s="4"/>
      <c r="AI242" s="4"/>
      <c r="AJ242" s="4"/>
      <c r="AK242" s="4"/>
      <c r="AM242" s="1"/>
    </row>
    <row r="243" ht="12.75" customHeight="1">
      <c r="A243" s="1"/>
      <c r="B243" s="259" t="s">
        <v>111</v>
      </c>
      <c r="C243" s="84" t="str">
        <f t="shared" ref="C243:C244" si="189">J243*E243/1000000</f>
        <v>2.777 </v>
      </c>
      <c r="D243" s="4"/>
      <c r="E243" s="4" t="str">
        <f>SUM(E269:E280)</f>
        <v>3457.481527 </v>
      </c>
      <c r="F243" s="4">
        <v>0.0</v>
      </c>
      <c r="G243" s="242">
        <v>100.0</v>
      </c>
      <c r="H243" s="242">
        <v>0.0</v>
      </c>
      <c r="I243" s="242">
        <v>0.0</v>
      </c>
      <c r="J243" s="242" t="str">
        <f>18000/22.41</f>
        <v>803.2</v>
      </c>
      <c r="K243" s="4" t="str">
        <f>watertemp</f>
        <v>22 </v>
      </c>
      <c r="L243" s="4" t="str">
        <f>millexittemp</f>
        <v>85 </v>
      </c>
      <c r="M243" s="242"/>
      <c r="N243" s="242"/>
      <c r="O243" s="242"/>
      <c r="P243" s="242"/>
      <c r="Q243" s="4"/>
      <c r="R243" s="257"/>
      <c r="V243" s="1"/>
      <c r="AH243" s="4"/>
      <c r="AI243" s="4"/>
      <c r="AJ243" s="4"/>
      <c r="AK243" s="4"/>
      <c r="AM243" s="1"/>
    </row>
    <row r="244" ht="12.75" customHeight="1">
      <c r="A244" s="1"/>
      <c r="B244" s="259" t="s">
        <v>112</v>
      </c>
      <c r="C244" s="84" t="str">
        <f t="shared" si="189"/>
        <v>#REF!</v>
      </c>
      <c r="D244" s="35" t="str">
        <f>SUM(D235:D239)+SUM(D271:D275)</f>
        <v>#NAME?</v>
      </c>
      <c r="E244" s="247" t="str">
        <f t="array" ref="E244">INDEX(mill_2($P$282-$O$282,Vmexit,evap_mill_total,_system,recirc,millfanpower_s,famill,fasystem,GAS1,GAS2,GAS3,air,it_v1),5)</f>
        <v>#REF!</v>
      </c>
      <c r="F244" s="35" t="str">
        <f t="shared" ref="F244:J244" si="190">($E235*F235+$E236*F236+$E237*F237+$E238*F238+$E242*F242+$E243*F243)/($E244-$E239)</f>
        <v>#REF!</v>
      </c>
      <c r="G244" s="35" t="str">
        <f t="shared" si="190"/>
        <v>#REF!</v>
      </c>
      <c r="H244" s="35" t="str">
        <f t="shared" si="190"/>
        <v>#REF!</v>
      </c>
      <c r="I244" s="35" t="str">
        <f t="shared" si="190"/>
        <v>#REF!</v>
      </c>
      <c r="J244" s="35" t="str">
        <f t="shared" si="190"/>
        <v>#REF!</v>
      </c>
      <c r="K244" s="4"/>
      <c r="L244" s="4" t="str">
        <f>millexittemp</f>
        <v>85 </v>
      </c>
      <c r="M244" s="4"/>
      <c r="N244" s="4"/>
      <c r="O244" s="4"/>
      <c r="P244" s="4"/>
      <c r="Q244" s="4"/>
      <c r="R244" s="257" t="str">
        <f>D244*1000000/E244</f>
        <v>#NAME?</v>
      </c>
      <c r="V244" s="1"/>
      <c r="AH244" s="4"/>
      <c r="AI244" s="4"/>
      <c r="AJ244" s="4"/>
      <c r="AK244" s="4"/>
      <c r="AM244" s="1"/>
    </row>
    <row r="245" ht="12.75" customHeight="1">
      <c r="A245" s="1"/>
      <c r="B245" s="259"/>
      <c r="C245" s="84"/>
      <c r="D245" s="4"/>
      <c r="E245" s="241"/>
      <c r="F245" s="35"/>
      <c r="G245" s="35"/>
      <c r="H245" s="35"/>
      <c r="I245" s="35"/>
      <c r="J245" s="35"/>
      <c r="K245" s="240"/>
      <c r="L245" s="4"/>
      <c r="M245" s="4"/>
      <c r="N245" s="4"/>
      <c r="O245" s="4"/>
      <c r="P245" s="4"/>
      <c r="Q245" s="4"/>
      <c r="R245" s="257"/>
      <c r="V245" s="1"/>
      <c r="AH245" s="4"/>
      <c r="AI245" s="4"/>
      <c r="AJ245" s="4"/>
      <c r="AK245" s="4"/>
      <c r="AM245" s="1"/>
    </row>
    <row r="246" ht="12.75" customHeight="1">
      <c r="A246" s="1"/>
      <c r="B246" s="259"/>
      <c r="C246" s="4"/>
      <c r="D246" s="4"/>
      <c r="E246" s="241"/>
      <c r="F246" s="4"/>
      <c r="G246" s="4"/>
      <c r="H246" s="4"/>
      <c r="I246" s="4"/>
      <c r="J246" s="4"/>
      <c r="K246" s="4"/>
      <c r="L246" s="4"/>
      <c r="M246" s="260" t="str">
        <f>((O246-P246)-(P282-O282))^2</f>
        <v>#NAME?</v>
      </c>
      <c r="N246" s="4"/>
      <c r="O246" s="4" t="str">
        <f t="shared" ref="O246:P246" si="191">SUM(O235:O242)</f>
        <v>#NAME?</v>
      </c>
      <c r="P246" s="4" t="str">
        <f t="shared" si="191"/>
        <v>#NAME?</v>
      </c>
      <c r="Q246" s="4"/>
      <c r="R246" s="257"/>
      <c r="T246" s="1" t="str">
        <f t="shared" ref="T246:U246" si="192">SUM(T235:T242)</f>
        <v>#NAME?</v>
      </c>
      <c r="U246" s="1" t="str">
        <f t="shared" si="192"/>
        <v>#NAME?</v>
      </c>
      <c r="V246" s="1"/>
      <c r="W246" s="1" t="str">
        <f>SUM(W235:W242)+E263*(E239/E264)*(M235-N235)/1000</f>
        <v>#NAME?</v>
      </c>
      <c r="X246" s="1" t="str">
        <f>SUM(X235:X242)</f>
        <v>#NAME?</v>
      </c>
      <c r="Y246" s="1" t="str">
        <f>W246-X246</f>
        <v>#NAME?</v>
      </c>
      <c r="AH246" s="4"/>
      <c r="AI246" s="4"/>
      <c r="AJ246" s="4"/>
      <c r="AK246" s="4"/>
      <c r="AM246" s="1"/>
    </row>
    <row r="247" ht="12.75" customHeight="1">
      <c r="A247" s="1"/>
      <c r="B247" s="259" t="s">
        <v>113</v>
      </c>
      <c r="C247" s="4"/>
      <c r="D247" s="4"/>
      <c r="E247" s="241" t="str">
        <f>$E$235*(kilng_c1/100)+$E$237*(hotg_c1/100)+$E$238*(fair_c1/100)</f>
        <v>#NAME?</v>
      </c>
      <c r="F247" s="241" t="str">
        <f>($E$235*(kilng_c1/100)*F235+$E$237*(hotg_c1/100)*F237+$E$238*(fair_c1/100)*F238)/$E247</f>
        <v>#NAME?</v>
      </c>
      <c r="G247" s="241" t="str">
        <f>($E$235*(kilng_c1/100)*G235+$E$237*(hotg_c1/100)*G237+$E$238*(fair_c1/100)*G238)/$E247</f>
        <v>#NAME?</v>
      </c>
      <c r="H247" s="241" t="str">
        <f>($E$235*(kilng_c1/100)*H235+$E$237*(hotg_c1/100)*H237+$E$238*(fair_c1/100)*H238)/$E247</f>
        <v>#NAME?</v>
      </c>
      <c r="I247" s="241" t="str">
        <f>($E$235*(kilng_c1/100)*I235+$E$237*(hotg_c1/100)*I237+$E$238*(fair_c1/100)*I238)/$E247</f>
        <v>#NAME?</v>
      </c>
      <c r="J247" s="241" t="str">
        <f>($E$235*(kilng_c1/100)*J235+$E$237*(hotg_c1/100)*J237+$E$238*(fair_c1/100)*J238)/$E247</f>
        <v>#NAME?</v>
      </c>
      <c r="K247" s="4"/>
      <c r="L247" s="4"/>
      <c r="M247" s="260"/>
      <c r="N247" s="4"/>
      <c r="O247" s="4"/>
      <c r="P247" s="4"/>
      <c r="Q247" s="4"/>
      <c r="R247" s="257" t="str">
        <f>($E$235*(kilng_c1/100)*R235+$E$237*(hotg_c1/100)*R237+$E$238*(fair_c1/100)*R238)/$E247</f>
        <v>#NAME?</v>
      </c>
      <c r="V247" s="1"/>
      <c r="AH247" s="4"/>
      <c r="AI247" s="4"/>
      <c r="AJ247" s="4"/>
      <c r="AK247" s="4"/>
      <c r="AM247" s="1"/>
    </row>
    <row r="248" ht="12.75" customHeight="1">
      <c r="A248" s="1"/>
      <c r="B248" s="259" t="s">
        <v>114</v>
      </c>
      <c r="C248" s="4"/>
      <c r="D248" s="4"/>
      <c r="E248" s="241" t="str">
        <f>$E$235*(1-kilng_c1/100)+$E$237*(1-hotg_c1/100)+$E$238*(1-fair_c1/100)</f>
        <v>#NAME?</v>
      </c>
      <c r="F248" s="241" t="str">
        <f>IF($E248&gt;0,($E$235*(1-kilng_c1/100)*F235+$E$237*(1-hotg_c1/100)*F237+$E$238*(1-fair_c1/100)*F238)/$E248,"")</f>
        <v>#NAME?</v>
      </c>
      <c r="G248" s="241" t="str">
        <f>IF($E248&gt;0,($E$235*(1-kilng_c1/100)*G235+$E$237*(1-hotg_c1/100)*G237+$E$238*(1-fair_c1/100)*G238)/$E248,"")</f>
        <v>#NAME?</v>
      </c>
      <c r="H248" s="241" t="str">
        <f>IF($E248&gt;0,($E$235*(1-kilng_c1/100)*H235+$E$237*(1-hotg_c1/100)*H237+$E$238*(1-fair_c1/100)*H238)/$E248,"")</f>
        <v>#NAME?</v>
      </c>
      <c r="I248" s="241" t="str">
        <f>IF($E248&gt;0,($E$235*(1-kilng_c1/100)*I235+$E$237*(1-hotg_c1/100)*I237+$E$238*(1-fair_c1/100)*I238)/$E248,"")</f>
        <v>#NAME?</v>
      </c>
      <c r="J248" s="241" t="str">
        <f>IF($E248&gt;0,($E$235*(1-kilng_c1/100)*J235+$E$237*(1-hotg_c1/100)*J237+$E$238*(1-fair_c1/100)*J238)/$E248,"")</f>
        <v>#NAME?</v>
      </c>
      <c r="K248" s="4"/>
      <c r="L248" s="4"/>
      <c r="M248" s="260"/>
      <c r="N248" s="4"/>
      <c r="O248" s="4"/>
      <c r="P248" s="4"/>
      <c r="Q248" s="4"/>
      <c r="R248" s="257" t="str">
        <f>IF($E248&gt;0,($E$235*(1-kilng_c1/100)*R235+$E$237*(1-hotg_c1/100)*R237+$E$238*(1-fair_c1/100)*R238)/$E248,"")</f>
        <v>#NAME?</v>
      </c>
      <c r="V248" s="1"/>
      <c r="AH248" s="4"/>
      <c r="AI248" s="4"/>
      <c r="AJ248" s="4"/>
      <c r="AK248" s="4"/>
      <c r="AM248" s="1"/>
    </row>
    <row r="249" ht="12.75" customHeight="1">
      <c r="A249" s="1"/>
      <c r="B249" s="259"/>
      <c r="C249" s="4"/>
      <c r="D249" s="4"/>
      <c r="E249" s="241"/>
      <c r="F249" s="4"/>
      <c r="G249" s="4"/>
      <c r="H249" s="4"/>
      <c r="I249" s="4"/>
      <c r="J249" s="4"/>
      <c r="K249" s="4"/>
      <c r="L249" s="4"/>
      <c r="M249" s="260"/>
      <c r="N249" s="4"/>
      <c r="O249" s="4"/>
      <c r="P249" s="4"/>
      <c r="Q249" s="4"/>
      <c r="R249" s="257"/>
      <c r="T249" s="1" t="s">
        <v>115</v>
      </c>
      <c r="U249" s="1" t="s">
        <v>116</v>
      </c>
      <c r="V249" s="1"/>
      <c r="AH249" s="4"/>
      <c r="AI249" s="4"/>
      <c r="AJ249" s="4"/>
      <c r="AK249" s="4"/>
      <c r="AM249" s="1"/>
    </row>
    <row r="250" ht="12.75" customHeight="1">
      <c r="A250" s="1"/>
      <c r="B250" s="261" t="s">
        <v>117</v>
      </c>
      <c r="C250" s="4"/>
      <c r="D250" s="4"/>
      <c r="E250" s="241"/>
      <c r="F250" s="4"/>
      <c r="G250" s="4"/>
      <c r="H250" s="4"/>
      <c r="I250" s="4"/>
      <c r="J250" s="4"/>
      <c r="K250" s="4"/>
      <c r="L250" s="4"/>
      <c r="M250" s="182"/>
      <c r="N250" s="4"/>
      <c r="O250" s="4"/>
      <c r="P250" s="4"/>
      <c r="Q250" s="4"/>
      <c r="R250" s="257"/>
      <c r="T250" s="1" t="str">
        <f>O246-P246</f>
        <v>#NAME?</v>
      </c>
      <c r="U250" s="1" t="str">
        <f>T246-U246+(U241-T241)</f>
        <v>#NAME?</v>
      </c>
      <c r="V250" s="1" t="str">
        <f t="shared" ref="V250:V251" si="194">U250-T250</f>
        <v>#NAME?</v>
      </c>
      <c r="AH250" s="4"/>
      <c r="AI250" s="4"/>
      <c r="AJ250" s="4"/>
      <c r="AK250" s="4"/>
      <c r="AM250" s="1"/>
    </row>
    <row r="251" ht="12.75" customHeight="1">
      <c r="A251" s="1"/>
      <c r="B251" s="259" t="s">
        <v>112</v>
      </c>
      <c r="C251" s="84" t="str">
        <f t="shared" ref="C251:C254" si="195">J251*E251/1000000</f>
        <v>#REF!</v>
      </c>
      <c r="D251" s="240" t="str">
        <f>SUM(D235:D239)+SUM(D271:D275)</f>
        <v>#NAME?</v>
      </c>
      <c r="E251" s="241" t="str">
        <f t="shared" ref="E251:J251" si="193">E244</f>
        <v>#REF!</v>
      </c>
      <c r="F251" s="35" t="str">
        <f t="shared" si="193"/>
        <v>#REF!</v>
      </c>
      <c r="G251" s="35" t="str">
        <f t="shared" si="193"/>
        <v>#REF!</v>
      </c>
      <c r="H251" s="35" t="str">
        <f t="shared" si="193"/>
        <v>#REF!</v>
      </c>
      <c r="I251" s="35" t="str">
        <f t="shared" si="193"/>
        <v>#REF!</v>
      </c>
      <c r="J251" s="35" t="str">
        <f t="shared" si="193"/>
        <v>#REF!</v>
      </c>
      <c r="K251" s="4" t="str">
        <f>millexittemp</f>
        <v>85 </v>
      </c>
      <c r="L251" s="4"/>
      <c r="M251" s="241" t="str">
        <f t="shared" ref="M251:M254" si="196">1000*(F251*(h_co2(K251)-h_co2(20))+G251*(h_h2ogas(K251)-h_h2ogas(20))+H251*(h_n2(K251)-h_n2(20))+I251*(h_o2(K251)-h_o2(20)))/100/22.41</f>
        <v>#REF!</v>
      </c>
      <c r="N251" s="4"/>
      <c r="O251" s="242" t="str">
        <f t="shared" ref="O251:O254" si="197">M251*E251/1000</f>
        <v>#REF!</v>
      </c>
      <c r="P251" s="4"/>
      <c r="Q251" s="4"/>
      <c r="R251" s="257" t="str">
        <f>D251*1000000/E251</f>
        <v>#NAME?</v>
      </c>
      <c r="S251" s="4"/>
      <c r="T251" s="1" t="str">
        <f>P282-O282</f>
        <v>#NAME?</v>
      </c>
      <c r="U251" s="1" t="str">
        <f>U250</f>
        <v>#NAME?</v>
      </c>
      <c r="V251" s="1" t="str">
        <f t="shared" si="194"/>
        <v>#NAME?</v>
      </c>
      <c r="AH251" s="4"/>
      <c r="AI251" s="4"/>
      <c r="AJ251" s="4"/>
      <c r="AK251" s="4"/>
      <c r="AM251" s="1"/>
    </row>
    <row r="252" ht="12.75" customHeight="1">
      <c r="A252" s="1"/>
      <c r="B252" s="259" t="s">
        <v>118</v>
      </c>
      <c r="C252" s="84" t="str">
        <f t="shared" si="195"/>
        <v>#NAME?</v>
      </c>
      <c r="D252" s="240"/>
      <c r="E252" s="241" t="str">
        <f>E240*(fasystem-famill)/100</f>
        <v>#REF!</v>
      </c>
      <c r="F252" s="4">
        <v>0.0</v>
      </c>
      <c r="G252" s="35" t="str">
        <f>J252*(22.41/18)/10</f>
        <v>#NAME?</v>
      </c>
      <c r="H252" s="35" t="str">
        <f>79*(100-G252)/100</f>
        <v>#NAME?</v>
      </c>
      <c r="I252" s="35" t="str">
        <f>(100-G252)*21/100</f>
        <v>#NAME?</v>
      </c>
      <c r="J252" s="35" t="str">
        <f>freshairaqua</f>
        <v>#NAME?</v>
      </c>
      <c r="K252" s="4" t="str">
        <f>freshairtemp</f>
        <v>20 </v>
      </c>
      <c r="L252" s="4"/>
      <c r="M252" s="241" t="str">
        <f t="shared" si="196"/>
        <v>#NAME?</v>
      </c>
      <c r="N252" s="4"/>
      <c r="O252" s="242" t="str">
        <f t="shared" si="197"/>
        <v>#NAME?</v>
      </c>
      <c r="P252" s="4"/>
      <c r="Q252" s="4"/>
      <c r="R252" s="257"/>
      <c r="V252" s="1"/>
      <c r="AH252" s="4"/>
      <c r="AI252" s="4"/>
      <c r="AJ252" s="4"/>
      <c r="AK252" s="4"/>
      <c r="AM252" s="1"/>
    </row>
    <row r="253" ht="12.75" customHeight="1">
      <c r="A253" s="1"/>
      <c r="B253" s="259" t="s">
        <v>119</v>
      </c>
      <c r="C253" s="84" t="str">
        <f t="shared" si="195"/>
        <v>#REF!</v>
      </c>
      <c r="D253" s="240" t="str">
        <f>IF(_system=0,D251*(1-cyc_eff/100),0)</f>
        <v>0.00</v>
      </c>
      <c r="E253" s="241" t="str">
        <f>E251+E252</f>
        <v>#REF!</v>
      </c>
      <c r="F253" s="35" t="str">
        <f t="shared" ref="F253:J253" si="198">($E251*F251+$E252*F252)/$E253</f>
        <v>#REF!</v>
      </c>
      <c r="G253" s="35" t="str">
        <f t="shared" si="198"/>
        <v>#REF!</v>
      </c>
      <c r="H253" s="35" t="str">
        <f t="shared" si="198"/>
        <v>#REF!</v>
      </c>
      <c r="I253" s="35" t="str">
        <f t="shared" si="198"/>
        <v>#REF!</v>
      </c>
      <c r="J253" s="35" t="str">
        <f t="shared" si="198"/>
        <v>#REF!</v>
      </c>
      <c r="K253" s="240" t="str">
        <f>gasmix_2(C251:R251,C252:R252,12,0*millfanpower_s,2,dr_2)</f>
        <v>#NAME?</v>
      </c>
      <c r="L253" s="4"/>
      <c r="M253" s="241" t="str">
        <f t="shared" si="196"/>
        <v>#REF!</v>
      </c>
      <c r="N253" s="4"/>
      <c r="O253" s="242" t="str">
        <f t="shared" si="197"/>
        <v>#REF!</v>
      </c>
      <c r="P253" s="4"/>
      <c r="Q253" s="4"/>
      <c r="R253" s="257" t="str">
        <f t="shared" ref="R253:R254" si="200">D253*1000000/E253</f>
        <v>#REF!</v>
      </c>
      <c r="V253" s="1"/>
      <c r="AH253" s="4"/>
      <c r="AI253" s="4"/>
      <c r="AJ253" s="4"/>
      <c r="AK253" s="4"/>
      <c r="AM253" s="1"/>
    </row>
    <row r="254" ht="12.75" customHeight="1">
      <c r="A254" s="1"/>
      <c r="B254" s="259" t="s">
        <v>120</v>
      </c>
      <c r="C254" s="84" t="str">
        <f t="shared" si="195"/>
        <v>#REF!</v>
      </c>
      <c r="D254" s="240" t="str">
        <f t="shared" ref="D254:J254" si="199">D253</f>
        <v>0.00</v>
      </c>
      <c r="E254" s="241" t="str">
        <f t="shared" si="199"/>
        <v>#REF!</v>
      </c>
      <c r="F254" s="35" t="str">
        <f t="shared" si="199"/>
        <v>#REF!</v>
      </c>
      <c r="G254" s="35" t="str">
        <f t="shared" si="199"/>
        <v>#REF!</v>
      </c>
      <c r="H254" s="35" t="str">
        <f t="shared" si="199"/>
        <v>#REF!</v>
      </c>
      <c r="I254" s="35" t="str">
        <f t="shared" si="199"/>
        <v>#REF!</v>
      </c>
      <c r="J254" s="35" t="str">
        <f t="shared" si="199"/>
        <v>#REF!</v>
      </c>
      <c r="K254" s="240" t="str">
        <f>gasmix_2(C251:R251,C252:R252,12,millfanpower_s,2,dr_2)</f>
        <v>#NAME?</v>
      </c>
      <c r="L254" s="4"/>
      <c r="M254" s="241" t="str">
        <f t="shared" si="196"/>
        <v>#REF!</v>
      </c>
      <c r="N254" s="4"/>
      <c r="O254" s="242" t="str">
        <f t="shared" si="197"/>
        <v>#REF!</v>
      </c>
      <c r="P254" s="4"/>
      <c r="Q254" s="4"/>
      <c r="R254" s="257" t="str">
        <f t="shared" si="200"/>
        <v>#REF!</v>
      </c>
      <c r="V254" s="1"/>
      <c r="AH254" s="4"/>
      <c r="AI254" s="4"/>
      <c r="AJ254" s="4"/>
      <c r="AK254" s="4"/>
      <c r="AM254" s="1"/>
    </row>
    <row r="255" ht="12.75" customHeight="1">
      <c r="A255" s="1"/>
      <c r="B255" s="259"/>
      <c r="C255" s="84"/>
      <c r="D255" s="240"/>
      <c r="E255" s="241"/>
      <c r="F255" s="35"/>
      <c r="G255" s="35"/>
      <c r="H255" s="35"/>
      <c r="I255" s="35"/>
      <c r="J255" s="35"/>
      <c r="K255" s="240"/>
      <c r="L255" s="4"/>
      <c r="M255" s="241"/>
      <c r="N255" s="4"/>
      <c r="O255" s="242"/>
      <c r="P255" s="4"/>
      <c r="Q255" s="4"/>
      <c r="R255" s="257"/>
      <c r="V255" s="1"/>
      <c r="AH255" s="4"/>
      <c r="AI255" s="4"/>
      <c r="AJ255" s="4"/>
      <c r="AK255" s="4"/>
      <c r="AM255" s="1"/>
    </row>
    <row r="256" ht="12.75" customHeight="1">
      <c r="A256" s="1"/>
      <c r="B256" s="259" t="s">
        <v>121</v>
      </c>
      <c r="C256" s="84"/>
      <c r="D256" s="240"/>
      <c r="E256" s="241"/>
      <c r="F256" s="35"/>
      <c r="G256" s="35"/>
      <c r="H256" s="35"/>
      <c r="I256" s="35"/>
      <c r="J256" s="35"/>
      <c r="K256" s="240"/>
      <c r="L256" s="4"/>
      <c r="M256" s="241"/>
      <c r="N256" s="4"/>
      <c r="O256" s="242"/>
      <c r="P256" s="4"/>
      <c r="Q256" s="4"/>
      <c r="R256" s="257"/>
      <c r="V256" s="1"/>
      <c r="AH256" s="4"/>
      <c r="AI256" s="4"/>
      <c r="AJ256" s="4"/>
      <c r="AK256" s="4"/>
      <c r="AM256" s="1"/>
    </row>
    <row r="257" ht="12.75" customHeight="1">
      <c r="A257" s="250"/>
      <c r="B257" s="259" t="s">
        <v>122</v>
      </c>
      <c r="C257" s="84" t="str">
        <f>J257*E257/1000000</f>
        <v>#NAME?</v>
      </c>
      <c r="D257" s="240" t="str">
        <f>E257*R257/1000000</f>
        <v>#NAME?</v>
      </c>
      <c r="E257" s="241" t="str">
        <f>IF(it_v1=TRUE,Q$235-E$235,Q$235-E$235)</f>
        <v>#NAME?</v>
      </c>
      <c r="F257" s="35" t="str">
        <f t="shared" ref="F257:K257" si="201">F$235</f>
        <v>0.30 </v>
      </c>
      <c r="G257" s="35" t="str">
        <f t="shared" si="201"/>
        <v>#NAME?</v>
      </c>
      <c r="H257" s="35" t="str">
        <f t="shared" si="201"/>
        <v>#NAME?</v>
      </c>
      <c r="I257" s="35" t="str">
        <f t="shared" si="201"/>
        <v>#NAME?</v>
      </c>
      <c r="J257" s="35" t="str">
        <f t="shared" si="201"/>
        <v>#NAME?</v>
      </c>
      <c r="K257" s="35" t="str">
        <f t="shared" si="201"/>
        <v>#NAME?</v>
      </c>
      <c r="L257" s="4"/>
      <c r="M257" s="241" t="str">
        <f>1000*(F257*(h_co2(K257)-h_co2(20))+G257*(h_h2ogas(K257)-h_h2ogas(20))+H257*(h_n2(K257)-h_n2(20))+I257*(h_o2(K257)-h_o2(20)))/100/22.41</f>
        <v>#NAME?</v>
      </c>
      <c r="N257" s="4"/>
      <c r="O257" s="242"/>
      <c r="P257" s="4"/>
      <c r="Q257" s="4"/>
      <c r="R257" s="257" t="str">
        <f>R$235</f>
        <v>0.50</v>
      </c>
      <c r="V257" s="1"/>
      <c r="AH257" s="4"/>
      <c r="AI257" s="4"/>
      <c r="AJ257" s="4"/>
      <c r="AK257" s="4"/>
      <c r="AM257" s="1"/>
    </row>
    <row r="258" ht="12.75" customHeight="1">
      <c r="A258" s="250"/>
      <c r="B258" s="259" t="s">
        <v>89</v>
      </c>
      <c r="C258" s="84" t="str">
        <f t="shared" ref="C258:R258" si="202">C202</f>
        <v>#NAME?</v>
      </c>
      <c r="D258" s="240" t="str">
        <f t="shared" si="202"/>
        <v>0.00</v>
      </c>
      <c r="E258" s="241" t="str">
        <f t="shared" si="202"/>
        <v>1.0 </v>
      </c>
      <c r="F258" s="35" t="str">
        <f t="shared" si="202"/>
        <v>0.30 </v>
      </c>
      <c r="G258" s="35" t="str">
        <f t="shared" si="202"/>
        <v>#NAME?</v>
      </c>
      <c r="H258" s="35" t="str">
        <f t="shared" si="202"/>
        <v>#NAME?</v>
      </c>
      <c r="I258" s="35" t="str">
        <f t="shared" si="202"/>
        <v>#NAME?</v>
      </c>
      <c r="J258" s="35" t="str">
        <f t="shared" si="202"/>
        <v>#NAME?</v>
      </c>
      <c r="K258" s="35" t="str">
        <f t="shared" si="202"/>
        <v>#REF!</v>
      </c>
      <c r="L258" s="4" t="str">
        <f t="shared" si="202"/>
        <v/>
      </c>
      <c r="M258" s="241" t="str">
        <f t="shared" si="202"/>
        <v>#NAME?</v>
      </c>
      <c r="N258" s="4" t="str">
        <f t="shared" si="202"/>
        <v/>
      </c>
      <c r="O258" s="242" t="str">
        <f t="shared" si="202"/>
        <v>#NAME?</v>
      </c>
      <c r="P258" s="4" t="str">
        <f t="shared" si="202"/>
        <v/>
      </c>
      <c r="Q258" s="4" t="str">
        <f t="shared" si="202"/>
        <v>1.01 </v>
      </c>
      <c r="R258" s="257" t="str">
        <f t="shared" si="202"/>
        <v>0.50</v>
      </c>
      <c r="V258" s="1"/>
      <c r="AH258" s="4"/>
      <c r="AI258" s="4"/>
      <c r="AJ258" s="4"/>
      <c r="AK258" s="4"/>
      <c r="AM258" s="1"/>
    </row>
    <row r="259" ht="12.75" customHeight="1">
      <c r="A259" s="250"/>
      <c r="B259" s="259" t="s">
        <v>90</v>
      </c>
      <c r="C259" s="84" t="str">
        <f t="shared" ref="C259:R259" si="203">C218</f>
        <v>#NAME?</v>
      </c>
      <c r="D259" s="240" t="str">
        <f t="shared" si="203"/>
        <v>0.00</v>
      </c>
      <c r="E259" s="241" t="str">
        <f t="shared" si="203"/>
        <v>1.0 </v>
      </c>
      <c r="F259" s="35" t="str">
        <f t="shared" si="203"/>
        <v>0.30 </v>
      </c>
      <c r="G259" s="35" t="str">
        <f t="shared" si="203"/>
        <v>#NAME?</v>
      </c>
      <c r="H259" s="35" t="str">
        <f t="shared" si="203"/>
        <v>#NAME?</v>
      </c>
      <c r="I259" s="35" t="str">
        <f t="shared" si="203"/>
        <v>#NAME?</v>
      </c>
      <c r="J259" s="35" t="str">
        <f t="shared" si="203"/>
        <v>#NAME?</v>
      </c>
      <c r="K259" s="35" t="str">
        <f t="shared" si="203"/>
        <v>#REF!</v>
      </c>
      <c r="L259" s="4" t="str">
        <f t="shared" si="203"/>
        <v/>
      </c>
      <c r="M259" s="241" t="str">
        <f t="shared" si="203"/>
        <v>#NAME?</v>
      </c>
      <c r="N259" s="4" t="str">
        <f t="shared" si="203"/>
        <v/>
      </c>
      <c r="O259" s="242" t="str">
        <f t="shared" si="203"/>
        <v>#NAME?</v>
      </c>
      <c r="P259" s="4" t="str">
        <f t="shared" si="203"/>
        <v/>
      </c>
      <c r="Q259" s="4" t="str">
        <f t="shared" si="203"/>
        <v>1.01 </v>
      </c>
      <c r="R259" s="257" t="str">
        <f t="shared" si="203"/>
        <v>0.50</v>
      </c>
      <c r="V259" s="1"/>
      <c r="AH259" s="4"/>
      <c r="AI259" s="4"/>
      <c r="AJ259" s="4"/>
      <c r="AK259" s="4"/>
      <c r="AM259" s="1"/>
    </row>
    <row r="260" ht="12.75" customHeight="1">
      <c r="A260" s="1"/>
      <c r="B260" s="259"/>
      <c r="C260" s="84"/>
      <c r="D260" s="182"/>
      <c r="E260" s="248"/>
      <c r="F260" s="35"/>
      <c r="G260" s="35"/>
      <c r="H260" s="35"/>
      <c r="I260" s="35"/>
      <c r="J260" s="35"/>
      <c r="K260" s="262" t="str">
        <f>gasmix2(F252,G252,H252,I252,K252,E252,F253,G253,H253,I253,K253,E253,12,millfanpower_s,2)</f>
        <v>#NAME?</v>
      </c>
      <c r="L260" s="4"/>
      <c r="M260" s="241"/>
      <c r="N260" s="4"/>
      <c r="O260" s="242"/>
      <c r="P260" s="4"/>
      <c r="Q260" s="4"/>
      <c r="R260" s="257"/>
      <c r="V260" s="1"/>
      <c r="AH260" s="4"/>
      <c r="AI260" s="4"/>
      <c r="AJ260" s="4"/>
      <c r="AK260" s="4"/>
      <c r="AM260" s="1"/>
    </row>
    <row r="261" ht="12.75" customHeight="1">
      <c r="A261" s="1"/>
      <c r="B261" s="263" t="s">
        <v>123</v>
      </c>
      <c r="C261" s="84"/>
      <c r="D261" s="4"/>
      <c r="E261" s="241"/>
      <c r="F261" s="35"/>
      <c r="G261" s="35"/>
      <c r="H261" s="35"/>
      <c r="I261" s="35"/>
      <c r="J261" s="35"/>
      <c r="K261" s="240"/>
      <c r="L261" s="4"/>
      <c r="M261" s="241"/>
      <c r="N261" s="4"/>
      <c r="O261" s="242"/>
      <c r="P261" s="4"/>
      <c r="Q261" s="4"/>
      <c r="R261" s="257"/>
      <c r="V261" s="1"/>
      <c r="AH261" s="4"/>
      <c r="AI261" s="4"/>
      <c r="AJ261" s="4"/>
      <c r="AK261" s="4"/>
      <c r="AM261" s="1"/>
    </row>
    <row r="262" ht="12.75" customHeight="1">
      <c r="A262" s="250"/>
      <c r="B262" s="259" t="s">
        <v>124</v>
      </c>
      <c r="C262" s="84" t="str">
        <f>C253</f>
        <v>#REF!</v>
      </c>
      <c r="D262" s="240" t="str">
        <f>D251</f>
        <v>#NAME?</v>
      </c>
      <c r="E262" s="241" t="str">
        <f t="shared" ref="E262:R262" si="204">E253</f>
        <v>#REF!</v>
      </c>
      <c r="F262" s="35" t="str">
        <f t="shared" si="204"/>
        <v>#REF!</v>
      </c>
      <c r="G262" s="35" t="str">
        <f t="shared" si="204"/>
        <v>#REF!</v>
      </c>
      <c r="H262" s="35" t="str">
        <f t="shared" si="204"/>
        <v>#REF!</v>
      </c>
      <c r="I262" s="35" t="str">
        <f t="shared" si="204"/>
        <v>#REF!</v>
      </c>
      <c r="J262" s="35" t="str">
        <f t="shared" si="204"/>
        <v>#REF!</v>
      </c>
      <c r="K262" s="240" t="str">
        <f t="shared" si="204"/>
        <v>#NAME?</v>
      </c>
      <c r="L262" s="4" t="str">
        <f t="shared" si="204"/>
        <v/>
      </c>
      <c r="M262" s="241" t="str">
        <f t="shared" si="204"/>
        <v>#REF!</v>
      </c>
      <c r="N262" s="4" t="str">
        <f t="shared" si="204"/>
        <v/>
      </c>
      <c r="O262" s="242" t="str">
        <f t="shared" si="204"/>
        <v>#REF!</v>
      </c>
      <c r="P262" s="4" t="str">
        <f t="shared" si="204"/>
        <v/>
      </c>
      <c r="Q262" s="4" t="str">
        <f t="shared" si="204"/>
        <v/>
      </c>
      <c r="R262" s="257" t="str">
        <f t="shared" si="204"/>
        <v>#REF!</v>
      </c>
      <c r="V262" s="1"/>
      <c r="AH262" s="4"/>
      <c r="AI262" s="4"/>
      <c r="AJ262" s="4"/>
      <c r="AK262" s="4"/>
      <c r="AM262" s="1"/>
    </row>
    <row r="263" ht="12.75" customHeight="1">
      <c r="A263" s="250"/>
      <c r="B263" s="259" t="s">
        <v>125</v>
      </c>
      <c r="C263" s="84" t="str">
        <f t="array" ref="C263">INDEX(C257:C259,_millgas_pos+1)</f>
        <v>#NAME?</v>
      </c>
      <c r="D263" s="240" t="str">
        <f t="array" ref="D263">INDEX(D257:D259,_millgas_pos+1)</f>
        <v>#NAME?</v>
      </c>
      <c r="E263" s="241" t="str">
        <f t="array" ref="E263">IF(it_v1=TRUE,INDEX(E257:E259,_millgas_pos+1),0)</f>
        <v>0.0 </v>
      </c>
      <c r="F263" s="35" t="str">
        <f t="array" ref="F263">INDEX(F257:F259,_millgas_pos+1)</f>
        <v>0.30 </v>
      </c>
      <c r="G263" s="35" t="str">
        <f t="array" ref="G263">INDEX(G257:G259,_millgas_pos+1)</f>
        <v>#NAME?</v>
      </c>
      <c r="H263" s="35" t="str">
        <f t="array" ref="H263">INDEX(H257:H259,_millgas_pos+1)</f>
        <v>#NAME?</v>
      </c>
      <c r="I263" s="35" t="str">
        <f t="array" ref="I263">INDEX(I257:I259,_millgas_pos+1)</f>
        <v>#NAME?</v>
      </c>
      <c r="J263" s="35" t="str">
        <f t="array" ref="J263">INDEX(J257:J259,_millgas_pos+1)</f>
        <v>#NAME?</v>
      </c>
      <c r="K263" s="240" t="str">
        <f t="array" ref="K263">INDEX(K257:K259,_millgas_pos+1)</f>
        <v>#NAME?</v>
      </c>
      <c r="L263" s="4" t="str">
        <f t="array" ref="L263">INDEX(L257:L259,_millgas_pos+1)</f>
        <v/>
      </c>
      <c r="M263" s="241" t="str">
        <f t="array" ref="M263">INDEX(M257:M259,_millgas_pos+1)</f>
        <v>#NAME?</v>
      </c>
      <c r="N263" s="4" t="str">
        <f t="array" ref="N263">INDEX(N257:N259,_millgas_pos+1)</f>
        <v/>
      </c>
      <c r="O263" s="242" t="str">
        <f t="array" ref="O263">INDEX(O257:O259,_millgas_pos+1)</f>
        <v/>
      </c>
      <c r="P263" s="4" t="str">
        <f t="array" ref="P263">INDEX(P257:P259,_millgas_pos+1)</f>
        <v/>
      </c>
      <c r="Q263" s="4" t="str">
        <f t="array" ref="Q263">INDEX(Q257:Q259,_millgas_pos+1)</f>
        <v/>
      </c>
      <c r="R263" s="257" t="str">
        <f t="array" ref="R263">INDEX(R257:R259,_millgas_pos+1)</f>
        <v>0.50</v>
      </c>
      <c r="T263" s="1" t="s">
        <v>126</v>
      </c>
      <c r="U263" s="1" t="s">
        <v>127</v>
      </c>
      <c r="V263" s="1"/>
      <c r="AH263" s="4"/>
      <c r="AI263" s="4"/>
      <c r="AJ263" s="4"/>
      <c r="AK263" s="4"/>
      <c r="AM263" s="1"/>
    </row>
    <row r="264" ht="12.75" customHeight="1">
      <c r="A264" s="1"/>
      <c r="B264" s="259" t="s">
        <v>128</v>
      </c>
      <c r="C264" s="84" t="str">
        <f t="shared" ref="C264:C265" si="206">J264*E264/1000000</f>
        <v>#REF!</v>
      </c>
      <c r="D264" s="4">
        <v>0.0</v>
      </c>
      <c r="E264" s="241" t="str">
        <f>E262+E263</f>
        <v>#REF!</v>
      </c>
      <c r="F264" s="35" t="str">
        <f t="shared" ref="F264:J264" si="205">($E262*F262+$E263*F263)/$E264</f>
        <v>#REF!</v>
      </c>
      <c r="G264" s="35" t="str">
        <f t="shared" si="205"/>
        <v>#REF!</v>
      </c>
      <c r="H264" s="35" t="str">
        <f t="shared" si="205"/>
        <v>#REF!</v>
      </c>
      <c r="I264" s="35" t="str">
        <f t="shared" si="205"/>
        <v>#REF!</v>
      </c>
      <c r="J264" s="35" t="str">
        <f t="shared" si="205"/>
        <v>#REF!</v>
      </c>
      <c r="K264" s="240" t="str">
        <f>gasmix_2(C262:R262,C263:R263,12,0*millfanpower_s,2,dr_2)</f>
        <v>#NAME?</v>
      </c>
      <c r="L264" s="4"/>
      <c r="M264" s="241" t="str">
        <f t="shared" ref="M264:M265" si="208">1000*(F264*(h_co2(K264)-h_co2(20))+G264*(h_h2ogas(K264)-h_h2ogas(20))+H264*(h_n2(K264)-h_n2(20))+I264*(h_o2(K264)-h_o2(20)))/100/22.41</f>
        <v>#REF!</v>
      </c>
      <c r="N264" s="4"/>
      <c r="O264" s="242"/>
      <c r="P264" s="4"/>
      <c r="Q264" s="4"/>
      <c r="R264" s="257" t="str">
        <f t="shared" ref="R264:R265" si="209">D264*1000000/E264</f>
        <v>#REF!</v>
      </c>
      <c r="V264" s="1"/>
      <c r="AH264" s="4"/>
      <c r="AI264" s="4"/>
      <c r="AJ264" s="4"/>
      <c r="AK264" s="4"/>
      <c r="AM264" s="1"/>
    </row>
    <row r="265" ht="12.75" customHeight="1">
      <c r="A265" s="1"/>
      <c r="B265" s="259" t="s">
        <v>129</v>
      </c>
      <c r="C265" s="84" t="str">
        <f t="shared" si="206"/>
        <v>#REF!</v>
      </c>
      <c r="D265" s="4">
        <v>0.0</v>
      </c>
      <c r="E265" s="241" t="str">
        <f t="shared" ref="E265:J265" si="207">E264</f>
        <v>#REF!</v>
      </c>
      <c r="F265" s="35" t="str">
        <f t="shared" si="207"/>
        <v>#REF!</v>
      </c>
      <c r="G265" s="35" t="str">
        <f t="shared" si="207"/>
        <v>#REF!</v>
      </c>
      <c r="H265" s="35" t="str">
        <f t="shared" si="207"/>
        <v>#REF!</v>
      </c>
      <c r="I265" s="35" t="str">
        <f t="shared" si="207"/>
        <v>#REF!</v>
      </c>
      <c r="J265" s="35" t="str">
        <f t="shared" si="207"/>
        <v>#REF!</v>
      </c>
      <c r="K265" s="240" t="str">
        <f>gasmix_2(C262:R262,C263:R263,12,millfanpower_s,2,dr_2)</f>
        <v>#NAME?</v>
      </c>
      <c r="L265" s="4"/>
      <c r="M265" s="241" t="str">
        <f t="shared" si="208"/>
        <v>#REF!</v>
      </c>
      <c r="N265" s="4"/>
      <c r="O265" s="242"/>
      <c r="P265" s="4"/>
      <c r="Q265" s="4"/>
      <c r="R265" s="257" t="str">
        <f t="shared" si="209"/>
        <v>#REF!</v>
      </c>
      <c r="V265" s="1"/>
      <c r="AH265" s="4"/>
      <c r="AI265" s="4"/>
      <c r="AJ265" s="4"/>
      <c r="AK265" s="4"/>
      <c r="AM265" s="1"/>
    </row>
    <row r="266" ht="12.75" customHeight="1">
      <c r="A266" s="1"/>
      <c r="B266" s="259"/>
      <c r="C266" s="4"/>
      <c r="D266" s="4"/>
      <c r="E266" s="241"/>
      <c r="F266" s="4"/>
      <c r="G266" s="4"/>
      <c r="H266" s="4"/>
      <c r="I266" s="4"/>
      <c r="J266" s="4"/>
      <c r="K266" s="262" t="str">
        <f>gasmix2(F263,G263,H263,I263,K263,E263,F264,G264,H264,I264,K264,E264,12,millfanpower_s,2)</f>
        <v>#NAME?</v>
      </c>
      <c r="L266" s="4"/>
      <c r="M266" s="4"/>
      <c r="N266" s="4"/>
      <c r="O266" s="4"/>
      <c r="P266" s="4"/>
      <c r="Q266" s="4"/>
      <c r="R266" s="257"/>
      <c r="T266" s="1" t="s">
        <v>41</v>
      </c>
      <c r="U266" s="1" t="s">
        <v>41</v>
      </c>
      <c r="V266" s="1"/>
      <c r="AH266" s="4"/>
      <c r="AI266" s="4"/>
      <c r="AJ266" s="4"/>
      <c r="AK266" s="4"/>
      <c r="AM266" s="1"/>
    </row>
    <row r="267" ht="12.75" customHeight="1">
      <c r="A267" s="1"/>
      <c r="B267" s="254" t="s">
        <v>130</v>
      </c>
      <c r="C267" s="4"/>
      <c r="D267" s="4"/>
      <c r="E267" s="4"/>
      <c r="F267" s="4"/>
      <c r="G267" s="4"/>
      <c r="H267" s="4"/>
      <c r="I267" s="4"/>
      <c r="J267" s="4"/>
      <c r="K267" s="240"/>
      <c r="L267" s="4"/>
      <c r="M267" s="4"/>
      <c r="N267" s="4"/>
      <c r="O267" s="4"/>
      <c r="P267" s="4" t="str">
        <f>heatloss</f>
        <v>778.7175957 </v>
      </c>
      <c r="Q267" s="4"/>
      <c r="R267" s="257"/>
      <c r="S267" s="264" t="str">
        <f t="shared" ref="S267:S280" si="210">P267-O267</f>
        <v>778.7175957 </v>
      </c>
      <c r="V267" s="1"/>
      <c r="AH267" s="4"/>
      <c r="AI267" s="4"/>
      <c r="AJ267" s="4"/>
      <c r="AK267" s="4"/>
      <c r="AM267" s="1"/>
    </row>
    <row r="268" ht="12.75" customHeight="1">
      <c r="A268" s="1"/>
      <c r="B268" s="254" t="s">
        <v>131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 t="str">
        <f>millpower*milldriveeff*3.6</f>
        <v>11711.304 </v>
      </c>
      <c r="P268" s="4"/>
      <c r="Q268" s="4"/>
      <c r="R268" s="257"/>
      <c r="S268" s="264" t="str">
        <f t="shared" si="210"/>
        <v>-11711.304 </v>
      </c>
      <c r="V268" s="1"/>
      <c r="AH268" s="4"/>
      <c r="AI268" s="4"/>
      <c r="AJ268" s="4"/>
      <c r="AK268" s="4"/>
      <c r="AM268" s="1"/>
    </row>
    <row r="269" ht="12.75" customHeight="1">
      <c r="A269" s="1"/>
      <c r="B269" s="254" t="s">
        <v>132</v>
      </c>
      <c r="C269" s="4" t="str">
        <f>wimill/1000</f>
        <v>0 </v>
      </c>
      <c r="D269" s="4"/>
      <c r="E269" s="4" t="str">
        <f>C269*1245</f>
        <v>0 </v>
      </c>
      <c r="F269" s="4"/>
      <c r="G269" s="4">
        <v>100.0</v>
      </c>
      <c r="H269" s="4"/>
      <c r="I269" s="4"/>
      <c r="J269" s="4"/>
      <c r="K269" s="4" t="str">
        <f>watertemp</f>
        <v>22 </v>
      </c>
      <c r="L269" s="4" t="str">
        <f>millexittemp</f>
        <v>85 </v>
      </c>
      <c r="M269" s="4"/>
      <c r="N269" s="4"/>
      <c r="O269" s="4" t="str">
        <f>(EnthalpySatLiqTW(K269+273.16)-EnthalpySatLiqTW(293.16))*C269</f>
        <v>#NAME?</v>
      </c>
      <c r="P269" s="4" t="str">
        <f>(EnthalpySatVapTW(L269+273.16)-EnthalpySatLiqTW(293.16))*C269</f>
        <v>#NAME?</v>
      </c>
      <c r="Q269" s="4"/>
      <c r="R269" s="257"/>
      <c r="S269" s="264" t="str">
        <f t="shared" si="210"/>
        <v>#NAME?</v>
      </c>
      <c r="U269" s="1" t="str">
        <f>P269</f>
        <v>#NAME?</v>
      </c>
      <c r="V269" s="1"/>
      <c r="W269" s="1" t="str">
        <f>S269/C269</f>
        <v>#NAME?</v>
      </c>
      <c r="AH269" s="4"/>
      <c r="AI269" s="4"/>
      <c r="AJ269" s="4"/>
      <c r="AK269" s="4"/>
      <c r="AM269" s="1"/>
    </row>
    <row r="270" ht="12.75" customHeight="1">
      <c r="A270" s="1"/>
      <c r="B270" s="254" t="s">
        <v>133</v>
      </c>
      <c r="C270" s="4"/>
      <c r="D270" s="240" t="str">
        <f>(circ_load-1)*prod_dry*(100-prodh2o)/100</f>
        <v>219.78</v>
      </c>
      <c r="E270" s="4"/>
      <c r="F270" s="4"/>
      <c r="G270" s="4"/>
      <c r="H270" s="4"/>
      <c r="I270" s="4"/>
      <c r="J270" s="4"/>
      <c r="K270" s="35" t="str">
        <f>IF(ISNUMBER(grittemp),grittemp,prodtemp)</f>
        <v>90.00 </v>
      </c>
      <c r="L270" s="4" t="str">
        <f>prodtemp</f>
        <v>90 </v>
      </c>
      <c r="M270" s="4"/>
      <c r="N270" s="4"/>
      <c r="O270" s="242" t="str">
        <f>cpGrits(K270,volatiles_coal,comp_dry,matindices)*(K270-20)*$D270</f>
        <v>#NAME?</v>
      </c>
      <c r="P270" s="242" t="str">
        <f>cpGrits(L270,volatiles_coal,comp_dry,matindices)*(L270-20)*$D270</f>
        <v>#NAME?</v>
      </c>
      <c r="Q270" s="4"/>
      <c r="R270" s="257"/>
      <c r="S270" s="264" t="str">
        <f t="shared" si="210"/>
        <v>#NAME?</v>
      </c>
      <c r="V270" s="1"/>
      <c r="AH270" s="4"/>
      <c r="AI270" s="4"/>
      <c r="AJ270" s="4"/>
      <c r="AK270" s="4"/>
      <c r="AM270" s="1"/>
    </row>
    <row r="271" ht="12.75" customHeight="1">
      <c r="A271" s="1"/>
      <c r="B271" s="254" t="s">
        <v>134</v>
      </c>
      <c r="C271" s="240" t="str">
        <f>D271*feedh2o1/(100-feedh2o1)</f>
        <v>0.00</v>
      </c>
      <c r="D271" s="242" t="str">
        <f t="array" ref="D271">INDEX(comp_wet,1)*prod_wet*(1-feedh2o1/100)/100</f>
        <v>60.9</v>
      </c>
      <c r="E271" s="4"/>
      <c r="F271" s="4"/>
      <c r="G271" s="4"/>
      <c r="H271" s="4"/>
      <c r="I271" s="4"/>
      <c r="J271" s="4"/>
      <c r="K271" s="4" t="str">
        <f>feedtemp1</f>
        <v>130 </v>
      </c>
      <c r="L271" s="4" t="str">
        <f>prodtemp</f>
        <v>90 </v>
      </c>
      <c r="M271" s="4"/>
      <c r="N271" s="4"/>
      <c r="O271" s="242" t="str">
        <f>cpSol(K271,volatiles_coal,matindex1)*(K271-20)*$D271</f>
        <v>#NAME?</v>
      </c>
      <c r="P271" s="242" t="str">
        <f>cpSol(L271,volatiles_coal,matindex1)*(L271-20)*$D271</f>
        <v>#NAME?</v>
      </c>
      <c r="Q271" s="4"/>
      <c r="R271" s="257"/>
      <c r="S271" s="264" t="str">
        <f t="shared" si="210"/>
        <v>#NAME?</v>
      </c>
      <c r="V271" s="1"/>
      <c r="AH271" s="4"/>
      <c r="AI271" s="4"/>
      <c r="AJ271" s="4"/>
      <c r="AK271" s="4"/>
      <c r="AM271" s="1"/>
    </row>
    <row r="272" ht="12.75" customHeight="1">
      <c r="A272" s="1"/>
      <c r="B272" s="254" t="s">
        <v>135</v>
      </c>
      <c r="C272" s="240" t="str">
        <f>D272*feedh2o2/(100-feedh2o2)</f>
        <v>2.48</v>
      </c>
      <c r="D272" s="242" t="str">
        <f t="array" ref="D272">INDEX(comp_wet,2)*prod_wet*(1-feedh2o2/100)/100</f>
        <v>42.6</v>
      </c>
      <c r="E272" s="4"/>
      <c r="F272" s="4"/>
      <c r="G272" s="4"/>
      <c r="H272" s="4"/>
      <c r="I272" s="4"/>
      <c r="J272" s="4"/>
      <c r="K272" s="4" t="str">
        <f>feedtemp2</f>
        <v>20 </v>
      </c>
      <c r="L272" s="4" t="str">
        <f>prodtemp</f>
        <v>90 </v>
      </c>
      <c r="M272" s="4"/>
      <c r="N272" s="4"/>
      <c r="O272" s="242" t="str">
        <f>cpSol(K272,volatiles_coal,matindex2)*(K272-20)*$D272</f>
        <v>#NAME?</v>
      </c>
      <c r="P272" s="242" t="str">
        <f>cpSol(L272,volatiles_coal,matindex2)*(L272-20)*$D272</f>
        <v>#NAME?</v>
      </c>
      <c r="Q272" s="4"/>
      <c r="R272" s="257"/>
      <c r="S272" s="264" t="str">
        <f t="shared" si="210"/>
        <v>#NAME?</v>
      </c>
      <c r="V272" s="1"/>
      <c r="AH272" s="4"/>
      <c r="AI272" s="4"/>
      <c r="AJ272" s="4"/>
      <c r="AK272" s="4"/>
      <c r="AM272" s="1"/>
    </row>
    <row r="273" ht="12.75" customHeight="1">
      <c r="A273" s="1"/>
      <c r="B273" s="254" t="s">
        <v>136</v>
      </c>
      <c r="C273" s="240" t="str">
        <f>D273*feedh2o3/(100-feedh2o3)</f>
        <v>0.41</v>
      </c>
      <c r="D273" s="242" t="str">
        <f t="array" ref="D273">INDEX(comp_wet,3)*prod_wet*(1-feedh2o3/100)/100</f>
        <v>6.4</v>
      </c>
      <c r="E273" s="4"/>
      <c r="F273" s="4"/>
      <c r="G273" s="4"/>
      <c r="H273" s="4"/>
      <c r="I273" s="4"/>
      <c r="J273" s="4"/>
      <c r="K273" s="4" t="str">
        <f>feedtemp3</f>
        <v>20 </v>
      </c>
      <c r="L273" s="4" t="str">
        <f>prodtemp</f>
        <v>90 </v>
      </c>
      <c r="M273" s="4"/>
      <c r="N273" s="4"/>
      <c r="O273" s="242" t="str">
        <f>cpSol(K273,volatiles_coal,matindex3)*(K273-20)*$D273</f>
        <v>#NAME?</v>
      </c>
      <c r="P273" s="242" t="str">
        <f>cpSol(L273,volatiles_coal,matindex3)*(L273-20)*$D273</f>
        <v>#NAME?</v>
      </c>
      <c r="Q273" s="4"/>
      <c r="R273" s="257"/>
      <c r="S273" s="264" t="str">
        <f t="shared" si="210"/>
        <v>#NAME?</v>
      </c>
      <c r="V273" s="1"/>
      <c r="AH273" s="4"/>
      <c r="AI273" s="4"/>
      <c r="AJ273" s="4"/>
      <c r="AK273" s="4"/>
      <c r="AM273" s="1"/>
    </row>
    <row r="274" ht="12.75" customHeight="1">
      <c r="A274" s="1"/>
      <c r="B274" s="254" t="s">
        <v>137</v>
      </c>
      <c r="C274" s="240" t="str">
        <f>D274*feedh2o4/(100-feedh2o4)</f>
        <v>0.00</v>
      </c>
      <c r="D274" s="242" t="str">
        <f t="array" ref="D274">INDEX(comp_wet,4)*prod_wet*(1-feedh2o4/100)/100</f>
        <v>0.0</v>
      </c>
      <c r="E274" s="4"/>
      <c r="F274" s="4"/>
      <c r="G274" s="4"/>
      <c r="H274" s="4"/>
      <c r="I274" s="4"/>
      <c r="J274" s="4"/>
      <c r="K274" s="4" t="str">
        <f>feedtemp4</f>
        <v>20 </v>
      </c>
      <c r="L274" s="4" t="str">
        <f>prodtemp</f>
        <v>90 </v>
      </c>
      <c r="M274" s="4"/>
      <c r="N274" s="4"/>
      <c r="O274" s="242" t="str">
        <f>cpSol(K274,volatiles_coal,matindex4)*(K274-20)*$D274</f>
        <v>#NAME?</v>
      </c>
      <c r="P274" s="242" t="str">
        <f>cpSol(L274,volatiles_coal,matindex4)*(L274-20)*$D274</f>
        <v>#NAME?</v>
      </c>
      <c r="Q274" s="4"/>
      <c r="R274" s="257"/>
      <c r="S274" s="264" t="str">
        <f t="shared" si="210"/>
        <v>#NAME?</v>
      </c>
      <c r="V274" s="1"/>
      <c r="AH274" s="4"/>
      <c r="AI274" s="4"/>
      <c r="AJ274" s="4"/>
      <c r="AK274" s="4"/>
      <c r="AM274" s="1"/>
    </row>
    <row r="275" ht="12.75" customHeight="1">
      <c r="A275" s="1"/>
      <c r="B275" s="254" t="s">
        <v>138</v>
      </c>
      <c r="C275" s="240" t="str">
        <f>D275*feedh2o5/(100-feedh2o5)</f>
        <v>0.00</v>
      </c>
      <c r="D275" s="242" t="str">
        <f t="array" ref="D275">INDEX(comp_wet,5)*prod_wet*(1-feedh2o5/100)/100</f>
        <v>0.0</v>
      </c>
      <c r="E275" s="4"/>
      <c r="F275" s="4"/>
      <c r="G275" s="4"/>
      <c r="H275" s="4"/>
      <c r="I275" s="4"/>
      <c r="J275" s="4"/>
      <c r="K275" s="4" t="str">
        <f>feedtemp5</f>
        <v>30 </v>
      </c>
      <c r="L275" s="4" t="str">
        <f>prodtemp</f>
        <v>90 </v>
      </c>
      <c r="M275" s="4"/>
      <c r="N275" s="4"/>
      <c r="O275" s="242" t="str">
        <f>cpSol(K275,volatiles_coal,matindex5)*(K275-20)*$D275</f>
        <v>#NAME?</v>
      </c>
      <c r="P275" s="242" t="str">
        <f>cpSol(L275,volatiles_coal,matindex5)*(L275-20)*$D275</f>
        <v>#NAME?</v>
      </c>
      <c r="Q275" s="4"/>
      <c r="R275" s="257"/>
      <c r="S275" s="264" t="str">
        <f t="shared" si="210"/>
        <v>#NAME?</v>
      </c>
      <c r="V275" s="1"/>
      <c r="Z275" s="19"/>
      <c r="AA275" s="206"/>
      <c r="AB275" s="35"/>
      <c r="AC275" s="214"/>
      <c r="AD275" s="35"/>
      <c r="AE275" s="4"/>
      <c r="AF275" s="4"/>
      <c r="AG275" s="4"/>
      <c r="AH275" s="4"/>
      <c r="AI275" s="4"/>
      <c r="AJ275" s="4"/>
      <c r="AK275" s="4"/>
      <c r="AM275" s="1"/>
    </row>
    <row r="276" ht="12.75" customHeight="1">
      <c r="A276" s="1"/>
      <c r="B276" s="259" t="s">
        <v>139</v>
      </c>
      <c r="C276" s="240" t="str">
        <f t="shared" ref="C276:D276" si="211">C271</f>
        <v>0.00</v>
      </c>
      <c r="D276" s="240" t="str">
        <f t="shared" si="211"/>
        <v>60.90</v>
      </c>
      <c r="E276" s="242" t="str">
        <f>1245*(C276-D276*prodh2o/(100-prodh2o))</f>
        <v>-75.9</v>
      </c>
      <c r="F276" s="4"/>
      <c r="G276" s="4"/>
      <c r="H276" s="4"/>
      <c r="I276" s="4"/>
      <c r="J276" s="4"/>
      <c r="K276" s="4" t="str">
        <f>feedtemp1</f>
        <v>130 </v>
      </c>
      <c r="L276" s="4"/>
      <c r="M276" s="4"/>
      <c r="N276" s="4"/>
      <c r="O276" s="4" t="str">
        <f t="shared" ref="O276:O280" si="213">(EnthalpySatLiqTW(K276+273.16)-EnthalpySatLiqTW(293.16))*C276</f>
        <v>#NAME?</v>
      </c>
      <c r="P276" s="4" t="str">
        <f>(EnthalpySatLiqTW(prodtemp+273.16)-EnthalpySatLiqTW(293.16))*D276*prodh2o/(100-prodh2o)+(EnthalpySatVapTW(millexittemp+273.16)-EnthalpySatLiqTW(293.16))*(C276-D276*prodh2o/(100-prodh2o))</f>
        <v>#NAME?</v>
      </c>
      <c r="Q276" s="4"/>
      <c r="R276" s="257"/>
      <c r="S276" s="264" t="str">
        <f t="shared" si="210"/>
        <v>#NAME?</v>
      </c>
      <c r="T276" s="4" t="str">
        <f>(EnthalpySatLiqTW(prodtemp+273.16)-EnthalpySatLiqTW(293.16))*D276*prodh2o/(100-prodh2o)</f>
        <v>#NAME?</v>
      </c>
      <c r="U276" s="4" t="str">
        <f>(EnthalpySatVapTW(millexittemp+273.16)-EnthalpySatLiqTW(293.16))*(C276-D276*prodh2o/(100-prodh2o))</f>
        <v>#NAME?</v>
      </c>
      <c r="V276" s="1"/>
      <c r="AK276" s="1"/>
      <c r="AM276" s="1"/>
    </row>
    <row r="277" ht="12.75" customHeight="1">
      <c r="A277" s="1"/>
      <c r="B277" s="259" t="s">
        <v>140</v>
      </c>
      <c r="C277" s="240" t="str">
        <f t="shared" ref="C277:D277" si="212">C272</f>
        <v>2.48</v>
      </c>
      <c r="D277" s="240" t="str">
        <f t="shared" si="212"/>
        <v>42.63</v>
      </c>
      <c r="E277" s="242" t="str">
        <f>1245*(C277-D277*prodh2o/(100-prodh2o))</f>
        <v>3035.8</v>
      </c>
      <c r="F277" s="4"/>
      <c r="G277" s="4"/>
      <c r="H277" s="4"/>
      <c r="I277" s="4"/>
      <c r="J277" s="4"/>
      <c r="K277" s="4" t="str">
        <f>feedtemp2</f>
        <v>20 </v>
      </c>
      <c r="L277" s="4"/>
      <c r="M277" s="4"/>
      <c r="N277" s="4"/>
      <c r="O277" s="4" t="str">
        <f t="shared" si="213"/>
        <v>#NAME?</v>
      </c>
      <c r="P277" s="4" t="str">
        <f>(EnthalpySatLiqTW(prodtemp+273.16)-EnthalpySatLiqTW(293.16))*D277*prodh2o/(100-prodh2o)+(EnthalpySatVapTW(millexittemp+273.16)-EnthalpySatLiqTW(293.16))*(C277-D277*prodh2o/(100-prodh2o))</f>
        <v>#NAME?</v>
      </c>
      <c r="Q277" s="4"/>
      <c r="R277" s="257"/>
      <c r="S277" s="264" t="str">
        <f t="shared" si="210"/>
        <v>#NAME?</v>
      </c>
      <c r="T277" s="4" t="str">
        <f>(EnthalpySatLiqTW(prodtemp+273.16)-EnthalpySatLiqTW(293.16))*D277*prodh2o/(100-prodh2o)</f>
        <v>#NAME?</v>
      </c>
      <c r="U277" s="4" t="str">
        <f>(EnthalpySatVapTW(millexittemp+273.16)-EnthalpySatLiqTW(293.16))*(C277-D277*prodh2o/(100-prodh2o))</f>
        <v>#NAME?</v>
      </c>
      <c r="V277" s="1"/>
      <c r="AK277" s="1"/>
      <c r="AM277" s="1"/>
    </row>
    <row r="278" ht="12.75" customHeight="1">
      <c r="A278" s="1"/>
      <c r="B278" s="259" t="s">
        <v>141</v>
      </c>
      <c r="C278" s="240" t="str">
        <f t="shared" ref="C278:D278" si="214">C273</f>
        <v>0.41</v>
      </c>
      <c r="D278" s="240" t="str">
        <f t="shared" si="214"/>
        <v>6.36</v>
      </c>
      <c r="E278" s="242" t="str">
        <f>1245*(C278-D278*prodh2o/(100-prodh2o))</f>
        <v>497.5</v>
      </c>
      <c r="F278" s="4"/>
      <c r="G278" s="4"/>
      <c r="H278" s="4"/>
      <c r="I278" s="4"/>
      <c r="J278" s="4"/>
      <c r="K278" s="4" t="str">
        <f>feedtemp3</f>
        <v>20 </v>
      </c>
      <c r="L278" s="4"/>
      <c r="M278" s="4"/>
      <c r="N278" s="4"/>
      <c r="O278" s="4" t="str">
        <f t="shared" si="213"/>
        <v>#NAME?</v>
      </c>
      <c r="P278" s="4" t="str">
        <f>(EnthalpySatLiqTW(prodtemp+273.16)-EnthalpySatLiqTW(293.16))*D278*prodh2o/(100-prodh2o)+(EnthalpySatVapTW(millexittemp+273.16)-EnthalpySatLiqTW(293.16))*(C278-D278*prodh2o/(100-prodh2o))</f>
        <v>#NAME?</v>
      </c>
      <c r="Q278" s="4"/>
      <c r="R278" s="257"/>
      <c r="S278" s="264" t="str">
        <f t="shared" si="210"/>
        <v>#NAME?</v>
      </c>
      <c r="T278" s="4" t="str">
        <f>(EnthalpySatLiqTW(prodtemp+273.16)-EnthalpySatLiqTW(293.16))*D278*prodh2o/(100-prodh2o)</f>
        <v>#NAME?</v>
      </c>
      <c r="U278" s="4" t="str">
        <f>(EnthalpySatVapTW(millexittemp+273.16)-EnthalpySatLiqTW(293.16))*(C278-D278*prodh2o/(100-prodh2o))</f>
        <v>#NAME?</v>
      </c>
      <c r="V278" s="1"/>
      <c r="AK278" s="1"/>
      <c r="AM278" s="1"/>
    </row>
    <row r="279" ht="12.75" customHeight="1">
      <c r="A279" s="1"/>
      <c r="B279" s="259" t="s">
        <v>142</v>
      </c>
      <c r="C279" s="240" t="str">
        <f t="shared" ref="C279:D279" si="215">C274</f>
        <v>0.00</v>
      </c>
      <c r="D279" s="240" t="str">
        <f t="shared" si="215"/>
        <v>0.00</v>
      </c>
      <c r="E279" s="242" t="str">
        <f>1245*(C279-D279*prodh2o/(100-prodh2o))</f>
        <v>0.0</v>
      </c>
      <c r="F279" s="4"/>
      <c r="G279" s="4"/>
      <c r="H279" s="4"/>
      <c r="I279" s="4"/>
      <c r="J279" s="4"/>
      <c r="K279" s="4" t="str">
        <f>feedtemp4</f>
        <v>20 </v>
      </c>
      <c r="L279" s="4"/>
      <c r="M279" s="4"/>
      <c r="N279" s="4"/>
      <c r="O279" s="4" t="str">
        <f t="shared" si="213"/>
        <v>#NAME?</v>
      </c>
      <c r="P279" s="4" t="str">
        <f>(EnthalpySatLiqTW(prodtemp+273.16)-EnthalpySatLiqTW(293.16))*D279*prodh2o/(100-prodh2o)+(EnthalpySatVapTW(millexittemp+273.16)-EnthalpySatLiqTW(293.16))*(C279-D279*prodh2o/(100-prodh2o))</f>
        <v>#NAME?</v>
      </c>
      <c r="Q279" s="4"/>
      <c r="R279" s="257"/>
      <c r="S279" s="264" t="str">
        <f t="shared" si="210"/>
        <v>#NAME?</v>
      </c>
      <c r="T279" s="4" t="str">
        <f>(EnthalpySatLiqTW(prodtemp+273.16)-EnthalpySatLiqTW(293.16))*D279*prodh2o/(100-prodh2o)</f>
        <v>#NAME?</v>
      </c>
      <c r="U279" s="4" t="str">
        <f>(EnthalpySatVapTW(millexittemp+273.16)-EnthalpySatLiqTW(293.16))*(C279-D279*prodh2o/(100-prodh2o))</f>
        <v>#NAME?</v>
      </c>
      <c r="V279" s="1"/>
      <c r="AK279" s="1"/>
      <c r="AM279" s="1"/>
    </row>
    <row r="280" ht="12.75" customHeight="1">
      <c r="A280" s="1"/>
      <c r="B280" s="259" t="s">
        <v>143</v>
      </c>
      <c r="C280" s="240" t="str">
        <f t="shared" ref="C280:D280" si="216">C275</f>
        <v>0.00</v>
      </c>
      <c r="D280" s="240" t="str">
        <f t="shared" si="216"/>
        <v>0.00</v>
      </c>
      <c r="E280" s="242" t="str">
        <f>1245*(C280-D280*prodh2o/(100-prodh2o))</f>
        <v>0.0</v>
      </c>
      <c r="F280" s="4"/>
      <c r="G280" s="4"/>
      <c r="H280" s="4"/>
      <c r="I280" s="4"/>
      <c r="J280" s="4"/>
      <c r="K280" s="4" t="str">
        <f>feedtemp5</f>
        <v>30 </v>
      </c>
      <c r="L280" s="4"/>
      <c r="M280" s="4"/>
      <c r="N280" s="4"/>
      <c r="O280" s="4" t="str">
        <f t="shared" si="213"/>
        <v>#NAME?</v>
      </c>
      <c r="P280" s="4" t="str">
        <f>(EnthalpySatLiqTW(prodtemp+273.16)-EnthalpySatLiqTW(293.16))*D280*prodh2o/(100-prodh2o)+(EnthalpySatVapTW(millexittemp+273.16)-EnthalpySatLiqTW(293.16))*(C280-D280*prodh2o/(100-prodh2o))</f>
        <v>#NAME?</v>
      </c>
      <c r="Q280" s="4"/>
      <c r="R280" s="257"/>
      <c r="S280" s="264" t="str">
        <f t="shared" si="210"/>
        <v>#NAME?</v>
      </c>
      <c r="T280" s="4" t="str">
        <f>(EnthalpySatLiqTW(prodtemp+273.16)-EnthalpySatLiqTW(293.16))*D280*prodh2o/(100-prodh2o)</f>
        <v>#NAME?</v>
      </c>
      <c r="U280" s="4" t="str">
        <f>(EnthalpySatVapTW(millexittemp+273.16)-EnthalpySatLiqTW(293.16))*(C280-D280*prodh2o/(100-prodh2o))</f>
        <v>#NAME?</v>
      </c>
      <c r="V280" s="1"/>
      <c r="AK280" s="1"/>
      <c r="AM280" s="1"/>
    </row>
    <row r="281" ht="12.75" customHeight="1">
      <c r="A281" s="1"/>
      <c r="B281" s="259"/>
      <c r="C281" s="26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242"/>
      <c r="P281" s="242"/>
      <c r="Q281" s="4"/>
      <c r="R281" s="257"/>
      <c r="V281" s="1"/>
      <c r="AK281" s="1"/>
      <c r="AM281" s="1"/>
    </row>
    <row r="282" ht="13.5" customHeight="1">
      <c r="A282" s="1"/>
      <c r="B282" s="266"/>
      <c r="C282" s="267" t="str">
        <f t="shared" ref="C282:D282" si="217">SUM(C276:C280)</f>
        <v>2.887</v>
      </c>
      <c r="D282" s="268" t="str">
        <f t="shared" si="217"/>
        <v>109.89</v>
      </c>
      <c r="E282" s="269" t="str">
        <f>SUM(E269:E280)</f>
        <v>3457.5 </v>
      </c>
      <c r="F282" s="270"/>
      <c r="G282" s="270">
        <v>100.0</v>
      </c>
      <c r="H282" s="270"/>
      <c r="I282" s="270"/>
      <c r="J282" s="270"/>
      <c r="K282" s="270"/>
      <c r="L282" s="270"/>
      <c r="M282" s="270"/>
      <c r="N282" s="270"/>
      <c r="O282" s="270" t="str">
        <f t="shared" ref="O282:P282" si="218">SUM(O267:O280)</f>
        <v>#NAME?</v>
      </c>
      <c r="P282" s="270" t="str">
        <f t="shared" si="218"/>
        <v>#NAME?</v>
      </c>
      <c r="Q282" s="270"/>
      <c r="R282" s="271"/>
      <c r="T282" s="1" t="str">
        <f t="shared" ref="T282:U282" si="219">SUM(T267:T280)</f>
        <v>#NAME?</v>
      </c>
      <c r="U282" s="1" t="str">
        <f t="shared" si="219"/>
        <v>#NAME?</v>
      </c>
      <c r="V282" s="1"/>
      <c r="AK282" s="1"/>
      <c r="AM282" s="1"/>
    </row>
    <row r="283" ht="13.5" customHeight="1">
      <c r="A283" s="1"/>
      <c r="B283" s="1"/>
      <c r="C283" s="1"/>
      <c r="D283" s="240"/>
      <c r="E283" s="1"/>
      <c r="F283" s="1"/>
      <c r="G283" s="1"/>
      <c r="H283" s="1"/>
      <c r="I283" s="1"/>
      <c r="K283" s="1"/>
      <c r="L283" s="1"/>
      <c r="M283" s="1"/>
      <c r="N283" s="1"/>
      <c r="O283" s="272" t="str">
        <f t="shared" ref="O283:P283" si="220">SUM(O271:O280)</f>
        <v>#NAME?</v>
      </c>
      <c r="P283" s="272" t="str">
        <f t="shared" si="220"/>
        <v>#NAME?</v>
      </c>
      <c r="S283" s="264" t="str">
        <f>P283-O283</f>
        <v>#NAME?</v>
      </c>
      <c r="V283" s="1"/>
      <c r="AK283" s="1"/>
      <c r="AM283" s="1"/>
    </row>
    <row r="284" ht="12.75" customHeight="1">
      <c r="A284" s="1"/>
      <c r="B284" s="273" t="s">
        <v>144</v>
      </c>
      <c r="C284" s="274"/>
      <c r="D284" s="275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6"/>
      <c r="V284" s="1"/>
      <c r="AK284" s="1"/>
      <c r="AM284" s="1"/>
    </row>
    <row r="285" ht="12.75" customHeight="1">
      <c r="A285" s="1"/>
      <c r="B285" s="259" t="s">
        <v>145</v>
      </c>
      <c r="C285" s="4"/>
      <c r="D285" s="262" t="str">
        <f>circ_load*prod_dry*(100-prodh2o)/100</f>
        <v>329.67</v>
      </c>
      <c r="E285" s="4"/>
      <c r="F285" s="4"/>
      <c r="G285" s="4"/>
      <c r="H285" s="4"/>
      <c r="I285" s="4"/>
      <c r="J285" s="4"/>
      <c r="K285" s="4" t="str">
        <f>prodtemp</f>
        <v>90 </v>
      </c>
      <c r="L285" s="4"/>
      <c r="M285" s="4"/>
      <c r="N285" s="4"/>
      <c r="O285" s="242" t="str">
        <f>cpGrits(K285,volatiles_coal,comp_dry,matindices)*(K285-20)*$D285</f>
        <v>#NAME?</v>
      </c>
      <c r="P285" s="4"/>
      <c r="Q285" s="4"/>
      <c r="R285" s="243"/>
      <c r="V285" s="1"/>
      <c r="AK285" s="1"/>
      <c r="AM285" s="1"/>
    </row>
    <row r="286" ht="12.75" customHeight="1">
      <c r="A286" s="1"/>
      <c r="B286" s="259" t="s">
        <v>146</v>
      </c>
      <c r="C286" s="4"/>
      <c r="D286" s="240"/>
      <c r="E286" s="4"/>
      <c r="F286" s="4" t="s">
        <v>147</v>
      </c>
      <c r="G286" s="4"/>
      <c r="H286" s="4"/>
      <c r="I286" s="4"/>
      <c r="J286" s="4"/>
      <c r="K286" s="4"/>
      <c r="L286" s="4"/>
      <c r="M286" s="4"/>
      <c r="N286" s="4"/>
      <c r="O286" s="4" t="str">
        <f>Especsep*prod_dry*sepdriveeff*3.6</f>
        <v>744.48 </v>
      </c>
      <c r="P286" s="4"/>
      <c r="Q286" s="4"/>
      <c r="R286" s="243"/>
      <c r="V286" s="1"/>
      <c r="AK286" s="1"/>
      <c r="AM286" s="1"/>
    </row>
    <row r="287" ht="12.75" customHeight="1">
      <c r="A287" s="1"/>
      <c r="B287" s="259" t="s">
        <v>148</v>
      </c>
      <c r="C287" s="4"/>
      <c r="D287" s="24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tr">
        <f>sepfanpower*sepfandriveeff*3.6</f>
        <v>777.9536343 </v>
      </c>
      <c r="P287" s="4"/>
      <c r="Q287" s="4"/>
      <c r="R287" s="243"/>
      <c r="V287" s="1"/>
      <c r="AK287" s="1"/>
      <c r="AM287" s="1"/>
    </row>
    <row r="288" ht="12.75" customHeight="1">
      <c r="A288" s="1"/>
      <c r="B288" s="259" t="s">
        <v>149</v>
      </c>
      <c r="C288" s="84" t="str">
        <f>J288*E288/1000000</f>
        <v>#NAME?</v>
      </c>
      <c r="D288" s="240"/>
      <c r="E288" s="241" t="str">
        <f>Vsfresh</f>
        <v>10000.0 </v>
      </c>
      <c r="F288" s="4">
        <v>0.0</v>
      </c>
      <c r="G288" s="35" t="str">
        <f>J288*(22.41/18)/10</f>
        <v>#NAME?</v>
      </c>
      <c r="H288" s="35" t="str">
        <f>79*(100-G288)/100</f>
        <v>#NAME?</v>
      </c>
      <c r="I288" s="35" t="str">
        <f>(100-G288)*21/100</f>
        <v>#NAME?</v>
      </c>
      <c r="J288" s="35" t="str">
        <f>freshairaqua</f>
        <v>#NAME?</v>
      </c>
      <c r="K288" s="4" t="str">
        <f>freshairtemp</f>
        <v>20 </v>
      </c>
      <c r="L288" s="4"/>
      <c r="M288" s="241" t="str">
        <f>1000*(F288*(h_co2(K288)-h_co2(20))+G288*(h_h2ogas(K288)-h_h2ogas(20))+H288*(h_n2(K288)-h_n2(20))+I288*(h_o2(K288)-h_o2(20)))/100/22.41</f>
        <v>#NAME?</v>
      </c>
      <c r="N288" s="4"/>
      <c r="O288" s="242" t="str">
        <f>cpAir(K288)*(K288-20)*E288/1000</f>
        <v>#NAME?</v>
      </c>
      <c r="P288" s="4"/>
      <c r="Q288" s="4"/>
      <c r="R288" s="243"/>
      <c r="V288" s="1"/>
      <c r="AK288" s="1"/>
      <c r="AM288" s="1"/>
    </row>
    <row r="289" ht="12.75" customHeight="1">
      <c r="A289" s="1"/>
      <c r="B289" s="259" t="s">
        <v>133</v>
      </c>
      <c r="C289" s="4"/>
      <c r="D289" s="262" t="str">
        <f>(circ_load-1)*prod_dry*(100-prodh2o)/100</f>
        <v>219.78</v>
      </c>
      <c r="E289" s="4"/>
      <c r="F289" s="4"/>
      <c r="G289" s="4"/>
      <c r="H289" s="4"/>
      <c r="I289" s="4"/>
      <c r="J289" s="4"/>
      <c r="K289" s="4"/>
      <c r="L289" s="35" t="str">
        <f t="array" ref="L289">INDEX(cmsep1(prod_dry,prodh2o,prodtemp,circ_load,$D$285/$E$36,surf_mill,sf_sep,Vsfresh,freshairtemp,$O$294,septype,comp_dry,volatiles_coal,matindices),2)</f>
        <v>#REF!</v>
      </c>
      <c r="M289" s="4"/>
      <c r="N289" s="4"/>
      <c r="O289" s="4"/>
      <c r="P289" s="242" t="str">
        <f>cpGrits(L289,volatiles_coal,comp_dry,matindices)*(L289-20)*$D289</f>
        <v>#NAME?</v>
      </c>
      <c r="Q289" s="4"/>
      <c r="R289" s="243"/>
      <c r="V289" s="1"/>
      <c r="AK289" s="1"/>
      <c r="AM289" s="1"/>
    </row>
    <row r="290" ht="12.75" customHeight="1">
      <c r="A290" s="1"/>
      <c r="B290" s="259" t="s">
        <v>150</v>
      </c>
      <c r="C290" s="4"/>
      <c r="D290" s="262" t="str">
        <f>prod_dry*(100-prodh2o)/100</f>
        <v>109.89</v>
      </c>
      <c r="E290" s="4"/>
      <c r="F290" s="4"/>
      <c r="G290" s="4"/>
      <c r="H290" s="4"/>
      <c r="I290" s="4"/>
      <c r="J290" s="4"/>
      <c r="K290" s="4"/>
      <c r="L290" s="35" t="str">
        <f>cmsep1(prod_dry,prodh2o,prodtemp,circ_load,$D$285/$E$36,surf_mill,sf_sep,Vsfresh,freshairtemp,$O$294,septype,comp_dry,volatiles_coal,matindices)</f>
        <v>#NAME?</v>
      </c>
      <c r="M290" s="4"/>
      <c r="N290" s="4"/>
      <c r="O290" s="4"/>
      <c r="P290" s="242" t="str">
        <f>cpGrits(L290,volatiles_coal,comp_dry,matindices)*(L290-20)*$D290</f>
        <v>#NAME?</v>
      </c>
      <c r="Q290" s="4"/>
      <c r="R290" s="243"/>
      <c r="V290" s="1"/>
      <c r="AK290" s="1"/>
      <c r="AM290" s="1"/>
    </row>
    <row r="291" ht="12.75" customHeight="1">
      <c r="A291" s="1"/>
      <c r="B291" s="259" t="s">
        <v>151</v>
      </c>
      <c r="C291" s="4"/>
      <c r="D291" s="24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42" t="str">
        <f t="array" ref="P291">INDEX(cmsep1(prod_dry,prodh2o,prodtemp,circ_load,$D$285/$E$36,surf_mill,sf_sep,Vsfresh,freshairtemp,$O$294,septype,comp_dry,volatiles_coal,matindices),3)</f>
        <v>#REF!</v>
      </c>
      <c r="Q291" s="4"/>
      <c r="R291" s="243"/>
      <c r="V291" s="1"/>
      <c r="AK291" s="1"/>
      <c r="AM291" s="1"/>
    </row>
    <row r="292" ht="12.75" customHeight="1">
      <c r="A292" s="1"/>
      <c r="B292" s="259" t="s">
        <v>152</v>
      </c>
      <c r="C292" s="84" t="str">
        <f>J292*E292/1000000</f>
        <v>#NAME?</v>
      </c>
      <c r="D292" s="240"/>
      <c r="E292" s="241" t="str">
        <f>E288</f>
        <v>10000.0 </v>
      </c>
      <c r="F292" s="4">
        <v>0.0</v>
      </c>
      <c r="G292" s="35" t="str">
        <f>J292*(22.41/18)/10</f>
        <v>#NAME?</v>
      </c>
      <c r="H292" s="35" t="str">
        <f>79*(100-G292)/100</f>
        <v>#NAME?</v>
      </c>
      <c r="I292" s="35" t="str">
        <f>(100-G292)*21/100</f>
        <v>#NAME?</v>
      </c>
      <c r="J292" s="35" t="str">
        <f>freshairaqua</f>
        <v>#NAME?</v>
      </c>
      <c r="K292" s="249"/>
      <c r="L292" s="35" t="str">
        <f>L290</f>
        <v>#NAME?</v>
      </c>
      <c r="M292" s="4"/>
      <c r="N292" s="241" t="str">
        <f>1000*(F292*(h_co2(L292)-h_co2(20))+G292*(h_h2ogas(L292)-h_h2ogas(20))+H292*(h_n2(L292)-h_n2(20))+I292*(h_o2(L292)-h_o2(20)))/100/22.41+cpCli(L292)*(L292-20)*R292/1000</f>
        <v>#NAME?</v>
      </c>
      <c r="O292" s="4"/>
      <c r="P292" s="242" t="str">
        <f>cpAir(L292)*(L292-20)*E292/1000</f>
        <v>#NAME?</v>
      </c>
      <c r="Q292" s="4"/>
      <c r="R292" s="243"/>
      <c r="V292" s="1"/>
      <c r="AK292" s="1"/>
      <c r="AM292" s="1"/>
    </row>
    <row r="293" ht="12.75" customHeight="1">
      <c r="A293" s="1"/>
      <c r="B293" s="259"/>
      <c r="C293" s="4"/>
      <c r="D293" s="24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243"/>
      <c r="V293" s="1"/>
      <c r="AK293" s="1"/>
      <c r="AM293" s="1"/>
    </row>
    <row r="294" ht="12.75" customHeight="1">
      <c r="A294" s="1"/>
      <c r="B294" s="259"/>
      <c r="C294" s="4"/>
      <c r="D294" s="24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 t="str">
        <f t="shared" ref="O294:P294" si="221">SUM(O285:O292)</f>
        <v>#NAME?</v>
      </c>
      <c r="P294" s="4" t="str">
        <f t="shared" si="221"/>
        <v>#NAME?</v>
      </c>
      <c r="Q294" s="4"/>
      <c r="R294" s="243"/>
      <c r="V294" s="1"/>
      <c r="AK294" s="1"/>
      <c r="AM294" s="1"/>
    </row>
    <row r="295" ht="12.75" customHeight="1">
      <c r="A295" s="1"/>
      <c r="B295" s="259"/>
      <c r="C295" s="4"/>
      <c r="D295" s="24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243"/>
      <c r="V295" s="1"/>
      <c r="AK295" s="1"/>
      <c r="AM295" s="1"/>
    </row>
    <row r="296" ht="12.75" customHeight="1">
      <c r="A296" s="1"/>
      <c r="B296" s="259" t="s">
        <v>153</v>
      </c>
      <c r="C296" s="84" t="str">
        <f>J296*E296/1000000</f>
        <v>#NAME?</v>
      </c>
      <c r="D296" s="240"/>
      <c r="E296" s="241" t="str">
        <f>Vsfi-Vsfresh</f>
        <v>120000.0 </v>
      </c>
      <c r="F296" s="4" t="str">
        <f t="shared" ref="F296:J296" si="222">F292</f>
        <v>0 </v>
      </c>
      <c r="G296" s="35" t="str">
        <f t="shared" si="222"/>
        <v>#NAME?</v>
      </c>
      <c r="H296" s="35" t="str">
        <f t="shared" si="222"/>
        <v>#NAME?</v>
      </c>
      <c r="I296" s="35" t="str">
        <f t="shared" si="222"/>
        <v>#NAME?</v>
      </c>
      <c r="J296" s="35" t="str">
        <f t="shared" si="222"/>
        <v>#NAME?</v>
      </c>
      <c r="K296" s="35" t="str">
        <f>L290</f>
        <v>#NAME?</v>
      </c>
      <c r="L296" s="35" t="str">
        <f>L292</f>
        <v>#NAME?</v>
      </c>
      <c r="M296" s="4"/>
      <c r="N296" s="4"/>
      <c r="O296" s="4"/>
      <c r="P296" s="4"/>
      <c r="Q296" s="4"/>
      <c r="R296" s="243"/>
      <c r="V296" s="1"/>
      <c r="AK296" s="1"/>
      <c r="AM296" s="1"/>
    </row>
    <row r="297" ht="12.75" customHeight="1">
      <c r="A297" s="1"/>
      <c r="B297" s="259" t="s">
        <v>154</v>
      </c>
      <c r="C297" s="4"/>
      <c r="D297" s="240"/>
      <c r="E297" s="241" t="str">
        <f>E288+E296</f>
        <v>130000.0 </v>
      </c>
      <c r="F297" s="4"/>
      <c r="G297" s="4"/>
      <c r="H297" s="4"/>
      <c r="I297" s="4"/>
      <c r="J297" s="4"/>
      <c r="K297" s="35" t="str">
        <f>gasmix2(F288,G288,H288,I288,K288,E288,F296,G296,H296,I296,K296,E296,12,0,2)</f>
        <v>#NAME?</v>
      </c>
      <c r="L297" s="4"/>
      <c r="M297" s="4"/>
      <c r="N297" s="4"/>
      <c r="O297" s="4"/>
      <c r="P297" s="4"/>
      <c r="Q297" s="4"/>
      <c r="R297" s="243"/>
      <c r="V297" s="1"/>
      <c r="AK297" s="1"/>
      <c r="AM297" s="1"/>
    </row>
    <row r="298" ht="13.5" customHeight="1">
      <c r="A298" s="1"/>
      <c r="B298" s="266"/>
      <c r="C298" s="270"/>
      <c r="D298" s="268"/>
      <c r="E298" s="270"/>
      <c r="F298" s="270"/>
      <c r="G298" s="270"/>
      <c r="H298" s="270"/>
      <c r="I298" s="270"/>
      <c r="J298" s="270"/>
      <c r="K298" s="277" t="str">
        <f>gasmix_2(C288:R288,C296:R296,12,0,2,1)</f>
        <v>#NAME?</v>
      </c>
      <c r="L298" s="270"/>
      <c r="M298" s="270"/>
      <c r="N298" s="270"/>
      <c r="O298" s="270"/>
      <c r="P298" s="270"/>
      <c r="Q298" s="270"/>
      <c r="R298" s="278"/>
      <c r="V298" s="1"/>
      <c r="AK298" s="1"/>
      <c r="AM298" s="1"/>
    </row>
    <row r="299" ht="12.75" customHeight="1">
      <c r="A299" s="1"/>
      <c r="B299" s="1"/>
      <c r="C299" s="1"/>
      <c r="D299" s="240"/>
      <c r="E299" s="1"/>
      <c r="F299" s="1"/>
      <c r="G299" s="1"/>
      <c r="H299" s="1"/>
      <c r="I299" s="1"/>
      <c r="K299" s="1"/>
      <c r="L299" s="1"/>
      <c r="M299" s="1"/>
      <c r="N299" s="1"/>
      <c r="O299" s="1"/>
      <c r="V299" s="1"/>
      <c r="AK299" s="1"/>
      <c r="AM299" s="1"/>
    </row>
    <row r="300" ht="12.75" customHeight="1">
      <c r="A300" s="1"/>
      <c r="B300" s="238" t="s">
        <v>155</v>
      </c>
      <c r="C300" s="18" t="s">
        <v>58</v>
      </c>
      <c r="D300" s="279" t="s">
        <v>59</v>
      </c>
      <c r="E300" s="18" t="s">
        <v>60</v>
      </c>
      <c r="F300" s="18" t="s">
        <v>61</v>
      </c>
      <c r="G300" s="18" t="s">
        <v>62</v>
      </c>
      <c r="H300" s="18" t="s">
        <v>63</v>
      </c>
      <c r="I300" s="18" t="s">
        <v>64</v>
      </c>
      <c r="J300" s="18" t="s">
        <v>62</v>
      </c>
      <c r="K300" s="18" t="s">
        <v>65</v>
      </c>
      <c r="L300" s="18" t="s">
        <v>66</v>
      </c>
      <c r="M300" s="18" t="s">
        <v>67</v>
      </c>
      <c r="N300" s="18" t="s">
        <v>68</v>
      </c>
      <c r="O300" s="18" t="s">
        <v>69</v>
      </c>
      <c r="P300" s="18" t="s">
        <v>70</v>
      </c>
      <c r="Q300" s="18" t="s">
        <v>71</v>
      </c>
      <c r="R300" s="18" t="s">
        <v>72</v>
      </c>
      <c r="V300" s="1"/>
      <c r="AK300" s="1"/>
      <c r="AM300" s="1"/>
    </row>
    <row r="301" ht="12.75" customHeight="1">
      <c r="A301" s="1"/>
      <c r="B301" s="1"/>
      <c r="C301" s="18" t="s">
        <v>73</v>
      </c>
      <c r="D301" s="279" t="s">
        <v>73</v>
      </c>
      <c r="E301" s="18" t="s">
        <v>74</v>
      </c>
      <c r="F301" s="18" t="s">
        <v>75</v>
      </c>
      <c r="G301" s="18" t="s">
        <v>75</v>
      </c>
      <c r="H301" s="18" t="s">
        <v>75</v>
      </c>
      <c r="I301" s="18" t="s">
        <v>75</v>
      </c>
      <c r="J301" s="18" t="s">
        <v>38</v>
      </c>
      <c r="K301" s="18" t="s">
        <v>76</v>
      </c>
      <c r="L301" s="18" t="s">
        <v>76</v>
      </c>
      <c r="M301" s="18" t="s">
        <v>77</v>
      </c>
      <c r="N301" s="18" t="s">
        <v>77</v>
      </c>
      <c r="O301" s="18" t="s">
        <v>41</v>
      </c>
      <c r="P301" s="18" t="s">
        <v>41</v>
      </c>
      <c r="Q301" s="18" t="s">
        <v>74</v>
      </c>
      <c r="R301" s="239" t="s">
        <v>38</v>
      </c>
      <c r="V301" s="1"/>
      <c r="AK301" s="1"/>
      <c r="AM301" s="1"/>
    </row>
    <row r="302" ht="12.75" customHeight="1">
      <c r="A302" s="1"/>
      <c r="B302" s="1" t="s">
        <v>156</v>
      </c>
      <c r="C302" s="84" t="str">
        <f>J302*E302/1000000</f>
        <v>#REF!</v>
      </c>
      <c r="D302" s="240" t="str">
        <f>E302*R302/1000000</f>
        <v>#REF!</v>
      </c>
      <c r="E302" s="241" t="str">
        <f>E254-E239</f>
        <v>#REF!</v>
      </c>
      <c r="F302" s="35" t="str">
        <f t="shared" ref="F302:L302" si="223">F254</f>
        <v>#REF!</v>
      </c>
      <c r="G302" s="35" t="str">
        <f t="shared" si="223"/>
        <v>#REF!</v>
      </c>
      <c r="H302" s="35" t="str">
        <f t="shared" si="223"/>
        <v>#REF!</v>
      </c>
      <c r="I302" s="35" t="str">
        <f t="shared" si="223"/>
        <v>#REF!</v>
      </c>
      <c r="J302" s="35" t="str">
        <f t="shared" si="223"/>
        <v>#REF!</v>
      </c>
      <c r="K302" s="240" t="str">
        <f t="shared" si="223"/>
        <v>#NAME?</v>
      </c>
      <c r="L302" s="4" t="str">
        <f t="shared" si="223"/>
        <v/>
      </c>
      <c r="M302" s="241" t="str">
        <f>1000*(F302*(h_co2(K302)-h_co2(20))+G302*(h_h2ogas(K302)-h_h2ogas(20))+H302*(h_n2(K302)-h_n2(20))+I302*(h_o2(K302)-h_o2(20)))/100/22.41</f>
        <v>#REF!</v>
      </c>
      <c r="N302" s="4" t="str">
        <f>N254</f>
        <v/>
      </c>
      <c r="O302" s="242" t="str">
        <f t="shared" ref="O302:O307" si="225">M302*E302/1000</f>
        <v>#REF!</v>
      </c>
      <c r="P302" s="4"/>
      <c r="Q302" s="4"/>
      <c r="R302" s="243" t="str">
        <f>R254</f>
        <v>#REF!</v>
      </c>
      <c r="V302" s="1"/>
      <c r="AK302" s="1"/>
      <c r="AM302" s="1"/>
    </row>
    <row r="303" ht="12.75" customHeight="1">
      <c r="A303" s="1"/>
      <c r="B303" s="1" t="s">
        <v>125</v>
      </c>
      <c r="C303" s="84" t="str">
        <f t="shared" ref="C303:N303" si="224">C263</f>
        <v>#NAME?</v>
      </c>
      <c r="D303" s="240" t="str">
        <f t="shared" si="224"/>
        <v>#NAME?</v>
      </c>
      <c r="E303" s="241" t="str">
        <f t="shared" si="224"/>
        <v>0.0 </v>
      </c>
      <c r="F303" s="35" t="str">
        <f t="shared" si="224"/>
        <v>0.30 </v>
      </c>
      <c r="G303" s="35" t="str">
        <f t="shared" si="224"/>
        <v>#NAME?</v>
      </c>
      <c r="H303" s="35" t="str">
        <f t="shared" si="224"/>
        <v>#NAME?</v>
      </c>
      <c r="I303" s="35" t="str">
        <f t="shared" si="224"/>
        <v>#NAME?</v>
      </c>
      <c r="J303" s="35" t="str">
        <f t="shared" si="224"/>
        <v>#NAME?</v>
      </c>
      <c r="K303" s="240" t="str">
        <f t="shared" si="224"/>
        <v>#NAME?</v>
      </c>
      <c r="L303" s="4" t="str">
        <f t="shared" si="224"/>
        <v/>
      </c>
      <c r="M303" s="241" t="str">
        <f t="shared" si="224"/>
        <v>#NAME?</v>
      </c>
      <c r="N303" s="4" t="str">
        <f t="shared" si="224"/>
        <v/>
      </c>
      <c r="O303" s="242" t="str">
        <f t="shared" si="225"/>
        <v>#NAME?</v>
      </c>
      <c r="P303" s="4" t="str">
        <f t="shared" ref="P303:R303" si="226">P263</f>
        <v/>
      </c>
      <c r="Q303" s="4" t="str">
        <f t="shared" si="226"/>
        <v/>
      </c>
      <c r="R303" s="243" t="str">
        <f t="shared" si="226"/>
        <v>0.495049505 </v>
      </c>
      <c r="V303" s="1"/>
      <c r="AK303" s="1"/>
      <c r="AM303" s="1"/>
    </row>
    <row r="304" ht="12.75" customHeight="1">
      <c r="A304" s="1"/>
      <c r="B304" s="1" t="s">
        <v>157</v>
      </c>
      <c r="C304" s="84" t="str">
        <f t="shared" ref="C304:C307" si="228">J304*E304/1000000</f>
        <v>#REF!</v>
      </c>
      <c r="D304" s="240" t="str">
        <f>E304*R304/1000000</f>
        <v>#REF!</v>
      </c>
      <c r="E304" s="241" t="str">
        <f>SUM(E302:E303)</f>
        <v>#REF!</v>
      </c>
      <c r="F304" s="35" t="str">
        <f t="shared" ref="F304:J304" si="227">IF($E304&gt;0,($E302*F302+$E303*F303)/$E304,F302)</f>
        <v>#REF!</v>
      </c>
      <c r="G304" s="35" t="str">
        <f t="shared" si="227"/>
        <v>#REF!</v>
      </c>
      <c r="H304" s="35" t="str">
        <f t="shared" si="227"/>
        <v>#REF!</v>
      </c>
      <c r="I304" s="35" t="str">
        <f t="shared" si="227"/>
        <v>#REF!</v>
      </c>
      <c r="J304" s="35" t="str">
        <f t="shared" si="227"/>
        <v>#REF!</v>
      </c>
      <c r="K304" s="240" t="str">
        <f>gasmix2(F302,G302,H302,I302,K302,E302,F303,G303,H303,I303,K303,E303,12,0*ffanpower_s,2)</f>
        <v>#NAME?</v>
      </c>
      <c r="L304" s="4"/>
      <c r="M304" s="241" t="str">
        <f t="shared" ref="M304:M307" si="229">1000*(F304*(h_co2(K304)-h_co2(20))+G304*(h_h2ogas(K304)-h_h2ogas(20))+H304*(h_n2(K304)-h_n2(20))+I304*(h_o2(K304)-h_o2(20)))/100/22.41</f>
        <v>#REF!</v>
      </c>
      <c r="N304" s="4"/>
      <c r="O304" s="242" t="str">
        <f t="shared" si="225"/>
        <v>#REF!</v>
      </c>
      <c r="P304" s="4"/>
      <c r="Q304" s="4"/>
      <c r="R304" s="255" t="str">
        <f>IF($E304&gt;0,($E302*R302+$E303*R303)/$E304,R302)</f>
        <v>#REF!</v>
      </c>
      <c r="V304" s="1"/>
      <c r="AK304" s="1"/>
      <c r="AM304" s="1"/>
    </row>
    <row r="305" ht="12.75" customHeight="1">
      <c r="A305" s="1"/>
      <c r="B305" s="1" t="s">
        <v>158</v>
      </c>
      <c r="C305" s="84" t="str">
        <f t="shared" si="228"/>
        <v>#NAME?</v>
      </c>
      <c r="D305" s="240"/>
      <c r="E305" s="241" t="str">
        <f>E304*false_air_filter/100</f>
        <v>#REF!</v>
      </c>
      <c r="F305" s="4">
        <v>0.0</v>
      </c>
      <c r="G305" s="35" t="str">
        <f>J305*(22.41/18)/10</f>
        <v>#NAME?</v>
      </c>
      <c r="H305" s="35" t="str">
        <f>79*(100-G305)/100</f>
        <v>#NAME?</v>
      </c>
      <c r="I305" s="35" t="str">
        <f>(100-G305)*21/100</f>
        <v>#NAME?</v>
      </c>
      <c r="J305" s="35" t="str">
        <f>freshairaqua</f>
        <v>#NAME?</v>
      </c>
      <c r="K305" s="240" t="str">
        <f>freshairtemp</f>
        <v>20.00</v>
      </c>
      <c r="L305" s="4"/>
      <c r="M305" s="241" t="str">
        <f t="shared" si="229"/>
        <v>#NAME?</v>
      </c>
      <c r="N305" s="4"/>
      <c r="O305" s="242" t="str">
        <f t="shared" si="225"/>
        <v>#NAME?</v>
      </c>
      <c r="P305" s="4"/>
      <c r="Q305" s="4"/>
      <c r="R305" s="243"/>
      <c r="V305" s="1"/>
      <c r="AK305" s="1"/>
      <c r="AM305" s="1"/>
    </row>
    <row r="306" ht="12.75" customHeight="1">
      <c r="A306" s="1"/>
      <c r="B306" s="1" t="s">
        <v>159</v>
      </c>
      <c r="C306" s="84" t="str">
        <f t="shared" si="228"/>
        <v>#REF!</v>
      </c>
      <c r="D306" s="240" t="str">
        <f>E306*R306/1000000</f>
        <v>#REF!</v>
      </c>
      <c r="E306" s="241" t="str">
        <f>SUM(E304:E305)</f>
        <v>#REF!</v>
      </c>
      <c r="F306" s="35" t="str">
        <f t="shared" ref="F306:J306" si="230">IF($E306&gt;0,($E304*F304+$E305*F305)/$E306,F304)</f>
        <v>#REF!</v>
      </c>
      <c r="G306" s="35" t="str">
        <f t="shared" si="230"/>
        <v>#REF!</v>
      </c>
      <c r="H306" s="35" t="str">
        <f t="shared" si="230"/>
        <v>#REF!</v>
      </c>
      <c r="I306" s="35" t="str">
        <f t="shared" si="230"/>
        <v>#REF!</v>
      </c>
      <c r="J306" s="35" t="str">
        <f t="shared" si="230"/>
        <v>#REF!</v>
      </c>
      <c r="K306" s="240" t="str">
        <f>gasmix2(F304,G304,H304,I304,K304,E304,F305,G305,H305,I305,K305,E305,12,0*ffanpower_s,2)</f>
        <v>#NAME?</v>
      </c>
      <c r="L306" s="1"/>
      <c r="M306" s="241" t="str">
        <f t="shared" si="229"/>
        <v>#REF!</v>
      </c>
      <c r="N306" s="1"/>
      <c r="O306" s="242" t="str">
        <f t="shared" si="225"/>
        <v>#REF!</v>
      </c>
      <c r="R306" s="255">
        <v>0.0</v>
      </c>
      <c r="V306" s="1"/>
      <c r="AK306" s="1"/>
      <c r="AM306" s="1"/>
    </row>
    <row r="307" ht="12.75" customHeight="1">
      <c r="A307" s="1"/>
      <c r="B307" s="1" t="s">
        <v>160</v>
      </c>
      <c r="C307" s="84" t="str">
        <f t="shared" si="228"/>
        <v>#REF!</v>
      </c>
      <c r="D307" s="240" t="str">
        <f t="shared" ref="D307:J307" si="231">D306</f>
        <v>#REF!</v>
      </c>
      <c r="E307" s="241" t="str">
        <f t="shared" si="231"/>
        <v>#REF!</v>
      </c>
      <c r="F307" s="35" t="str">
        <f t="shared" si="231"/>
        <v>#REF!</v>
      </c>
      <c r="G307" s="35" t="str">
        <f t="shared" si="231"/>
        <v>#REF!</v>
      </c>
      <c r="H307" s="35" t="str">
        <f t="shared" si="231"/>
        <v>#REF!</v>
      </c>
      <c r="I307" s="35" t="str">
        <f t="shared" si="231"/>
        <v>#REF!</v>
      </c>
      <c r="J307" s="35" t="str">
        <f t="shared" si="231"/>
        <v>#REF!</v>
      </c>
      <c r="K307" s="240" t="str">
        <f>gasmix2(F304,G304,H304,I304,K304,E304,F305,G305,H305,I305,K305,E305,12,ffanpower_s,2)</f>
        <v>#NAME?</v>
      </c>
      <c r="L307" s="1"/>
      <c r="M307" s="241" t="str">
        <f t="shared" si="229"/>
        <v>#REF!</v>
      </c>
      <c r="N307" s="1"/>
      <c r="O307" s="242" t="str">
        <f t="shared" si="225"/>
        <v>#REF!</v>
      </c>
      <c r="R307" s="243" t="str">
        <f>R306</f>
        <v>0 </v>
      </c>
      <c r="V307" s="1"/>
      <c r="AK307" s="1"/>
      <c r="AM307" s="1"/>
    </row>
    <row r="308" ht="12.75" customHeight="1">
      <c r="A308" s="1"/>
      <c r="B308" s="1"/>
      <c r="C308" s="1"/>
      <c r="D308" s="240"/>
      <c r="E308" s="1"/>
      <c r="F308" s="1"/>
      <c r="G308" s="1"/>
      <c r="H308" s="1"/>
      <c r="I308" s="1"/>
      <c r="K308" s="1"/>
      <c r="L308" s="1"/>
      <c r="M308" s="1"/>
      <c r="N308" s="1"/>
      <c r="O308" s="1"/>
      <c r="V308" s="1"/>
      <c r="AK308" s="1"/>
      <c r="AM308" s="1"/>
    </row>
    <row r="309" ht="12.75" customHeight="1">
      <c r="A309" s="1"/>
      <c r="B309" s="182" t="s">
        <v>161</v>
      </c>
      <c r="C309" s="1"/>
      <c r="D309" s="240"/>
      <c r="E309" s="1"/>
      <c r="F309" s="1"/>
      <c r="G309" s="1"/>
      <c r="H309" s="1"/>
      <c r="I309" s="1"/>
      <c r="K309" s="1"/>
      <c r="L309" s="1"/>
      <c r="M309" s="1"/>
      <c r="N309" s="1"/>
      <c r="O309" s="1"/>
      <c r="V309" s="1"/>
      <c r="AK309" s="1"/>
      <c r="AM309" s="1"/>
    </row>
    <row r="310" ht="12.75" customHeight="1">
      <c r="A310" s="1"/>
      <c r="B310" s="182" t="s">
        <v>162</v>
      </c>
      <c r="C310" s="182" t="str">
        <f t="shared" ref="C310:D310" si="232">C235</f>
        <v>#NAME?</v>
      </c>
      <c r="D310" s="280" t="str">
        <f t="shared" si="232"/>
        <v>#NAME?</v>
      </c>
      <c r="E310" s="281" t="str">
        <f>Q235</f>
        <v>1.0</v>
      </c>
      <c r="F310" s="280" t="str">
        <f t="shared" ref="F310:R310" si="233">F235</f>
        <v>0.30</v>
      </c>
      <c r="G310" s="280" t="str">
        <f t="shared" si="233"/>
        <v>#NAME?</v>
      </c>
      <c r="H310" s="280" t="str">
        <f t="shared" si="233"/>
        <v>#NAME?</v>
      </c>
      <c r="I310" s="280" t="str">
        <f t="shared" si="233"/>
        <v>#NAME?</v>
      </c>
      <c r="J310" s="280" t="str">
        <f t="shared" si="233"/>
        <v>#NAME?</v>
      </c>
      <c r="K310" s="280" t="str">
        <f t="shared" si="233"/>
        <v>#NAME?</v>
      </c>
      <c r="L310" s="182" t="str">
        <f t="shared" si="233"/>
        <v>85 </v>
      </c>
      <c r="M310" s="248" t="str">
        <f t="shared" si="233"/>
        <v>#NAME?</v>
      </c>
      <c r="N310" s="182" t="str">
        <f t="shared" si="233"/>
        <v>#NAME?</v>
      </c>
      <c r="O310" s="281" t="str">
        <f t="shared" si="233"/>
        <v>#NAME?</v>
      </c>
      <c r="P310" s="182" t="str">
        <f t="shared" si="233"/>
        <v>#NAME?</v>
      </c>
      <c r="Q310" s="182" t="str">
        <f t="shared" si="233"/>
        <v>1.01 </v>
      </c>
      <c r="R310" s="182" t="str">
        <f t="shared" si="233"/>
        <v>0.495049505 </v>
      </c>
      <c r="V310" s="1"/>
      <c r="AK310" s="1"/>
      <c r="AM310" s="1"/>
    </row>
    <row r="311" ht="12.75" customHeight="1">
      <c r="A311" s="1"/>
      <c r="B311" s="182" t="s">
        <v>163</v>
      </c>
      <c r="C311" s="282" t="str">
        <f>J311*E311/1000000</f>
        <v>#NAME?</v>
      </c>
      <c r="D311" s="280"/>
      <c r="E311" s="182" t="str">
        <f>E310*false_air_filter/100</f>
        <v>0.0505 </v>
      </c>
      <c r="F311" s="182">
        <v>0.0</v>
      </c>
      <c r="G311" s="280" t="str">
        <f>J311*(22.41/18)/10</f>
        <v>#NAME?</v>
      </c>
      <c r="H311" s="280" t="str">
        <f>79*(100-G311)/100</f>
        <v>#NAME?</v>
      </c>
      <c r="I311" s="280" t="str">
        <f>(100-G311)*21/100</f>
        <v>#NAME?</v>
      </c>
      <c r="J311" s="280" t="str">
        <f>freshairaqua</f>
        <v>#NAME?</v>
      </c>
      <c r="K311" s="280" t="str">
        <f>freshairtemp</f>
        <v>20.00</v>
      </c>
      <c r="L311" s="182" t="str">
        <f>millexittemp</f>
        <v>85 </v>
      </c>
      <c r="M311" s="248" t="str">
        <f t="shared" ref="M311:M312" si="235">1000*(F311*(h_co2(K311)-h_co2(20))+G311*(h_h2ogas(K311)-h_h2ogas(20))+H311*(h_n2(K311)-h_n2(20))+I311*(h_o2(K311)-h_o2(20)))/100/22.41</f>
        <v>#NAME?</v>
      </c>
      <c r="N311" s="182" t="str">
        <f>1000*(F311*(h_co2(L311)-h_co2(20))+G311*(h_h2ogas(L311)-h_h2ogas(20))+H311*(h_n2(L311)-h_n2(20))+I311*(h_o2(L311)-h_o2(20)))/100/22.41</f>
        <v>#NAME?</v>
      </c>
      <c r="O311" s="281" t="str">
        <f t="shared" ref="O311:O312" si="236">M311*E311/1000</f>
        <v>#NAME?</v>
      </c>
      <c r="P311" s="182" t="str">
        <f>N311*E311/1000</f>
        <v>#NAME?</v>
      </c>
      <c r="Q311" s="182"/>
      <c r="R311" s="182"/>
      <c r="V311" s="1"/>
      <c r="AK311" s="1"/>
      <c r="AM311" s="1"/>
    </row>
    <row r="312" ht="12.75" customHeight="1">
      <c r="A312" s="1"/>
      <c r="B312" s="182" t="s">
        <v>159</v>
      </c>
      <c r="C312" s="283" t="str">
        <f>IF($E312&gt;0,($E310*C310+$E311*C311)/$E312,C310)</f>
        <v>#NAME?</v>
      </c>
      <c r="D312" s="280" t="str">
        <f>SUM(D310:D311)</f>
        <v>#NAME?</v>
      </c>
      <c r="E312" s="248" t="str">
        <f>E310+E311</f>
        <v>1.1 </v>
      </c>
      <c r="F312" s="283" t="str">
        <f t="shared" ref="F312:I312" si="234">IF($E312&gt;0,($E310*F310+$E311*F311)/$E312,F310)</f>
        <v>0.29 </v>
      </c>
      <c r="G312" s="283" t="str">
        <f t="shared" si="234"/>
        <v>#NAME?</v>
      </c>
      <c r="H312" s="283" t="str">
        <f t="shared" si="234"/>
        <v>#NAME?</v>
      </c>
      <c r="I312" s="283" t="str">
        <f t="shared" si="234"/>
        <v>#NAME?</v>
      </c>
      <c r="J312" s="283">
        <v>3.2821249999999997</v>
      </c>
      <c r="K312" s="280" t="str">
        <f>gasmix2(F310,G310,H310,I310,K310,E310,F311,G311,H311,I311,K311,E311,12,0*ffanpower_s,2)</f>
        <v>#NAME?</v>
      </c>
      <c r="L312" s="182"/>
      <c r="M312" s="248" t="str">
        <f t="shared" si="235"/>
        <v>#NAME?</v>
      </c>
      <c r="N312" s="182"/>
      <c r="O312" s="281" t="str">
        <f t="shared" si="236"/>
        <v>#NAME?</v>
      </c>
      <c r="P312" s="182"/>
      <c r="Q312" s="182"/>
      <c r="R312" s="284" t="str">
        <f>IF(E312&gt;0,D312*1000000/E312,R310)</f>
        <v>#NAME?</v>
      </c>
      <c r="V312" s="1"/>
      <c r="AK312" s="1"/>
      <c r="AM312" s="1"/>
    </row>
    <row r="313" ht="13.5" customHeight="1">
      <c r="A313" s="1"/>
      <c r="B313" s="1"/>
      <c r="C313" s="1"/>
      <c r="D313" s="240"/>
      <c r="E313" s="1"/>
      <c r="F313" s="1"/>
      <c r="G313" s="1"/>
      <c r="H313" s="1"/>
      <c r="I313" s="1"/>
      <c r="K313" s="1"/>
      <c r="L313" s="1"/>
      <c r="M313" s="1"/>
      <c r="N313" s="1"/>
      <c r="O313" s="1"/>
      <c r="V313" s="1"/>
      <c r="AK313" s="1"/>
      <c r="AM313" s="1"/>
    </row>
    <row r="314" ht="12.75" customHeight="1">
      <c r="A314" s="1"/>
      <c r="B314" s="285" t="s">
        <v>164</v>
      </c>
      <c r="C314" s="252" t="s">
        <v>58</v>
      </c>
      <c r="D314" s="286" t="s">
        <v>59</v>
      </c>
      <c r="E314" s="252" t="s">
        <v>60</v>
      </c>
      <c r="F314" s="252" t="s">
        <v>61</v>
      </c>
      <c r="G314" s="252" t="s">
        <v>62</v>
      </c>
      <c r="H314" s="252" t="s">
        <v>63</v>
      </c>
      <c r="I314" s="252" t="s">
        <v>64</v>
      </c>
      <c r="J314" s="252" t="s">
        <v>62</v>
      </c>
      <c r="K314" s="252" t="s">
        <v>65</v>
      </c>
      <c r="L314" s="252" t="s">
        <v>66</v>
      </c>
      <c r="M314" s="252" t="s">
        <v>67</v>
      </c>
      <c r="N314" s="252" t="s">
        <v>68</v>
      </c>
      <c r="O314" s="252" t="s">
        <v>69</v>
      </c>
      <c r="P314" s="252" t="s">
        <v>70</v>
      </c>
      <c r="Q314" s="252" t="s">
        <v>71</v>
      </c>
      <c r="R314" s="253" t="s">
        <v>72</v>
      </c>
      <c r="V314" s="1"/>
      <c r="AK314" s="1"/>
      <c r="AM314" s="1"/>
    </row>
    <row r="315" ht="12.75" customHeight="1">
      <c r="A315" s="1"/>
      <c r="B315" s="259"/>
      <c r="C315" s="18" t="s">
        <v>73</v>
      </c>
      <c r="D315" s="279" t="s">
        <v>73</v>
      </c>
      <c r="E315" s="18" t="s">
        <v>74</v>
      </c>
      <c r="F315" s="18" t="s">
        <v>75</v>
      </c>
      <c r="G315" s="18" t="s">
        <v>75</v>
      </c>
      <c r="H315" s="18" t="s">
        <v>75</v>
      </c>
      <c r="I315" s="18" t="s">
        <v>75</v>
      </c>
      <c r="J315" s="18" t="s">
        <v>38</v>
      </c>
      <c r="K315" s="18" t="s">
        <v>76</v>
      </c>
      <c r="L315" s="18" t="s">
        <v>76</v>
      </c>
      <c r="M315" s="18" t="s">
        <v>77</v>
      </c>
      <c r="N315" s="18" t="s">
        <v>77</v>
      </c>
      <c r="O315" s="18" t="s">
        <v>41</v>
      </c>
      <c r="P315" s="18" t="s">
        <v>41</v>
      </c>
      <c r="Q315" s="18" t="s">
        <v>74</v>
      </c>
      <c r="R315" s="239" t="s">
        <v>38</v>
      </c>
      <c r="V315" s="1"/>
      <c r="AK315" s="1"/>
      <c r="AM315" s="1"/>
    </row>
    <row r="316" ht="12.75" customHeight="1">
      <c r="A316" s="1"/>
      <c r="B316" s="259" t="s">
        <v>165</v>
      </c>
      <c r="C316" s="4"/>
      <c r="D316" s="240"/>
      <c r="E316" s="4"/>
      <c r="F316" s="4">
        <v>19.0</v>
      </c>
      <c r="G316" s="4">
        <v>5.0</v>
      </c>
      <c r="H316" s="4">
        <v>76.0</v>
      </c>
      <c r="I316" s="4">
        <v>0.0</v>
      </c>
      <c r="J316" s="35" t="str">
        <f t="shared" ref="J316:J321" si="237">10*18*G316/22.41</f>
        <v>40.16 </v>
      </c>
      <c r="K316" s="182">
        <v>20.0</v>
      </c>
      <c r="L316" s="4" t="str">
        <f>hotgastemp</f>
        <v>600 </v>
      </c>
      <c r="M316" s="4"/>
      <c r="N316" s="4"/>
      <c r="O316" s="4"/>
      <c r="P316" s="4"/>
      <c r="Q316" s="4"/>
      <c r="R316" s="243"/>
      <c r="V316" s="1"/>
      <c r="AK316" s="1"/>
      <c r="AM316" s="1"/>
    </row>
    <row r="317" ht="12.75" customHeight="1">
      <c r="A317" s="1"/>
      <c r="B317" s="259" t="s">
        <v>166</v>
      </c>
      <c r="C317" s="4"/>
      <c r="D317" s="240"/>
      <c r="E317" s="4"/>
      <c r="F317" s="4">
        <v>18.0</v>
      </c>
      <c r="G317" s="4">
        <v>8.0</v>
      </c>
      <c r="H317" s="4">
        <v>74.0</v>
      </c>
      <c r="I317" s="4">
        <v>0.0</v>
      </c>
      <c r="J317" s="35" t="str">
        <f t="shared" si="237"/>
        <v>64.26 </v>
      </c>
      <c r="K317" s="182">
        <v>20.0</v>
      </c>
      <c r="L317" s="4" t="str">
        <f>hotgastemp</f>
        <v>600 </v>
      </c>
      <c r="M317" s="4"/>
      <c r="N317" s="4"/>
      <c r="O317" s="4"/>
      <c r="P317" s="4"/>
      <c r="Q317" s="4"/>
      <c r="R317" s="243"/>
      <c r="V317" s="1"/>
      <c r="AK317" s="1"/>
      <c r="AM317" s="1"/>
    </row>
    <row r="318" ht="12.75" customHeight="1">
      <c r="A318" s="1"/>
      <c r="B318" s="259" t="s">
        <v>167</v>
      </c>
      <c r="C318" s="4"/>
      <c r="D318" s="240"/>
      <c r="E318" s="4"/>
      <c r="F318" s="4">
        <v>18.0</v>
      </c>
      <c r="G318" s="4">
        <v>11.0</v>
      </c>
      <c r="H318" s="4">
        <v>71.0</v>
      </c>
      <c r="I318" s="4">
        <v>0.0</v>
      </c>
      <c r="J318" s="35" t="str">
        <f t="shared" si="237"/>
        <v>88.35 </v>
      </c>
      <c r="K318" s="182">
        <v>20.0</v>
      </c>
      <c r="L318" s="4" t="str">
        <f>hotgastemp</f>
        <v>600 </v>
      </c>
      <c r="M318" s="4"/>
      <c r="N318" s="4"/>
      <c r="O318" s="4"/>
      <c r="P318" s="4"/>
      <c r="Q318" s="4"/>
      <c r="R318" s="243"/>
      <c r="V318" s="1"/>
      <c r="AK318" s="1"/>
      <c r="AM318" s="1"/>
    </row>
    <row r="319" ht="12.75" customHeight="1">
      <c r="A319" s="1"/>
      <c r="B319" s="259" t="s">
        <v>168</v>
      </c>
      <c r="C319" s="4"/>
      <c r="D319" s="240"/>
      <c r="E319" s="4"/>
      <c r="F319" s="4">
        <v>14.0</v>
      </c>
      <c r="G319" s="4">
        <v>14.0</v>
      </c>
      <c r="H319" s="4">
        <v>72.0</v>
      </c>
      <c r="I319" s="4">
        <v>0.0</v>
      </c>
      <c r="J319" s="35" t="str">
        <f t="shared" si="237"/>
        <v>112.45 </v>
      </c>
      <c r="K319" s="182">
        <v>20.0</v>
      </c>
      <c r="L319" s="4" t="str">
        <f>hotgastemp</f>
        <v>600 </v>
      </c>
      <c r="M319" s="4"/>
      <c r="N319" s="4"/>
      <c r="O319" s="4"/>
      <c r="P319" s="4"/>
      <c r="Q319" s="4"/>
      <c r="R319" s="243"/>
      <c r="V319" s="1"/>
      <c r="AK319" s="1"/>
      <c r="AM319" s="1"/>
    </row>
    <row r="320" ht="12.75" customHeight="1">
      <c r="A320" s="1"/>
      <c r="B320" s="259" t="s">
        <v>169</v>
      </c>
      <c r="C320" s="4"/>
      <c r="D320" s="240"/>
      <c r="E320" s="4"/>
      <c r="F320" s="4">
        <v>15.0</v>
      </c>
      <c r="G320" s="4">
        <v>13.0</v>
      </c>
      <c r="H320" s="4">
        <v>72.0</v>
      </c>
      <c r="I320" s="4">
        <v>0.0</v>
      </c>
      <c r="J320" s="35" t="str">
        <f t="shared" si="237"/>
        <v>104.42 </v>
      </c>
      <c r="K320" s="182">
        <v>20.0</v>
      </c>
      <c r="L320" s="4" t="str">
        <f>hotgastemp</f>
        <v>600 </v>
      </c>
      <c r="M320" s="4"/>
      <c r="N320" s="4"/>
      <c r="O320" s="4"/>
      <c r="P320" s="4"/>
      <c r="Q320" s="4"/>
      <c r="R320" s="243"/>
      <c r="V320" s="1"/>
      <c r="AK320" s="1"/>
      <c r="AM320" s="1"/>
    </row>
    <row r="321" ht="12.75" customHeight="1">
      <c r="A321" s="1"/>
      <c r="B321" s="259" t="s">
        <v>170</v>
      </c>
      <c r="C321" s="4"/>
      <c r="D321" s="240"/>
      <c r="E321" s="4"/>
      <c r="F321" s="4">
        <v>9.0</v>
      </c>
      <c r="G321" s="4">
        <v>21.0</v>
      </c>
      <c r="H321" s="4">
        <v>70.0</v>
      </c>
      <c r="I321" s="4">
        <v>0.0</v>
      </c>
      <c r="J321" s="35" t="str">
        <f t="shared" si="237"/>
        <v>168.67 </v>
      </c>
      <c r="K321" s="182">
        <v>20.0</v>
      </c>
      <c r="L321" s="4" t="str">
        <f>hotgastemp</f>
        <v>600 </v>
      </c>
      <c r="M321" s="4"/>
      <c r="N321" s="4"/>
      <c r="O321" s="4"/>
      <c r="P321" s="4"/>
      <c r="Q321" s="4"/>
      <c r="R321" s="243"/>
      <c r="V321" s="1"/>
      <c r="AK321" s="1"/>
      <c r="AM321" s="1"/>
    </row>
    <row r="322" ht="12.75" customHeight="1">
      <c r="A322" s="1"/>
      <c r="B322" s="259"/>
      <c r="C322" s="4"/>
      <c r="D322" s="24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243"/>
      <c r="V322" s="1"/>
      <c r="AK322" s="1"/>
      <c r="AM322" s="1"/>
    </row>
    <row r="323" ht="12.75" customHeight="1">
      <c r="A323" s="1"/>
      <c r="B323" s="259" t="str">
        <f t="array" ref="B323">INDEX(B316:B321,_HGGfuel+1)</f>
        <v>combustion Gas light oil </v>
      </c>
      <c r="C323" s="4"/>
      <c r="D323" s="240"/>
      <c r="E323" s="35" t="str">
        <f>Vmin_f*E325/((lambda_HGG-1)*Amin+Vmin_f)</f>
        <v>#NAME?</v>
      </c>
      <c r="F323" s="4" t="str">
        <f t="array" ref="F323">INDEX(F316:F321,_HGGfuel+1)</f>
        <v>14 </v>
      </c>
      <c r="G323" s="4" t="str">
        <f t="array" ref="G323">INDEX(G316:G321,_HGGfuel+1)</f>
        <v>14 </v>
      </c>
      <c r="H323" s="4" t="str">
        <f t="array" ref="H323">INDEX(H316:H321,_HGGfuel+1)</f>
        <v>72 </v>
      </c>
      <c r="I323" s="4" t="str">
        <f t="array" ref="I323">INDEX(I316:I321,_HGGfuel+1)</f>
        <v>0 </v>
      </c>
      <c r="J323" s="35" t="str">
        <f>10*18*G323/22.41</f>
        <v>112.45 </v>
      </c>
      <c r="K323" s="182">
        <v>20.0</v>
      </c>
      <c r="L323" s="4" t="str">
        <f>hotgastemp</f>
        <v>600 </v>
      </c>
      <c r="M323" s="241" t="str">
        <f t="shared" ref="M323:M324" si="238">1000*(F323*(h_co2(K323)-h_co2(20))+G323*(h_h2ogas(K323)-h_h2ogas(20))+H323*(h_n2(K323)-h_n2(20))+I323*(h_o2(K323)-h_o2(20)))/100/22.41</f>
        <v>#NAME?</v>
      </c>
      <c r="N323" s="241" t="str">
        <f t="shared" ref="N323:N325" si="239">1000*(F323*(h_co2(L323)-h_co2(20))+G323*(h_h2ogas(L323)-h_h2ogas(20))+H323*(h_n2(L323)-h_n2(20))+I323*(h_o2(L323)-h_o2(20)))/100/22.41</f>
        <v>#NAME?</v>
      </c>
      <c r="O323" s="4"/>
      <c r="P323" s="242" t="str">
        <f t="shared" ref="P323:P325" si="240">N323*E323/1000</f>
        <v>#NAME?</v>
      </c>
      <c r="Q323" s="4"/>
      <c r="R323" s="243"/>
      <c r="V323" s="1"/>
      <c r="AK323" s="1"/>
      <c r="AM323" s="1"/>
    </row>
    <row r="324" ht="12.75" customHeight="1">
      <c r="A324" s="1"/>
      <c r="B324" s="259" t="s">
        <v>171</v>
      </c>
      <c r="C324" s="4"/>
      <c r="D324" s="240"/>
      <c r="E324" s="35" t="str">
        <f>(lambda_HGG-1)*E323*Amin/Vmin_f</f>
        <v>#NAME?</v>
      </c>
      <c r="F324" s="35" t="str">
        <f>IF(AND(_HGGsecair=3,ISNUMBER(F239)),F239,F238)</f>
        <v>#REF!</v>
      </c>
      <c r="G324" s="35" t="str">
        <f>IF(AND(_HGGsecair=3,ISNUMBER(G239)),G239,G238)</f>
        <v>#REF!</v>
      </c>
      <c r="H324" s="35" t="str">
        <f>IF(AND(_HGGsecair=3,ISNUMBER(H239)),H239,H238)</f>
        <v>#REF!</v>
      </c>
      <c r="I324" s="35" t="str">
        <f>IF(AND(_HGGsecair=3,ISNUMBER(I239)),I239,I238)</f>
        <v>#REF!</v>
      </c>
      <c r="J324" s="35" t="str">
        <f>IF(AND(_HGGsecair=3,ISNUMBER(J239)),J239,J238)</f>
        <v>#REF!</v>
      </c>
      <c r="K324" s="35" t="str">
        <f t="array" ref="K324">INDEX(_HGGsecair_temp,_HGGsecair+1)</f>
        <v>20.00 </v>
      </c>
      <c r="L324" s="4" t="str">
        <f>hotgastemp</f>
        <v>600 </v>
      </c>
      <c r="M324" s="241" t="str">
        <f t="shared" si="238"/>
        <v>#REF!</v>
      </c>
      <c r="N324" s="241" t="str">
        <f t="shared" si="239"/>
        <v>#REF!</v>
      </c>
      <c r="O324" s="4"/>
      <c r="P324" s="242" t="str">
        <f t="shared" si="240"/>
        <v>#REF!</v>
      </c>
      <c r="Q324" s="4"/>
      <c r="R324" s="243"/>
      <c r="V324" s="1"/>
      <c r="AK324" s="1"/>
      <c r="AM324" s="1"/>
    </row>
    <row r="325" ht="12.75" customHeight="1">
      <c r="A325" s="1"/>
      <c r="B325" s="259" t="s">
        <v>172</v>
      </c>
      <c r="C325" s="4"/>
      <c r="D325" s="240"/>
      <c r="E325" s="248">
        <v>1.0</v>
      </c>
      <c r="F325" s="287" t="str">
        <f t="shared" ref="F325:J325" si="241">IF($E325&gt;0,($E323*F323+$E324*F324)/$E325,F323)</f>
        <v>#REF!</v>
      </c>
      <c r="G325" s="287" t="str">
        <f t="shared" si="241"/>
        <v>#REF!</v>
      </c>
      <c r="H325" s="287" t="str">
        <f t="shared" si="241"/>
        <v>#REF!</v>
      </c>
      <c r="I325" s="287" t="str">
        <f t="shared" si="241"/>
        <v>#REF!</v>
      </c>
      <c r="J325" s="287" t="str">
        <f t="shared" si="241"/>
        <v>#REF!</v>
      </c>
      <c r="K325" s="4"/>
      <c r="L325" s="4" t="str">
        <f>hotgastemp</f>
        <v>600 </v>
      </c>
      <c r="M325" s="241"/>
      <c r="N325" s="241" t="str">
        <f t="shared" si="239"/>
        <v>#REF!</v>
      </c>
      <c r="O325" s="4"/>
      <c r="P325" s="242" t="str">
        <f t="shared" si="240"/>
        <v>#REF!</v>
      </c>
      <c r="Q325" s="4"/>
      <c r="R325" s="243"/>
      <c r="V325" s="1"/>
      <c r="AK325" s="1"/>
      <c r="AM325" s="1"/>
    </row>
    <row r="326" ht="12.75" customHeight="1">
      <c r="A326" s="1"/>
      <c r="B326" s="259"/>
      <c r="C326" s="4"/>
      <c r="D326" s="240"/>
      <c r="E326" s="288"/>
      <c r="F326" s="4"/>
      <c r="G326" s="35"/>
      <c r="H326" s="35"/>
      <c r="I326" s="35"/>
      <c r="J326" s="35"/>
      <c r="K326" s="4"/>
      <c r="L326" s="4"/>
      <c r="M326" s="241"/>
      <c r="N326" s="241"/>
      <c r="O326" s="4"/>
      <c r="P326" s="4"/>
      <c r="Q326" s="4"/>
      <c r="R326" s="243"/>
      <c r="V326" s="1"/>
      <c r="AK326" s="1"/>
      <c r="AM326" s="1"/>
    </row>
    <row r="327" ht="12.75" customHeight="1">
      <c r="A327" s="1"/>
      <c r="B327" s="259" t="str">
        <f t="array" ref="B327">INDEX(B316:B321,_HGGfuel+1)</f>
        <v>combustion Gas light oil </v>
      </c>
      <c r="C327" s="4"/>
      <c r="D327" s="240"/>
      <c r="E327" s="241" t="str">
        <f>Vmin_f*E329/((lambda_HGG-1)*Amin+Vmin_f)</f>
        <v>#REF!</v>
      </c>
      <c r="F327" s="4" t="str">
        <f t="array" ref="F327">INDEX(F316:F321,_HGGfuel+1)</f>
        <v>14 </v>
      </c>
      <c r="G327" s="4" t="str">
        <f t="array" ref="G327">INDEX(G316:G321,_HGGfuel+1)</f>
        <v>14 </v>
      </c>
      <c r="H327" s="4" t="str">
        <f t="array" ref="H327">INDEX(H316:H321,_HGGfuel+1)</f>
        <v>72 </v>
      </c>
      <c r="I327" s="4" t="str">
        <f t="array" ref="I327">INDEX(I316:I321,_HGGfuel+1)</f>
        <v>0 </v>
      </c>
      <c r="J327" s="35" t="str">
        <f>10*18*G327/22.41</f>
        <v>112.45 </v>
      </c>
      <c r="K327" s="182">
        <v>20.0</v>
      </c>
      <c r="L327" s="4" t="str">
        <f>hotgastemp</f>
        <v>600 </v>
      </c>
      <c r="M327" s="241" t="str">
        <f t="shared" ref="M327:M328" si="243">1000*(F327*(h_co2(K327)-h_co2(20))+G327*(h_h2ogas(K327)-h_h2ogas(20))+H327*(h_n2(K327)-h_n2(20))+I327*(h_o2(K327)-h_o2(20)))/100/22.41</f>
        <v>#NAME?</v>
      </c>
      <c r="N327" s="241" t="str">
        <f t="shared" ref="N327:N329" si="244">N323</f>
        <v>#NAME?</v>
      </c>
      <c r="O327" s="4"/>
      <c r="P327" s="242" t="str">
        <f t="shared" ref="P327:P329" si="245">N327*E327/1000</f>
        <v>#NAME?</v>
      </c>
      <c r="Q327" s="4"/>
      <c r="R327" s="243"/>
      <c r="V327" s="1"/>
      <c r="AK327" s="1"/>
      <c r="AM327" s="1"/>
    </row>
    <row r="328" ht="12.75" customHeight="1">
      <c r="A328" s="1"/>
      <c r="B328" s="259" t="s">
        <v>171</v>
      </c>
      <c r="C328" s="4"/>
      <c r="D328" s="240"/>
      <c r="E328" s="241" t="str">
        <f>(lambda_HGG-1)*E327*Amin/Vmin_f</f>
        <v>#NAME?</v>
      </c>
      <c r="F328" s="35" t="str">
        <f t="shared" ref="F328:J328" si="242">F324</f>
        <v>#REF!</v>
      </c>
      <c r="G328" s="35" t="str">
        <f t="shared" si="242"/>
        <v>#REF!</v>
      </c>
      <c r="H328" s="35" t="str">
        <f t="shared" si="242"/>
        <v>#REF!</v>
      </c>
      <c r="I328" s="35" t="str">
        <f t="shared" si="242"/>
        <v>#REF!</v>
      </c>
      <c r="J328" s="35" t="str">
        <f t="shared" si="242"/>
        <v>#REF!</v>
      </c>
      <c r="K328" s="240" t="str">
        <f t="array" ref="K328">INDEX(_HGGsecair_temp,_HGGsecair+1)</f>
        <v>20.00</v>
      </c>
      <c r="L328" s="4" t="str">
        <f>hotgastemp</f>
        <v>600 </v>
      </c>
      <c r="M328" s="241" t="str">
        <f t="shared" si="243"/>
        <v>#REF!</v>
      </c>
      <c r="N328" s="241" t="str">
        <f t="shared" si="244"/>
        <v>#REF!</v>
      </c>
      <c r="O328" s="242" t="str">
        <f>M328*E328/1000</f>
        <v>#REF!</v>
      </c>
      <c r="P328" s="242" t="str">
        <f t="shared" si="245"/>
        <v>#REF!</v>
      </c>
      <c r="Q328" s="4"/>
      <c r="R328" s="243"/>
      <c r="V328" s="1"/>
      <c r="AK328" s="1"/>
      <c r="AM328" s="1"/>
    </row>
    <row r="329" ht="12.75" customHeight="1">
      <c r="A329" s="1"/>
      <c r="B329" s="259" t="s">
        <v>173</v>
      </c>
      <c r="C329" s="4"/>
      <c r="D329" s="240"/>
      <c r="E329" s="247" t="str">
        <f>E237</f>
        <v>#REF!</v>
      </c>
      <c r="F329" s="287" t="str">
        <f t="shared" ref="F329:I329" si="246">F325</f>
        <v>#REF!</v>
      </c>
      <c r="G329" s="287" t="str">
        <f t="shared" si="246"/>
        <v>#REF!</v>
      </c>
      <c r="H329" s="287" t="str">
        <f t="shared" si="246"/>
        <v>#REF!</v>
      </c>
      <c r="I329" s="287" t="str">
        <f t="shared" si="246"/>
        <v>#REF!</v>
      </c>
      <c r="J329" s="287" t="str">
        <f>hotgasaqua</f>
        <v>#REF!</v>
      </c>
      <c r="K329" s="4"/>
      <c r="L329" s="4" t="str">
        <f>hotgastemp</f>
        <v>600 </v>
      </c>
      <c r="M329" s="241"/>
      <c r="N329" s="241" t="str">
        <f t="shared" si="244"/>
        <v>#REF!</v>
      </c>
      <c r="O329" s="4"/>
      <c r="P329" s="242" t="str">
        <f t="shared" si="245"/>
        <v>#REF!</v>
      </c>
      <c r="Q329" s="4"/>
      <c r="R329" s="243"/>
      <c r="V329" s="1"/>
      <c r="AK329" s="1"/>
      <c r="AM329" s="1"/>
    </row>
    <row r="330" ht="12.75" customHeight="1">
      <c r="A330" s="1"/>
      <c r="B330" s="259"/>
      <c r="C330" s="4"/>
      <c r="D330" s="240"/>
      <c r="E330" s="4"/>
      <c r="F330" s="4"/>
      <c r="G330" s="35"/>
      <c r="H330" s="35"/>
      <c r="I330" s="35"/>
      <c r="J330" s="35"/>
      <c r="K330" s="4"/>
      <c r="L330" s="4"/>
      <c r="M330" s="241"/>
      <c r="N330" s="241"/>
      <c r="O330" s="4"/>
      <c r="P330" s="4"/>
      <c r="Q330" s="4"/>
      <c r="R330" s="243"/>
      <c r="V330" s="1"/>
      <c r="AK330" s="1"/>
      <c r="AM330" s="1"/>
    </row>
    <row r="331" ht="12.75" customHeight="1">
      <c r="A331" s="1"/>
      <c r="B331" s="259"/>
      <c r="C331" s="4"/>
      <c r="D331" s="240"/>
      <c r="E331" s="4"/>
      <c r="F331" s="4"/>
      <c r="G331" s="35"/>
      <c r="H331" s="35"/>
      <c r="I331" s="35"/>
      <c r="J331" s="35"/>
      <c r="K331" s="4"/>
      <c r="L331" s="4"/>
      <c r="M331" s="241"/>
      <c r="N331" s="241"/>
      <c r="O331" s="4"/>
      <c r="P331" s="4"/>
      <c r="Q331" s="4"/>
      <c r="R331" s="243"/>
      <c r="V331" s="1"/>
      <c r="AK331" s="1"/>
      <c r="AM331" s="1"/>
    </row>
    <row r="332" ht="12.75" customHeight="1">
      <c r="A332" s="1"/>
      <c r="B332" s="259"/>
      <c r="C332" s="4"/>
      <c r="D332" s="240" t="s">
        <v>174</v>
      </c>
      <c r="E332" s="4" t="str">
        <f t="array" ref="E332">INDEX(_Amin,_HGGfuel+1)</f>
        <v>0.26 </v>
      </c>
      <c r="F332" s="4" t="s">
        <v>175</v>
      </c>
      <c r="G332" s="35"/>
      <c r="H332" s="35"/>
      <c r="I332" s="35"/>
      <c r="J332" s="35"/>
      <c r="K332" s="4"/>
      <c r="L332" s="4"/>
      <c r="M332" s="241"/>
      <c r="N332" s="241"/>
      <c r="O332" s="4"/>
      <c r="P332" s="4"/>
      <c r="Q332" s="4"/>
      <c r="R332" s="243"/>
      <c r="V332" s="1"/>
      <c r="AK332" s="1"/>
      <c r="AM332" s="1"/>
    </row>
    <row r="333" ht="12.75" customHeight="1">
      <c r="A333" s="1"/>
      <c r="B333" s="259"/>
      <c r="C333" s="4"/>
      <c r="D333" s="240" t="s">
        <v>176</v>
      </c>
      <c r="E333" s="4">
        <v>0.29</v>
      </c>
      <c r="F333" s="4" t="s">
        <v>175</v>
      </c>
      <c r="G333" s="35"/>
      <c r="H333" s="35"/>
      <c r="I333" s="35"/>
      <c r="J333" s="35"/>
      <c r="K333" s="4"/>
      <c r="L333" s="4"/>
      <c r="M333" s="241"/>
      <c r="N333" s="241"/>
      <c r="O333" s="4"/>
      <c r="P333" s="4"/>
      <c r="Q333" s="4"/>
      <c r="R333" s="243"/>
      <c r="V333" s="1"/>
      <c r="AK333" s="1"/>
      <c r="AM333" s="1"/>
    </row>
    <row r="334" ht="12.75" customHeight="1">
      <c r="A334" s="1"/>
      <c r="B334" s="259"/>
      <c r="C334" s="4"/>
      <c r="D334" s="240" t="s">
        <v>177</v>
      </c>
      <c r="E334" s="35" t="str">
        <f>(1000-Vmin_f*N323)/(Amin*(N324-M324))+1</f>
        <v>#NAME?</v>
      </c>
      <c r="F334" s="4" t="s">
        <v>175</v>
      </c>
      <c r="G334" s="35"/>
      <c r="H334" s="35"/>
      <c r="I334" s="35"/>
      <c r="J334" s="35"/>
      <c r="K334" s="4"/>
      <c r="L334" s="4"/>
      <c r="M334" s="241"/>
      <c r="N334" s="241"/>
      <c r="O334" s="4"/>
      <c r="P334" s="4"/>
      <c r="Q334" s="4"/>
      <c r="R334" s="243"/>
      <c r="V334" s="1"/>
      <c r="AK334" s="1"/>
      <c r="AM334" s="1"/>
    </row>
    <row r="335" ht="12.75" customHeight="1">
      <c r="A335" s="1"/>
      <c r="B335" s="259"/>
      <c r="C335" s="4"/>
      <c r="D335" s="240" t="s">
        <v>178</v>
      </c>
      <c r="E335" s="289">
        <v>42.0</v>
      </c>
      <c r="F335" s="4" t="s">
        <v>27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243"/>
      <c r="V335" s="1"/>
      <c r="AK335" s="1"/>
      <c r="AM335" s="1"/>
    </row>
    <row r="336" ht="12.75" customHeight="1">
      <c r="A336" s="1"/>
      <c r="B336" s="259"/>
      <c r="C336" s="4"/>
      <c r="D336" s="240" t="s">
        <v>179</v>
      </c>
      <c r="E336" s="35" t="str">
        <f>(P329-O328)/CV_fuel</f>
        <v>#REF!</v>
      </c>
      <c r="F336" s="4" t="s">
        <v>40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243"/>
      <c r="V336" s="1"/>
      <c r="AK336" s="1"/>
      <c r="AM336" s="1"/>
    </row>
    <row r="337" ht="13.5" customHeight="1">
      <c r="A337" s="1"/>
      <c r="B337" s="266"/>
      <c r="C337" s="270"/>
      <c r="D337" s="268"/>
      <c r="E337" s="270"/>
      <c r="F337" s="270"/>
      <c r="G337" s="270"/>
      <c r="H337" s="270"/>
      <c r="I337" s="270"/>
      <c r="J337" s="270"/>
      <c r="K337" s="270"/>
      <c r="L337" s="270"/>
      <c r="M337" s="270"/>
      <c r="N337" s="270"/>
      <c r="O337" s="270"/>
      <c r="P337" s="270"/>
      <c r="Q337" s="270"/>
      <c r="R337" s="278"/>
      <c r="V337" s="1"/>
      <c r="AK337" s="1"/>
      <c r="AM337" s="1"/>
    </row>
    <row r="338" ht="13.5" customHeight="1">
      <c r="A338" s="1"/>
      <c r="B338" s="4"/>
      <c r="C338" s="4"/>
      <c r="D338" s="24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V338" s="1"/>
      <c r="AK338" s="1"/>
      <c r="AM338" s="1"/>
    </row>
    <row r="339" ht="12.75" customHeight="1">
      <c r="A339" s="1"/>
      <c r="B339" s="285" t="s">
        <v>180</v>
      </c>
      <c r="C339" s="252" t="s">
        <v>181</v>
      </c>
      <c r="D339" s="286" t="s">
        <v>182</v>
      </c>
      <c r="E339" s="252" t="s">
        <v>181</v>
      </c>
      <c r="F339" s="252" t="s">
        <v>181</v>
      </c>
      <c r="G339" s="253" t="s">
        <v>181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V339" s="1"/>
      <c r="AK339" s="1"/>
      <c r="AM339" s="1"/>
    </row>
    <row r="340" ht="12.75" customHeight="1">
      <c r="A340" s="1"/>
      <c r="B340" s="259"/>
      <c r="C340" s="18" t="s">
        <v>183</v>
      </c>
      <c r="D340" s="18" t="s">
        <v>76</v>
      </c>
      <c r="E340" s="18" t="s">
        <v>183</v>
      </c>
      <c r="F340" s="18" t="s">
        <v>183</v>
      </c>
      <c r="G340" s="239" t="s">
        <v>183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V340" s="1"/>
      <c r="AK340" s="1"/>
      <c r="AM340" s="1"/>
    </row>
    <row r="341" ht="12.75" customHeight="1">
      <c r="A341" s="1"/>
      <c r="B341" s="259" t="s">
        <v>184</v>
      </c>
      <c r="C341" s="35" t="str">
        <f>CHOOSE(sepcirctype+1,E341,F341,G341)</f>
        <v>5.91 </v>
      </c>
      <c r="D341" s="35" t="str">
        <f>CHOOSE(_system+1,$K$306,$K$264)</f>
        <v>#NAME?</v>
      </c>
      <c r="E341" s="35" t="str">
        <f>Vmexit*dustload_me/1000000</f>
        <v>5.91 </v>
      </c>
      <c r="F341" s="35" t="str">
        <f>Vmexit*dustload_me/1000000</f>
        <v>5.91 </v>
      </c>
      <c r="G341" s="255" t="str">
        <f>Vmexit*dustload_me/1000000</f>
        <v>5.91 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V341" s="1"/>
      <c r="AK341" s="1"/>
      <c r="AM341" s="1"/>
    </row>
    <row r="342" ht="12.75" customHeight="1">
      <c r="A342" s="1"/>
      <c r="B342" s="259" t="s">
        <v>185</v>
      </c>
      <c r="C342" s="35" t="str">
        <f>CHOOSE(sepcirctype+1,E342,F342,G342)</f>
        <v>98.89 </v>
      </c>
      <c r="D342" s="35" t="str">
        <f>T_exhair_sep</f>
        <v>#NAME?</v>
      </c>
      <c r="E342" s="4">
        <v>0.0</v>
      </c>
      <c r="F342" s="35" t="str">
        <f>(prod_dry-F341)*cyc_eff/100</f>
        <v>98.89 </v>
      </c>
      <c r="G342" s="243">
        <v>0.0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V342" s="1"/>
      <c r="AK342" s="1"/>
      <c r="AM342" s="1"/>
    </row>
    <row r="343" ht="12.75" customHeight="1">
      <c r="A343" s="1"/>
      <c r="B343" s="259" t="s">
        <v>186</v>
      </c>
      <c r="C343" s="35" t="str">
        <f>CHOOSE(sepcirctype+1,E343,F343,G343)</f>
        <v>0.00 </v>
      </c>
      <c r="D343" s="35" t="str">
        <f>T_exhair_sep</f>
        <v>#NAME?</v>
      </c>
      <c r="E343" s="35" t="str">
        <f>(prod_dry-E341)*(1-Vsfresh/Vsfi)</f>
        <v>96.08 </v>
      </c>
      <c r="F343" s="4">
        <v>0.0</v>
      </c>
      <c r="G343" s="243">
        <v>0.0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V343" s="1"/>
      <c r="AK343" s="1"/>
      <c r="AM343" s="1"/>
    </row>
    <row r="344" ht="12.75" customHeight="1">
      <c r="A344" s="1"/>
      <c r="B344" s="259" t="s">
        <v>187</v>
      </c>
      <c r="C344" s="35" t="str">
        <f>CHOOSE(sepcirctype+1,E344,F344,G344)</f>
        <v>5.20 </v>
      </c>
      <c r="D344" s="35" t="str">
        <f>T_exhair_sep</f>
        <v>#NAME?</v>
      </c>
      <c r="E344" s="35" t="str">
        <f>(prod_dry-E341)*Vsfresh/Vsfi</f>
        <v>8.01 </v>
      </c>
      <c r="F344" s="35" t="str">
        <f>(prod_dry-F341)*(1-cyc_eff/100)</f>
        <v>5.20 </v>
      </c>
      <c r="G344" s="255" t="str">
        <f>prod_dry-G341</f>
        <v>104.09 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V344" s="1"/>
      <c r="AK344" s="1"/>
      <c r="AM344" s="1"/>
    </row>
    <row r="345" ht="12.75" customHeight="1">
      <c r="A345" s="1"/>
      <c r="B345" s="259" t="s">
        <v>188</v>
      </c>
      <c r="C345" s="4" t="str">
        <f>SUM(C341:C344)</f>
        <v>110 </v>
      </c>
      <c r="D345" s="35"/>
      <c r="E345" s="35" t="str">
        <f t="shared" ref="E345:G345" si="247">SUM(E341:E344)</f>
        <v>110.00 </v>
      </c>
      <c r="F345" s="35" t="str">
        <f t="shared" si="247"/>
        <v>110.00 </v>
      </c>
      <c r="G345" s="255" t="str">
        <f t="shared" si="247"/>
        <v>110.00 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V345" s="1"/>
      <c r="AK345" s="1"/>
      <c r="AM345" s="1"/>
    </row>
    <row r="346" ht="12.75" customHeight="1">
      <c r="A346" s="1"/>
      <c r="B346" s="259" t="s">
        <v>189</v>
      </c>
      <c r="C346" s="35" t="str">
        <f>CHOOSE(sepcirctype+1,E346,F346,G346)</f>
        <v>#NAME?</v>
      </c>
      <c r="D346" s="35"/>
      <c r="E346" s="35" t="str">
        <f t="shared" ref="E346:G346" si="248">SUMPRODUCT($D341:$D344,E341:E344)/E345</f>
        <v>#NAME?</v>
      </c>
      <c r="F346" s="35" t="str">
        <f t="shared" si="248"/>
        <v>#NAME?</v>
      </c>
      <c r="G346" s="255" t="str">
        <f t="shared" si="248"/>
        <v>#NAME?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V346" s="1"/>
      <c r="AK346" s="1"/>
      <c r="AM346" s="1"/>
    </row>
    <row r="347" ht="13.5" customHeight="1">
      <c r="A347" s="1"/>
      <c r="B347" s="266"/>
      <c r="C347" s="270" t="s">
        <v>190</v>
      </c>
      <c r="D347" s="268"/>
      <c r="E347" s="270" t="str">
        <f t="array" ref="E347">INDEX(sepcirctype_text,1)</f>
        <v>internal fan</v>
      </c>
      <c r="F347" s="270" t="str">
        <f t="array" ref="F347">INDEX(sepcirctype_text,2)</f>
        <v>cyclone air sep.</v>
      </c>
      <c r="G347" s="278" t="str">
        <f t="array" ref="G347">INDEX(sepcirctype_text,3)</f>
        <v>single pass sep.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V347" s="1"/>
      <c r="AK347" s="1"/>
      <c r="AM347" s="1"/>
    </row>
    <row r="348" ht="12.75" customHeight="1">
      <c r="A348" s="1"/>
      <c r="B348" s="4"/>
      <c r="C348" s="4"/>
      <c r="D348" s="24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V348" s="1"/>
      <c r="AK348" s="1"/>
      <c r="AM348" s="1"/>
    </row>
    <row r="349" ht="12.75" customHeight="1">
      <c r="A349" s="1"/>
      <c r="B349" s="238"/>
      <c r="C349" s="1" t="s">
        <v>191</v>
      </c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V349" s="1"/>
      <c r="AK349" s="1"/>
      <c r="AM349" s="1"/>
    </row>
    <row r="350" ht="12.75" customHeight="1">
      <c r="A350" s="1"/>
      <c r="B350" s="1"/>
      <c r="C350" s="206" t="str">
        <f>IF(kheatc&gt;0,kheatc,3.5)</f>
        <v>3.3 </v>
      </c>
      <c r="D350" s="1" t="s">
        <v>27</v>
      </c>
      <c r="E350" s="1"/>
      <c r="F350" s="1"/>
      <c r="G350" s="18"/>
      <c r="H350" s="18"/>
      <c r="I350" s="1"/>
      <c r="K350" s="1"/>
      <c r="L350" s="1"/>
      <c r="M350" s="1"/>
      <c r="N350" s="1"/>
      <c r="O350" s="1"/>
      <c r="V350" s="1"/>
      <c r="AK350" s="1"/>
      <c r="AM350" s="1"/>
    </row>
    <row r="351" ht="12.75" customHeight="1">
      <c r="A351" s="1"/>
      <c r="B351" s="1"/>
      <c r="C351" s="240" t="str">
        <f>(0.27+0.25*C350)+(0.27+0.25*C350)*kilng_o2/(21-kilng_o2)</f>
        <v>1.31</v>
      </c>
      <c r="D351" s="1" t="s">
        <v>192</v>
      </c>
      <c r="E351" s="1"/>
      <c r="F351" s="1"/>
      <c r="G351" s="18"/>
      <c r="H351" s="18"/>
      <c r="I351" s="1"/>
      <c r="K351" s="1"/>
      <c r="L351" s="1"/>
      <c r="M351" s="1"/>
      <c r="N351" s="1"/>
      <c r="O351" s="1"/>
      <c r="V351" s="1"/>
      <c r="AK351" s="1"/>
      <c r="AM351" s="1"/>
    </row>
    <row r="352" ht="12.75" customHeight="1">
      <c r="A352" s="1"/>
      <c r="B352" s="1"/>
      <c r="C352" s="240" t="str">
        <f>0.28*(C350+1)+(0.27+0.25*C350)*kilng_o2/(21-kilng_o2)</f>
        <v>1.42</v>
      </c>
      <c r="D352" s="1" t="s">
        <v>193</v>
      </c>
      <c r="E352" s="1"/>
      <c r="F352" s="1"/>
      <c r="G352" s="18"/>
      <c r="H352" s="18"/>
      <c r="I352" s="1"/>
      <c r="K352" s="1"/>
      <c r="L352" s="1"/>
      <c r="M352" s="1"/>
      <c r="N352" s="1"/>
      <c r="O352" s="1"/>
      <c r="V352" s="1"/>
      <c r="AK352" s="1"/>
      <c r="AM352" s="1"/>
    </row>
    <row r="353" ht="12.75" customHeight="1">
      <c r="A353" s="1"/>
      <c r="B353" s="19"/>
      <c r="C353" s="290" t="str">
        <f>0.27+0.05*C350</f>
        <v>0.435</v>
      </c>
      <c r="D353" s="1" t="s">
        <v>194</v>
      </c>
      <c r="E353" s="1" t="s">
        <v>195</v>
      </c>
      <c r="F353" s="1"/>
      <c r="G353" s="1" t="str">
        <f>kilng_o2</f>
        <v>3.5 </v>
      </c>
      <c r="H353" s="1" t="s">
        <v>196</v>
      </c>
      <c r="I353" s="1"/>
      <c r="K353" s="1"/>
      <c r="L353" s="1"/>
      <c r="M353" s="1"/>
      <c r="N353" s="1"/>
      <c r="O353" s="1"/>
      <c r="V353" s="1"/>
      <c r="AK353" s="1"/>
      <c r="AM353" s="1"/>
    </row>
    <row r="354" ht="12.75" customHeight="1">
      <c r="A354" s="1"/>
      <c r="B354" s="19"/>
      <c r="C354" s="290" t="str">
        <f>0.207*C350</f>
        <v>0.683</v>
      </c>
      <c r="D354" s="1" t="s">
        <v>194</v>
      </c>
      <c r="E354" s="1" t="s">
        <v>63</v>
      </c>
      <c r="F354" s="1"/>
      <c r="G354" s="240" t="str">
        <f>C355*(1-G353/21)*100</f>
        <v>32.42</v>
      </c>
      <c r="H354" s="1" t="s">
        <v>197</v>
      </c>
      <c r="I354" s="1"/>
      <c r="K354" s="1"/>
      <c r="L354" s="1"/>
      <c r="M354" s="1"/>
      <c r="N354" s="1"/>
      <c r="O354" s="1"/>
      <c r="V354" s="1"/>
      <c r="AK354" s="1"/>
      <c r="AM354" s="1"/>
    </row>
    <row r="355" ht="12.75" customHeight="1">
      <c r="A355" s="1"/>
      <c r="B355" s="19"/>
      <c r="C355" s="290" t="str">
        <f>C353/(C353+C354)</f>
        <v>0.389</v>
      </c>
      <c r="D355" s="1" t="s">
        <v>198</v>
      </c>
      <c r="E355" s="1" t="s">
        <v>199</v>
      </c>
      <c r="F355" s="1"/>
      <c r="G355" s="240" t="str">
        <f>100-G353-G354</f>
        <v>64.08</v>
      </c>
      <c r="H355" s="1" t="s">
        <v>200</v>
      </c>
      <c r="I355" s="1"/>
      <c r="K355" s="1"/>
      <c r="L355" s="1"/>
      <c r="M355" s="1"/>
      <c r="N355" s="1"/>
      <c r="O355" s="1"/>
      <c r="V355" s="1"/>
      <c r="AK355" s="1"/>
      <c r="AM355" s="1"/>
    </row>
    <row r="356" ht="12.75" customHeight="1">
      <c r="A356" s="1"/>
      <c r="B356" s="19"/>
      <c r="C356" s="290"/>
      <c r="D356" s="1"/>
      <c r="E356" s="1"/>
      <c r="F356" s="1"/>
      <c r="G356" s="240"/>
      <c r="H356" s="1"/>
      <c r="I356" s="1"/>
      <c r="K356" s="1"/>
      <c r="L356" s="1"/>
      <c r="M356" s="1"/>
      <c r="N356" s="1"/>
      <c r="O356" s="1"/>
      <c r="V356" s="1"/>
      <c r="AK356" s="1"/>
      <c r="AM356" s="1"/>
    </row>
    <row r="357" ht="12.75" customHeight="1">
      <c r="A357" s="1"/>
      <c r="B357" s="19" t="s">
        <v>201</v>
      </c>
      <c r="C357" s="214" t="str">
        <f>1013*EXP(-0.0001255*altitude)</f>
        <v>947 </v>
      </c>
      <c r="D357" s="1"/>
      <c r="E357" s="1"/>
      <c r="F357" s="1"/>
      <c r="G357" s="240"/>
      <c r="H357" s="1"/>
      <c r="I357" s="1"/>
      <c r="K357" s="1"/>
      <c r="L357" s="1"/>
      <c r="M357" s="1"/>
      <c r="N357" s="1"/>
      <c r="O357" s="1"/>
      <c r="V357" s="1"/>
      <c r="AK357" s="1"/>
      <c r="AM357" s="1"/>
    </row>
    <row r="358" ht="12.75" customHeight="1">
      <c r="A358" s="1"/>
      <c r="B358" s="19"/>
      <c r="C358" s="214"/>
      <c r="D358" s="1"/>
      <c r="E358" s="1"/>
      <c r="F358" s="1"/>
      <c r="G358" s="240"/>
      <c r="H358" s="1"/>
      <c r="I358" s="1"/>
      <c r="K358" s="1"/>
      <c r="L358" s="1"/>
      <c r="M358" s="1"/>
      <c r="N358" s="1"/>
      <c r="O358" s="1"/>
      <c r="V358" s="1"/>
      <c r="AK358" s="1"/>
      <c r="AM358" s="1"/>
    </row>
    <row r="359" ht="12.75" customHeight="1">
      <c r="A359" s="1"/>
      <c r="B359" s="19" t="s">
        <v>202</v>
      </c>
      <c r="C359" s="214" t="s">
        <v>203</v>
      </c>
      <c r="D359" s="291" t="s">
        <v>204</v>
      </c>
      <c r="E359" s="291" t="s">
        <v>205</v>
      </c>
      <c r="F359" s="1" t="s">
        <v>206</v>
      </c>
      <c r="G359" s="240" t="s">
        <v>207</v>
      </c>
      <c r="H359" s="279" t="s">
        <v>208</v>
      </c>
      <c r="I359" s="1" t="s">
        <v>209</v>
      </c>
      <c r="K359" s="1"/>
      <c r="L359" s="1"/>
      <c r="M359" s="1"/>
      <c r="N359" s="1"/>
      <c r="O359" s="1"/>
      <c r="V359" s="1"/>
      <c r="AK359" s="1"/>
      <c r="AM359" s="1"/>
    </row>
    <row r="360" ht="12.75" customHeight="1">
      <c r="A360" s="1"/>
      <c r="B360" s="19"/>
      <c r="C360" s="292" t="str">
        <f>dia_m*PI()*(dia_m/2+length_m)</f>
        <v>231 </v>
      </c>
      <c r="D360" s="18" t="str">
        <f>0.3*dia_m+4+3.5*(temp_shell/100)-0.85*(temp_shell/100)^2+0.076*(temp_shell/100)^3</f>
        <v>8.549712108 </v>
      </c>
      <c r="E360" s="32" t="str">
        <f>0.9*0.0000000567*((temp_shell+273)^4-(T_amb+273)^4)/(temp_shell-T_amb)</f>
        <v>8.69 </v>
      </c>
      <c r="F360" s="18" t="str">
        <f>freshairtemp</f>
        <v>20 </v>
      </c>
      <c r="G360" s="279">
        <v>1.0</v>
      </c>
      <c r="H360" s="279" t="str">
        <f>G360*C360*(D360+E360)*(temp_shell-T_amb)*3.6/1000</f>
        <v>1533.35</v>
      </c>
      <c r="I360" s="1">
        <v>127.0</v>
      </c>
      <c r="K360" s="1"/>
      <c r="L360" s="1"/>
      <c r="M360" s="1"/>
      <c r="N360" s="1"/>
      <c r="O360" s="1"/>
      <c r="V360" s="1"/>
      <c r="AK360" s="1"/>
      <c r="AM360" s="1"/>
    </row>
    <row r="361" ht="12.75" customHeight="1">
      <c r="A361" s="1"/>
      <c r="B361" s="19"/>
      <c r="C361" s="292"/>
      <c r="D361" s="18" t="s">
        <v>210</v>
      </c>
      <c r="E361" s="1" t="s">
        <v>206</v>
      </c>
      <c r="F361" s="291" t="s">
        <v>204</v>
      </c>
      <c r="G361" s="291" t="s">
        <v>205</v>
      </c>
      <c r="H361" s="279" t="s">
        <v>207</v>
      </c>
      <c r="I361" s="1" t="s">
        <v>208</v>
      </c>
      <c r="K361" s="1"/>
      <c r="L361" s="1"/>
      <c r="M361" s="1"/>
      <c r="N361" s="1"/>
      <c r="O361" s="1"/>
      <c r="V361" s="1"/>
      <c r="AK361" s="1"/>
      <c r="AM361" s="1"/>
    </row>
    <row r="362" ht="12.75" customHeight="1">
      <c r="A362" s="1"/>
      <c r="B362" s="19" t="s">
        <v>211</v>
      </c>
      <c r="C362" s="292" t="str">
        <f>dia_m*PI()*(dia_m/2+length_m)*(E42/100)</f>
        <v>69 </v>
      </c>
      <c r="D362" s="293" t="str">
        <f t="shared" ref="D362:D363" si="249">H47</f>
        <v>80.0 </v>
      </c>
      <c r="E362" s="18" t="str">
        <f>freshairtemp</f>
        <v>20 </v>
      </c>
      <c r="F362" s="18" t="str">
        <f>0.3*dia_m+4+3.5*(D362/100)-0.85*(D362/100)^2+0.076*(D362/100)^3</f>
        <v>7.614912 </v>
      </c>
      <c r="G362" s="32" t="str">
        <f t="shared" ref="G362:G363" si="250">0.9*0.0000000567*((D362+273)^4-(E362+273)^4)/(D362-E362)</f>
        <v>6.94 </v>
      </c>
      <c r="H362" s="279">
        <v>1.0</v>
      </c>
      <c r="I362" s="1" t="str">
        <f t="shared" ref="I362:I363" si="251">C362*H362*(F362+G362)*(D362-E362)*3.6/1000</f>
        <v>217.6901581 </v>
      </c>
      <c r="K362" s="1"/>
      <c r="L362" s="1"/>
      <c r="M362" s="1"/>
      <c r="N362" s="1"/>
      <c r="O362" s="1"/>
      <c r="V362" s="1"/>
      <c r="AK362" s="1"/>
      <c r="AM362" s="1"/>
    </row>
    <row r="363" ht="12.75" customHeight="1">
      <c r="A363" s="1"/>
      <c r="B363" s="19" t="s">
        <v>212</v>
      </c>
      <c r="C363" s="292" t="str">
        <f>dia_m*PI()*(dia_m/2+length_m)*(E43/100)</f>
        <v>162 </v>
      </c>
      <c r="D363" s="293" t="str">
        <f t="shared" si="249"/>
        <v>85.0 </v>
      </c>
      <c r="E363" s="18" t="str">
        <f>freshairtemp</f>
        <v>20 </v>
      </c>
      <c r="F363" s="18" t="str">
        <f>0.3*dia_m+4+3.5*(D363/100)-0.85*(D363/100)^2+0.076*(D363/100)^3</f>
        <v>7.7275485 </v>
      </c>
      <c r="G363" s="32" t="str">
        <f t="shared" si="250"/>
        <v>7.11 </v>
      </c>
      <c r="H363" s="279">
        <v>1.0</v>
      </c>
      <c r="I363" s="1" t="str">
        <f t="shared" si="251"/>
        <v>561.0274375 </v>
      </c>
      <c r="K363" s="1"/>
      <c r="L363" s="1"/>
      <c r="M363" s="1"/>
      <c r="N363" s="1"/>
      <c r="O363" s="1"/>
      <c r="V363" s="1"/>
      <c r="AK363" s="1"/>
      <c r="AM363" s="1"/>
    </row>
    <row r="364" ht="12.75" customHeight="1">
      <c r="A364" s="1"/>
      <c r="B364" s="19" t="s">
        <v>188</v>
      </c>
      <c r="C364" s="292"/>
      <c r="D364" s="18"/>
      <c r="E364" s="32"/>
      <c r="F364" s="18"/>
      <c r="G364" s="32"/>
      <c r="H364" s="279"/>
      <c r="I364" s="1" t="str">
        <f>SUM(I362:I363)</f>
        <v>778.7175957 </v>
      </c>
      <c r="K364" s="1"/>
      <c r="L364" s="1"/>
      <c r="M364" s="1"/>
      <c r="N364" s="1"/>
      <c r="O364" s="1"/>
      <c r="V364" s="1"/>
      <c r="AK364" s="1"/>
      <c r="AM364" s="1"/>
    </row>
    <row r="365" ht="12.75" customHeight="1">
      <c r="A365" s="1"/>
      <c r="B365" s="19"/>
      <c r="C365" s="214"/>
      <c r="D365" s="1"/>
      <c r="E365" s="1"/>
      <c r="F365" s="1"/>
      <c r="G365" s="240"/>
      <c r="H365" s="1"/>
      <c r="I365" s="1"/>
      <c r="K365" s="1"/>
      <c r="L365" s="1"/>
      <c r="M365" s="1"/>
      <c r="N365" s="1"/>
      <c r="O365" s="1"/>
      <c r="V365" s="1"/>
      <c r="AK365" s="1"/>
      <c r="AM365" s="1"/>
    </row>
    <row r="366" ht="12.75" customHeight="1">
      <c r="A366" s="1"/>
      <c r="B366" s="19"/>
      <c r="C366" s="214" t="s">
        <v>213</v>
      </c>
      <c r="D366" s="1" t="s">
        <v>214</v>
      </c>
      <c r="E366" s="1" t="s">
        <v>215</v>
      </c>
      <c r="F366" s="1" t="s">
        <v>216</v>
      </c>
      <c r="G366" s="240"/>
      <c r="H366" s="1"/>
      <c r="I366" s="1"/>
      <c r="K366" s="1"/>
      <c r="L366" s="1"/>
      <c r="M366" s="1"/>
      <c r="N366" s="1"/>
      <c r="O366" s="1"/>
      <c r="V366" s="1"/>
      <c r="AK366" s="1"/>
      <c r="AM366" s="1"/>
    </row>
    <row r="367" ht="12.75" customHeight="1">
      <c r="A367" s="1"/>
      <c r="B367" s="19" t="s">
        <v>217</v>
      </c>
      <c r="C367" s="214" t="str">
        <f>upkfe-upkfi</f>
        <v>0 </v>
      </c>
      <c r="D367" s="1" t="str">
        <f>upmfe-upmfi</f>
        <v>28 </v>
      </c>
      <c r="E367" s="1" t="str">
        <f>upffe-upffi</f>
        <v>18 </v>
      </c>
      <c r="F367" s="1" t="str">
        <f>upsfe-upsfi</f>
        <v>32 </v>
      </c>
      <c r="G367" s="182">
        <v>84.4</v>
      </c>
      <c r="H367" s="1"/>
      <c r="I367" s="1"/>
      <c r="K367" s="1"/>
      <c r="L367" s="1"/>
      <c r="M367" s="1"/>
      <c r="N367" s="1"/>
      <c r="O367" s="1"/>
      <c r="V367" s="1"/>
      <c r="AK367" s="1"/>
      <c r="AM367" s="1"/>
    </row>
    <row r="368" ht="12.75" customHeight="1">
      <c r="A368" s="1"/>
      <c r="B368" s="1" t="s">
        <v>218</v>
      </c>
      <c r="C368" s="214" t="str">
        <f>pr_amb+upkfi</f>
        <v>942 </v>
      </c>
      <c r="D368" s="214" t="str">
        <f>pr_amb+upmfi</f>
        <v>919 </v>
      </c>
      <c r="E368" s="214" t="str">
        <f>pr_amb+upffi</f>
        <v>927 </v>
      </c>
      <c r="F368" s="214" t="str">
        <f>pr_amb+upsfi</f>
        <v>914 </v>
      </c>
      <c r="G368" s="294" t="str">
        <f>pr_amb-G367</f>
        <v>862 </v>
      </c>
      <c r="H368" s="1"/>
      <c r="I368" s="1"/>
      <c r="K368" s="1"/>
      <c r="L368" s="1"/>
      <c r="M368" s="1"/>
      <c r="N368" s="1"/>
      <c r="O368" s="1"/>
      <c r="V368" s="1"/>
      <c r="AK368" s="1"/>
      <c r="AM368" s="1"/>
    </row>
    <row r="369" ht="12.75" customHeight="1">
      <c r="A369" s="1"/>
      <c r="B369" s="1" t="s">
        <v>219</v>
      </c>
      <c r="C369" s="35" t="str">
        <f>kilnfaneff</f>
        <v>0.80 </v>
      </c>
      <c r="D369" s="35" t="str">
        <f>millfaneff</f>
        <v>0.80 </v>
      </c>
      <c r="E369" s="35" t="str">
        <f>filterfaneff</f>
        <v>0.80 </v>
      </c>
      <c r="F369" s="1" t="str">
        <f>sepfaneff</f>
        <v>0.8 </v>
      </c>
      <c r="G369" s="295">
        <v>0.072</v>
      </c>
      <c r="H369" s="1"/>
      <c r="I369" s="1"/>
      <c r="K369" s="1"/>
      <c r="L369" s="1"/>
      <c r="M369" s="1"/>
      <c r="N369" s="1"/>
      <c r="O369" s="1"/>
      <c r="V369" s="1"/>
      <c r="AK369" s="1"/>
      <c r="AM369" s="1"/>
    </row>
    <row r="370" ht="12.75" customHeight="1">
      <c r="A370" s="250"/>
      <c r="B370" s="1" t="s">
        <v>220</v>
      </c>
      <c r="C370" s="214" t="str">
        <f>CHOOSE(_case,K133,K142,K163,K174,K190,K206)</f>
        <v>#REF!</v>
      </c>
      <c r="D370" s="214" t="str">
        <f>CHOOSE(_system+1,K253,K264)</f>
        <v>#NAME?</v>
      </c>
      <c r="E370" s="214" t="str">
        <f>K306</f>
        <v>#NAME?</v>
      </c>
      <c r="F370" s="296" t="str">
        <f>IF(ISNUMBER(T_exhair_sep),T_exhair_sep,100)</f>
        <v>100.00 </v>
      </c>
      <c r="G370" s="294">
        <v>90.0</v>
      </c>
      <c r="H370" s="1"/>
      <c r="I370" s="296" t="str">
        <f>IF(ISNUMBER(T_exhair_sep),T_exhair_sep,100)</f>
        <v>100.00 </v>
      </c>
      <c r="K370" s="1"/>
      <c r="L370" s="1"/>
      <c r="M370" s="1"/>
      <c r="N370" s="1"/>
      <c r="O370" s="1"/>
      <c r="V370" s="1"/>
      <c r="AK370" s="1"/>
      <c r="AM370" s="1"/>
    </row>
    <row r="371" ht="12.75" customHeight="1">
      <c r="A371" s="250"/>
      <c r="B371" s="1" t="s">
        <v>221</v>
      </c>
      <c r="C371" s="297" t="str">
        <f>CHOOSE(_case,E133,E142,E163,E174,E190,E206)</f>
        <v>1 </v>
      </c>
      <c r="D371" s="297" t="str">
        <f>Vmfi</f>
        <v>#REF!</v>
      </c>
      <c r="E371" s="297" t="str">
        <f>E306</f>
        <v>#REF!</v>
      </c>
      <c r="F371" s="297" t="str">
        <f>Vsfi</f>
        <v>130,000 </v>
      </c>
      <c r="G371" s="298">
        <v>14515.886456721508</v>
      </c>
      <c r="H371" s="1"/>
      <c r="I371" s="1"/>
      <c r="K371" s="1"/>
      <c r="L371" s="1"/>
      <c r="M371" s="1"/>
      <c r="N371" s="1"/>
      <c r="O371" s="1"/>
      <c r="V371" s="1"/>
      <c r="AK371" s="1"/>
      <c r="AM371" s="1"/>
    </row>
    <row r="372" ht="12.75" customHeight="1">
      <c r="A372" s="1"/>
      <c r="B372" s="1" t="s">
        <v>222</v>
      </c>
      <c r="C372" s="297" t="str">
        <f t="shared" ref="C372:E372" si="252">C371*C373</f>
        <v>#REF!</v>
      </c>
      <c r="D372" s="297" t="str">
        <f t="shared" si="252"/>
        <v>#REF!</v>
      </c>
      <c r="E372" s="297" t="str">
        <f t="shared" si="252"/>
        <v>#REF!</v>
      </c>
      <c r="F372" s="297" t="str">
        <f>E36</f>
        <v>196,939 </v>
      </c>
      <c r="G372" s="298" t="str">
        <f>G371*G373</f>
        <v>22,677 </v>
      </c>
      <c r="H372" s="1"/>
      <c r="I372" s="1"/>
      <c r="K372" s="1"/>
      <c r="L372" s="1"/>
      <c r="M372" s="1"/>
      <c r="N372" s="1"/>
      <c r="O372" s="1"/>
      <c r="V372" s="1"/>
      <c r="AK372" s="1"/>
      <c r="AM372" s="1"/>
    </row>
    <row r="373" ht="12.75" customHeight="1">
      <c r="A373" s="1"/>
      <c r="B373" s="1" t="s">
        <v>223</v>
      </c>
      <c r="C373" s="296" t="str">
        <f t="shared" ref="C373:G373" si="253">((273+C370)/273)*1013/C368</f>
        <v>#REF!</v>
      </c>
      <c r="D373" s="296" t="str">
        <f t="shared" si="253"/>
        <v>#NAME?</v>
      </c>
      <c r="E373" s="296" t="str">
        <f t="shared" si="253"/>
        <v>#NAME?</v>
      </c>
      <c r="F373" s="296" t="str">
        <f t="shared" si="253"/>
        <v>1.51 </v>
      </c>
      <c r="G373" s="299" t="str">
        <f t="shared" si="253"/>
        <v>1.56 </v>
      </c>
      <c r="H373" s="1"/>
      <c r="I373" s="1"/>
      <c r="K373" s="1"/>
      <c r="L373" s="1"/>
      <c r="M373" s="1"/>
      <c r="N373" s="1"/>
      <c r="O373" s="1"/>
      <c r="V373" s="1"/>
      <c r="AK373" s="1"/>
      <c r="AM373" s="1"/>
    </row>
    <row r="374" ht="12.75" customHeight="1">
      <c r="A374" s="1"/>
      <c r="B374" s="1" t="s">
        <v>224</v>
      </c>
      <c r="C374" s="1">
        <v>1.4</v>
      </c>
      <c r="D374" s="1">
        <v>1.4</v>
      </c>
      <c r="E374" s="1">
        <v>1.4</v>
      </c>
      <c r="F374" s="1">
        <v>1.4</v>
      </c>
      <c r="G374" s="182">
        <v>1.4</v>
      </c>
      <c r="H374" s="1"/>
      <c r="I374" s="1"/>
      <c r="K374" s="1"/>
      <c r="L374" s="1"/>
      <c r="M374" s="1"/>
      <c r="N374" s="1"/>
      <c r="O374" s="1"/>
      <c r="V374" s="1"/>
      <c r="AK374" s="1"/>
      <c r="AM374" s="1"/>
    </row>
    <row r="375" ht="12.75" customHeight="1">
      <c r="A375" s="1"/>
      <c r="B375" s="1"/>
      <c r="C375" s="1"/>
      <c r="D375" s="1"/>
      <c r="E375" s="1"/>
      <c r="F375" s="1"/>
      <c r="G375" s="182"/>
      <c r="H375" s="1"/>
      <c r="I375" s="1"/>
      <c r="K375" s="1"/>
      <c r="L375" s="1"/>
      <c r="M375" s="1"/>
      <c r="N375" s="1"/>
      <c r="O375" s="1"/>
      <c r="V375" s="1"/>
      <c r="AK375" s="1"/>
      <c r="AM375" s="1"/>
    </row>
    <row r="376" ht="12.75" customHeight="1">
      <c r="A376" s="1"/>
      <c r="B376" s="1" t="s">
        <v>225</v>
      </c>
      <c r="C376" s="288" t="str">
        <f t="shared" ref="C376:G376" si="254">(C374/(C374-1))*(8.314/22.41)*(273+C370)*(((C368+C367)/C368)^(1-1/C374)-1)/C369/3600</f>
        <v>#REF!</v>
      </c>
      <c r="D376" s="288" t="str">
        <f t="shared" si="254"/>
        <v>#NAME?</v>
      </c>
      <c r="E376" s="288" t="str">
        <f t="shared" si="254"/>
        <v>#NAME?</v>
      </c>
      <c r="F376" s="288" t="str">
        <f t="shared" si="254"/>
        <v>0.0017</v>
      </c>
      <c r="G376" s="300" t="str">
        <f t="shared" si="254"/>
        <v>0.0492</v>
      </c>
      <c r="H376" s="1"/>
      <c r="I376" s="1"/>
      <c r="K376" s="1"/>
      <c r="L376" s="1"/>
      <c r="M376" s="1"/>
      <c r="N376" s="1"/>
      <c r="O376" s="1"/>
      <c r="V376" s="1"/>
      <c r="AK376" s="1"/>
      <c r="AM376" s="1"/>
    </row>
    <row r="377" ht="12.75" customHeight="1">
      <c r="A377" s="1"/>
      <c r="B377" s="1" t="s">
        <v>226</v>
      </c>
      <c r="C377" s="288" t="str">
        <f t="shared" ref="C377:G377" si="255">C367*0.1*C373/C369/3600</f>
        <v>#REF!</v>
      </c>
      <c r="D377" s="288" t="str">
        <f t="shared" si="255"/>
        <v>#NAME?</v>
      </c>
      <c r="E377" s="288" t="str">
        <f t="shared" si="255"/>
        <v>#NAME?</v>
      </c>
      <c r="F377" s="288" t="str">
        <f t="shared" si="255"/>
        <v>0.0017</v>
      </c>
      <c r="G377" s="300" t="str">
        <f t="shared" si="255"/>
        <v>0.0509</v>
      </c>
      <c r="H377" s="1"/>
      <c r="I377" s="1"/>
      <c r="K377" s="1"/>
      <c r="L377" s="1"/>
      <c r="M377" s="1"/>
      <c r="N377" s="1"/>
      <c r="O377" s="1"/>
      <c r="V377" s="1"/>
      <c r="AK377" s="1"/>
      <c r="AM377" s="1"/>
    </row>
    <row r="378" ht="12.75" customHeight="1">
      <c r="A378" s="1"/>
      <c r="B378" s="1" t="s">
        <v>227</v>
      </c>
      <c r="C378" s="297" t="str">
        <f t="shared" ref="C378:G378" si="256">C371*C376</f>
        <v>#REF!</v>
      </c>
      <c r="D378" s="297" t="str">
        <f t="shared" si="256"/>
        <v>#REF!</v>
      </c>
      <c r="E378" s="297" t="str">
        <f t="shared" si="256"/>
        <v>#REF!</v>
      </c>
      <c r="F378" s="297" t="str">
        <f t="shared" si="256"/>
        <v>216 </v>
      </c>
      <c r="G378" s="298" t="str">
        <f t="shared" si="256"/>
        <v>714 </v>
      </c>
      <c r="H378" s="1"/>
      <c r="I378" s="1"/>
      <c r="K378" s="1"/>
      <c r="L378" s="1"/>
      <c r="M378" s="1"/>
      <c r="N378" s="1"/>
      <c r="O378" s="1"/>
      <c r="V378" s="1"/>
      <c r="AK378" s="1"/>
      <c r="AM378" s="1"/>
    </row>
    <row r="379" ht="12.75" customHeight="1">
      <c r="A379" s="1"/>
      <c r="B379" s="1" t="s">
        <v>228</v>
      </c>
      <c r="C379" s="297" t="str">
        <f t="shared" ref="C379:G379" si="257">C371*C377</f>
        <v>#REF!</v>
      </c>
      <c r="D379" s="297" t="str">
        <f t="shared" si="257"/>
        <v>#REF!</v>
      </c>
      <c r="E379" s="297" t="str">
        <f t="shared" si="257"/>
        <v>#REF!</v>
      </c>
      <c r="F379" s="297" t="str">
        <f t="shared" si="257"/>
        <v>219 </v>
      </c>
      <c r="G379" s="298" t="str">
        <f t="shared" si="257"/>
        <v>738 </v>
      </c>
      <c r="H379" s="1"/>
      <c r="I379" s="1"/>
      <c r="K379" s="1"/>
      <c r="L379" s="1"/>
      <c r="M379" s="1"/>
      <c r="N379" s="1"/>
      <c r="O379" s="1"/>
      <c r="V379" s="1"/>
      <c r="AK379" s="1"/>
      <c r="AM379" s="1"/>
    </row>
    <row r="380" ht="12.75" customHeight="1">
      <c r="A380" s="1"/>
      <c r="B380" s="1" t="s">
        <v>229</v>
      </c>
      <c r="C380" s="288" t="str">
        <f>IF(ISERROR(C370),0.0037,C376)</f>
        <v>0.0037</v>
      </c>
      <c r="D380" s="288" t="str">
        <f>IF(ISERROR(D370),0.0048,D376)</f>
        <v>0.0048</v>
      </c>
      <c r="E380" s="288" t="str">
        <f t="shared" ref="E380:G380" si="258">IF(ISERROR(E370),0.001,E376)</f>
        <v>0.0010</v>
      </c>
      <c r="F380" s="288" t="str">
        <f t="shared" si="258"/>
        <v>0.0017</v>
      </c>
      <c r="G380" s="300" t="str">
        <f t="shared" si="258"/>
        <v>0.0492</v>
      </c>
      <c r="H380" s="1"/>
      <c r="I380" s="1"/>
      <c r="K380" s="1"/>
      <c r="L380" s="1"/>
      <c r="M380" s="1"/>
      <c r="N380" s="1"/>
      <c r="O380" s="1"/>
      <c r="V380" s="1"/>
      <c r="AK380" s="1"/>
      <c r="AM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V381" s="1"/>
      <c r="AK381" s="1"/>
      <c r="AM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V382" s="1"/>
      <c r="AK382" s="1"/>
      <c r="AM382" s="1"/>
    </row>
    <row r="383" ht="12.75" customHeight="1">
      <c r="A383" s="1"/>
      <c r="B383" s="19" t="s">
        <v>230</v>
      </c>
      <c r="C383" s="285" t="s">
        <v>231</v>
      </c>
      <c r="D383" s="274" t="s">
        <v>231</v>
      </c>
      <c r="E383" s="274" t="s">
        <v>231</v>
      </c>
      <c r="F383" s="274" t="s">
        <v>231</v>
      </c>
      <c r="G383" s="274" t="s">
        <v>231</v>
      </c>
      <c r="H383" s="274" t="s">
        <v>231</v>
      </c>
      <c r="I383" s="276" t="s">
        <v>231</v>
      </c>
      <c r="K383" s="1"/>
      <c r="L383" s="1"/>
      <c r="M383" s="1"/>
      <c r="N383" s="1"/>
      <c r="O383" s="1"/>
      <c r="V383" s="1"/>
      <c r="AK383" s="1"/>
      <c r="AM383" s="1"/>
    </row>
    <row r="384" ht="12.75" customHeight="1">
      <c r="A384" s="1"/>
      <c r="B384" s="301" t="s">
        <v>232</v>
      </c>
      <c r="C384" s="259" t="s">
        <v>233</v>
      </c>
      <c r="D384" s="4" t="s">
        <v>234</v>
      </c>
      <c r="E384" s="4" t="s">
        <v>235</v>
      </c>
      <c r="F384" s="4" t="s">
        <v>236</v>
      </c>
      <c r="G384" s="4" t="s">
        <v>237</v>
      </c>
      <c r="H384" s="4" t="s">
        <v>238</v>
      </c>
      <c r="I384" s="302" t="s">
        <v>239</v>
      </c>
      <c r="K384" s="1"/>
      <c r="L384" s="1"/>
      <c r="M384" s="1"/>
      <c r="N384" s="1"/>
      <c r="O384" s="1"/>
      <c r="V384" s="1"/>
      <c r="AK384" s="1"/>
      <c r="AM384" s="1"/>
    </row>
    <row r="385" ht="25.5" customHeight="1">
      <c r="A385" s="1"/>
      <c r="B385" s="182" t="s">
        <v>240</v>
      </c>
      <c r="C385" s="259" t="s">
        <v>241</v>
      </c>
      <c r="D385" s="4" t="s">
        <v>242</v>
      </c>
      <c r="E385" s="4" t="s">
        <v>243</v>
      </c>
      <c r="F385" s="4" t="s">
        <v>242</v>
      </c>
      <c r="G385" s="4" t="s">
        <v>243</v>
      </c>
      <c r="H385" s="4" t="s">
        <v>242</v>
      </c>
      <c r="I385" s="303" t="s">
        <v>244</v>
      </c>
      <c r="K385" s="1"/>
      <c r="L385" s="1"/>
      <c r="M385" s="1"/>
      <c r="N385" s="1"/>
      <c r="O385" s="1"/>
      <c r="V385" s="1"/>
      <c r="AK385" s="1"/>
      <c r="AM385" s="1"/>
    </row>
    <row r="386" ht="12.75" customHeight="1">
      <c r="A386" s="1"/>
      <c r="B386" s="182" t="s">
        <v>245</v>
      </c>
      <c r="C386" s="259" t="s">
        <v>246</v>
      </c>
      <c r="D386" s="4" t="s">
        <v>247</v>
      </c>
      <c r="E386" s="4" t="s">
        <v>248</v>
      </c>
      <c r="F386" s="4" t="s">
        <v>249</v>
      </c>
      <c r="G386" s="4" t="s">
        <v>249</v>
      </c>
      <c r="H386" s="4" t="s">
        <v>250</v>
      </c>
      <c r="I386" s="243" t="s">
        <v>251</v>
      </c>
      <c r="K386" s="1"/>
      <c r="L386" s="1"/>
      <c r="M386" s="1"/>
      <c r="N386" s="1"/>
      <c r="O386" s="1"/>
      <c r="V386" s="1"/>
      <c r="AK386" s="1"/>
      <c r="AM386" s="1"/>
    </row>
    <row r="387" ht="12.75" customHeight="1">
      <c r="A387" s="1"/>
      <c r="B387" s="182" t="s">
        <v>252</v>
      </c>
      <c r="C387" s="259" t="s">
        <v>253</v>
      </c>
      <c r="D387" s="4" t="s">
        <v>254</v>
      </c>
      <c r="E387" s="4" t="s">
        <v>255</v>
      </c>
      <c r="F387" s="4" t="s">
        <v>256</v>
      </c>
      <c r="G387" s="4" t="s">
        <v>257</v>
      </c>
      <c r="H387" s="4" t="s">
        <v>256</v>
      </c>
      <c r="I387" s="243" t="s">
        <v>258</v>
      </c>
      <c r="K387" s="1"/>
      <c r="L387" s="1"/>
      <c r="M387" s="1"/>
      <c r="N387" s="1"/>
      <c r="O387" s="1"/>
      <c r="V387" s="1"/>
      <c r="AK387" s="1"/>
      <c r="AM387" s="1"/>
    </row>
    <row r="388" ht="12.75" customHeight="1">
      <c r="A388" s="1"/>
      <c r="B388" s="182" t="s">
        <v>259</v>
      </c>
      <c r="C388" s="259" t="s">
        <v>260</v>
      </c>
      <c r="D388" s="4" t="s">
        <v>260</v>
      </c>
      <c r="E388" s="4" t="s">
        <v>261</v>
      </c>
      <c r="F388" s="4" t="s">
        <v>262</v>
      </c>
      <c r="G388" s="4" t="s">
        <v>263</v>
      </c>
      <c r="H388" s="4" t="s">
        <v>264</v>
      </c>
      <c r="I388" s="303" t="s">
        <v>265</v>
      </c>
      <c r="K388" s="1"/>
      <c r="L388" s="1"/>
      <c r="M388" s="1"/>
      <c r="N388" s="1"/>
      <c r="O388" s="1"/>
      <c r="V388" s="1"/>
      <c r="AK388" s="1"/>
      <c r="AM388" s="1"/>
    </row>
    <row r="389" ht="12.75" customHeight="1">
      <c r="A389" s="1"/>
      <c r="B389" s="1"/>
      <c r="C389" s="259" t="s">
        <v>266</v>
      </c>
      <c r="D389" s="4" t="s">
        <v>267</v>
      </c>
      <c r="E389" s="4" t="s">
        <v>268</v>
      </c>
      <c r="F389" s="4" t="s">
        <v>269</v>
      </c>
      <c r="G389" s="4" t="s">
        <v>268</v>
      </c>
      <c r="H389" s="4" t="s">
        <v>267</v>
      </c>
      <c r="I389" s="243" t="s">
        <v>270</v>
      </c>
      <c r="K389" s="1"/>
      <c r="L389" s="1"/>
      <c r="M389" s="1"/>
      <c r="N389" s="1"/>
      <c r="O389" s="1"/>
      <c r="V389" s="1"/>
      <c r="AK389" s="1"/>
      <c r="AM389" s="1"/>
    </row>
    <row r="390" ht="12.75" customHeight="1">
      <c r="A390" s="1"/>
      <c r="B390" s="1"/>
      <c r="C390" s="259" t="s">
        <v>271</v>
      </c>
      <c r="D390" s="4" t="s">
        <v>272</v>
      </c>
      <c r="E390" s="4" t="s">
        <v>273</v>
      </c>
      <c r="F390" s="4" t="s">
        <v>274</v>
      </c>
      <c r="G390" s="304" t="s">
        <v>275</v>
      </c>
      <c r="H390" s="4" t="s">
        <v>275</v>
      </c>
      <c r="I390" s="243" t="s">
        <v>276</v>
      </c>
      <c r="K390" s="1"/>
      <c r="L390" s="1"/>
      <c r="M390" s="1"/>
      <c r="N390" s="1"/>
      <c r="O390" s="1"/>
      <c r="V390" s="1"/>
      <c r="AK390" s="1"/>
      <c r="AM390" s="1"/>
    </row>
    <row r="391" ht="12.75" customHeight="1">
      <c r="A391" s="1"/>
      <c r="B391" s="1"/>
      <c r="C391" s="259" t="s">
        <v>277</v>
      </c>
      <c r="D391" s="4" t="s">
        <v>278</v>
      </c>
      <c r="E391" s="4" t="s">
        <v>279</v>
      </c>
      <c r="F391" s="4" t="s">
        <v>280</v>
      </c>
      <c r="G391" s="305" t="s">
        <v>281</v>
      </c>
      <c r="H391" s="4" t="s">
        <v>282</v>
      </c>
      <c r="I391" s="243" t="s">
        <v>258</v>
      </c>
      <c r="K391" s="1"/>
      <c r="L391" s="1"/>
      <c r="M391" s="1"/>
      <c r="N391" s="1"/>
      <c r="O391" s="1"/>
      <c r="V391" s="1"/>
      <c r="AK391" s="1"/>
      <c r="AM391" s="1"/>
    </row>
    <row r="392" ht="12.75" customHeight="1">
      <c r="A392" s="1"/>
      <c r="B392" s="1"/>
      <c r="C392" s="259" t="s">
        <v>283</v>
      </c>
      <c r="D392" s="4" t="s">
        <v>284</v>
      </c>
      <c r="E392" s="4" t="s">
        <v>285</v>
      </c>
      <c r="F392" s="4" t="s">
        <v>286</v>
      </c>
      <c r="G392" s="305" t="s">
        <v>287</v>
      </c>
      <c r="H392" s="4" t="s">
        <v>288</v>
      </c>
      <c r="I392" s="243" t="s">
        <v>289</v>
      </c>
      <c r="K392" s="1"/>
      <c r="L392" s="1"/>
      <c r="M392" s="1"/>
      <c r="N392" s="1"/>
      <c r="O392" s="1"/>
      <c r="V392" s="1"/>
      <c r="AK392" s="1"/>
      <c r="AM392" s="1"/>
    </row>
    <row r="393" ht="13.5" customHeight="1">
      <c r="A393" s="1"/>
      <c r="B393" s="1"/>
      <c r="C393" s="266" t="s">
        <v>290</v>
      </c>
      <c r="D393" s="270" t="s">
        <v>291</v>
      </c>
      <c r="E393" s="270" t="s">
        <v>291</v>
      </c>
      <c r="F393" s="270" t="s">
        <v>291</v>
      </c>
      <c r="G393" s="270" t="s">
        <v>291</v>
      </c>
      <c r="H393" s="270" t="s">
        <v>291</v>
      </c>
      <c r="I393" s="278" t="s">
        <v>291</v>
      </c>
      <c r="K393" s="1"/>
      <c r="L393" s="1"/>
      <c r="M393" s="1"/>
      <c r="N393" s="1"/>
      <c r="O393" s="1"/>
      <c r="V393" s="1"/>
      <c r="AK393" s="1"/>
      <c r="AM393" s="1"/>
    </row>
    <row r="394" ht="12.75" customHeight="1">
      <c r="A394" s="1"/>
      <c r="B394" s="1"/>
      <c r="C394" s="4"/>
      <c r="D394" s="4"/>
      <c r="E394" s="4"/>
      <c r="F394" s="4"/>
      <c r="G394" s="4"/>
      <c r="H394" s="4"/>
      <c r="I394" s="4"/>
      <c r="K394" s="1"/>
      <c r="L394" s="1"/>
      <c r="M394" s="1"/>
      <c r="N394" s="1"/>
      <c r="O394" s="1"/>
      <c r="V394" s="1"/>
      <c r="AK394" s="1"/>
      <c r="AM394" s="1"/>
    </row>
    <row r="395" ht="12.75" customHeight="1">
      <c r="A395" s="1"/>
      <c r="B395" s="1" t="s">
        <v>292</v>
      </c>
      <c r="C395" s="306">
        <v>3.0</v>
      </c>
      <c r="D395" s="306">
        <v>4.0</v>
      </c>
      <c r="E395" s="306">
        <v>8.0</v>
      </c>
      <c r="F395" s="306">
        <v>1.0</v>
      </c>
      <c r="G395" s="306">
        <v>1.0</v>
      </c>
      <c r="H395" s="4"/>
      <c r="I395" s="4"/>
      <c r="K395" s="1"/>
      <c r="L395" s="1"/>
      <c r="M395" s="1"/>
      <c r="N395" s="1"/>
      <c r="O395" s="1"/>
      <c r="V395" s="1"/>
      <c r="AK395" s="1"/>
      <c r="AM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V396" s="1"/>
      <c r="AK396" s="1"/>
      <c r="AM396" s="1"/>
    </row>
    <row r="397" ht="12.75" customHeight="1">
      <c r="A397" s="1"/>
      <c r="B397" s="1"/>
      <c r="C397" s="1" t="s">
        <v>293</v>
      </c>
      <c r="D397" s="1" t="s">
        <v>294</v>
      </c>
      <c r="E397" s="1" t="s">
        <v>295</v>
      </c>
      <c r="F397" s="1" t="s">
        <v>296</v>
      </c>
      <c r="G397" s="1" t="s">
        <v>297</v>
      </c>
      <c r="H397" s="1" t="s">
        <v>298</v>
      </c>
      <c r="I397" s="1" t="s">
        <v>299</v>
      </c>
      <c r="K397" s="1"/>
      <c r="L397" s="1"/>
      <c r="M397" s="1"/>
      <c r="N397" s="1"/>
      <c r="O397" s="1"/>
      <c r="V397" s="1"/>
      <c r="AK397" s="1"/>
      <c r="AM397" s="1"/>
    </row>
    <row r="398" ht="12.75" customHeight="1">
      <c r="A398" s="1"/>
      <c r="B398" s="1" t="s">
        <v>300</v>
      </c>
      <c r="C398" s="1" t="str">
        <f>MAX(D398:I398,1)</f>
        <v>1 </v>
      </c>
      <c r="D398" s="1" t="str">
        <f>(IF(AND(_ctpos&lt;=1,_cairadd_pos&lt;2,_millgas_pos=0),1,0))</f>
        <v>1 </v>
      </c>
      <c r="E398" s="1" t="str">
        <f>(IF(AND(_ctpos=2,_cairadd_pos&lt;2,_millgas_pos=0),2,0))</f>
        <v>0 </v>
      </c>
      <c r="F398" s="1" t="str">
        <f>(IF(AND(_ctpos&lt;=1,_cairadd_pos=2,_millgas_pos=0),3,0))</f>
        <v>0 </v>
      </c>
      <c r="G398" s="1" t="str">
        <f>(IF(AND(_ctpos=2,_cairadd_pos=2,_millgas_pos=0),4,0))</f>
        <v>0 </v>
      </c>
      <c r="H398" s="1" t="str">
        <f>(IF(AND(_ctpos=2,_cairadd_pos&lt;2,_millgas_pos=1),5,0))</f>
        <v>0 </v>
      </c>
      <c r="I398" s="1" t="str">
        <f>(IF(AND(_ctpos=2,_cairadd_pos&lt;2,_millgas_pos=2),6,0))</f>
        <v>0 </v>
      </c>
      <c r="K398" s="1"/>
      <c r="L398" s="1"/>
      <c r="M398" s="1"/>
      <c r="N398" s="1"/>
      <c r="O398" s="1"/>
      <c r="V398" s="1"/>
      <c r="AK398" s="1"/>
      <c r="AM398" s="1"/>
    </row>
    <row r="399" ht="12.75" customHeight="1">
      <c r="A399" s="1"/>
      <c r="B399" s="1" t="s">
        <v>301</v>
      </c>
      <c r="C399" s="1" t="str">
        <f>CHOOSE(_case,D399,E399,F399,G399,H399,I399)</f>
        <v>$A$126:$R$138</v>
      </c>
      <c r="D399" s="1" t="str">
        <f>CONCATENATE(ADDRESS(ROW(case1_start),COLUMN(case1_start),1),":",ADDRESS(ROW(case1_end),COLUMN(case1_end),1))</f>
        <v>$A$126:$R$138</v>
      </c>
      <c r="E399" s="1" t="str">
        <f>CONCATENATE(ADDRESS(ROW(case2_start),COLUMN(case2_start),1),":",ADDRESS(ROW(case2_end),COLUMN(case2_end),1))</f>
        <v>$A$142:$R$154</v>
      </c>
      <c r="F399" s="1" t="str">
        <f>CONCATENATE(ADDRESS(ROW(case3_start),COLUMN(case3_start),1),":",ADDRESS(ROW(case3_end),COLUMN(case3_end),1))</f>
        <v>$A$158:$R$170</v>
      </c>
      <c r="G399" s="1" t="str">
        <f>CONCATENATE(ADDRESS(ROW(case4_start),COLUMN(case4_start),1),":",ADDRESS(ROW(case4_end),COLUMN(case4_end),1))</f>
        <v>$A$174:$R$186</v>
      </c>
      <c r="H399" s="1" t="str">
        <f>CONCATENATE(ADDRESS(ROW(case5_start),COLUMN(case5_start),1),":",ADDRESS(ROW(case5_end),COLUMN(case5_end),1))</f>
        <v>$A$190:$R$202</v>
      </c>
      <c r="I399" s="1" t="str">
        <f>CONCATENATE(ADDRESS(ROW(case6_start),COLUMN(case6_start),1),":",ADDRESS(ROW(case6_end),COLUMN(case6_end),1))</f>
        <v>$A$206:$R$218</v>
      </c>
      <c r="K399" s="1"/>
      <c r="L399" s="1"/>
      <c r="M399" s="1"/>
      <c r="N399" s="1"/>
      <c r="O399" s="1"/>
      <c r="V399" s="1"/>
      <c r="AK399" s="1"/>
      <c r="AM399" s="1"/>
    </row>
    <row r="400" ht="12.75" customHeight="1">
      <c r="A400" s="1"/>
      <c r="B400" s="1"/>
      <c r="C400" s="1"/>
      <c r="D400" s="1"/>
      <c r="E400" s="1"/>
      <c r="F400" s="182"/>
      <c r="G400" s="182"/>
      <c r="H400" s="1"/>
      <c r="I400" s="1"/>
      <c r="K400" s="1"/>
      <c r="L400" s="1"/>
      <c r="M400" s="1"/>
      <c r="N400" s="1"/>
      <c r="O400" s="1"/>
      <c r="V400" s="1"/>
      <c r="AK400" s="1"/>
      <c r="AM400" s="1"/>
    </row>
    <row r="401" ht="12.75" customHeight="1">
      <c r="A401" s="1"/>
      <c r="B401" s="1" t="s">
        <v>302</v>
      </c>
      <c r="C401" s="19" t="s">
        <v>303</v>
      </c>
      <c r="D401" s="1">
        <v>0.0</v>
      </c>
      <c r="E401" s="306">
        <v>1.0</v>
      </c>
      <c r="F401" s="1" t="str">
        <f t="array" ref="F401">INDEX(C401:C402,_system+1)</f>
        <v>2-fan system</v>
      </c>
      <c r="G401" s="1"/>
      <c r="H401" s="306" t="b">
        <v>1</v>
      </c>
      <c r="I401" s="1"/>
      <c r="K401" s="1"/>
      <c r="L401" s="1"/>
      <c r="M401" s="1"/>
      <c r="N401" s="1"/>
      <c r="O401" s="1"/>
      <c r="V401" s="1"/>
      <c r="AK401" s="1"/>
      <c r="AM401" s="1"/>
    </row>
    <row r="402" ht="12.75" customHeight="1">
      <c r="A402" s="1"/>
      <c r="B402" s="1"/>
      <c r="C402" s="1" t="s">
        <v>304</v>
      </c>
      <c r="D402" s="307">
        <v>1.0</v>
      </c>
      <c r="E402" s="1"/>
      <c r="F402" s="1"/>
      <c r="G402" s="1"/>
      <c r="H402" s="1"/>
      <c r="I402" s="1"/>
      <c r="K402" s="1"/>
      <c r="L402" s="1"/>
      <c r="M402" s="1"/>
      <c r="N402" s="1"/>
      <c r="O402" s="1"/>
      <c r="V402" s="1"/>
      <c r="AK402" s="1"/>
      <c r="AM402" s="1"/>
    </row>
    <row r="403" ht="12.75" customHeight="1">
      <c r="A403" s="1"/>
      <c r="B403" s="1"/>
      <c r="C403" s="1"/>
      <c r="D403" s="1">
        <v>1.0</v>
      </c>
      <c r="E403" s="1"/>
      <c r="F403" s="1"/>
      <c r="G403" s="1"/>
      <c r="H403" s="1"/>
      <c r="I403" s="1"/>
      <c r="K403" s="1"/>
      <c r="L403" s="1"/>
      <c r="M403" s="1"/>
      <c r="N403" s="1"/>
      <c r="O403" s="1"/>
      <c r="V403" s="1"/>
      <c r="AK403" s="1"/>
      <c r="AM403" s="1"/>
    </row>
    <row r="404" ht="12.75" customHeight="1">
      <c r="A404" s="1"/>
      <c r="B404" s="1" t="s">
        <v>305</v>
      </c>
      <c r="C404" s="1" t="s">
        <v>306</v>
      </c>
      <c r="D404" s="1">
        <v>0.0</v>
      </c>
      <c r="E404" s="306">
        <v>0.0</v>
      </c>
      <c r="F404" s="1"/>
      <c r="G404" s="1"/>
      <c r="H404" s="1"/>
      <c r="I404" s="1"/>
      <c r="K404" s="1"/>
      <c r="L404" s="306" t="b">
        <v>0</v>
      </c>
      <c r="M404" s="1" t="s">
        <v>307</v>
      </c>
      <c r="N404" s="1"/>
      <c r="O404" s="1"/>
      <c r="V404" s="1"/>
      <c r="AK404" s="1"/>
      <c r="AM404" s="1"/>
    </row>
    <row r="405" ht="12.75" customHeight="1">
      <c r="A405" s="1"/>
      <c r="B405" s="1"/>
      <c r="C405" s="1" t="s">
        <v>308</v>
      </c>
      <c r="D405" s="1">
        <v>1.0</v>
      </c>
      <c r="E405" s="1"/>
      <c r="F405" s="1"/>
      <c r="G405" s="1"/>
      <c r="H405" s="1"/>
      <c r="I405" s="1"/>
      <c r="K405" s="1"/>
      <c r="L405" s="1"/>
      <c r="M405" s="1"/>
      <c r="N405" s="1"/>
      <c r="O405" s="1"/>
      <c r="V405" s="1"/>
      <c r="AK405" s="1"/>
      <c r="AM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 t="s">
        <v>309</v>
      </c>
      <c r="N406" s="1"/>
      <c r="O406" s="1"/>
      <c r="V406" s="1"/>
      <c r="AK406" s="1"/>
      <c r="AM406" s="1"/>
    </row>
    <row r="407" ht="12.75" customHeight="1">
      <c r="A407" s="1"/>
      <c r="B407" s="1" t="s">
        <v>310</v>
      </c>
      <c r="C407" s="1" t="s">
        <v>311</v>
      </c>
      <c r="D407" s="306">
        <v>0.0</v>
      </c>
      <c r="E407" s="1"/>
      <c r="F407" s="1" t="s">
        <v>312</v>
      </c>
      <c r="G407" s="1" t="s">
        <v>313</v>
      </c>
      <c r="H407" s="306">
        <v>1.0</v>
      </c>
      <c r="I407" s="1"/>
      <c r="J407" s="1" t="s">
        <v>314</v>
      </c>
      <c r="K407" s="1" t="s">
        <v>315</v>
      </c>
      <c r="L407" s="306">
        <v>0.0</v>
      </c>
      <c r="M407" s="289">
        <v>0.0</v>
      </c>
      <c r="N407" s="1"/>
      <c r="O407" s="1"/>
      <c r="V407" s="1"/>
      <c r="AK407" s="1"/>
      <c r="AM407" s="1"/>
    </row>
    <row r="408" ht="12.75" customHeight="1">
      <c r="A408" s="1"/>
      <c r="B408" s="1"/>
      <c r="C408" s="1" t="s">
        <v>316</v>
      </c>
      <c r="D408" s="1"/>
      <c r="E408" s="1"/>
      <c r="F408" s="1"/>
      <c r="G408" s="1" t="str">
        <f>IF(_ctpos=0,"before kiln fan","before CT")</f>
        <v>before kiln fan</v>
      </c>
      <c r="H408" s="1"/>
      <c r="I408" s="1"/>
      <c r="J408" s="1" t="s">
        <v>317</v>
      </c>
      <c r="K408" s="1" t="str">
        <f t="shared" ref="K408:K409" si="259">G408</f>
        <v>before kiln fan</v>
      </c>
      <c r="L408" s="1"/>
      <c r="M408" s="1"/>
      <c r="N408" s="1"/>
      <c r="O408" s="1"/>
      <c r="V408" s="1"/>
      <c r="AK408" s="1"/>
      <c r="AM408" s="1"/>
    </row>
    <row r="409" ht="12.75" customHeight="1">
      <c r="A409" s="1"/>
      <c r="B409" s="1"/>
      <c r="C409" s="1" t="s">
        <v>318</v>
      </c>
      <c r="D409" s="1"/>
      <c r="E409" s="1"/>
      <c r="F409" s="1"/>
      <c r="G409" s="1" t="str">
        <f>IF(_ctpos=0,"after kiln fan","after CT")</f>
        <v>after kiln fan</v>
      </c>
      <c r="H409" s="1"/>
      <c r="I409" s="1"/>
      <c r="K409" s="1" t="str">
        <f t="shared" si="259"/>
        <v>after kiln fan</v>
      </c>
      <c r="L409" s="1"/>
      <c r="M409" s="1"/>
      <c r="N409" s="1"/>
      <c r="O409" s="1"/>
      <c r="V409" s="1"/>
      <c r="AK409" s="1"/>
      <c r="AM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K410" s="1" t="s">
        <v>319</v>
      </c>
      <c r="L410" s="1"/>
      <c r="M410" s="1"/>
      <c r="N410" s="1"/>
      <c r="O410" s="1"/>
      <c r="V410" s="1"/>
      <c r="AK410" s="1"/>
      <c r="AM410" s="1"/>
    </row>
    <row r="411" ht="12.75" customHeight="1">
      <c r="A411" s="1"/>
      <c r="B411" s="1" t="s">
        <v>320</v>
      </c>
      <c r="C411" s="1" t="s">
        <v>321</v>
      </c>
      <c r="D411" s="306">
        <v>0.0</v>
      </c>
      <c r="E411" s="1"/>
      <c r="F411" s="1"/>
      <c r="G411" s="1"/>
      <c r="H411" s="1"/>
      <c r="I411" s="1"/>
      <c r="K411" s="1"/>
      <c r="L411" s="1"/>
      <c r="M411" s="1"/>
      <c r="N411" s="1"/>
      <c r="O411" s="1"/>
      <c r="V411" s="1"/>
      <c r="AK411" s="1"/>
      <c r="AM411" s="1"/>
    </row>
    <row r="412" ht="12.75" customHeight="1">
      <c r="A412" s="1"/>
      <c r="B412" s="1"/>
      <c r="C412" s="1" t="s">
        <v>322</v>
      </c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V412" s="1"/>
      <c r="AK412" s="1"/>
      <c r="AM412" s="1"/>
    </row>
    <row r="413" ht="12.75" customHeight="1">
      <c r="A413" s="1"/>
      <c r="B413" s="1"/>
      <c r="C413" s="1" t="s">
        <v>323</v>
      </c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V413" s="1"/>
      <c r="AK413" s="1"/>
      <c r="AM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V414" s="1"/>
      <c r="AK414" s="1"/>
      <c r="AM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 t="s">
        <v>174</v>
      </c>
      <c r="K415" s="1" t="s">
        <v>176</v>
      </c>
      <c r="L415" s="1" t="s">
        <v>324</v>
      </c>
      <c r="M415" s="1"/>
      <c r="N415" s="1"/>
      <c r="O415" s="1"/>
      <c r="V415" s="1"/>
      <c r="AK415" s="1"/>
      <c r="AM415" s="1"/>
    </row>
    <row r="416" ht="12.75" customHeight="1">
      <c r="A416" s="1"/>
      <c r="B416" s="1" t="s">
        <v>325</v>
      </c>
      <c r="C416" s="1" t="s">
        <v>326</v>
      </c>
      <c r="D416" s="306">
        <v>3.0</v>
      </c>
      <c r="E416" s="1" t="str">
        <f t="array" ref="E416">INDEX(_CV_fuel_average,_HGGfuel+1)</f>
        <v>42 </v>
      </c>
      <c r="F416" s="1" t="s">
        <v>327</v>
      </c>
      <c r="G416" s="1" t="s">
        <v>328</v>
      </c>
      <c r="H416" s="306">
        <v>0.0</v>
      </c>
      <c r="I416" s="1" t="str">
        <f>freshairtemp</f>
        <v>20 </v>
      </c>
      <c r="J416" s="1">
        <v>0.26</v>
      </c>
      <c r="K416" s="1">
        <v>0.27</v>
      </c>
      <c r="L416" s="1">
        <v>34.0</v>
      </c>
      <c r="M416" s="1"/>
      <c r="N416" s="1"/>
      <c r="O416" s="1"/>
      <c r="V416" s="1"/>
      <c r="AK416" s="1"/>
      <c r="AM416" s="1"/>
    </row>
    <row r="417" ht="12.75" customHeight="1">
      <c r="A417" s="1"/>
      <c r="B417" s="1"/>
      <c r="C417" s="1" t="s">
        <v>329</v>
      </c>
      <c r="D417" s="1"/>
      <c r="E417" s="1"/>
      <c r="F417" s="1"/>
      <c r="G417" s="1" t="s">
        <v>330</v>
      </c>
      <c r="H417" s="1"/>
      <c r="I417" s="1" t="str">
        <f>coolergastemp</f>
        <v>330 </v>
      </c>
      <c r="J417" s="1">
        <v>0.26</v>
      </c>
      <c r="K417" s="1">
        <v>0.28</v>
      </c>
      <c r="L417" s="1">
        <v>29.0</v>
      </c>
      <c r="M417" s="1"/>
      <c r="N417" s="1"/>
      <c r="O417" s="1"/>
      <c r="V417" s="1"/>
      <c r="AK417" s="1"/>
      <c r="AM417" s="1"/>
    </row>
    <row r="418" ht="12.75" customHeight="1">
      <c r="A418" s="1"/>
      <c r="B418" s="1"/>
      <c r="C418" s="1" t="s">
        <v>331</v>
      </c>
      <c r="D418" s="1"/>
      <c r="E418" s="1"/>
      <c r="F418" s="1"/>
      <c r="G418" s="1" t="s">
        <v>332</v>
      </c>
      <c r="H418" s="1"/>
      <c r="I418" s="289">
        <v>130.0</v>
      </c>
      <c r="J418" s="1">
        <v>0.26</v>
      </c>
      <c r="K418" s="1">
        <v>0.29</v>
      </c>
      <c r="L418" s="1">
        <v>20.0</v>
      </c>
      <c r="M418" s="1"/>
      <c r="N418" s="1"/>
      <c r="O418" s="1"/>
      <c r="V418" s="1"/>
      <c r="AK418" s="1"/>
      <c r="AM418" s="1"/>
    </row>
    <row r="419" ht="12.75" customHeight="1">
      <c r="A419" s="1"/>
      <c r="B419" s="1"/>
      <c r="C419" s="1" t="s">
        <v>333</v>
      </c>
      <c r="D419" s="1"/>
      <c r="E419" s="1"/>
      <c r="F419" s="1"/>
      <c r="G419" s="1" t="s">
        <v>334</v>
      </c>
      <c r="H419" s="1"/>
      <c r="I419" s="242" t="str">
        <f>IF(ISNUMBER(K239),K239,millexittemp)</f>
        <v>85.0</v>
      </c>
      <c r="J419" s="1">
        <v>0.26</v>
      </c>
      <c r="K419" s="1">
        <v>0.29</v>
      </c>
      <c r="L419" s="1">
        <v>42.0</v>
      </c>
      <c r="M419" s="1"/>
      <c r="N419" s="1"/>
      <c r="O419" s="1"/>
      <c r="V419" s="1"/>
      <c r="AK419" s="1"/>
      <c r="AM419" s="1"/>
    </row>
    <row r="420" ht="12.75" customHeight="1">
      <c r="A420" s="1"/>
      <c r="B420" s="1"/>
      <c r="C420" s="1" t="s">
        <v>335</v>
      </c>
      <c r="D420" s="1"/>
      <c r="E420" s="1"/>
      <c r="F420" s="1"/>
      <c r="G420" s="1"/>
      <c r="H420" s="1"/>
      <c r="I420" s="1"/>
      <c r="J420" s="1">
        <v>0.26</v>
      </c>
      <c r="K420" s="1">
        <v>0.28</v>
      </c>
      <c r="L420" s="1">
        <v>40.0</v>
      </c>
      <c r="M420" s="1"/>
      <c r="N420" s="1"/>
      <c r="O420" s="1"/>
      <c r="V420" s="1"/>
      <c r="AK420" s="1"/>
      <c r="AM420" s="1"/>
    </row>
    <row r="421" ht="12.75" customHeight="1">
      <c r="A421" s="1"/>
      <c r="B421" s="1"/>
      <c r="C421" s="1" t="s">
        <v>336</v>
      </c>
      <c r="D421" s="1"/>
      <c r="E421" s="1"/>
      <c r="F421" s="1"/>
      <c r="G421" s="1"/>
      <c r="H421" s="1"/>
      <c r="I421" s="1"/>
      <c r="J421" s="1">
        <v>0.27</v>
      </c>
      <c r="K421" s="1">
        <v>0.3</v>
      </c>
      <c r="L421" s="1">
        <v>44.0</v>
      </c>
      <c r="M421" s="1"/>
      <c r="N421" s="1"/>
      <c r="O421" s="1"/>
      <c r="V421" s="1"/>
      <c r="AK421" s="1"/>
      <c r="AM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V422" s="1"/>
      <c r="AK422" s="1"/>
      <c r="AM422" s="1"/>
    </row>
    <row r="423" ht="12.75" customHeight="1">
      <c r="A423" s="1"/>
      <c r="B423" s="1" t="s">
        <v>337</v>
      </c>
      <c r="C423" s="1" t="s">
        <v>338</v>
      </c>
      <c r="D423" s="306">
        <v>0.0</v>
      </c>
      <c r="E423" s="1"/>
      <c r="F423" s="1" t="s">
        <v>339</v>
      </c>
      <c r="G423" s="1" t="s">
        <v>340</v>
      </c>
      <c r="H423" s="306">
        <v>2.0</v>
      </c>
      <c r="I423" s="1"/>
      <c r="K423" s="1" t="s">
        <v>341</v>
      </c>
      <c r="L423" s="306">
        <v>1.0</v>
      </c>
      <c r="M423" s="1"/>
      <c r="N423" s="1"/>
      <c r="O423" s="1"/>
      <c r="V423" s="1"/>
      <c r="AK423" s="1"/>
      <c r="AM423" s="1"/>
    </row>
    <row r="424" ht="12.75" customHeight="1">
      <c r="A424" s="1"/>
      <c r="B424" s="1"/>
      <c r="C424" s="1" t="s">
        <v>342</v>
      </c>
      <c r="D424" s="1"/>
      <c r="E424" s="1"/>
      <c r="F424" s="1"/>
      <c r="G424" s="1" t="s">
        <v>343</v>
      </c>
      <c r="H424" s="1"/>
      <c r="I424" s="1"/>
      <c r="K424" s="1" t="s">
        <v>344</v>
      </c>
      <c r="L424" s="1"/>
      <c r="M424" s="1"/>
      <c r="N424" s="1"/>
      <c r="O424" s="1"/>
      <c r="V424" s="1"/>
      <c r="AK424" s="1"/>
      <c r="AM424" s="1"/>
    </row>
    <row r="425" ht="12.75" customHeight="1">
      <c r="A425" s="1"/>
      <c r="B425" s="1"/>
      <c r="C425" s="1" t="s">
        <v>345</v>
      </c>
      <c r="D425" s="1"/>
      <c r="E425" s="1"/>
      <c r="F425" s="1"/>
      <c r="G425" s="1" t="s">
        <v>346</v>
      </c>
      <c r="H425" s="1"/>
      <c r="I425" s="1"/>
      <c r="K425" s="1" t="s">
        <v>347</v>
      </c>
      <c r="L425" s="1"/>
      <c r="M425" s="1"/>
      <c r="N425" s="1"/>
      <c r="O425" s="1"/>
      <c r="V425" s="1"/>
      <c r="AK425" s="1"/>
      <c r="AM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V426" s="1"/>
      <c r="AK426" s="1"/>
      <c r="AM426" s="1"/>
    </row>
    <row r="427" ht="12.75" customHeight="1">
      <c r="A427" s="1"/>
      <c r="B427" s="1"/>
      <c r="C427" s="1" t="s">
        <v>348</v>
      </c>
      <c r="D427" s="306">
        <v>2.0</v>
      </c>
      <c r="E427" s="1"/>
      <c r="F427" s="1" t="s">
        <v>349</v>
      </c>
      <c r="G427" s="1" t="str">
        <f>CONCATENATE(TEXT(ADDRESS(ROW(Z577),COLUMN(Z577),4),"0"),":",TEXT(ADDRESS(ROW(AQ615),COLUMN(AQ615),4),"0"))</f>
        <v>Z577:AQ615</v>
      </c>
      <c r="H427" s="1" t="s">
        <v>350</v>
      </c>
      <c r="I427" s="1"/>
      <c r="K427" s="1"/>
      <c r="L427" s="1"/>
      <c r="M427" s="1"/>
      <c r="N427" s="1"/>
      <c r="O427" s="1"/>
      <c r="V427" s="1"/>
      <c r="AK427" s="1"/>
      <c r="AM427" s="1"/>
    </row>
    <row r="428" ht="12.75" customHeight="1">
      <c r="A428" s="1"/>
      <c r="B428" s="1"/>
      <c r="C428" s="1" t="s">
        <v>351</v>
      </c>
      <c r="D428" s="1"/>
      <c r="E428" s="1"/>
      <c r="F428" s="1"/>
      <c r="G428" s="1" t="str">
        <f>CONCATENATE(TEXT(ADDRESS(ROW(A1),COLUMN(A1),4),"0"),":",TEXT(ADDRESS(ROW(I64),COLUMN(I64),4),"0"))</f>
        <v>A1:I64</v>
      </c>
      <c r="H428" s="1" t="s">
        <v>352</v>
      </c>
      <c r="I428" s="1"/>
      <c r="K428" s="1"/>
      <c r="L428" s="1"/>
      <c r="M428" s="1"/>
      <c r="N428" s="1"/>
      <c r="O428" s="1"/>
      <c r="V428" s="1"/>
      <c r="AK428" s="1"/>
      <c r="AM428" s="1"/>
    </row>
    <row r="429" ht="12.75" customHeight="1">
      <c r="A429" s="1"/>
      <c r="B429" s="1"/>
      <c r="C429" s="1" t="s">
        <v>353</v>
      </c>
      <c r="D429" s="1"/>
      <c r="E429" s="1"/>
      <c r="F429" s="1"/>
      <c r="G429" s="1" t="str">
        <f>CONCATENATE(TEXT(ADDRESS(ROW(A64),COLUMN(A64),4),"0"),":",TEXT(ADDRESS(ROW(end_print_1),COLUMN(end_print_1),4),"0"))</f>
        <v>A64:I121</v>
      </c>
      <c r="H429" s="1" t="s">
        <v>354</v>
      </c>
      <c r="I429" s="1"/>
      <c r="K429" s="1"/>
      <c r="L429" s="1"/>
      <c r="M429" s="1"/>
      <c r="N429" s="1"/>
      <c r="O429" s="1"/>
      <c r="V429" s="1"/>
      <c r="AK429" s="1"/>
      <c r="AM429" s="1"/>
    </row>
    <row r="430" ht="12.75" customHeight="1">
      <c r="A430" s="1"/>
      <c r="B430" s="1"/>
      <c r="C430" s="1" t="s">
        <v>355</v>
      </c>
      <c r="D430" s="1"/>
      <c r="E430" s="1"/>
      <c r="F430" s="1"/>
      <c r="G430" s="1" t="s">
        <v>356</v>
      </c>
      <c r="H430" s="1" t="s">
        <v>357</v>
      </c>
      <c r="I430" s="1"/>
      <c r="K430" s="1"/>
      <c r="L430" s="1"/>
      <c r="M430" s="1"/>
      <c r="N430" s="1"/>
      <c r="O430" s="1"/>
      <c r="V430" s="1"/>
      <c r="AK430" s="1"/>
      <c r="AM430" s="1"/>
    </row>
    <row r="431" ht="12.75" customHeight="1">
      <c r="A431" s="1"/>
      <c r="B431" s="1"/>
      <c r="C431" s="1" t="s">
        <v>358</v>
      </c>
      <c r="D431" s="1"/>
      <c r="E431" s="1"/>
      <c r="F431" s="1"/>
      <c r="G431" s="306" t="b">
        <v>0</v>
      </c>
      <c r="H431" s="1" t="s">
        <v>359</v>
      </c>
      <c r="I431" s="1"/>
      <c r="K431" s="1"/>
      <c r="L431" s="1"/>
      <c r="M431" s="1"/>
      <c r="N431" s="1"/>
      <c r="O431" s="1"/>
      <c r="V431" s="1"/>
      <c r="AK431" s="1"/>
      <c r="AM431" s="1"/>
    </row>
    <row r="432" ht="12.75" customHeight="1">
      <c r="A432" s="1"/>
      <c r="B432" s="1"/>
      <c r="C432" s="1" t="s">
        <v>360</v>
      </c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V432" s="1"/>
      <c r="AK432" s="1"/>
      <c r="AM432" s="1"/>
    </row>
    <row r="433" ht="12.75" customHeight="1">
      <c r="A433" s="1"/>
      <c r="B433" s="1"/>
      <c r="C433" s="308" t="str">
        <f>HYPERLINK("http://www.multitran.ru/cgi-bin/MtSrv.exe?q=русский&amp;SP=1&amp;SL=1","PYCCKИЙ")</f>
        <v>PYCCKИЙ</v>
      </c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V433" s="1"/>
      <c r="AK433" s="1"/>
      <c r="AM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V434" s="1"/>
      <c r="AK434" s="1"/>
      <c r="AM434" s="1"/>
    </row>
    <row r="435" ht="12.75" customHeight="1">
      <c r="A435" s="1"/>
      <c r="B435" s="1"/>
      <c r="C435" s="1" t="s">
        <v>361</v>
      </c>
      <c r="D435" s="306">
        <v>0.0</v>
      </c>
      <c r="E435" s="1"/>
      <c r="F435" s="1"/>
      <c r="G435" s="1"/>
      <c r="H435" s="1"/>
      <c r="I435" s="1"/>
      <c r="K435" s="1"/>
      <c r="L435" s="1"/>
      <c r="M435" s="1"/>
      <c r="N435" s="1"/>
      <c r="O435" s="1"/>
      <c r="V435" s="1"/>
      <c r="AK435" s="1"/>
      <c r="AM435" s="1"/>
    </row>
    <row r="436" ht="12.75" customHeight="1">
      <c r="A436" s="1"/>
      <c r="B436" s="1"/>
      <c r="C436" s="1" t="s">
        <v>362</v>
      </c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V436" s="1"/>
      <c r="AK436" s="1"/>
      <c r="AM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V437" s="1"/>
      <c r="AK437" s="1"/>
      <c r="AM437" s="1"/>
    </row>
    <row r="438" ht="12.75" customHeight="1">
      <c r="A438" s="1"/>
      <c r="B438" s="1"/>
      <c r="C438" s="1" t="s">
        <v>363</v>
      </c>
      <c r="D438" s="306" t="s">
        <v>364</v>
      </c>
      <c r="E438" s="1"/>
      <c r="F438" s="1"/>
      <c r="G438" s="1"/>
      <c r="H438" s="1"/>
      <c r="I438" s="1"/>
      <c r="K438" s="1"/>
      <c r="L438" s="1"/>
      <c r="M438" s="1"/>
      <c r="N438" s="1"/>
      <c r="O438" s="1"/>
      <c r="V438" s="1"/>
      <c r="AK438" s="1"/>
      <c r="AM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V439" s="1"/>
      <c r="AK439" s="1"/>
      <c r="AM439" s="1"/>
    </row>
    <row r="440" ht="12.75" customHeight="1">
      <c r="A440" s="1"/>
      <c r="B440" s="1"/>
      <c r="C440" s="1" t="s">
        <v>365</v>
      </c>
      <c r="D440" s="1" t="s">
        <v>366</v>
      </c>
      <c r="E440" s="1" t="s">
        <v>367</v>
      </c>
      <c r="F440" s="1" t="s">
        <v>368</v>
      </c>
      <c r="G440" s="1" t="s">
        <v>369</v>
      </c>
      <c r="H440" s="1"/>
      <c r="I440" s="1" t="str">
        <f>cpGrits(I439,volatiles_coal,comp_dry,matindices)</f>
        <v>#NAME?</v>
      </c>
      <c r="K440" s="1"/>
      <c r="L440" s="1"/>
      <c r="M440" s="1"/>
      <c r="N440" s="1"/>
      <c r="O440" s="1"/>
      <c r="V440" s="1"/>
      <c r="AK440" s="1"/>
      <c r="AM440" s="1"/>
    </row>
    <row r="441" ht="12.75" customHeight="1">
      <c r="A441" s="1"/>
      <c r="B441" s="1"/>
      <c r="C441" s="1" t="str">
        <f t="array" ref="C441">INDEX(H2O_in_feed,1)</f>
        <v>0 </v>
      </c>
      <c r="D441" s="1" t="str">
        <f t="array" ref="D441">INDEX(pct_in_feed,1)</f>
        <v>54 </v>
      </c>
      <c r="E441" s="290" t="str">
        <f>IF(_comp_base=0,100*(100-feedh2o1)*D441/(100*SUM(pct_in_feed)-SUMPRODUCT(H2O_in_feed,pct_in_feed)),D441)</f>
        <v>55.419</v>
      </c>
      <c r="F441" s="290" t="str">
        <f>100*G441/SUM(sums_wet)</f>
        <v>54.000</v>
      </c>
      <c r="G441" s="1" t="str">
        <f t="shared" ref="G441:G445" si="260">E441*100/(100-C441)</f>
        <v>55.41871921 </v>
      </c>
      <c r="H441" s="1"/>
      <c r="I441" s="1"/>
      <c r="K441" s="1"/>
      <c r="L441" s="1"/>
      <c r="M441" s="1"/>
      <c r="N441" s="1"/>
      <c r="O441" s="1"/>
      <c r="V441" s="1"/>
      <c r="AK441" s="1"/>
      <c r="AM441" s="1"/>
    </row>
    <row r="442" ht="12.75" customHeight="1">
      <c r="A442" s="1"/>
      <c r="B442" s="1"/>
      <c r="C442" s="1" t="str">
        <f t="array" ref="C442">INDEX(H2O_in_feed,2)</f>
        <v>5.5 </v>
      </c>
      <c r="D442" s="1" t="str">
        <f t="array" ref="D442">INDEX(pct_in_feed,2)</f>
        <v>40 </v>
      </c>
      <c r="E442" s="290" t="str">
        <f>IF(_comp_base=0,100*(100-feedh2o2)*D442/(100*SUM(pct_in_feed)-SUMPRODUCT(H2O_in_feed,pct_in_feed)),D442)</f>
        <v>38.793</v>
      </c>
      <c r="F442" s="290" t="str">
        <f>100*G442/SUM(sums_wet)</f>
        <v>40.000</v>
      </c>
      <c r="G442" s="1" t="str">
        <f t="shared" si="260"/>
        <v>41.05090312 </v>
      </c>
      <c r="H442" s="1"/>
      <c r="I442" s="1"/>
      <c r="K442" s="1"/>
      <c r="L442" s="1"/>
      <c r="M442" s="1"/>
      <c r="N442" s="1"/>
      <c r="O442" s="1"/>
      <c r="V442" s="1"/>
      <c r="AK442" s="1"/>
      <c r="AM442" s="1"/>
    </row>
    <row r="443" ht="12.75" customHeight="1">
      <c r="A443" s="1"/>
      <c r="B443" s="1"/>
      <c r="C443" s="1" t="str">
        <f t="array" ref="C443">INDEX(H2O_in_feed,3)</f>
        <v>6 </v>
      </c>
      <c r="D443" s="1" t="str">
        <f t="array" ref="D443">INDEX(pct_in_feed,3)</f>
        <v>6 </v>
      </c>
      <c r="E443" s="290" t="str">
        <f>IF(_comp_base=0,100*(100-feedh2o3)*D443/(100*SUM(pct_in_feed)-SUMPRODUCT(H2O_in_feed,pct_in_feed)),D443)</f>
        <v>5.788</v>
      </c>
      <c r="F443" s="290" t="str">
        <f>100*G443/SUM(sums_wet)</f>
        <v>6.000</v>
      </c>
      <c r="G443" s="1" t="str">
        <f t="shared" si="260"/>
        <v>6.157635468 </v>
      </c>
      <c r="H443" s="1"/>
      <c r="I443" s="1"/>
      <c r="K443" s="1"/>
      <c r="L443" s="1"/>
      <c r="M443" s="1"/>
      <c r="N443" s="1"/>
      <c r="O443" s="1"/>
      <c r="V443" s="1"/>
      <c r="AK443" s="1"/>
      <c r="AM443" s="1"/>
    </row>
    <row r="444" ht="12.75" customHeight="1">
      <c r="A444" s="1"/>
      <c r="B444" s="1"/>
      <c r="C444" s="1" t="str">
        <f t="array" ref="C444">INDEX(H2O_in_feed,4)</f>
        <v>18 </v>
      </c>
      <c r="D444" s="1" t="str">
        <f t="array" ref="D444">INDEX(pct_in_feed,4)</f>
        <v>0 </v>
      </c>
      <c r="E444" s="290" t="str">
        <f>IF(_comp_base=0,100*(100-feedh2o4)*D444/(100*SUM(pct_in_feed)-SUMPRODUCT(H2O_in_feed,pct_in_feed)),D444)</f>
        <v>0.000</v>
      </c>
      <c r="F444" s="290" t="str">
        <f>100*G444/SUM(sums_wet)</f>
        <v>0.000</v>
      </c>
      <c r="G444" s="1" t="str">
        <f t="shared" si="260"/>
        <v>0 </v>
      </c>
      <c r="H444" s="1"/>
      <c r="I444" s="1"/>
      <c r="K444" s="1"/>
      <c r="L444" s="1"/>
      <c r="M444" s="1"/>
      <c r="N444" s="1"/>
      <c r="O444" s="1"/>
      <c r="V444" s="1"/>
      <c r="AK444" s="1"/>
      <c r="AM444" s="1"/>
    </row>
    <row r="445" ht="12.75" customHeight="1">
      <c r="A445" s="1"/>
      <c r="B445" s="1"/>
      <c r="C445" s="1" t="str">
        <f t="array" ref="C445">INDEX(H2O_in_feed,5)</f>
        <v>0.2 </v>
      </c>
      <c r="D445" s="1" t="str">
        <f t="array" ref="D445">INDEX(pct_in_feed,5)</f>
        <v>0 </v>
      </c>
      <c r="E445" s="290" t="str">
        <f>IF(_comp_base=0,100*(100-feedh2o5)*D445/(100*SUM(pct_in_feed)-SUMPRODUCT(H2O_in_feed,pct_in_feed)),D445)</f>
        <v>0.000</v>
      </c>
      <c r="F445" s="290" t="str">
        <f>100*G445/SUM(sums_wet)</f>
        <v>0.000</v>
      </c>
      <c r="G445" s="1" t="str">
        <f t="shared" si="260"/>
        <v>0 </v>
      </c>
      <c r="H445" s="1"/>
      <c r="I445" s="1"/>
      <c r="K445" s="1"/>
      <c r="L445" s="1"/>
      <c r="M445" s="1"/>
      <c r="N445" s="1"/>
      <c r="O445" s="1"/>
      <c r="V445" s="1"/>
      <c r="AK445" s="1"/>
      <c r="AM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V446" s="1"/>
      <c r="AK446" s="1"/>
      <c r="AM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V447" s="1"/>
      <c r="AK447" s="1"/>
      <c r="AM447" s="1"/>
    </row>
    <row r="448" ht="12.75" customHeight="1">
      <c r="A448" s="1"/>
      <c r="B448" s="1"/>
      <c r="C448" s="182" t="s">
        <v>370</v>
      </c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V448" s="1"/>
      <c r="AK448" s="1"/>
      <c r="AM448" s="1"/>
    </row>
    <row r="449" ht="12.75" customHeight="1">
      <c r="A449" s="1"/>
      <c r="B449" s="1"/>
      <c r="C449" s="182" t="s">
        <v>371</v>
      </c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V449" s="1"/>
      <c r="AK449" s="1"/>
      <c r="AM449" s="1"/>
    </row>
    <row r="450" ht="12.75" customHeight="1">
      <c r="A450" s="1"/>
      <c r="B450" s="1">
        <v>1.0</v>
      </c>
      <c r="C450" s="4" t="s">
        <v>372</v>
      </c>
      <c r="D450" s="4" t="s">
        <v>373</v>
      </c>
      <c r="E450" s="4" t="s">
        <v>374</v>
      </c>
      <c r="F450" s="1" t="s">
        <v>375</v>
      </c>
      <c r="G450" s="1" t="s">
        <v>376</v>
      </c>
      <c r="H450" s="1" t="s">
        <v>377</v>
      </c>
      <c r="I450" s="309" t="s">
        <v>378</v>
      </c>
      <c r="K450" s="1"/>
      <c r="L450" s="1"/>
      <c r="M450" s="1"/>
      <c r="N450" s="1"/>
      <c r="O450" s="1"/>
      <c r="V450" s="1"/>
      <c r="AK450" s="1"/>
      <c r="AM450" s="1"/>
    </row>
    <row r="451" ht="12.75" customHeight="1">
      <c r="A451" s="1"/>
      <c r="B451" s="1" t="str">
        <f t="shared" ref="B451:B572" si="261">B450+1</f>
        <v>2 </v>
      </c>
      <c r="C451" s="4" t="s">
        <v>379</v>
      </c>
      <c r="D451" s="4" t="s">
        <v>380</v>
      </c>
      <c r="E451" s="4" t="s">
        <v>381</v>
      </c>
      <c r="F451" s="1" t="s">
        <v>382</v>
      </c>
      <c r="G451" s="1" t="s">
        <v>382</v>
      </c>
      <c r="H451" s="1" t="s">
        <v>383</v>
      </c>
      <c r="I451" s="4" t="s">
        <v>384</v>
      </c>
      <c r="K451" s="1"/>
      <c r="L451" s="1"/>
      <c r="M451" s="1"/>
      <c r="N451" s="1"/>
      <c r="O451" s="1"/>
      <c r="V451" s="1"/>
      <c r="AK451" s="1"/>
      <c r="AM451" s="1"/>
    </row>
    <row r="452" ht="12.75" customHeight="1">
      <c r="A452" s="1"/>
      <c r="B452" s="1" t="str">
        <f t="shared" si="261"/>
        <v>3 </v>
      </c>
      <c r="C452" s="4" t="s">
        <v>385</v>
      </c>
      <c r="D452" s="4" t="s">
        <v>386</v>
      </c>
      <c r="E452" s="4" t="s">
        <v>386</v>
      </c>
      <c r="F452" s="1" t="s">
        <v>387</v>
      </c>
      <c r="G452" s="1" t="s">
        <v>388</v>
      </c>
      <c r="H452" s="1" t="s">
        <v>388</v>
      </c>
      <c r="I452" s="4" t="s">
        <v>389</v>
      </c>
      <c r="K452" s="1"/>
      <c r="L452" s="1"/>
      <c r="M452" s="1"/>
      <c r="N452" s="1"/>
      <c r="O452" s="1"/>
      <c r="V452" s="1"/>
      <c r="AK452" s="1"/>
      <c r="AM452" s="1"/>
    </row>
    <row r="453" ht="12.75" customHeight="1">
      <c r="A453" s="1"/>
      <c r="B453" s="1" t="str">
        <f t="shared" si="261"/>
        <v>4 </v>
      </c>
      <c r="C453" s="19" t="s">
        <v>390</v>
      </c>
      <c r="D453" s="19" t="s">
        <v>391</v>
      </c>
      <c r="E453" s="19" t="s">
        <v>392</v>
      </c>
      <c r="F453" s="1" t="s">
        <v>393</v>
      </c>
      <c r="G453" s="1" t="s">
        <v>394</v>
      </c>
      <c r="H453" s="1" t="s">
        <v>395</v>
      </c>
      <c r="I453" s="4" t="s">
        <v>396</v>
      </c>
      <c r="K453" s="1"/>
      <c r="L453" s="1"/>
      <c r="M453" s="1"/>
      <c r="N453" s="1"/>
      <c r="O453" s="1"/>
      <c r="V453" s="1"/>
      <c r="AK453" s="1"/>
      <c r="AM453" s="1"/>
    </row>
    <row r="454" ht="12.75" customHeight="1">
      <c r="A454" s="1"/>
      <c r="B454" s="1" t="str">
        <f t="shared" si="261"/>
        <v>5 </v>
      </c>
      <c r="C454" s="19" t="s">
        <v>397</v>
      </c>
      <c r="D454" s="19" t="s">
        <v>398</v>
      </c>
      <c r="E454" s="19" t="s">
        <v>398</v>
      </c>
      <c r="F454" s="19" t="s">
        <v>398</v>
      </c>
      <c r="G454" s="19" t="s">
        <v>399</v>
      </c>
      <c r="H454" s="1" t="s">
        <v>399</v>
      </c>
      <c r="I454" s="4" t="s">
        <v>400</v>
      </c>
      <c r="K454" s="1"/>
      <c r="L454" s="1"/>
      <c r="M454" s="1"/>
      <c r="N454" s="1"/>
      <c r="O454" s="1"/>
      <c r="V454" s="1"/>
      <c r="AK454" s="1"/>
      <c r="AM454" s="1"/>
    </row>
    <row r="455" ht="12.75" customHeight="1">
      <c r="A455" s="1"/>
      <c r="B455" s="1" t="str">
        <f t="shared" si="261"/>
        <v>6 </v>
      </c>
      <c r="C455" s="1" t="s">
        <v>401</v>
      </c>
      <c r="D455" s="1" t="s">
        <v>402</v>
      </c>
      <c r="E455" s="1" t="s">
        <v>403</v>
      </c>
      <c r="F455" s="1" t="s">
        <v>404</v>
      </c>
      <c r="G455" s="1" t="s">
        <v>405</v>
      </c>
      <c r="H455" s="1" t="s">
        <v>406</v>
      </c>
      <c r="I455" s="4" t="s">
        <v>407</v>
      </c>
      <c r="K455" s="1"/>
      <c r="L455" s="1"/>
      <c r="M455" s="1"/>
      <c r="N455" s="1"/>
      <c r="O455" s="1"/>
      <c r="V455" s="1"/>
      <c r="AK455" s="1"/>
      <c r="AM455" s="1"/>
    </row>
    <row r="456" ht="12.75" customHeight="1">
      <c r="A456" s="1"/>
      <c r="B456" s="1" t="str">
        <f t="shared" si="261"/>
        <v>7 </v>
      </c>
      <c r="C456" s="1" t="s">
        <v>408</v>
      </c>
      <c r="D456" s="1" t="s">
        <v>408</v>
      </c>
      <c r="E456" s="19" t="s">
        <v>409</v>
      </c>
      <c r="F456" s="1" t="s">
        <v>410</v>
      </c>
      <c r="G456" s="1" t="s">
        <v>410</v>
      </c>
      <c r="H456" s="1" t="s">
        <v>410</v>
      </c>
      <c r="I456" s="4" t="s">
        <v>411</v>
      </c>
      <c r="K456" s="1"/>
      <c r="L456" s="1"/>
      <c r="M456" s="1"/>
      <c r="N456" s="1"/>
      <c r="O456" s="1"/>
      <c r="V456" s="1"/>
      <c r="AK456" s="1"/>
      <c r="AM456" s="1"/>
    </row>
    <row r="457" ht="12.75" customHeight="1">
      <c r="A457" s="1"/>
      <c r="B457" s="1" t="str">
        <f t="shared" si="261"/>
        <v>8 </v>
      </c>
      <c r="C457" s="19" t="s">
        <v>412</v>
      </c>
      <c r="D457" s="19" t="s">
        <v>413</v>
      </c>
      <c r="E457" s="19" t="s">
        <v>414</v>
      </c>
      <c r="F457" s="19" t="s">
        <v>415</v>
      </c>
      <c r="G457" s="19" t="s">
        <v>416</v>
      </c>
      <c r="H457" s="1" t="s">
        <v>417</v>
      </c>
      <c r="I457" s="4" t="s">
        <v>418</v>
      </c>
      <c r="K457" s="1"/>
      <c r="L457" s="1"/>
      <c r="M457" s="1"/>
      <c r="N457" s="1"/>
      <c r="O457" s="1"/>
      <c r="V457" s="1"/>
      <c r="AK457" s="1"/>
      <c r="AM457" s="1"/>
    </row>
    <row r="458" ht="12.75" customHeight="1">
      <c r="A458" s="1"/>
      <c r="B458" s="1" t="str">
        <f t="shared" si="261"/>
        <v>9 </v>
      </c>
      <c r="C458" s="1" t="s">
        <v>419</v>
      </c>
      <c r="D458" s="1" t="s">
        <v>420</v>
      </c>
      <c r="E458" s="1" t="s">
        <v>421</v>
      </c>
      <c r="F458" s="1" t="s">
        <v>422</v>
      </c>
      <c r="G458" s="19" t="s">
        <v>423</v>
      </c>
      <c r="H458" s="245" t="s">
        <v>424</v>
      </c>
      <c r="I458" s="4" t="s">
        <v>425</v>
      </c>
      <c r="K458" s="1"/>
      <c r="L458" s="1"/>
      <c r="M458" s="1"/>
      <c r="N458" s="1"/>
      <c r="O458" s="1"/>
      <c r="V458" s="1"/>
      <c r="AK458" s="1"/>
      <c r="AM458" s="1"/>
    </row>
    <row r="459" ht="12.75" customHeight="1">
      <c r="A459" s="1"/>
      <c r="B459" s="1" t="str">
        <f t="shared" si="261"/>
        <v>10 </v>
      </c>
      <c r="C459" s="1" t="s">
        <v>426</v>
      </c>
      <c r="D459" s="1" t="s">
        <v>427</v>
      </c>
      <c r="E459" s="1" t="s">
        <v>428</v>
      </c>
      <c r="F459" s="1" t="s">
        <v>429</v>
      </c>
      <c r="G459" s="1" t="s">
        <v>430</v>
      </c>
      <c r="H459" s="1" t="s">
        <v>431</v>
      </c>
      <c r="I459" s="4" t="s">
        <v>432</v>
      </c>
      <c r="K459" s="310"/>
      <c r="L459" s="1"/>
      <c r="M459" s="1"/>
      <c r="N459" s="1"/>
      <c r="O459" s="1"/>
      <c r="V459" s="1"/>
      <c r="AK459" s="1"/>
      <c r="AM459" s="1"/>
    </row>
    <row r="460" ht="12.75" customHeight="1">
      <c r="A460" s="1"/>
      <c r="B460" s="1" t="str">
        <f t="shared" si="261"/>
        <v>11 </v>
      </c>
      <c r="C460" s="1" t="s">
        <v>433</v>
      </c>
      <c r="D460" s="1" t="s">
        <v>434</v>
      </c>
      <c r="E460" s="1" t="s">
        <v>435</v>
      </c>
      <c r="F460" s="1" t="s">
        <v>436</v>
      </c>
      <c r="G460" s="1" t="s">
        <v>436</v>
      </c>
      <c r="H460" s="1" t="s">
        <v>437</v>
      </c>
      <c r="I460" s="4" t="s">
        <v>438</v>
      </c>
      <c r="K460" s="1"/>
      <c r="L460" s="1"/>
      <c r="M460" s="1"/>
      <c r="N460" s="1"/>
      <c r="O460" s="1"/>
      <c r="V460" s="1"/>
      <c r="AK460" s="1"/>
      <c r="AM460" s="1"/>
    </row>
    <row r="461" ht="12.75" customHeight="1">
      <c r="A461" s="1"/>
      <c r="B461" s="1" t="str">
        <f t="shared" si="261"/>
        <v>12 </v>
      </c>
      <c r="C461" s="1" t="s">
        <v>439</v>
      </c>
      <c r="D461" s="1" t="s">
        <v>440</v>
      </c>
      <c r="E461" s="1" t="s">
        <v>441</v>
      </c>
      <c r="F461" s="19" t="s">
        <v>442</v>
      </c>
      <c r="G461" s="19" t="s">
        <v>443</v>
      </c>
      <c r="H461" s="1" t="s">
        <v>444</v>
      </c>
      <c r="I461" s="4" t="s">
        <v>445</v>
      </c>
      <c r="K461" s="1"/>
      <c r="L461" s="1"/>
      <c r="M461" s="1"/>
      <c r="N461" s="1"/>
      <c r="O461" s="1"/>
      <c r="V461" s="1"/>
      <c r="AK461" s="1"/>
      <c r="AM461" s="1"/>
    </row>
    <row r="462" ht="12.75" customHeight="1">
      <c r="A462" s="1"/>
      <c r="B462" s="1" t="str">
        <f t="shared" si="261"/>
        <v>13 </v>
      </c>
      <c r="C462" s="1" t="s">
        <v>446</v>
      </c>
      <c r="D462" s="1" t="s">
        <v>447</v>
      </c>
      <c r="E462" s="1" t="s">
        <v>448</v>
      </c>
      <c r="F462" s="19" t="s">
        <v>449</v>
      </c>
      <c r="G462" s="19" t="s">
        <v>450</v>
      </c>
      <c r="H462" s="1" t="s">
        <v>451</v>
      </c>
      <c r="I462" s="4" t="s">
        <v>452</v>
      </c>
      <c r="K462" s="1"/>
      <c r="L462" s="1"/>
      <c r="M462" s="1"/>
      <c r="N462" s="1"/>
      <c r="O462" s="1"/>
      <c r="V462" s="1"/>
      <c r="AK462" s="1"/>
      <c r="AM462" s="1"/>
    </row>
    <row r="463" ht="12.75" customHeight="1">
      <c r="A463" s="1"/>
      <c r="B463" s="1" t="str">
        <f t="shared" si="261"/>
        <v>14 </v>
      </c>
      <c r="C463" s="1" t="s">
        <v>453</v>
      </c>
      <c r="D463" s="19" t="s">
        <v>454</v>
      </c>
      <c r="E463" s="1" t="s">
        <v>455</v>
      </c>
      <c r="F463" s="19" t="s">
        <v>456</v>
      </c>
      <c r="G463" s="19" t="s">
        <v>457</v>
      </c>
      <c r="H463" s="1" t="s">
        <v>458</v>
      </c>
      <c r="I463" s="4" t="s">
        <v>459</v>
      </c>
      <c r="K463" s="1"/>
      <c r="L463" s="1"/>
      <c r="M463" s="1"/>
      <c r="N463" s="1"/>
      <c r="O463" s="1"/>
      <c r="V463" s="1"/>
      <c r="AK463" s="1"/>
      <c r="AM463" s="1"/>
    </row>
    <row r="464" ht="12.75" customHeight="1">
      <c r="A464" s="1"/>
      <c r="B464" s="1" t="str">
        <f t="shared" si="261"/>
        <v>15 </v>
      </c>
      <c r="C464" s="1" t="s">
        <v>460</v>
      </c>
      <c r="D464" s="1" t="s">
        <v>461</v>
      </c>
      <c r="E464" s="1" t="s">
        <v>462</v>
      </c>
      <c r="F464" s="1" t="s">
        <v>463</v>
      </c>
      <c r="G464" s="1" t="s">
        <v>464</v>
      </c>
      <c r="H464" s="1" t="s">
        <v>465</v>
      </c>
      <c r="I464" s="4" t="s">
        <v>466</v>
      </c>
      <c r="K464" s="1"/>
      <c r="L464" s="1"/>
      <c r="M464" s="1"/>
      <c r="N464" s="1"/>
      <c r="O464" s="1"/>
      <c r="V464" s="1"/>
      <c r="AK464" s="1"/>
      <c r="AM464" s="1"/>
    </row>
    <row r="465" ht="12.75" customHeight="1">
      <c r="A465" s="1"/>
      <c r="B465" s="1" t="str">
        <f t="shared" si="261"/>
        <v>16 </v>
      </c>
      <c r="C465" s="1" t="s">
        <v>467</v>
      </c>
      <c r="D465" s="1" t="s">
        <v>467</v>
      </c>
      <c r="E465" s="1" t="s">
        <v>468</v>
      </c>
      <c r="F465" s="1" t="s">
        <v>469</v>
      </c>
      <c r="G465" s="1" t="s">
        <v>469</v>
      </c>
      <c r="H465" s="1" t="s">
        <v>469</v>
      </c>
      <c r="I465" s="4" t="s">
        <v>470</v>
      </c>
      <c r="K465" s="1"/>
      <c r="L465" s="1"/>
      <c r="M465" s="1"/>
      <c r="N465" s="1"/>
      <c r="O465" s="1"/>
      <c r="V465" s="1"/>
      <c r="AK465" s="1"/>
      <c r="AM465" s="1"/>
    </row>
    <row r="466" ht="12.75" customHeight="1">
      <c r="A466" s="1"/>
      <c r="B466" s="1" t="str">
        <f t="shared" si="261"/>
        <v>17 </v>
      </c>
      <c r="C466" s="1" t="s">
        <v>471</v>
      </c>
      <c r="D466" s="1" t="s">
        <v>144</v>
      </c>
      <c r="E466" s="1" t="s">
        <v>472</v>
      </c>
      <c r="F466" s="1" t="s">
        <v>473</v>
      </c>
      <c r="G466" s="19" t="s">
        <v>473</v>
      </c>
      <c r="H466" s="1" t="s">
        <v>474</v>
      </c>
      <c r="I466" s="4" t="s">
        <v>475</v>
      </c>
      <c r="K466" s="1"/>
      <c r="L466" s="1"/>
      <c r="M466" s="1"/>
      <c r="N466" s="1"/>
      <c r="O466" s="1"/>
      <c r="V466" s="1"/>
      <c r="AK466" s="1"/>
      <c r="AM466" s="1"/>
    </row>
    <row r="467" ht="12.75" customHeight="1">
      <c r="A467" s="1"/>
      <c r="B467" s="1" t="str">
        <f t="shared" si="261"/>
        <v>18 </v>
      </c>
      <c r="C467" s="1" t="s">
        <v>476</v>
      </c>
      <c r="D467" s="1" t="s">
        <v>477</v>
      </c>
      <c r="E467" s="1" t="s">
        <v>478</v>
      </c>
      <c r="F467" s="1" t="s">
        <v>479</v>
      </c>
      <c r="G467" s="19" t="s">
        <v>480</v>
      </c>
      <c r="H467" s="1" t="s">
        <v>481</v>
      </c>
      <c r="I467" s="309" t="s">
        <v>482</v>
      </c>
      <c r="K467" s="1"/>
      <c r="L467" s="1"/>
      <c r="M467" s="1"/>
      <c r="N467" s="1"/>
      <c r="O467" s="1"/>
      <c r="V467" s="1"/>
      <c r="AK467" s="1"/>
      <c r="AM467" s="1"/>
    </row>
    <row r="468" ht="12.75" customHeight="1">
      <c r="A468" s="1"/>
      <c r="B468" s="1" t="str">
        <f t="shared" si="261"/>
        <v>19 </v>
      </c>
      <c r="C468" s="1" t="s">
        <v>483</v>
      </c>
      <c r="D468" s="1" t="s">
        <v>484</v>
      </c>
      <c r="E468" s="1" t="s">
        <v>485</v>
      </c>
      <c r="F468" s="19" t="s">
        <v>486</v>
      </c>
      <c r="G468" s="19" t="s">
        <v>486</v>
      </c>
      <c r="H468" s="1" t="s">
        <v>487</v>
      </c>
      <c r="I468" s="4" t="s">
        <v>488</v>
      </c>
      <c r="K468" s="1"/>
      <c r="L468" s="1"/>
      <c r="M468" s="1"/>
      <c r="N468" s="1"/>
      <c r="O468" s="1"/>
      <c r="V468" s="1"/>
      <c r="AK468" s="1"/>
      <c r="AM468" s="1"/>
    </row>
    <row r="469" ht="12.75" customHeight="1">
      <c r="A469" s="1"/>
      <c r="B469" s="1" t="str">
        <f t="shared" si="261"/>
        <v>20 </v>
      </c>
      <c r="C469" s="1" t="s">
        <v>489</v>
      </c>
      <c r="D469" s="1" t="s">
        <v>490</v>
      </c>
      <c r="E469" s="1" t="s">
        <v>491</v>
      </c>
      <c r="F469" s="1" t="s">
        <v>492</v>
      </c>
      <c r="G469" s="1" t="s">
        <v>493</v>
      </c>
      <c r="H469" s="1" t="s">
        <v>492</v>
      </c>
      <c r="I469" s="1" t="s">
        <v>494</v>
      </c>
      <c r="K469" s="1"/>
      <c r="L469" s="1"/>
      <c r="M469" s="1"/>
      <c r="N469" s="1"/>
      <c r="O469" s="1"/>
      <c r="V469" s="1"/>
      <c r="AK469" s="1"/>
      <c r="AM469" s="1"/>
    </row>
    <row r="470" ht="12.75" customHeight="1">
      <c r="A470" s="1"/>
      <c r="B470" s="1" t="str">
        <f t="shared" si="261"/>
        <v>21 </v>
      </c>
      <c r="C470" s="1" t="s">
        <v>495</v>
      </c>
      <c r="D470" s="1" t="s">
        <v>496</v>
      </c>
      <c r="E470" s="1" t="s">
        <v>497</v>
      </c>
      <c r="F470" s="19" t="s">
        <v>498</v>
      </c>
      <c r="G470" s="19" t="s">
        <v>499</v>
      </c>
      <c r="H470" s="19" t="s">
        <v>500</v>
      </c>
      <c r="I470" s="309" t="s">
        <v>501</v>
      </c>
      <c r="K470" s="1"/>
      <c r="L470" s="1"/>
      <c r="M470" s="1"/>
      <c r="N470" s="1"/>
      <c r="O470" s="1"/>
      <c r="V470" s="1"/>
      <c r="AK470" s="1"/>
      <c r="AM470" s="1"/>
    </row>
    <row r="471" ht="12.75" customHeight="1">
      <c r="A471" s="1"/>
      <c r="B471" s="1" t="str">
        <f t="shared" si="261"/>
        <v>22 </v>
      </c>
      <c r="C471" s="1" t="s">
        <v>502</v>
      </c>
      <c r="D471" s="1" t="s">
        <v>503</v>
      </c>
      <c r="E471" s="1" t="s">
        <v>504</v>
      </c>
      <c r="F471" s="1" t="s">
        <v>505</v>
      </c>
      <c r="G471" s="1" t="s">
        <v>506</v>
      </c>
      <c r="H471" s="1" t="s">
        <v>507</v>
      </c>
      <c r="I471" s="311" t="s">
        <v>508</v>
      </c>
      <c r="K471" s="1"/>
      <c r="L471" s="1"/>
      <c r="M471" s="1"/>
      <c r="N471" s="1"/>
      <c r="O471" s="1"/>
      <c r="V471" s="1"/>
      <c r="AK471" s="1"/>
      <c r="AM471" s="1"/>
    </row>
    <row r="472" ht="12.75" customHeight="1">
      <c r="A472" s="1"/>
      <c r="B472" s="1" t="str">
        <f t="shared" si="261"/>
        <v>23 </v>
      </c>
      <c r="C472" s="19" t="s">
        <v>509</v>
      </c>
      <c r="D472" s="19" t="s">
        <v>510</v>
      </c>
      <c r="E472" s="19" t="s">
        <v>511</v>
      </c>
      <c r="F472" s="1" t="s">
        <v>512</v>
      </c>
      <c r="G472" s="19" t="s">
        <v>513</v>
      </c>
      <c r="H472" s="1" t="s">
        <v>514</v>
      </c>
      <c r="I472" s="4" t="s">
        <v>515</v>
      </c>
      <c r="K472" s="1"/>
      <c r="L472" s="1"/>
      <c r="M472" s="1"/>
      <c r="N472" s="1"/>
      <c r="O472" s="1"/>
      <c r="V472" s="1"/>
      <c r="AK472" s="1"/>
      <c r="AM472" s="1"/>
    </row>
    <row r="473" ht="12.75" customHeight="1">
      <c r="A473" s="1"/>
      <c r="B473" s="1" t="str">
        <f t="shared" si="261"/>
        <v>24 </v>
      </c>
      <c r="C473" s="1" t="s">
        <v>516</v>
      </c>
      <c r="D473" s="1" t="s">
        <v>517</v>
      </c>
      <c r="E473" s="1" t="s">
        <v>518</v>
      </c>
      <c r="F473" s="1" t="s">
        <v>519</v>
      </c>
      <c r="G473" s="1" t="s">
        <v>520</v>
      </c>
      <c r="H473" s="1" t="s">
        <v>521</v>
      </c>
      <c r="I473" s="312" t="s">
        <v>522</v>
      </c>
      <c r="K473" s="1"/>
      <c r="L473" s="1"/>
      <c r="M473" s="1"/>
      <c r="N473" s="1"/>
      <c r="O473" s="1"/>
      <c r="V473" s="1"/>
      <c r="AK473" s="1"/>
      <c r="AM473" s="1"/>
    </row>
    <row r="474" ht="12.75" customHeight="1">
      <c r="A474" s="1"/>
      <c r="B474" s="1" t="str">
        <f t="shared" si="261"/>
        <v>25 </v>
      </c>
      <c r="C474" s="4" t="s">
        <v>523</v>
      </c>
      <c r="D474" s="4" t="s">
        <v>524</v>
      </c>
      <c r="E474" s="19" t="s">
        <v>525</v>
      </c>
      <c r="F474" s="1" t="s">
        <v>526</v>
      </c>
      <c r="G474" s="1" t="s">
        <v>527</v>
      </c>
      <c r="H474" s="1" t="s">
        <v>528</v>
      </c>
      <c r="I474" s="4" t="s">
        <v>529</v>
      </c>
      <c r="K474" s="1"/>
      <c r="L474" s="1"/>
      <c r="M474" s="1"/>
      <c r="N474" s="1"/>
      <c r="O474" s="1"/>
      <c r="V474" s="1"/>
      <c r="AK474" s="1"/>
      <c r="AM474" s="1"/>
    </row>
    <row r="475" ht="12.75" customHeight="1">
      <c r="A475" s="1"/>
      <c r="B475" s="1" t="str">
        <f t="shared" si="261"/>
        <v>26 </v>
      </c>
      <c r="C475" s="4" t="s">
        <v>530</v>
      </c>
      <c r="D475" s="4" t="s">
        <v>531</v>
      </c>
      <c r="E475" s="19" t="s">
        <v>532</v>
      </c>
      <c r="F475" s="19" t="s">
        <v>533</v>
      </c>
      <c r="G475" s="1" t="s">
        <v>534</v>
      </c>
      <c r="H475" s="1" t="s">
        <v>535</v>
      </c>
      <c r="I475" s="309" t="s">
        <v>536</v>
      </c>
      <c r="K475" s="1"/>
      <c r="L475" s="1"/>
      <c r="M475" s="1"/>
      <c r="N475" s="1"/>
      <c r="O475" s="1"/>
      <c r="V475" s="1"/>
      <c r="AK475" s="1"/>
      <c r="AM475" s="1"/>
    </row>
    <row r="476" ht="12.75" customHeight="1">
      <c r="A476" s="1"/>
      <c r="B476" s="1" t="str">
        <f t="shared" si="261"/>
        <v>27 </v>
      </c>
      <c r="C476" s="4" t="s">
        <v>537</v>
      </c>
      <c r="D476" s="4" t="s">
        <v>538</v>
      </c>
      <c r="E476" s="4" t="s">
        <v>539</v>
      </c>
      <c r="F476" s="1" t="s">
        <v>540</v>
      </c>
      <c r="G476" s="1" t="s">
        <v>541</v>
      </c>
      <c r="H476" s="1" t="s">
        <v>542</v>
      </c>
      <c r="I476" s="4" t="s">
        <v>543</v>
      </c>
      <c r="K476" s="1"/>
      <c r="L476" s="1"/>
      <c r="M476" s="1"/>
      <c r="N476" s="1"/>
      <c r="O476" s="1"/>
      <c r="V476" s="1"/>
      <c r="AK476" s="1"/>
      <c r="AM476" s="1"/>
    </row>
    <row r="477" ht="12.75" customHeight="1">
      <c r="A477" s="1"/>
      <c r="B477" s="1" t="str">
        <f t="shared" si="261"/>
        <v>28 </v>
      </c>
      <c r="C477" s="4" t="s">
        <v>544</v>
      </c>
      <c r="D477" s="4" t="s">
        <v>545</v>
      </c>
      <c r="E477" s="4" t="s">
        <v>546</v>
      </c>
      <c r="F477" s="1" t="s">
        <v>547</v>
      </c>
      <c r="G477" s="1" t="s">
        <v>548</v>
      </c>
      <c r="H477" s="1" t="s">
        <v>549</v>
      </c>
      <c r="I477" s="312" t="s">
        <v>550</v>
      </c>
      <c r="K477" s="1"/>
      <c r="L477" s="1"/>
      <c r="M477" s="1"/>
      <c r="N477" s="1"/>
      <c r="O477" s="1"/>
      <c r="V477" s="1"/>
      <c r="AK477" s="1"/>
      <c r="AM477" s="1"/>
    </row>
    <row r="478" ht="12.75" customHeight="1">
      <c r="A478" s="1"/>
      <c r="B478" s="1" t="str">
        <f t="shared" si="261"/>
        <v>29 </v>
      </c>
      <c r="C478" s="1" t="s">
        <v>551</v>
      </c>
      <c r="D478" s="1" t="s">
        <v>552</v>
      </c>
      <c r="E478" s="19" t="s">
        <v>553</v>
      </c>
      <c r="F478" s="1" t="s">
        <v>554</v>
      </c>
      <c r="G478" s="19" t="s">
        <v>555</v>
      </c>
      <c r="H478" s="1" t="s">
        <v>556</v>
      </c>
      <c r="I478" s="4" t="s">
        <v>557</v>
      </c>
      <c r="K478" s="1"/>
      <c r="L478" s="1"/>
      <c r="M478" s="1"/>
      <c r="N478" s="1"/>
      <c r="O478" s="1"/>
      <c r="V478" s="1"/>
      <c r="AK478" s="1"/>
      <c r="AM478" s="1"/>
    </row>
    <row r="479" ht="12.75" customHeight="1">
      <c r="A479" s="1"/>
      <c r="B479" s="1" t="str">
        <f t="shared" si="261"/>
        <v>30 </v>
      </c>
      <c r="C479" s="1" t="s">
        <v>558</v>
      </c>
      <c r="D479" s="1" t="s">
        <v>559</v>
      </c>
      <c r="E479" s="1" t="s">
        <v>560</v>
      </c>
      <c r="F479" s="1" t="s">
        <v>561</v>
      </c>
      <c r="G479" s="1" t="s">
        <v>562</v>
      </c>
      <c r="H479" s="1" t="s">
        <v>563</v>
      </c>
      <c r="I479" s="4" t="s">
        <v>564</v>
      </c>
      <c r="K479" s="1"/>
      <c r="L479" s="1"/>
      <c r="M479" s="1"/>
      <c r="N479" s="1"/>
      <c r="O479" s="1"/>
      <c r="V479" s="1"/>
      <c r="AK479" s="1"/>
      <c r="AM479" s="1"/>
    </row>
    <row r="480" ht="12.75" customHeight="1">
      <c r="A480" s="1"/>
      <c r="B480" s="1" t="str">
        <f t="shared" si="261"/>
        <v>31 </v>
      </c>
      <c r="C480" s="1" t="s">
        <v>565</v>
      </c>
      <c r="D480" s="19" t="s">
        <v>566</v>
      </c>
      <c r="E480" s="19" t="s">
        <v>567</v>
      </c>
      <c r="F480" s="19" t="s">
        <v>568</v>
      </c>
      <c r="G480" s="19" t="s">
        <v>569</v>
      </c>
      <c r="H480" s="1" t="s">
        <v>570</v>
      </c>
      <c r="I480" s="313" t="s">
        <v>571</v>
      </c>
      <c r="K480" s="1"/>
      <c r="L480" s="1"/>
      <c r="M480" s="1"/>
      <c r="N480" s="1"/>
      <c r="O480" s="1"/>
      <c r="V480" s="1"/>
      <c r="AK480" s="1"/>
      <c r="AM480" s="1"/>
    </row>
    <row r="481" ht="12.75" customHeight="1">
      <c r="A481" s="1"/>
      <c r="B481" s="1" t="str">
        <f t="shared" si="261"/>
        <v>32 </v>
      </c>
      <c r="C481" s="1" t="s">
        <v>572</v>
      </c>
      <c r="D481" s="1" t="s">
        <v>573</v>
      </c>
      <c r="E481" s="1" t="s">
        <v>468</v>
      </c>
      <c r="F481" s="1" t="s">
        <v>469</v>
      </c>
      <c r="G481" s="1" t="s">
        <v>469</v>
      </c>
      <c r="H481" s="1" t="s">
        <v>469</v>
      </c>
      <c r="I481" s="4" t="s">
        <v>470</v>
      </c>
      <c r="K481" s="1"/>
      <c r="L481" s="1"/>
      <c r="M481" s="1"/>
      <c r="N481" s="1"/>
      <c r="O481" s="1"/>
      <c r="V481" s="1"/>
      <c r="AK481" s="1"/>
      <c r="AM481" s="1"/>
    </row>
    <row r="482" ht="12.75" customHeight="1">
      <c r="A482" s="1"/>
      <c r="B482" s="1" t="str">
        <f t="shared" si="261"/>
        <v>33 </v>
      </c>
      <c r="C482" s="1" t="s">
        <v>574</v>
      </c>
      <c r="D482" s="1" t="s">
        <v>575</v>
      </c>
      <c r="E482" s="19" t="s">
        <v>576</v>
      </c>
      <c r="F482" s="1" t="s">
        <v>577</v>
      </c>
      <c r="G482" s="19" t="s">
        <v>578</v>
      </c>
      <c r="H482" s="245" t="s">
        <v>579</v>
      </c>
      <c r="I482" s="4" t="s">
        <v>557</v>
      </c>
      <c r="K482" s="1"/>
      <c r="L482" s="1"/>
      <c r="M482" s="1"/>
      <c r="N482" s="1"/>
      <c r="O482" s="1"/>
      <c r="V482" s="1"/>
      <c r="AK482" s="1"/>
      <c r="AM482" s="1"/>
    </row>
    <row r="483" ht="12.75" customHeight="1">
      <c r="A483" s="1"/>
      <c r="B483" s="1" t="str">
        <f t="shared" si="261"/>
        <v>34 </v>
      </c>
      <c r="C483" s="1" t="s">
        <v>580</v>
      </c>
      <c r="D483" s="1" t="s">
        <v>581</v>
      </c>
      <c r="E483" s="19" t="s">
        <v>582</v>
      </c>
      <c r="F483" s="19" t="s">
        <v>583</v>
      </c>
      <c r="G483" s="19" t="s">
        <v>584</v>
      </c>
      <c r="H483" s="1" t="s">
        <v>585</v>
      </c>
      <c r="I483" s="4" t="s">
        <v>586</v>
      </c>
      <c r="K483" s="1"/>
      <c r="L483" s="1"/>
      <c r="M483" s="1"/>
      <c r="N483" s="1"/>
      <c r="O483" s="1"/>
      <c r="V483" s="1"/>
      <c r="AK483" s="1"/>
      <c r="AM483" s="1"/>
    </row>
    <row r="484" ht="12.75" customHeight="1">
      <c r="A484" s="1"/>
      <c r="B484" s="1" t="str">
        <f t="shared" si="261"/>
        <v>35 </v>
      </c>
      <c r="C484" s="1" t="s">
        <v>587</v>
      </c>
      <c r="D484" s="1" t="s">
        <v>588</v>
      </c>
      <c r="E484" s="19" t="s">
        <v>589</v>
      </c>
      <c r="F484" s="19" t="s">
        <v>590</v>
      </c>
      <c r="G484" s="19" t="s">
        <v>591</v>
      </c>
      <c r="H484" s="1" t="s">
        <v>592</v>
      </c>
      <c r="I484" s="4" t="s">
        <v>593</v>
      </c>
      <c r="K484" s="1"/>
      <c r="L484" s="1"/>
      <c r="M484" s="1"/>
      <c r="N484" s="1"/>
      <c r="O484" s="1"/>
      <c r="V484" s="1"/>
      <c r="AK484" s="1"/>
      <c r="AM484" s="1"/>
    </row>
    <row r="485" ht="12.75" customHeight="1">
      <c r="A485" s="1"/>
      <c r="B485" s="1" t="str">
        <f t="shared" si="261"/>
        <v>36 </v>
      </c>
      <c r="C485" s="1" t="s">
        <v>594</v>
      </c>
      <c r="D485" s="1" t="s">
        <v>595</v>
      </c>
      <c r="E485" s="19" t="s">
        <v>596</v>
      </c>
      <c r="F485" s="1" t="s">
        <v>597</v>
      </c>
      <c r="G485" s="1" t="s">
        <v>598</v>
      </c>
      <c r="H485" s="1" t="s">
        <v>599</v>
      </c>
      <c r="I485" s="4" t="s">
        <v>600</v>
      </c>
      <c r="K485" s="1"/>
      <c r="L485" s="1"/>
      <c r="M485" s="1"/>
      <c r="N485" s="1"/>
      <c r="O485" s="1"/>
      <c r="V485" s="1"/>
      <c r="AK485" s="1"/>
      <c r="AM485" s="1"/>
    </row>
    <row r="486" ht="12.75" customHeight="1">
      <c r="A486" s="1"/>
      <c r="B486" s="1" t="str">
        <f t="shared" si="261"/>
        <v>37 </v>
      </c>
      <c r="C486" s="1" t="s">
        <v>601</v>
      </c>
      <c r="D486" s="1" t="s">
        <v>602</v>
      </c>
      <c r="E486" s="1" t="s">
        <v>603</v>
      </c>
      <c r="F486" s="1" t="s">
        <v>604</v>
      </c>
      <c r="G486" s="19" t="s">
        <v>605</v>
      </c>
      <c r="H486" s="1" t="s">
        <v>606</v>
      </c>
      <c r="I486" s="309" t="s">
        <v>607</v>
      </c>
      <c r="K486" s="1"/>
      <c r="L486" s="1"/>
      <c r="M486" s="1"/>
      <c r="N486" s="1"/>
      <c r="O486" s="1"/>
      <c r="V486" s="1"/>
      <c r="AK486" s="1"/>
      <c r="AM486" s="1"/>
    </row>
    <row r="487" ht="12.75" customHeight="1">
      <c r="A487" s="1"/>
      <c r="B487" s="1" t="str">
        <f t="shared" si="261"/>
        <v>38 </v>
      </c>
      <c r="C487" s="1" t="s">
        <v>608</v>
      </c>
      <c r="D487" s="1" t="s">
        <v>609</v>
      </c>
      <c r="E487" s="19" t="s">
        <v>610</v>
      </c>
      <c r="F487" s="1" t="s">
        <v>611</v>
      </c>
      <c r="G487" s="19" t="s">
        <v>612</v>
      </c>
      <c r="H487" s="1" t="s">
        <v>613</v>
      </c>
      <c r="I487" s="4" t="s">
        <v>614</v>
      </c>
      <c r="K487" s="1"/>
      <c r="L487" s="1"/>
      <c r="M487" s="1"/>
      <c r="N487" s="1"/>
      <c r="O487" s="1"/>
      <c r="V487" s="1"/>
      <c r="AK487" s="1"/>
      <c r="AM487" s="1"/>
    </row>
    <row r="488" ht="12.75" customHeight="1">
      <c r="A488" s="1"/>
      <c r="B488" s="1" t="str">
        <f t="shared" si="261"/>
        <v>39 </v>
      </c>
      <c r="C488" s="1" t="s">
        <v>615</v>
      </c>
      <c r="D488" s="1" t="s">
        <v>616</v>
      </c>
      <c r="E488" s="19" t="s">
        <v>617</v>
      </c>
      <c r="F488" s="19" t="s">
        <v>618</v>
      </c>
      <c r="G488" s="19" t="s">
        <v>619</v>
      </c>
      <c r="H488" s="1" t="s">
        <v>620</v>
      </c>
      <c r="I488" s="309" t="s">
        <v>621</v>
      </c>
      <c r="K488" s="1"/>
      <c r="L488" s="1"/>
      <c r="M488" s="1"/>
      <c r="N488" s="1"/>
      <c r="O488" s="1"/>
      <c r="V488" s="1"/>
      <c r="AK488" s="1"/>
      <c r="AM488" s="1"/>
    </row>
    <row r="489" ht="12.75" customHeight="1">
      <c r="A489" s="1"/>
      <c r="B489" s="1" t="str">
        <f t="shared" si="261"/>
        <v>40 </v>
      </c>
      <c r="C489" s="19" t="s">
        <v>622</v>
      </c>
      <c r="D489" s="19" t="s">
        <v>623</v>
      </c>
      <c r="E489" s="19" t="s">
        <v>624</v>
      </c>
      <c r="F489" s="19" t="s">
        <v>625</v>
      </c>
      <c r="G489" s="19" t="s">
        <v>625</v>
      </c>
      <c r="H489" s="1" t="s">
        <v>626</v>
      </c>
      <c r="I489" s="309" t="s">
        <v>627</v>
      </c>
      <c r="K489" s="1"/>
      <c r="L489" s="1"/>
      <c r="M489" s="1"/>
      <c r="N489" s="1"/>
      <c r="O489" s="1"/>
      <c r="V489" s="1"/>
      <c r="AK489" s="1"/>
      <c r="AM489" s="1"/>
    </row>
    <row r="490" ht="12.75" customHeight="1">
      <c r="A490" s="1"/>
      <c r="B490" s="1" t="str">
        <f t="shared" si="261"/>
        <v>41 </v>
      </c>
      <c r="C490" s="1" t="s">
        <v>628</v>
      </c>
      <c r="D490" s="1" t="s">
        <v>629</v>
      </c>
      <c r="E490" s="1" t="s">
        <v>630</v>
      </c>
      <c r="F490" s="19" t="s">
        <v>631</v>
      </c>
      <c r="G490" s="19" t="s">
        <v>632</v>
      </c>
      <c r="H490" s="1" t="s">
        <v>633</v>
      </c>
      <c r="I490" s="4" t="s">
        <v>634</v>
      </c>
      <c r="K490" s="1"/>
      <c r="L490" s="1"/>
      <c r="M490" s="1"/>
      <c r="N490" s="1"/>
      <c r="O490" s="1"/>
      <c r="V490" s="1"/>
      <c r="AK490" s="1"/>
      <c r="AM490" s="1"/>
    </row>
    <row r="491" ht="12.75" customHeight="1">
      <c r="A491" s="1"/>
      <c r="B491" s="1" t="str">
        <f t="shared" si="261"/>
        <v>42 </v>
      </c>
      <c r="C491" s="1" t="s">
        <v>635</v>
      </c>
      <c r="D491" s="1" t="s">
        <v>636</v>
      </c>
      <c r="E491" s="19" t="s">
        <v>637</v>
      </c>
      <c r="F491" s="19" t="s">
        <v>638</v>
      </c>
      <c r="G491" s="1" t="s">
        <v>639</v>
      </c>
      <c r="H491" s="1" t="s">
        <v>640</v>
      </c>
      <c r="I491" s="312" t="s">
        <v>641</v>
      </c>
      <c r="K491" s="1"/>
      <c r="L491" s="1"/>
      <c r="M491" s="1"/>
      <c r="N491" s="1"/>
      <c r="O491" s="1"/>
      <c r="V491" s="1"/>
      <c r="AK491" s="1"/>
      <c r="AM491" s="1"/>
    </row>
    <row r="492" ht="12.75" customHeight="1">
      <c r="A492" s="1"/>
      <c r="B492" s="1" t="str">
        <f t="shared" si="261"/>
        <v>43 </v>
      </c>
      <c r="C492" s="1" t="s">
        <v>642</v>
      </c>
      <c r="D492" s="1" t="s">
        <v>110</v>
      </c>
      <c r="E492" s="1" t="s">
        <v>643</v>
      </c>
      <c r="F492" s="1" t="s">
        <v>505</v>
      </c>
      <c r="G492" s="1" t="s">
        <v>506</v>
      </c>
      <c r="H492" s="1" t="s">
        <v>644</v>
      </c>
      <c r="I492" s="311" t="s">
        <v>645</v>
      </c>
      <c r="K492" s="1"/>
      <c r="L492" s="1"/>
      <c r="M492" s="1"/>
      <c r="N492" s="1"/>
      <c r="O492" s="1"/>
      <c r="V492" s="1"/>
      <c r="AK492" s="1"/>
      <c r="AM492" s="1"/>
    </row>
    <row r="493" ht="12.75" customHeight="1">
      <c r="A493" s="1"/>
      <c r="B493" s="1" t="str">
        <f t="shared" si="261"/>
        <v>44 </v>
      </c>
      <c r="C493" s="1" t="s">
        <v>646</v>
      </c>
      <c r="D493" s="1" t="s">
        <v>647</v>
      </c>
      <c r="E493" s="19" t="s">
        <v>648</v>
      </c>
      <c r="F493" s="19" t="s">
        <v>649</v>
      </c>
      <c r="G493" s="1" t="s">
        <v>649</v>
      </c>
      <c r="H493" s="1" t="s">
        <v>650</v>
      </c>
      <c r="I493" s="309" t="s">
        <v>651</v>
      </c>
      <c r="K493" s="1"/>
      <c r="L493" s="1"/>
      <c r="M493" s="1"/>
      <c r="N493" s="1"/>
      <c r="O493" s="1"/>
      <c r="V493" s="1"/>
      <c r="AK493" s="1"/>
      <c r="AM493" s="1"/>
    </row>
    <row r="494" ht="12.75" customHeight="1">
      <c r="A494" s="1"/>
      <c r="B494" s="1" t="str">
        <f t="shared" si="261"/>
        <v>45 </v>
      </c>
      <c r="C494" s="1" t="s">
        <v>652</v>
      </c>
      <c r="D494" s="1" t="s">
        <v>653</v>
      </c>
      <c r="E494" s="19" t="s">
        <v>654</v>
      </c>
      <c r="F494" s="19" t="s">
        <v>655</v>
      </c>
      <c r="G494" s="19" t="s">
        <v>656</v>
      </c>
      <c r="H494" s="1" t="s">
        <v>657</v>
      </c>
      <c r="I494" s="4" t="s">
        <v>658</v>
      </c>
      <c r="K494" s="1"/>
      <c r="L494" s="1"/>
      <c r="M494" s="1"/>
      <c r="N494" s="1"/>
      <c r="O494" s="1"/>
      <c r="V494" s="1"/>
      <c r="AK494" s="1"/>
      <c r="AM494" s="1"/>
    </row>
    <row r="495" ht="12.75" customHeight="1">
      <c r="A495" s="1"/>
      <c r="B495" s="1" t="str">
        <f t="shared" si="261"/>
        <v>46 </v>
      </c>
      <c r="C495" s="1" t="s">
        <v>659</v>
      </c>
      <c r="D495" s="1" t="s">
        <v>660</v>
      </c>
      <c r="E495" s="19" t="s">
        <v>661</v>
      </c>
      <c r="F495" s="19" t="s">
        <v>662</v>
      </c>
      <c r="G495" s="19" t="s">
        <v>663</v>
      </c>
      <c r="H495" s="245" t="s">
        <v>664</v>
      </c>
      <c r="I495" s="309" t="s">
        <v>665</v>
      </c>
      <c r="K495" s="1"/>
      <c r="L495" s="1"/>
      <c r="M495" s="1"/>
      <c r="N495" s="1"/>
      <c r="O495" s="1"/>
      <c r="V495" s="1"/>
      <c r="AK495" s="1"/>
      <c r="AM495" s="1"/>
    </row>
    <row r="496" ht="12.75" customHeight="1">
      <c r="A496" s="1"/>
      <c r="B496" s="1" t="str">
        <f t="shared" si="261"/>
        <v>47 </v>
      </c>
      <c r="C496" s="1" t="s">
        <v>666</v>
      </c>
      <c r="D496" s="1" t="s">
        <v>164</v>
      </c>
      <c r="E496" s="19" t="s">
        <v>667</v>
      </c>
      <c r="F496" s="1" t="s">
        <v>668</v>
      </c>
      <c r="G496" s="1" t="s">
        <v>669</v>
      </c>
      <c r="H496" s="245" t="s">
        <v>670</v>
      </c>
      <c r="I496" s="312" t="s">
        <v>671</v>
      </c>
      <c r="K496" s="1"/>
      <c r="L496" s="1"/>
      <c r="M496" s="1"/>
      <c r="N496" s="1"/>
      <c r="O496" s="1"/>
      <c r="V496" s="1"/>
      <c r="AK496" s="1"/>
      <c r="AM496" s="1"/>
    </row>
    <row r="497" ht="12.75" customHeight="1">
      <c r="A497" s="1"/>
      <c r="B497" s="1" t="str">
        <f t="shared" si="261"/>
        <v>48 </v>
      </c>
      <c r="C497" s="1" t="s">
        <v>672</v>
      </c>
      <c r="D497" s="1" t="s">
        <v>673</v>
      </c>
      <c r="E497" s="1" t="s">
        <v>674</v>
      </c>
      <c r="F497" s="1" t="s">
        <v>675</v>
      </c>
      <c r="G497" s="1" t="s">
        <v>676</v>
      </c>
      <c r="H497" s="1" t="s">
        <v>677</v>
      </c>
      <c r="I497" s="312" t="s">
        <v>678</v>
      </c>
      <c r="K497" s="1"/>
      <c r="L497" s="1"/>
      <c r="M497" s="1"/>
      <c r="N497" s="1"/>
      <c r="O497" s="1"/>
      <c r="V497" s="1"/>
      <c r="AK497" s="1"/>
      <c r="AM497" s="1"/>
    </row>
    <row r="498" ht="12.75" customHeight="1">
      <c r="A498" s="1"/>
      <c r="B498" s="1" t="str">
        <f t="shared" si="261"/>
        <v>49 </v>
      </c>
      <c r="C498" s="1" t="s">
        <v>679</v>
      </c>
      <c r="D498" s="1" t="s">
        <v>680</v>
      </c>
      <c r="E498" s="19" t="s">
        <v>681</v>
      </c>
      <c r="F498" s="1" t="s">
        <v>682</v>
      </c>
      <c r="G498" s="1" t="s">
        <v>682</v>
      </c>
      <c r="H498" s="1" t="s">
        <v>683</v>
      </c>
      <c r="I498" s="1" t="s">
        <v>684</v>
      </c>
      <c r="K498" s="1"/>
      <c r="L498" s="1"/>
      <c r="M498" s="1"/>
      <c r="N498" s="1"/>
      <c r="O498" s="1"/>
      <c r="V498" s="1"/>
      <c r="AK498" s="1"/>
      <c r="AM498" s="1"/>
    </row>
    <row r="499" ht="12.75" customHeight="1">
      <c r="A499" s="1"/>
      <c r="B499" s="1" t="str">
        <f t="shared" si="261"/>
        <v>50 </v>
      </c>
      <c r="C499" s="19" t="s">
        <v>685</v>
      </c>
      <c r="D499" s="19" t="s">
        <v>686</v>
      </c>
      <c r="E499" s="19" t="s">
        <v>687</v>
      </c>
      <c r="F499" s="19" t="s">
        <v>688</v>
      </c>
      <c r="G499" s="19" t="s">
        <v>689</v>
      </c>
      <c r="H499" s="1" t="s">
        <v>690</v>
      </c>
      <c r="I499" s="4" t="s">
        <v>691</v>
      </c>
      <c r="J499" s="4"/>
      <c r="K499" s="1"/>
      <c r="L499" s="1"/>
      <c r="M499" s="1"/>
      <c r="N499" s="1"/>
      <c r="O499" s="1"/>
      <c r="V499" s="1"/>
      <c r="AK499" s="1"/>
      <c r="AM499" s="1"/>
    </row>
    <row r="500" ht="12.75" customHeight="1">
      <c r="A500" s="1"/>
      <c r="B500" s="1" t="str">
        <f t="shared" si="261"/>
        <v>51 </v>
      </c>
      <c r="C500" s="1" t="s">
        <v>692</v>
      </c>
      <c r="D500" s="1" t="s">
        <v>693</v>
      </c>
      <c r="E500" s="19" t="s">
        <v>694</v>
      </c>
      <c r="F500" s="19" t="s">
        <v>695</v>
      </c>
      <c r="G500" s="19" t="s">
        <v>696</v>
      </c>
      <c r="H500" s="307" t="s">
        <v>697</v>
      </c>
      <c r="I500" s="312" t="s">
        <v>698</v>
      </c>
      <c r="K500" s="1"/>
      <c r="L500" s="1"/>
      <c r="M500" s="1"/>
      <c r="N500" s="1"/>
      <c r="O500" s="1"/>
      <c r="V500" s="1"/>
      <c r="AK500" s="1"/>
      <c r="AM500" s="1"/>
    </row>
    <row r="501" ht="12.75" customHeight="1">
      <c r="A501" s="1"/>
      <c r="B501" s="1" t="str">
        <f t="shared" si="261"/>
        <v>52 </v>
      </c>
      <c r="C501" s="1" t="s">
        <v>699</v>
      </c>
      <c r="D501" s="1" t="s">
        <v>700</v>
      </c>
      <c r="E501" s="1" t="s">
        <v>701</v>
      </c>
      <c r="F501" s="1" t="s">
        <v>702</v>
      </c>
      <c r="G501" s="1" t="s">
        <v>703</v>
      </c>
      <c r="H501" s="1" t="s">
        <v>704</v>
      </c>
      <c r="I501" s="4" t="s">
        <v>705</v>
      </c>
      <c r="K501" s="1"/>
      <c r="L501" s="1"/>
      <c r="M501" s="1"/>
      <c r="N501" s="1"/>
      <c r="O501" s="1"/>
      <c r="V501" s="1"/>
      <c r="AK501" s="1"/>
      <c r="AM501" s="1"/>
    </row>
    <row r="502" ht="12.75" customHeight="1">
      <c r="A502" s="1"/>
      <c r="B502" s="1" t="str">
        <f t="shared" si="261"/>
        <v>53 </v>
      </c>
      <c r="C502" s="1" t="s">
        <v>706</v>
      </c>
      <c r="D502" s="1" t="s">
        <v>706</v>
      </c>
      <c r="E502" s="19" t="s">
        <v>707</v>
      </c>
      <c r="F502" s="1" t="s">
        <v>706</v>
      </c>
      <c r="G502" s="1" t="s">
        <v>706</v>
      </c>
      <c r="H502" s="1" t="s">
        <v>708</v>
      </c>
      <c r="I502" s="309" t="s">
        <v>709</v>
      </c>
      <c r="K502" s="1"/>
      <c r="L502" s="1"/>
      <c r="M502" s="1"/>
      <c r="N502" s="1"/>
      <c r="O502" s="1"/>
      <c r="V502" s="1"/>
      <c r="AK502" s="1"/>
      <c r="AM502" s="1"/>
    </row>
    <row r="503" ht="12.75" customHeight="1">
      <c r="A503" s="1"/>
      <c r="B503" s="1" t="str">
        <f t="shared" si="261"/>
        <v>54 </v>
      </c>
      <c r="C503" s="1" t="s">
        <v>710</v>
      </c>
      <c r="D503" s="1" t="s">
        <v>711</v>
      </c>
      <c r="E503" s="1" t="s">
        <v>712</v>
      </c>
      <c r="F503" s="1" t="s">
        <v>713</v>
      </c>
      <c r="G503" s="1" t="s">
        <v>713</v>
      </c>
      <c r="H503" s="1" t="s">
        <v>714</v>
      </c>
      <c r="I503" s="4" t="s">
        <v>715</v>
      </c>
      <c r="K503" s="1"/>
      <c r="L503" s="1"/>
      <c r="M503" s="1"/>
      <c r="N503" s="1"/>
      <c r="O503" s="1"/>
      <c r="V503" s="1"/>
      <c r="AK503" s="1"/>
      <c r="AM503" s="1"/>
    </row>
    <row r="504" ht="12.75" customHeight="1">
      <c r="A504" s="1"/>
      <c r="B504" s="1" t="str">
        <f t="shared" si="261"/>
        <v>55 </v>
      </c>
      <c r="C504" s="1" t="s">
        <v>716</v>
      </c>
      <c r="D504" s="1" t="s">
        <v>717</v>
      </c>
      <c r="E504" s="1" t="s">
        <v>718</v>
      </c>
      <c r="F504" s="1" t="s">
        <v>719</v>
      </c>
      <c r="G504" s="19" t="s">
        <v>720</v>
      </c>
      <c r="H504" s="1" t="s">
        <v>721</v>
      </c>
      <c r="I504" s="4" t="s">
        <v>722</v>
      </c>
      <c r="K504" s="1"/>
      <c r="L504" s="1"/>
      <c r="M504" s="1"/>
      <c r="N504" s="1"/>
      <c r="O504" s="1"/>
      <c r="V504" s="1"/>
      <c r="AK504" s="1"/>
      <c r="AM504" s="1"/>
    </row>
    <row r="505" ht="12.75" customHeight="1">
      <c r="A505" s="1"/>
      <c r="B505" s="1" t="str">
        <f t="shared" si="261"/>
        <v>56 </v>
      </c>
      <c r="C505" s="1" t="s">
        <v>723</v>
      </c>
      <c r="D505" s="1" t="s">
        <v>724</v>
      </c>
      <c r="E505" s="1" t="s">
        <v>725</v>
      </c>
      <c r="F505" s="1" t="s">
        <v>726</v>
      </c>
      <c r="G505" s="19" t="s">
        <v>727</v>
      </c>
      <c r="H505" s="245" t="s">
        <v>728</v>
      </c>
      <c r="I505" s="309" t="s">
        <v>729</v>
      </c>
      <c r="K505" s="1"/>
      <c r="L505" s="1"/>
      <c r="M505" s="1"/>
      <c r="N505" s="1"/>
      <c r="O505" s="1"/>
      <c r="V505" s="1"/>
      <c r="AK505" s="1"/>
      <c r="AM505" s="1"/>
    </row>
    <row r="506" ht="12.75" customHeight="1">
      <c r="A506" s="1"/>
      <c r="B506" s="1" t="str">
        <f t="shared" si="261"/>
        <v>57 </v>
      </c>
      <c r="C506" s="1" t="s">
        <v>730</v>
      </c>
      <c r="D506" s="1" t="s">
        <v>731</v>
      </c>
      <c r="E506" s="19" t="s">
        <v>732</v>
      </c>
      <c r="F506" s="19" t="s">
        <v>733</v>
      </c>
      <c r="G506" s="19" t="s">
        <v>734</v>
      </c>
      <c r="H506" s="1" t="s">
        <v>735</v>
      </c>
      <c r="I506" s="309" t="s">
        <v>736</v>
      </c>
      <c r="K506" s="1"/>
      <c r="L506" s="1"/>
      <c r="M506" s="1"/>
      <c r="N506" s="1"/>
      <c r="O506" s="1"/>
      <c r="V506" s="1"/>
      <c r="AK506" s="1"/>
      <c r="AM506" s="1"/>
    </row>
    <row r="507" ht="12.75" customHeight="1">
      <c r="A507" s="1"/>
      <c r="B507" s="1" t="str">
        <f t="shared" si="261"/>
        <v>58 </v>
      </c>
      <c r="C507" s="1" t="s">
        <v>737</v>
      </c>
      <c r="D507" s="1" t="s">
        <v>738</v>
      </c>
      <c r="E507" s="19" t="s">
        <v>739</v>
      </c>
      <c r="F507" s="1" t="s">
        <v>740</v>
      </c>
      <c r="G507" s="1" t="s">
        <v>741</v>
      </c>
      <c r="H507" s="1" t="s">
        <v>742</v>
      </c>
      <c r="I507" s="309" t="s">
        <v>743</v>
      </c>
      <c r="K507" s="1"/>
      <c r="L507" s="1"/>
      <c r="M507" s="1"/>
      <c r="N507" s="1"/>
      <c r="O507" s="1"/>
      <c r="V507" s="1"/>
      <c r="AK507" s="1"/>
      <c r="AM507" s="1"/>
    </row>
    <row r="508" ht="12.75" customHeight="1">
      <c r="A508" s="1"/>
      <c r="B508" s="1" t="str">
        <f t="shared" si="261"/>
        <v>59 </v>
      </c>
      <c r="C508" s="1" t="s">
        <v>744</v>
      </c>
      <c r="D508" s="1" t="s">
        <v>745</v>
      </c>
      <c r="E508" s="1" t="s">
        <v>746</v>
      </c>
      <c r="F508" s="1" t="s">
        <v>747</v>
      </c>
      <c r="G508" s="19" t="s">
        <v>748</v>
      </c>
      <c r="H508" s="1" t="s">
        <v>749</v>
      </c>
      <c r="I508" s="1" t="s">
        <v>750</v>
      </c>
      <c r="K508" s="1"/>
      <c r="L508" s="1"/>
      <c r="M508" s="1"/>
      <c r="N508" s="1"/>
      <c r="O508" s="1"/>
      <c r="V508" s="1"/>
      <c r="AK508" s="1"/>
      <c r="AM508" s="1"/>
    </row>
    <row r="509" ht="12.75" customHeight="1">
      <c r="A509" s="1"/>
      <c r="B509" s="1" t="str">
        <f t="shared" si="261"/>
        <v>60 </v>
      </c>
      <c r="C509" s="19" t="s">
        <v>751</v>
      </c>
      <c r="D509" s="19" t="s">
        <v>752</v>
      </c>
      <c r="E509" s="19" t="s">
        <v>753</v>
      </c>
      <c r="F509" s="19" t="s">
        <v>754</v>
      </c>
      <c r="G509" s="19" t="s">
        <v>755</v>
      </c>
      <c r="H509" s="1" t="s">
        <v>756</v>
      </c>
      <c r="I509" s="4" t="s">
        <v>757</v>
      </c>
      <c r="K509" s="1"/>
      <c r="L509" s="1"/>
      <c r="M509" s="1"/>
      <c r="N509" s="1"/>
      <c r="O509" s="1"/>
      <c r="V509" s="1"/>
      <c r="AK509" s="1"/>
      <c r="AM509" s="1"/>
    </row>
    <row r="510" ht="12.75" customHeight="1">
      <c r="A510" s="1"/>
      <c r="B510" s="1" t="str">
        <f t="shared" si="261"/>
        <v>61 </v>
      </c>
      <c r="C510" s="1" t="s">
        <v>758</v>
      </c>
      <c r="D510" s="1" t="s">
        <v>759</v>
      </c>
      <c r="E510" s="1" t="s">
        <v>760</v>
      </c>
      <c r="F510" s="1" t="s">
        <v>761</v>
      </c>
      <c r="G510" s="245" t="s">
        <v>762</v>
      </c>
      <c r="H510" s="307" t="s">
        <v>763</v>
      </c>
      <c r="I510" s="309" t="s">
        <v>764</v>
      </c>
      <c r="K510" s="1"/>
      <c r="L510" s="1"/>
      <c r="M510" s="1"/>
      <c r="N510" s="1"/>
      <c r="O510" s="1"/>
      <c r="V510" s="1"/>
      <c r="AK510" s="1"/>
      <c r="AM510" s="1"/>
    </row>
    <row r="511" ht="12.75" customHeight="1">
      <c r="A511" s="1"/>
      <c r="B511" s="1" t="str">
        <f t="shared" si="261"/>
        <v>62 </v>
      </c>
      <c r="C511" s="1" t="s">
        <v>765</v>
      </c>
      <c r="D511" s="1" t="s">
        <v>765</v>
      </c>
      <c r="E511" s="1" t="s">
        <v>766</v>
      </c>
      <c r="F511" s="1" t="s">
        <v>767</v>
      </c>
      <c r="G511" s="1" t="s">
        <v>767</v>
      </c>
      <c r="H511" s="1" t="s">
        <v>767</v>
      </c>
      <c r="I511" s="4" t="s">
        <v>768</v>
      </c>
      <c r="K511" s="1"/>
      <c r="L511" s="1"/>
      <c r="M511" s="1"/>
      <c r="N511" s="1"/>
      <c r="O511" s="1"/>
      <c r="V511" s="1"/>
      <c r="AK511" s="1"/>
      <c r="AM511" s="1"/>
    </row>
    <row r="512" ht="12.75" customHeight="1">
      <c r="A512" s="1"/>
      <c r="B512" s="1" t="str">
        <f t="shared" si="261"/>
        <v>63 </v>
      </c>
      <c r="C512" s="1" t="s">
        <v>769</v>
      </c>
      <c r="D512" s="19" t="s">
        <v>770</v>
      </c>
      <c r="E512" s="19" t="s">
        <v>771</v>
      </c>
      <c r="F512" s="19" t="s">
        <v>772</v>
      </c>
      <c r="G512" s="1" t="s">
        <v>770</v>
      </c>
      <c r="H512" s="1" t="s">
        <v>773</v>
      </c>
      <c r="I512" s="4" t="s">
        <v>774</v>
      </c>
      <c r="K512" s="1"/>
      <c r="L512" s="1"/>
      <c r="M512" s="1"/>
      <c r="N512" s="1"/>
      <c r="O512" s="1"/>
      <c r="V512" s="1"/>
      <c r="AK512" s="1"/>
      <c r="AM512" s="1"/>
    </row>
    <row r="513" ht="12.75" customHeight="1">
      <c r="A513" s="1"/>
      <c r="B513" s="1" t="str">
        <f t="shared" si="261"/>
        <v>64 </v>
      </c>
      <c r="C513" s="1" t="s">
        <v>775</v>
      </c>
      <c r="D513" s="1" t="s">
        <v>776</v>
      </c>
      <c r="E513" s="1" t="s">
        <v>777</v>
      </c>
      <c r="F513" s="1" t="s">
        <v>778</v>
      </c>
      <c r="G513" s="1" t="s">
        <v>779</v>
      </c>
      <c r="H513" s="1" t="s">
        <v>780</v>
      </c>
      <c r="I513" s="309" t="s">
        <v>781</v>
      </c>
      <c r="K513" s="1"/>
      <c r="L513" s="1"/>
      <c r="M513" s="1"/>
      <c r="N513" s="1"/>
      <c r="O513" s="1"/>
      <c r="V513" s="1"/>
      <c r="AK513" s="1"/>
      <c r="AM513" s="1"/>
    </row>
    <row r="514" ht="12.75" customHeight="1">
      <c r="A514" s="1"/>
      <c r="B514" s="1" t="str">
        <f t="shared" si="261"/>
        <v>65 </v>
      </c>
      <c r="C514" s="1" t="s">
        <v>782</v>
      </c>
      <c r="D514" s="1" t="s">
        <v>125</v>
      </c>
      <c r="E514" s="19" t="s">
        <v>783</v>
      </c>
      <c r="F514" s="314" t="s">
        <v>784</v>
      </c>
      <c r="G514" s="314" t="s">
        <v>784</v>
      </c>
      <c r="H514" s="1" t="s">
        <v>785</v>
      </c>
      <c r="I514" s="4" t="s">
        <v>768</v>
      </c>
      <c r="K514" s="1"/>
      <c r="L514" s="1"/>
      <c r="M514" s="1"/>
      <c r="N514" s="1"/>
      <c r="O514" s="1"/>
      <c r="V514" s="1"/>
      <c r="AK514" s="1"/>
      <c r="AM514" s="1"/>
    </row>
    <row r="515" ht="12.75" customHeight="1">
      <c r="A515" s="1"/>
      <c r="B515" s="1" t="str">
        <f t="shared" si="261"/>
        <v>66 </v>
      </c>
      <c r="C515" s="1" t="s">
        <v>786</v>
      </c>
      <c r="D515" s="1" t="s">
        <v>787</v>
      </c>
      <c r="E515" s="19" t="s">
        <v>788</v>
      </c>
      <c r="F515" s="314" t="s">
        <v>789</v>
      </c>
      <c r="G515" s="314" t="s">
        <v>790</v>
      </c>
      <c r="H515" s="1" t="s">
        <v>791</v>
      </c>
      <c r="I515" s="309" t="s">
        <v>792</v>
      </c>
      <c r="K515" s="1"/>
      <c r="L515" s="1"/>
      <c r="M515" s="1"/>
      <c r="N515" s="1"/>
      <c r="O515" s="1"/>
      <c r="V515" s="1"/>
      <c r="AK515" s="1"/>
      <c r="AM515" s="1"/>
    </row>
    <row r="516" ht="12.75" customHeight="1">
      <c r="A516" s="1"/>
      <c r="B516" s="1" t="str">
        <f t="shared" si="261"/>
        <v>67 </v>
      </c>
      <c r="C516" s="1" t="s">
        <v>793</v>
      </c>
      <c r="D516" s="1" t="s">
        <v>794</v>
      </c>
      <c r="E516" s="19" t="s">
        <v>795</v>
      </c>
      <c r="F516" s="314" t="s">
        <v>796</v>
      </c>
      <c r="G516" s="19" t="s">
        <v>797</v>
      </c>
      <c r="H516" s="1" t="s">
        <v>798</v>
      </c>
      <c r="I516" s="309" t="s">
        <v>799</v>
      </c>
      <c r="K516" s="1"/>
      <c r="L516" s="1"/>
      <c r="M516" s="1"/>
      <c r="N516" s="1"/>
      <c r="O516" s="1"/>
      <c r="V516" s="1"/>
      <c r="AK516" s="1"/>
      <c r="AM516" s="1"/>
    </row>
    <row r="517" ht="12.75" customHeight="1">
      <c r="A517" s="1"/>
      <c r="B517" s="1" t="str">
        <f t="shared" si="261"/>
        <v>68 </v>
      </c>
      <c r="C517" s="19" t="s">
        <v>800</v>
      </c>
      <c r="D517" s="19" t="s">
        <v>801</v>
      </c>
      <c r="E517" s="19" t="s">
        <v>800</v>
      </c>
      <c r="F517" s="19" t="s">
        <v>800</v>
      </c>
      <c r="G517" s="19" t="s">
        <v>800</v>
      </c>
      <c r="H517" s="1" t="s">
        <v>800</v>
      </c>
      <c r="I517" s="4" t="s">
        <v>802</v>
      </c>
      <c r="K517" s="1"/>
      <c r="L517" s="1"/>
      <c r="M517" s="1"/>
      <c r="N517" s="1"/>
      <c r="O517" s="1"/>
      <c r="V517" s="1"/>
      <c r="AK517" s="1"/>
      <c r="AM517" s="1"/>
    </row>
    <row r="518" ht="12.75" customHeight="1">
      <c r="A518" s="1"/>
      <c r="B518" s="1" t="str">
        <f t="shared" si="261"/>
        <v>69 </v>
      </c>
      <c r="C518" s="1" t="s">
        <v>803</v>
      </c>
      <c r="D518" s="1" t="s">
        <v>804</v>
      </c>
      <c r="E518" s="1" t="s">
        <v>805</v>
      </c>
      <c r="F518" s="1" t="s">
        <v>806</v>
      </c>
      <c r="G518" s="1" t="s">
        <v>807</v>
      </c>
      <c r="H518" s="1" t="s">
        <v>808</v>
      </c>
      <c r="I518" s="4" t="s">
        <v>809</v>
      </c>
      <c r="K518" s="1"/>
      <c r="L518" s="1"/>
      <c r="M518" s="1"/>
      <c r="N518" s="1"/>
      <c r="O518" s="1"/>
      <c r="V518" s="1"/>
      <c r="AK518" s="1"/>
      <c r="AM518" s="1"/>
    </row>
    <row r="519" ht="12.75" customHeight="1">
      <c r="A519" s="1"/>
      <c r="B519" s="1" t="str">
        <f t="shared" si="261"/>
        <v>70 </v>
      </c>
      <c r="C519" s="1" t="s">
        <v>810</v>
      </c>
      <c r="D519" s="1" t="s">
        <v>811</v>
      </c>
      <c r="E519" s="19" t="s">
        <v>812</v>
      </c>
      <c r="F519" s="1" t="s">
        <v>813</v>
      </c>
      <c r="G519" s="19" t="s">
        <v>814</v>
      </c>
      <c r="H519" s="245" t="s">
        <v>815</v>
      </c>
      <c r="I519" s="312" t="s">
        <v>816</v>
      </c>
      <c r="K519" s="1"/>
      <c r="L519" s="1"/>
      <c r="M519" s="1"/>
      <c r="N519" s="1"/>
      <c r="O519" s="1"/>
      <c r="V519" s="1"/>
      <c r="AK519" s="1"/>
      <c r="AM519" s="1"/>
    </row>
    <row r="520" ht="12.75" customHeight="1">
      <c r="A520" s="1"/>
      <c r="B520" s="1" t="str">
        <f t="shared" si="261"/>
        <v>71 </v>
      </c>
      <c r="C520" s="1" t="s">
        <v>817</v>
      </c>
      <c r="D520" s="1" t="s">
        <v>818</v>
      </c>
      <c r="E520" s="19" t="s">
        <v>819</v>
      </c>
      <c r="F520" s="19" t="s">
        <v>820</v>
      </c>
      <c r="G520" s="19" t="s">
        <v>821</v>
      </c>
      <c r="H520" s="307" t="s">
        <v>822</v>
      </c>
      <c r="I520" s="309" t="s">
        <v>823</v>
      </c>
      <c r="K520" s="1"/>
      <c r="L520" s="1"/>
      <c r="M520" s="1"/>
      <c r="N520" s="1"/>
      <c r="O520" s="1"/>
      <c r="V520" s="1"/>
      <c r="AK520" s="1"/>
      <c r="AM520" s="1"/>
    </row>
    <row r="521" ht="12.75" customHeight="1">
      <c r="A521" s="1"/>
      <c r="B521" s="1" t="str">
        <f t="shared" si="261"/>
        <v>72 </v>
      </c>
      <c r="C521" s="1" t="s">
        <v>824</v>
      </c>
      <c r="D521" s="1" t="s">
        <v>825</v>
      </c>
      <c r="E521" s="245" t="s">
        <v>826</v>
      </c>
      <c r="F521" s="245" t="s">
        <v>827</v>
      </c>
      <c r="G521" s="245" t="s">
        <v>828</v>
      </c>
      <c r="H521" s="1" t="s">
        <v>829</v>
      </c>
      <c r="I521" s="309" t="s">
        <v>830</v>
      </c>
      <c r="K521" s="1"/>
      <c r="L521" s="1"/>
      <c r="M521" s="1"/>
      <c r="N521" s="1"/>
      <c r="O521" s="1"/>
      <c r="V521" s="1"/>
      <c r="AK521" s="1"/>
      <c r="AM521" s="1"/>
    </row>
    <row r="522" ht="12.75" customHeight="1">
      <c r="A522" s="1"/>
      <c r="B522" s="1" t="str">
        <f t="shared" si="261"/>
        <v>73 </v>
      </c>
      <c r="C522" s="1" t="s">
        <v>831</v>
      </c>
      <c r="D522" s="1" t="s">
        <v>832</v>
      </c>
      <c r="E522" s="245" t="s">
        <v>833</v>
      </c>
      <c r="F522" s="4" t="s">
        <v>834</v>
      </c>
      <c r="G522" s="4" t="s">
        <v>835</v>
      </c>
      <c r="H522" s="1" t="s">
        <v>836</v>
      </c>
      <c r="I522" s="309" t="s">
        <v>837</v>
      </c>
      <c r="K522" s="1"/>
      <c r="L522" s="1"/>
      <c r="M522" s="1"/>
      <c r="N522" s="1"/>
      <c r="O522" s="1"/>
      <c r="V522" s="1"/>
      <c r="AK522" s="1"/>
      <c r="AM522" s="1"/>
    </row>
    <row r="523" ht="12.75" customHeight="1">
      <c r="A523" s="1"/>
      <c r="B523" s="1" t="str">
        <f t="shared" si="261"/>
        <v>74 </v>
      </c>
      <c r="C523" s="1" t="s">
        <v>838</v>
      </c>
      <c r="D523" s="1" t="s">
        <v>839</v>
      </c>
      <c r="E523" s="19" t="s">
        <v>840</v>
      </c>
      <c r="F523" s="1" t="s">
        <v>841</v>
      </c>
      <c r="G523" s="19" t="s">
        <v>841</v>
      </c>
      <c r="H523" s="1" t="s">
        <v>842</v>
      </c>
      <c r="I523" s="312" t="s">
        <v>843</v>
      </c>
      <c r="K523" s="1"/>
      <c r="L523" s="1"/>
      <c r="M523" s="1"/>
      <c r="N523" s="1"/>
      <c r="O523" s="1"/>
      <c r="V523" s="1"/>
      <c r="AK523" s="1"/>
      <c r="AM523" s="1"/>
    </row>
    <row r="524" ht="12.75" customHeight="1">
      <c r="A524" s="1"/>
      <c r="B524" s="1" t="str">
        <f t="shared" si="261"/>
        <v>75 </v>
      </c>
      <c r="C524" s="1" t="s">
        <v>844</v>
      </c>
      <c r="D524" s="1" t="s">
        <v>845</v>
      </c>
      <c r="E524" s="19" t="s">
        <v>846</v>
      </c>
      <c r="F524" s="19" t="s">
        <v>847</v>
      </c>
      <c r="G524" s="19" t="s">
        <v>848</v>
      </c>
      <c r="H524" s="1" t="s">
        <v>849</v>
      </c>
      <c r="I524" s="312" t="s">
        <v>850</v>
      </c>
      <c r="K524" s="1"/>
      <c r="L524" s="1"/>
      <c r="M524" s="1"/>
      <c r="N524" s="1"/>
      <c r="O524" s="1"/>
      <c r="V524" s="1"/>
      <c r="AK524" s="1"/>
      <c r="AM524" s="1"/>
    </row>
    <row r="525" ht="12.75" customHeight="1">
      <c r="A525" s="1"/>
      <c r="B525" s="1" t="str">
        <f t="shared" si="261"/>
        <v>76 </v>
      </c>
      <c r="C525" s="1" t="s">
        <v>851</v>
      </c>
      <c r="D525" s="1" t="s">
        <v>852</v>
      </c>
      <c r="E525" s="1" t="s">
        <v>853</v>
      </c>
      <c r="F525" s="1" t="s">
        <v>854</v>
      </c>
      <c r="G525" s="19" t="s">
        <v>855</v>
      </c>
      <c r="H525" s="1" t="s">
        <v>856</v>
      </c>
      <c r="I525" s="309" t="s">
        <v>857</v>
      </c>
      <c r="K525" s="1"/>
      <c r="L525" s="1"/>
      <c r="M525" s="1"/>
      <c r="N525" s="1"/>
      <c r="O525" s="1"/>
      <c r="V525" s="1"/>
      <c r="AK525" s="1"/>
      <c r="AM525" s="1"/>
    </row>
    <row r="526" ht="12.75" customHeight="1">
      <c r="A526" s="1"/>
      <c r="B526" s="1" t="str">
        <f t="shared" si="261"/>
        <v>77 </v>
      </c>
      <c r="C526" s="1" t="s">
        <v>858</v>
      </c>
      <c r="D526" s="1" t="s">
        <v>859</v>
      </c>
      <c r="E526" s="1" t="s">
        <v>860</v>
      </c>
      <c r="F526" s="1" t="s">
        <v>861</v>
      </c>
      <c r="G526" s="1" t="s">
        <v>862</v>
      </c>
      <c r="H526" s="1" t="s">
        <v>863</v>
      </c>
      <c r="I526" s="315" t="s">
        <v>864</v>
      </c>
      <c r="K526" s="1"/>
      <c r="L526" s="1"/>
      <c r="M526" s="1"/>
      <c r="N526" s="1"/>
      <c r="O526" s="1"/>
      <c r="V526" s="1"/>
      <c r="AK526" s="1"/>
      <c r="AM526" s="1"/>
    </row>
    <row r="527" ht="12.75" customHeight="1">
      <c r="A527" s="1"/>
      <c r="B527" s="1" t="str">
        <f t="shared" si="261"/>
        <v>78 </v>
      </c>
      <c r="C527" s="1" t="s">
        <v>865</v>
      </c>
      <c r="D527" s="1" t="s">
        <v>866</v>
      </c>
      <c r="E527" s="19" t="s">
        <v>589</v>
      </c>
      <c r="F527" s="19" t="s">
        <v>867</v>
      </c>
      <c r="G527" s="19" t="s">
        <v>868</v>
      </c>
      <c r="H527" s="245" t="s">
        <v>869</v>
      </c>
      <c r="I527" s="4" t="s">
        <v>870</v>
      </c>
      <c r="K527" s="1"/>
      <c r="L527" s="1"/>
      <c r="M527" s="1"/>
      <c r="N527" s="1"/>
      <c r="O527" s="1"/>
      <c r="V527" s="1"/>
      <c r="AK527" s="1"/>
      <c r="AM527" s="1"/>
    </row>
    <row r="528" ht="12.75" customHeight="1">
      <c r="A528" s="1"/>
      <c r="B528" s="1" t="str">
        <f t="shared" si="261"/>
        <v>79 </v>
      </c>
      <c r="C528" s="182" t="s">
        <v>82</v>
      </c>
      <c r="D528" s="182" t="s">
        <v>82</v>
      </c>
      <c r="E528" s="182" t="s">
        <v>871</v>
      </c>
      <c r="F528" s="182" t="s">
        <v>82</v>
      </c>
      <c r="G528" s="182" t="s">
        <v>82</v>
      </c>
      <c r="H528" s="182" t="s">
        <v>872</v>
      </c>
      <c r="I528" s="309" t="s">
        <v>873</v>
      </c>
      <c r="K528" s="1"/>
      <c r="L528" s="1"/>
      <c r="M528" s="1"/>
      <c r="N528" s="1"/>
      <c r="O528" s="1"/>
      <c r="V528" s="1"/>
      <c r="AK528" s="1"/>
      <c r="AM528" s="1"/>
    </row>
    <row r="529" ht="12.75" customHeight="1">
      <c r="A529" s="1"/>
      <c r="B529" s="1" t="str">
        <f t="shared" si="261"/>
        <v>80 </v>
      </c>
      <c r="C529" s="245" t="s">
        <v>874</v>
      </c>
      <c r="D529" s="245" t="s">
        <v>875</v>
      </c>
      <c r="E529" s="245" t="s">
        <v>876</v>
      </c>
      <c r="F529" s="245" t="s">
        <v>877</v>
      </c>
      <c r="G529" s="245" t="s">
        <v>878</v>
      </c>
      <c r="H529" s="1" t="s">
        <v>879</v>
      </c>
      <c r="I529" s="316" t="s">
        <v>880</v>
      </c>
      <c r="K529" s="1"/>
      <c r="L529" s="1"/>
      <c r="M529" s="1"/>
      <c r="N529" s="1"/>
      <c r="O529" s="1"/>
      <c r="V529" s="1"/>
      <c r="AK529" s="1"/>
      <c r="AM529" s="1"/>
    </row>
    <row r="530" ht="12.75" customHeight="1">
      <c r="A530" s="1"/>
      <c r="B530" s="1" t="str">
        <f t="shared" si="261"/>
        <v>81 </v>
      </c>
      <c r="C530" s="245" t="s">
        <v>881</v>
      </c>
      <c r="D530" s="245" t="s">
        <v>882</v>
      </c>
      <c r="E530" s="245" t="s">
        <v>883</v>
      </c>
      <c r="F530" s="245" t="s">
        <v>884</v>
      </c>
      <c r="G530" s="245" t="s">
        <v>885</v>
      </c>
      <c r="H530" s="1" t="s">
        <v>886</v>
      </c>
      <c r="I530" s="4" t="s">
        <v>887</v>
      </c>
      <c r="K530" s="1"/>
      <c r="L530" s="1"/>
      <c r="M530" s="1"/>
      <c r="N530" s="1"/>
      <c r="O530" s="1"/>
      <c r="V530" s="1"/>
      <c r="AK530" s="1"/>
      <c r="AM530" s="1"/>
    </row>
    <row r="531" ht="12.75" customHeight="1">
      <c r="A531" s="1"/>
      <c r="B531" s="1" t="str">
        <f t="shared" si="261"/>
        <v>82 </v>
      </c>
      <c r="C531" s="245" t="s">
        <v>888</v>
      </c>
      <c r="D531" s="245" t="s">
        <v>889</v>
      </c>
      <c r="E531" s="245" t="s">
        <v>890</v>
      </c>
      <c r="F531" s="245" t="s">
        <v>891</v>
      </c>
      <c r="G531" s="245" t="s">
        <v>892</v>
      </c>
      <c r="H531" s="1" t="s">
        <v>893</v>
      </c>
      <c r="I531" s="4" t="s">
        <v>894</v>
      </c>
      <c r="K531" s="1"/>
      <c r="L531" s="1"/>
      <c r="M531" s="1"/>
      <c r="N531" s="1"/>
      <c r="O531" s="1"/>
      <c r="V531" s="1"/>
      <c r="AK531" s="1"/>
      <c r="AM531" s="1"/>
    </row>
    <row r="532" ht="12.75" customHeight="1">
      <c r="A532" s="1"/>
      <c r="B532" s="1" t="str">
        <f t="shared" si="261"/>
        <v>83 </v>
      </c>
      <c r="C532" s="245" t="s">
        <v>895</v>
      </c>
      <c r="D532" s="245" t="s">
        <v>896</v>
      </c>
      <c r="E532" s="245" t="s">
        <v>897</v>
      </c>
      <c r="F532" s="245" t="s">
        <v>898</v>
      </c>
      <c r="G532" s="245" t="s">
        <v>899</v>
      </c>
      <c r="H532" s="1" t="s">
        <v>900</v>
      </c>
      <c r="I532" s="309" t="s">
        <v>901</v>
      </c>
      <c r="K532" s="1"/>
      <c r="L532" s="1"/>
      <c r="M532" s="1"/>
      <c r="N532" s="1"/>
      <c r="O532" s="1"/>
      <c r="V532" s="1"/>
      <c r="AK532" s="1"/>
      <c r="AM532" s="1"/>
    </row>
    <row r="533" ht="12.75" customHeight="1">
      <c r="A533" s="1"/>
      <c r="B533" s="1" t="str">
        <f t="shared" si="261"/>
        <v>84 </v>
      </c>
      <c r="C533" s="245" t="s">
        <v>902</v>
      </c>
      <c r="D533" s="245" t="s">
        <v>903</v>
      </c>
      <c r="E533" s="245" t="s">
        <v>904</v>
      </c>
      <c r="F533" s="245" t="s">
        <v>905</v>
      </c>
      <c r="G533" s="182" t="s">
        <v>906</v>
      </c>
      <c r="H533" s="307" t="s">
        <v>907</v>
      </c>
      <c r="I533" s="309" t="s">
        <v>908</v>
      </c>
      <c r="K533" s="1"/>
      <c r="L533" s="1"/>
      <c r="M533" s="1"/>
      <c r="N533" s="1"/>
      <c r="O533" s="1"/>
      <c r="V533" s="1"/>
      <c r="AK533" s="1"/>
      <c r="AM533" s="1"/>
    </row>
    <row r="534" ht="12.75" customHeight="1">
      <c r="A534" s="1"/>
      <c r="B534" s="1" t="str">
        <f t="shared" si="261"/>
        <v>85 </v>
      </c>
      <c r="C534" s="245" t="s">
        <v>909</v>
      </c>
      <c r="D534" s="245" t="s">
        <v>910</v>
      </c>
      <c r="E534" s="245" t="s">
        <v>911</v>
      </c>
      <c r="F534" s="245" t="s">
        <v>912</v>
      </c>
      <c r="G534" s="245" t="s">
        <v>913</v>
      </c>
      <c r="H534" s="1" t="s">
        <v>913</v>
      </c>
      <c r="I534" s="4" t="s">
        <v>914</v>
      </c>
      <c r="K534" s="1"/>
      <c r="L534" s="1"/>
      <c r="M534" s="1"/>
      <c r="N534" s="1"/>
      <c r="O534" s="1"/>
      <c r="V534" s="1"/>
      <c r="AK534" s="1"/>
      <c r="AM534" s="1"/>
    </row>
    <row r="535" ht="12.75" customHeight="1">
      <c r="A535" s="1"/>
      <c r="B535" s="1" t="str">
        <f t="shared" si="261"/>
        <v>86 </v>
      </c>
      <c r="C535" s="245" t="s">
        <v>915</v>
      </c>
      <c r="D535" s="245" t="s">
        <v>916</v>
      </c>
      <c r="E535" s="245" t="s">
        <v>917</v>
      </c>
      <c r="F535" s="245" t="s">
        <v>918</v>
      </c>
      <c r="G535" s="245" t="s">
        <v>919</v>
      </c>
      <c r="H535" s="307" t="s">
        <v>920</v>
      </c>
      <c r="I535" s="309" t="s">
        <v>921</v>
      </c>
      <c r="K535" s="310"/>
      <c r="L535" s="1"/>
      <c r="M535" s="1"/>
      <c r="N535" s="1"/>
      <c r="O535" s="1"/>
      <c r="V535" s="1"/>
      <c r="AK535" s="1"/>
      <c r="AM535" s="1"/>
    </row>
    <row r="536" ht="12.75" customHeight="1">
      <c r="A536" s="1"/>
      <c r="B536" s="1" t="str">
        <f t="shared" si="261"/>
        <v>87 </v>
      </c>
      <c r="C536" s="245" t="s">
        <v>922</v>
      </c>
      <c r="D536" s="245" t="s">
        <v>923</v>
      </c>
      <c r="E536" s="245" t="s">
        <v>924</v>
      </c>
      <c r="F536" s="245" t="s">
        <v>925</v>
      </c>
      <c r="G536" s="245" t="s">
        <v>926</v>
      </c>
      <c r="H536" s="1" t="s">
        <v>927</v>
      </c>
      <c r="I536" s="309" t="s">
        <v>928</v>
      </c>
      <c r="K536" s="1"/>
      <c r="L536" s="1"/>
      <c r="M536" s="1"/>
      <c r="N536" s="1"/>
      <c r="O536" s="1"/>
      <c r="V536" s="1"/>
      <c r="AK536" s="1"/>
      <c r="AM536" s="1"/>
    </row>
    <row r="537" ht="12.75" customHeight="1">
      <c r="A537" s="1"/>
      <c r="B537" s="1" t="str">
        <f t="shared" si="261"/>
        <v>88 </v>
      </c>
      <c r="C537" s="245" t="s">
        <v>929</v>
      </c>
      <c r="D537" s="245" t="s">
        <v>930</v>
      </c>
      <c r="E537" s="245" t="s">
        <v>931</v>
      </c>
      <c r="F537" s="245" t="s">
        <v>932</v>
      </c>
      <c r="G537" s="245" t="s">
        <v>933</v>
      </c>
      <c r="H537" s="1" t="s">
        <v>934</v>
      </c>
      <c r="I537" s="4" t="s">
        <v>935</v>
      </c>
      <c r="K537" s="1"/>
      <c r="L537" s="1"/>
      <c r="M537" s="1"/>
      <c r="N537" s="1"/>
      <c r="O537" s="1"/>
      <c r="V537" s="1"/>
      <c r="AK537" s="1"/>
      <c r="AM537" s="1"/>
    </row>
    <row r="538" ht="12.75" customHeight="1">
      <c r="A538" s="1"/>
      <c r="B538" s="1" t="str">
        <f t="shared" si="261"/>
        <v>89 </v>
      </c>
      <c r="C538" s="245" t="s">
        <v>936</v>
      </c>
      <c r="D538" s="245" t="s">
        <v>937</v>
      </c>
      <c r="E538" s="19" t="s">
        <v>938</v>
      </c>
      <c r="F538" s="245" t="s">
        <v>939</v>
      </c>
      <c r="G538" s="245" t="s">
        <v>940</v>
      </c>
      <c r="H538" s="245" t="s">
        <v>941</v>
      </c>
      <c r="I538" s="4" t="s">
        <v>942</v>
      </c>
      <c r="K538" s="1"/>
      <c r="L538" s="1"/>
      <c r="M538" s="1"/>
      <c r="N538" s="1"/>
      <c r="O538" s="1"/>
      <c r="V538" s="1"/>
      <c r="AK538" s="1"/>
      <c r="AM538" s="1"/>
    </row>
    <row r="539" ht="12.75" customHeight="1">
      <c r="A539" s="1"/>
      <c r="B539" s="1" t="str">
        <f t="shared" si="261"/>
        <v>90 </v>
      </c>
      <c r="C539" s="245" t="s">
        <v>943</v>
      </c>
      <c r="D539" s="245" t="s">
        <v>944</v>
      </c>
      <c r="E539" s="74" t="s">
        <v>945</v>
      </c>
      <c r="F539" s="74" t="s">
        <v>946</v>
      </c>
      <c r="G539" s="74" t="s">
        <v>946</v>
      </c>
      <c r="H539" s="245" t="s">
        <v>947</v>
      </c>
      <c r="I539" s="309" t="s">
        <v>948</v>
      </c>
      <c r="K539" s="1"/>
      <c r="L539" s="1"/>
      <c r="M539" s="1"/>
      <c r="N539" s="1"/>
      <c r="O539" s="1"/>
      <c r="V539" s="1"/>
      <c r="AK539" s="1"/>
      <c r="AM539" s="1"/>
    </row>
    <row r="540" ht="12.75" customHeight="1">
      <c r="A540" s="1"/>
      <c r="B540" s="1" t="str">
        <f t="shared" si="261"/>
        <v>91 </v>
      </c>
      <c r="C540" s="245" t="s">
        <v>949</v>
      </c>
      <c r="D540" s="245" t="s">
        <v>950</v>
      </c>
      <c r="E540" s="4" t="s">
        <v>951</v>
      </c>
      <c r="F540" s="1" t="s">
        <v>952</v>
      </c>
      <c r="G540" s="1" t="s">
        <v>953</v>
      </c>
      <c r="H540" s="307" t="s">
        <v>954</v>
      </c>
      <c r="I540" s="309" t="s">
        <v>955</v>
      </c>
      <c r="K540" s="1"/>
      <c r="L540" s="1"/>
      <c r="M540" s="1"/>
      <c r="N540" s="1"/>
      <c r="O540" s="1"/>
      <c r="V540" s="1"/>
      <c r="AK540" s="1"/>
      <c r="AM540" s="1"/>
    </row>
    <row r="541" ht="12.75" customHeight="1">
      <c r="A541" s="1"/>
      <c r="B541" s="1" t="str">
        <f t="shared" si="261"/>
        <v>92 </v>
      </c>
      <c r="C541" s="245" t="s">
        <v>956</v>
      </c>
      <c r="D541" s="245" t="s">
        <v>957</v>
      </c>
      <c r="E541" s="4" t="s">
        <v>958</v>
      </c>
      <c r="F541" s="4" t="s">
        <v>959</v>
      </c>
      <c r="G541" s="4" t="s">
        <v>960</v>
      </c>
      <c r="H541" s="182" t="s">
        <v>961</v>
      </c>
      <c r="I541" s="309" t="s">
        <v>962</v>
      </c>
      <c r="K541" s="1"/>
      <c r="L541" s="1"/>
      <c r="M541" s="1"/>
      <c r="N541" s="1"/>
      <c r="O541" s="1"/>
      <c r="V541" s="1"/>
      <c r="AK541" s="1"/>
      <c r="AM541" s="1"/>
    </row>
    <row r="542" ht="12.75" customHeight="1">
      <c r="A542" s="1"/>
      <c r="B542" s="1" t="str">
        <f t="shared" si="261"/>
        <v>93 </v>
      </c>
      <c r="C542" s="245" t="s">
        <v>963</v>
      </c>
      <c r="D542" s="1" t="s">
        <v>964</v>
      </c>
      <c r="E542" s="1" t="s">
        <v>964</v>
      </c>
      <c r="F542" s="1" t="s">
        <v>965</v>
      </c>
      <c r="G542" s="1" t="s">
        <v>966</v>
      </c>
      <c r="H542" s="1" t="s">
        <v>967</v>
      </c>
      <c r="I542" s="312" t="s">
        <v>968</v>
      </c>
      <c r="K542" s="1"/>
      <c r="L542" s="1"/>
      <c r="M542" s="1"/>
      <c r="N542" s="1"/>
      <c r="O542" s="1"/>
      <c r="V542" s="1"/>
      <c r="AK542" s="1"/>
      <c r="AM542" s="1"/>
    </row>
    <row r="543" ht="12.75" customHeight="1">
      <c r="A543" s="1"/>
      <c r="B543" s="1" t="str">
        <f t="shared" si="261"/>
        <v>94 </v>
      </c>
      <c r="C543" s="245" t="s">
        <v>969</v>
      </c>
      <c r="D543" s="1" t="s">
        <v>970</v>
      </c>
      <c r="E543" s="1" t="s">
        <v>971</v>
      </c>
      <c r="F543" s="1" t="s">
        <v>972</v>
      </c>
      <c r="G543" s="1" t="s">
        <v>973</v>
      </c>
      <c r="H543" s="1" t="s">
        <v>974</v>
      </c>
      <c r="I543" s="312" t="s">
        <v>975</v>
      </c>
      <c r="K543" s="1"/>
      <c r="L543" s="1"/>
      <c r="M543" s="1"/>
      <c r="N543" s="1"/>
      <c r="O543" s="1"/>
      <c r="V543" s="1"/>
      <c r="AK543" s="1"/>
      <c r="AM543" s="1"/>
    </row>
    <row r="544" ht="12.75" customHeight="1">
      <c r="A544" s="1"/>
      <c r="B544" s="1" t="str">
        <f t="shared" si="261"/>
        <v>95 </v>
      </c>
      <c r="C544" s="245" t="s">
        <v>976</v>
      </c>
      <c r="D544" s="1" t="s">
        <v>977</v>
      </c>
      <c r="E544" s="1" t="s">
        <v>978</v>
      </c>
      <c r="F544" s="1" t="s">
        <v>979</v>
      </c>
      <c r="G544" s="1" t="s">
        <v>979</v>
      </c>
      <c r="H544" s="1" t="s">
        <v>980</v>
      </c>
      <c r="I544" s="312" t="s">
        <v>981</v>
      </c>
      <c r="K544" s="1"/>
      <c r="L544" s="1"/>
      <c r="M544" s="1"/>
      <c r="N544" s="1"/>
      <c r="O544" s="1"/>
      <c r="V544" s="1"/>
      <c r="AK544" s="1"/>
      <c r="AM544" s="1"/>
    </row>
    <row r="545" ht="12.75" customHeight="1">
      <c r="A545" s="1"/>
      <c r="B545" s="1" t="str">
        <f t="shared" si="261"/>
        <v>96 </v>
      </c>
      <c r="C545" s="245" t="s">
        <v>982</v>
      </c>
      <c r="D545" s="245" t="s">
        <v>982</v>
      </c>
      <c r="E545" s="245" t="s">
        <v>982</v>
      </c>
      <c r="F545" s="245" t="s">
        <v>982</v>
      </c>
      <c r="G545" s="245" t="s">
        <v>982</v>
      </c>
      <c r="H545" s="245" t="s">
        <v>982</v>
      </c>
      <c r="I545" s="309" t="s">
        <v>983</v>
      </c>
      <c r="K545" s="1"/>
      <c r="L545" s="1"/>
      <c r="M545" s="1"/>
      <c r="N545" s="1"/>
      <c r="O545" s="1"/>
      <c r="V545" s="1"/>
      <c r="AK545" s="1"/>
      <c r="AM545" s="1"/>
    </row>
    <row r="546" ht="12.75" customHeight="1">
      <c r="A546" s="1"/>
      <c r="B546" s="1" t="str">
        <f t="shared" si="261"/>
        <v>97 </v>
      </c>
      <c r="C546" s="245" t="s">
        <v>984</v>
      </c>
      <c r="D546" s="245" t="s">
        <v>984</v>
      </c>
      <c r="E546" s="245" t="s">
        <v>984</v>
      </c>
      <c r="F546" s="245" t="s">
        <v>984</v>
      </c>
      <c r="G546" s="245" t="s">
        <v>984</v>
      </c>
      <c r="H546" s="245" t="s">
        <v>984</v>
      </c>
      <c r="I546" s="315" t="s">
        <v>985</v>
      </c>
      <c r="K546" s="1"/>
      <c r="L546" s="1"/>
      <c r="M546" s="1"/>
      <c r="N546" s="1"/>
      <c r="O546" s="1"/>
      <c r="V546" s="1"/>
      <c r="AK546" s="1"/>
      <c r="AM546" s="1"/>
    </row>
    <row r="547" ht="12.75" customHeight="1">
      <c r="A547" s="1"/>
      <c r="B547" s="1" t="str">
        <f t="shared" si="261"/>
        <v>98 </v>
      </c>
      <c r="C547" s="245" t="s">
        <v>986</v>
      </c>
      <c r="D547" s="245" t="s">
        <v>987</v>
      </c>
      <c r="E547" s="245" t="s">
        <v>988</v>
      </c>
      <c r="F547" s="245" t="s">
        <v>989</v>
      </c>
      <c r="G547" s="245" t="s">
        <v>990</v>
      </c>
      <c r="H547" s="245" t="s">
        <v>991</v>
      </c>
      <c r="I547" s="4" t="s">
        <v>992</v>
      </c>
      <c r="K547" s="1"/>
      <c r="L547" s="1"/>
      <c r="M547" s="1"/>
      <c r="N547" s="1"/>
      <c r="O547" s="1"/>
      <c r="V547" s="1"/>
      <c r="AK547" s="1"/>
      <c r="AM547" s="1"/>
    </row>
    <row r="548" ht="12.75" customHeight="1">
      <c r="A548" s="1"/>
      <c r="B548" s="1" t="str">
        <f t="shared" si="261"/>
        <v>99 </v>
      </c>
      <c r="C548" s="245" t="s">
        <v>993</v>
      </c>
      <c r="D548" s="245" t="s">
        <v>994</v>
      </c>
      <c r="E548" s="245" t="s">
        <v>995</v>
      </c>
      <c r="F548" s="245" t="s">
        <v>996</v>
      </c>
      <c r="G548" s="245" t="s">
        <v>997</v>
      </c>
      <c r="H548" s="245" t="s">
        <v>998</v>
      </c>
      <c r="I548" s="4" t="s">
        <v>999</v>
      </c>
      <c r="K548" s="1"/>
      <c r="L548" s="1"/>
      <c r="M548" s="1"/>
      <c r="N548" s="1"/>
      <c r="O548" s="1"/>
      <c r="V548" s="1"/>
      <c r="AK548" s="1"/>
      <c r="AM548" s="1"/>
    </row>
    <row r="549" ht="12.75" customHeight="1">
      <c r="A549" s="1"/>
      <c r="B549" s="1" t="str">
        <f t="shared" si="261"/>
        <v>100 </v>
      </c>
      <c r="C549" s="245" t="s">
        <v>1000</v>
      </c>
      <c r="D549" s="245" t="s">
        <v>1001</v>
      </c>
      <c r="E549" s="245" t="s">
        <v>1002</v>
      </c>
      <c r="F549" s="245" t="s">
        <v>1003</v>
      </c>
      <c r="G549" s="245" t="s">
        <v>1004</v>
      </c>
      <c r="H549" s="245" t="s">
        <v>1005</v>
      </c>
      <c r="I549" s="4" t="s">
        <v>1006</v>
      </c>
      <c r="K549" s="1"/>
      <c r="L549" s="1"/>
      <c r="M549" s="1"/>
      <c r="N549" s="1"/>
      <c r="O549" s="1"/>
      <c r="V549" s="1"/>
      <c r="AK549" s="1"/>
      <c r="AM549" s="1"/>
    </row>
    <row r="550" ht="12.75" customHeight="1">
      <c r="A550" s="1"/>
      <c r="B550" s="1" t="str">
        <f t="shared" si="261"/>
        <v>101 </v>
      </c>
      <c r="C550" s="245" t="s">
        <v>1007</v>
      </c>
      <c r="D550" s="245" t="s">
        <v>1008</v>
      </c>
      <c r="E550" s="245" t="s">
        <v>1009</v>
      </c>
      <c r="F550" s="245" t="s">
        <v>1010</v>
      </c>
      <c r="G550" s="245" t="s">
        <v>1011</v>
      </c>
      <c r="H550" s="182" t="s">
        <v>1012</v>
      </c>
      <c r="I550" s="317" t="s">
        <v>1013</v>
      </c>
      <c r="K550" s="1"/>
      <c r="L550" s="1"/>
      <c r="M550" s="1"/>
      <c r="N550" s="1"/>
      <c r="O550" s="1"/>
      <c r="V550" s="1"/>
      <c r="AK550" s="1"/>
      <c r="AM550" s="1"/>
    </row>
    <row r="551" ht="12.75" customHeight="1">
      <c r="A551" s="1"/>
      <c r="B551" s="1" t="str">
        <f t="shared" si="261"/>
        <v>102 </v>
      </c>
      <c r="C551" s="245" t="s">
        <v>1014</v>
      </c>
      <c r="D551" s="245" t="s">
        <v>1015</v>
      </c>
      <c r="E551" s="245" t="s">
        <v>1016</v>
      </c>
      <c r="F551" s="245" t="s">
        <v>1017</v>
      </c>
      <c r="G551" s="245" t="s">
        <v>1018</v>
      </c>
      <c r="H551" s="245" t="s">
        <v>1019</v>
      </c>
      <c r="I551" s="4" t="s">
        <v>1020</v>
      </c>
      <c r="K551" s="1"/>
      <c r="L551" s="1"/>
      <c r="M551" s="1"/>
      <c r="N551" s="1"/>
      <c r="O551" s="1"/>
      <c r="V551" s="1"/>
      <c r="AK551" s="1"/>
      <c r="AM551" s="1"/>
    </row>
    <row r="552" ht="12.75" customHeight="1">
      <c r="A552" s="1"/>
      <c r="B552" s="1" t="str">
        <f t="shared" si="261"/>
        <v>103 </v>
      </c>
      <c r="C552" s="4" t="s">
        <v>1021</v>
      </c>
      <c r="D552" s="4" t="s">
        <v>1022</v>
      </c>
      <c r="E552" s="4" t="s">
        <v>1023</v>
      </c>
      <c r="F552" s="1" t="s">
        <v>1024</v>
      </c>
      <c r="G552" s="1" t="s">
        <v>1025</v>
      </c>
      <c r="H552" s="1" t="s">
        <v>1026</v>
      </c>
      <c r="I552" s="309" t="s">
        <v>1027</v>
      </c>
      <c r="K552" s="1"/>
      <c r="L552" s="1"/>
      <c r="M552" s="1"/>
      <c r="N552" s="1"/>
      <c r="O552" s="1"/>
      <c r="V552" s="1"/>
      <c r="AK552" s="1"/>
      <c r="AM552" s="1"/>
    </row>
    <row r="553" ht="12.75" customHeight="1">
      <c r="A553" s="1"/>
      <c r="B553" s="1" t="str">
        <f t="shared" si="261"/>
        <v>104 </v>
      </c>
      <c r="C553" s="4" t="s">
        <v>1028</v>
      </c>
      <c r="D553" s="4" t="s">
        <v>1029</v>
      </c>
      <c r="E553" s="4" t="s">
        <v>1030</v>
      </c>
      <c r="F553" s="1" t="s">
        <v>1031</v>
      </c>
      <c r="G553" s="1" t="s">
        <v>1032</v>
      </c>
      <c r="H553" s="1" t="s">
        <v>1033</v>
      </c>
      <c r="I553" s="312" t="s">
        <v>1034</v>
      </c>
      <c r="K553" s="1"/>
      <c r="L553" s="1"/>
      <c r="M553" s="1"/>
      <c r="N553" s="1"/>
      <c r="O553" s="1"/>
      <c r="V553" s="1"/>
      <c r="AK553" s="1"/>
      <c r="AM553" s="1"/>
    </row>
    <row r="554" ht="12.75" customHeight="1">
      <c r="A554" s="1"/>
      <c r="B554" s="1" t="str">
        <f t="shared" si="261"/>
        <v>105 </v>
      </c>
      <c r="C554" s="4" t="s">
        <v>1035</v>
      </c>
      <c r="D554" s="4" t="s">
        <v>1036</v>
      </c>
      <c r="E554" s="4" t="s">
        <v>1037</v>
      </c>
      <c r="F554" s="1" t="s">
        <v>1038</v>
      </c>
      <c r="G554" s="1" t="s">
        <v>1039</v>
      </c>
      <c r="H554" s="1" t="s">
        <v>1040</v>
      </c>
      <c r="I554" s="312" t="s">
        <v>1041</v>
      </c>
      <c r="K554" s="1"/>
      <c r="L554" s="1"/>
      <c r="M554" s="1"/>
      <c r="N554" s="1"/>
      <c r="O554" s="1"/>
      <c r="V554" s="1"/>
      <c r="AK554" s="1"/>
      <c r="AM554" s="1"/>
    </row>
    <row r="555" ht="12.75" customHeight="1">
      <c r="A555" s="1"/>
      <c r="B555" s="1" t="str">
        <f t="shared" si="261"/>
        <v>106 </v>
      </c>
      <c r="C555" s="4" t="s">
        <v>1042</v>
      </c>
      <c r="D555" s="4" t="s">
        <v>1043</v>
      </c>
      <c r="E555" s="4" t="s">
        <v>1044</v>
      </c>
      <c r="F555" s="1" t="s">
        <v>1045</v>
      </c>
      <c r="G555" s="4" t="s">
        <v>1046</v>
      </c>
      <c r="H555" s="4" t="s">
        <v>1047</v>
      </c>
      <c r="I555" s="4" t="s">
        <v>1048</v>
      </c>
      <c r="K555" s="1"/>
      <c r="L555" s="1"/>
      <c r="M555" s="1"/>
      <c r="N555" s="1"/>
      <c r="O555" s="1"/>
      <c r="V555" s="1"/>
      <c r="AK555" s="1"/>
      <c r="AM555" s="1"/>
    </row>
    <row r="556" ht="12.75" customHeight="1">
      <c r="A556" s="1"/>
      <c r="B556" s="1" t="str">
        <f t="shared" si="261"/>
        <v>107 </v>
      </c>
      <c r="C556" s="4" t="s">
        <v>1049</v>
      </c>
      <c r="D556" s="4" t="s">
        <v>1050</v>
      </c>
      <c r="E556" s="4" t="s">
        <v>1051</v>
      </c>
      <c r="F556" s="4" t="s">
        <v>1052</v>
      </c>
      <c r="G556" s="4" t="s">
        <v>1053</v>
      </c>
      <c r="H556" s="4" t="s">
        <v>1054</v>
      </c>
      <c r="I556" s="4" t="s">
        <v>1055</v>
      </c>
      <c r="K556" s="1"/>
      <c r="L556" s="1"/>
      <c r="M556" s="1"/>
      <c r="N556" s="1"/>
      <c r="O556" s="1"/>
      <c r="V556" s="1"/>
      <c r="AK556" s="1"/>
      <c r="AM556" s="1"/>
    </row>
    <row r="557" ht="12.75" customHeight="1">
      <c r="A557" s="1"/>
      <c r="B557" s="1" t="str">
        <f t="shared" si="261"/>
        <v>108 </v>
      </c>
      <c r="C557" s="245" t="s">
        <v>1056</v>
      </c>
      <c r="D557" s="245" t="s">
        <v>1057</v>
      </c>
      <c r="E557" s="245" t="s">
        <v>1058</v>
      </c>
      <c r="F557" s="245" t="s">
        <v>1059</v>
      </c>
      <c r="G557" s="245" t="s">
        <v>1060</v>
      </c>
      <c r="H557" s="245" t="s">
        <v>1061</v>
      </c>
      <c r="I557" s="4" t="s">
        <v>1062</v>
      </c>
      <c r="K557" s="1"/>
      <c r="L557" s="1"/>
      <c r="M557" s="1"/>
      <c r="N557" s="1"/>
      <c r="O557" s="1"/>
      <c r="V557" s="1"/>
      <c r="AK557" s="1"/>
      <c r="AM557" s="1"/>
    </row>
    <row r="558" ht="12.75" customHeight="1">
      <c r="A558" s="1"/>
      <c r="B558" s="1" t="str">
        <f t="shared" si="261"/>
        <v>109 </v>
      </c>
      <c r="C558" s="245" t="s">
        <v>1063</v>
      </c>
      <c r="D558" s="245" t="s">
        <v>1064</v>
      </c>
      <c r="E558" s="19" t="s">
        <v>1065</v>
      </c>
      <c r="F558" s="245" t="s">
        <v>1066</v>
      </c>
      <c r="G558" s="245" t="s">
        <v>1066</v>
      </c>
      <c r="H558" s="1" t="s">
        <v>1067</v>
      </c>
      <c r="I558" s="4" t="s">
        <v>1068</v>
      </c>
      <c r="K558" s="1"/>
      <c r="L558" s="1"/>
      <c r="M558" s="1"/>
      <c r="N558" s="1"/>
      <c r="O558" s="1"/>
      <c r="V558" s="1"/>
      <c r="AK558" s="1"/>
      <c r="AM558" s="1"/>
    </row>
    <row r="559" ht="12.75" customHeight="1">
      <c r="A559" s="1"/>
      <c r="B559" s="1" t="str">
        <f t="shared" si="261"/>
        <v>110 </v>
      </c>
      <c r="C559" s="245" t="s">
        <v>1069</v>
      </c>
      <c r="D559" s="245" t="s">
        <v>1070</v>
      </c>
      <c r="E559" s="4" t="s">
        <v>1071</v>
      </c>
      <c r="F559" s="245" t="s">
        <v>1072</v>
      </c>
      <c r="G559" s="245" t="s">
        <v>1073</v>
      </c>
      <c r="H559" s="245" t="s">
        <v>1074</v>
      </c>
      <c r="I559" s="4" t="s">
        <v>1075</v>
      </c>
      <c r="K559" s="1"/>
      <c r="L559" s="1"/>
      <c r="M559" s="1"/>
      <c r="N559" s="1"/>
      <c r="O559" s="1"/>
      <c r="V559" s="1"/>
      <c r="AK559" s="1"/>
      <c r="AM559" s="1"/>
    </row>
    <row r="560" ht="12.75" customHeight="1">
      <c r="A560" s="1"/>
      <c r="B560" s="1" t="str">
        <f t="shared" si="261"/>
        <v>111 </v>
      </c>
      <c r="C560" s="245" t="s">
        <v>1076</v>
      </c>
      <c r="D560" s="245" t="s">
        <v>1077</v>
      </c>
      <c r="E560" s="4" t="s">
        <v>1078</v>
      </c>
      <c r="F560" s="245" t="s">
        <v>1079</v>
      </c>
      <c r="G560" s="245" t="s">
        <v>1080</v>
      </c>
      <c r="H560" s="245" t="s">
        <v>1081</v>
      </c>
      <c r="I560" s="4" t="s">
        <v>1082</v>
      </c>
      <c r="K560" s="1"/>
      <c r="L560" s="1"/>
      <c r="M560" s="1"/>
      <c r="N560" s="1"/>
      <c r="O560" s="1"/>
      <c r="V560" s="1"/>
      <c r="AK560" s="1"/>
      <c r="AM560" s="1"/>
    </row>
    <row r="561" ht="12.75" customHeight="1">
      <c r="A561" s="1"/>
      <c r="B561" s="1" t="str">
        <f t="shared" si="261"/>
        <v>112 </v>
      </c>
      <c r="C561" s="245" t="s">
        <v>1083</v>
      </c>
      <c r="D561" s="245" t="s">
        <v>1084</v>
      </c>
      <c r="E561" s="4" t="s">
        <v>1085</v>
      </c>
      <c r="F561" s="245" t="s">
        <v>1086</v>
      </c>
      <c r="G561" s="245" t="s">
        <v>1087</v>
      </c>
      <c r="H561" s="245" t="s">
        <v>1088</v>
      </c>
      <c r="I561" s="4" t="s">
        <v>1089</v>
      </c>
      <c r="K561" s="1"/>
      <c r="L561" s="1"/>
      <c r="M561" s="1"/>
      <c r="N561" s="1"/>
      <c r="O561" s="1"/>
      <c r="V561" s="1"/>
      <c r="AK561" s="1"/>
      <c r="AM561" s="1"/>
    </row>
    <row r="562" ht="12.75" customHeight="1">
      <c r="A562" s="1"/>
      <c r="B562" s="1" t="str">
        <f t="shared" si="261"/>
        <v>113 </v>
      </c>
      <c r="C562" s="245" t="s">
        <v>1090</v>
      </c>
      <c r="D562" s="245" t="s">
        <v>1090</v>
      </c>
      <c r="E562" s="4" t="s">
        <v>1091</v>
      </c>
      <c r="F562" s="245" t="s">
        <v>1090</v>
      </c>
      <c r="G562" s="245" t="s">
        <v>1090</v>
      </c>
      <c r="H562" s="245" t="s">
        <v>1090</v>
      </c>
      <c r="I562" s="4" t="s">
        <v>1092</v>
      </c>
      <c r="K562" s="1"/>
      <c r="L562" s="1"/>
      <c r="M562" s="1"/>
      <c r="N562" s="1"/>
      <c r="O562" s="1"/>
      <c r="V562" s="1"/>
      <c r="AK562" s="1"/>
      <c r="AM562" s="1"/>
    </row>
    <row r="563" ht="12.75" customHeight="1">
      <c r="A563" s="1"/>
      <c r="B563" s="1" t="str">
        <f t="shared" si="261"/>
        <v>114 </v>
      </c>
      <c r="C563" s="245" t="s">
        <v>706</v>
      </c>
      <c r="D563" s="245" t="s">
        <v>1093</v>
      </c>
      <c r="E563" s="4" t="s">
        <v>1094</v>
      </c>
      <c r="F563" s="4" t="s">
        <v>1095</v>
      </c>
      <c r="G563" s="4" t="s">
        <v>1095</v>
      </c>
      <c r="H563" s="245" t="s">
        <v>1096</v>
      </c>
      <c r="I563" s="4" t="s">
        <v>1097</v>
      </c>
      <c r="K563" s="1"/>
      <c r="L563" s="1"/>
      <c r="M563" s="1"/>
      <c r="N563" s="1"/>
      <c r="O563" s="1"/>
      <c r="V563" s="1"/>
      <c r="AK563" s="1"/>
      <c r="AM563" s="1"/>
    </row>
    <row r="564" ht="12.75" customHeight="1">
      <c r="A564" s="1"/>
      <c r="B564" s="1" t="str">
        <f t="shared" si="261"/>
        <v>115 </v>
      </c>
      <c r="C564" s="245" t="s">
        <v>453</v>
      </c>
      <c r="D564" s="245" t="s">
        <v>454</v>
      </c>
      <c r="E564" s="1" t="s">
        <v>455</v>
      </c>
      <c r="F564" s="19" t="s">
        <v>456</v>
      </c>
      <c r="G564" s="19" t="s">
        <v>457</v>
      </c>
      <c r="H564" s="1" t="s">
        <v>458</v>
      </c>
      <c r="I564" s="4" t="s">
        <v>1098</v>
      </c>
      <c r="K564" s="1"/>
      <c r="L564" s="1"/>
      <c r="M564" s="1"/>
      <c r="N564" s="1"/>
      <c r="O564" s="1"/>
      <c r="V564" s="1"/>
      <c r="AK564" s="1"/>
      <c r="AM564" s="1"/>
    </row>
    <row r="565" ht="12.75" customHeight="1">
      <c r="A565" s="1"/>
      <c r="B565" s="1" t="str">
        <f t="shared" si="261"/>
        <v>116 </v>
      </c>
      <c r="C565" s="245" t="s">
        <v>1099</v>
      </c>
      <c r="D565" s="245" t="s">
        <v>1100</v>
      </c>
      <c r="E565" s="4" t="s">
        <v>1101</v>
      </c>
      <c r="F565" s="4" t="s">
        <v>1102</v>
      </c>
      <c r="G565" s="4" t="s">
        <v>1103</v>
      </c>
      <c r="H565" s="245" t="s">
        <v>1104</v>
      </c>
      <c r="I565" s="4" t="s">
        <v>1105</v>
      </c>
      <c r="K565" s="1"/>
      <c r="L565" s="1"/>
      <c r="M565" s="1"/>
      <c r="N565" s="1"/>
      <c r="O565" s="1"/>
      <c r="V565" s="1"/>
      <c r="AK565" s="1"/>
      <c r="AM565" s="1"/>
    </row>
    <row r="566" ht="12.75" customHeight="1">
      <c r="A566" s="1"/>
      <c r="B566" s="1" t="str">
        <f t="shared" si="261"/>
        <v>117 </v>
      </c>
      <c r="C566" s="245" t="s">
        <v>1106</v>
      </c>
      <c r="D566" s="245" t="s">
        <v>1107</v>
      </c>
      <c r="E566" s="4" t="s">
        <v>1108</v>
      </c>
      <c r="F566" s="4" t="s">
        <v>1109</v>
      </c>
      <c r="G566" s="4" t="s">
        <v>1110</v>
      </c>
      <c r="H566" s="245" t="s">
        <v>1111</v>
      </c>
      <c r="I566" s="4" t="s">
        <v>1112</v>
      </c>
      <c r="K566" s="1"/>
      <c r="L566" s="1"/>
      <c r="M566" s="1"/>
      <c r="N566" s="1"/>
      <c r="O566" s="1"/>
      <c r="V566" s="1"/>
      <c r="AK566" s="1"/>
      <c r="AM566" s="1"/>
    </row>
    <row r="567" ht="12.75" customHeight="1">
      <c r="A567" s="1"/>
      <c r="B567" s="1" t="str">
        <f t="shared" si="261"/>
        <v>118 </v>
      </c>
      <c r="C567" s="1" t="s">
        <v>659</v>
      </c>
      <c r="D567" s="1" t="s">
        <v>1113</v>
      </c>
      <c r="E567" s="19" t="s">
        <v>1114</v>
      </c>
      <c r="F567" s="19" t="s">
        <v>1115</v>
      </c>
      <c r="G567" s="19" t="s">
        <v>1116</v>
      </c>
      <c r="H567" s="245" t="s">
        <v>1117</v>
      </c>
      <c r="I567" s="309" t="s">
        <v>1118</v>
      </c>
      <c r="K567" s="1"/>
      <c r="L567" s="1"/>
      <c r="M567" s="1"/>
      <c r="N567" s="1"/>
      <c r="O567" s="1"/>
      <c r="V567" s="1"/>
      <c r="AK567" s="1"/>
      <c r="AM567" s="1"/>
    </row>
    <row r="568" ht="12.75" customHeight="1">
      <c r="A568" s="1"/>
      <c r="B568" s="1" t="str">
        <f t="shared" si="261"/>
        <v>119 </v>
      </c>
      <c r="C568" s="245" t="s">
        <v>1119</v>
      </c>
      <c r="D568" s="245" t="s">
        <v>1120</v>
      </c>
      <c r="E568" s="245" t="s">
        <v>1121</v>
      </c>
      <c r="F568" s="245" t="s">
        <v>1122</v>
      </c>
      <c r="G568" s="182" t="s">
        <v>1120</v>
      </c>
      <c r="H568" s="245" t="s">
        <v>1123</v>
      </c>
      <c r="I568" s="4" t="s">
        <v>1124</v>
      </c>
      <c r="K568" s="1"/>
      <c r="L568" s="1"/>
      <c r="M568" s="1"/>
      <c r="N568" s="1"/>
      <c r="O568" s="1"/>
      <c r="V568" s="1"/>
      <c r="AK568" s="1"/>
      <c r="AM568" s="1"/>
    </row>
    <row r="569" ht="12.75" customHeight="1">
      <c r="A569" s="1"/>
      <c r="B569" s="1" t="str">
        <f t="shared" si="261"/>
        <v>120 </v>
      </c>
      <c r="C569" s="1" t="s">
        <v>1125</v>
      </c>
      <c r="D569" s="1" t="s">
        <v>1126</v>
      </c>
      <c r="E569" s="1" t="s">
        <v>1127</v>
      </c>
      <c r="F569" s="1" t="s">
        <v>1128</v>
      </c>
      <c r="G569" s="1" t="s">
        <v>1129</v>
      </c>
      <c r="H569" s="1" t="s">
        <v>1128</v>
      </c>
      <c r="I569" s="1" t="s">
        <v>1130</v>
      </c>
      <c r="K569" s="1"/>
      <c r="L569" s="1"/>
      <c r="M569" s="1"/>
      <c r="N569" s="1"/>
      <c r="O569" s="1"/>
      <c r="V569" s="1"/>
      <c r="AK569" s="1"/>
      <c r="AM569" s="1"/>
    </row>
    <row r="570" ht="12.75" customHeight="1">
      <c r="A570" s="1"/>
      <c r="B570" s="1" t="str">
        <f t="shared" si="261"/>
        <v>121 </v>
      </c>
      <c r="C570" s="245" t="s">
        <v>1131</v>
      </c>
      <c r="D570" s="245" t="s">
        <v>1132</v>
      </c>
      <c r="E570" s="245" t="s">
        <v>1133</v>
      </c>
      <c r="F570" s="245" t="s">
        <v>1134</v>
      </c>
      <c r="G570" s="1" t="s">
        <v>1135</v>
      </c>
      <c r="H570" s="245" t="s">
        <v>1134</v>
      </c>
      <c r="I570" s="4" t="s">
        <v>1136</v>
      </c>
      <c r="K570" s="1"/>
      <c r="L570" s="1"/>
      <c r="M570" s="1"/>
      <c r="N570" s="1"/>
      <c r="O570" s="1"/>
      <c r="V570" s="1"/>
      <c r="AK570" s="1"/>
      <c r="AM570" s="1"/>
    </row>
    <row r="571" ht="12.75" customHeight="1">
      <c r="A571" s="1"/>
      <c r="B571" s="1" t="str">
        <f t="shared" si="261"/>
        <v>122 </v>
      </c>
      <c r="C571" s="245" t="s">
        <v>1137</v>
      </c>
      <c r="D571" s="245" t="s">
        <v>1138</v>
      </c>
      <c r="E571" s="182" t="s">
        <v>1138</v>
      </c>
      <c r="F571" s="182" t="s">
        <v>1138</v>
      </c>
      <c r="G571" s="182" t="s">
        <v>1138</v>
      </c>
      <c r="H571" s="1" t="s">
        <v>1139</v>
      </c>
      <c r="I571" s="182" t="s">
        <v>1138</v>
      </c>
      <c r="K571" s="1"/>
      <c r="L571" s="1"/>
      <c r="M571" s="1"/>
      <c r="N571" s="1"/>
      <c r="O571" s="1"/>
      <c r="V571" s="1"/>
      <c r="AK571" s="1"/>
      <c r="AM571" s="1"/>
    </row>
    <row r="572" ht="12.75" customHeight="1">
      <c r="A572" s="1"/>
      <c r="B572" s="1" t="str">
        <f t="shared" si="261"/>
        <v>123 </v>
      </c>
      <c r="C572" s="1" t="s">
        <v>1140</v>
      </c>
      <c r="D572" s="19" t="s">
        <v>1141</v>
      </c>
      <c r="E572" s="1" t="s">
        <v>1141</v>
      </c>
      <c r="F572" s="19" t="s">
        <v>1142</v>
      </c>
      <c r="G572" s="19" t="s">
        <v>1143</v>
      </c>
      <c r="H572" s="1" t="s">
        <v>1144</v>
      </c>
      <c r="I572" s="4" t="s">
        <v>1145</v>
      </c>
      <c r="K572" s="1"/>
      <c r="L572" s="1"/>
      <c r="M572" s="1"/>
      <c r="N572" s="1"/>
      <c r="O572" s="1"/>
      <c r="V572" s="1"/>
      <c r="AK572" s="1"/>
      <c r="AM572" s="1"/>
    </row>
    <row r="573" ht="13.5" customHeight="1">
      <c r="A573" s="270"/>
      <c r="B573" s="270"/>
      <c r="C573" s="270"/>
      <c r="D573" s="270"/>
      <c r="E573" s="270"/>
      <c r="F573" s="270"/>
      <c r="G573" s="270"/>
      <c r="H573" s="270"/>
      <c r="I573" s="270"/>
      <c r="J573" s="270"/>
      <c r="K573" s="270"/>
      <c r="L573" s="270"/>
      <c r="M573" s="270"/>
      <c r="N573" s="270"/>
      <c r="O573" s="270"/>
      <c r="P573" s="270"/>
      <c r="Q573" s="270"/>
      <c r="R573" s="270"/>
      <c r="S573" s="270"/>
      <c r="T573" s="270"/>
      <c r="U573" s="270"/>
      <c r="V573" s="1"/>
      <c r="AK573" s="1"/>
      <c r="AM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V574" s="1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318" t="str">
        <f t="array" ref="AK574">INDEX(C401:C402,_system+1)</f>
        <v>2-fan system</v>
      </c>
      <c r="AL574" s="6"/>
      <c r="AM574" s="6"/>
      <c r="AN574" s="6" t="s">
        <v>1146</v>
      </c>
      <c r="AO574" s="6" t="str">
        <f t="array" ref="AO574">INDEX(_cairadd_text,_cairadd_pos+1)</f>
        <v>before kiln fan</v>
      </c>
      <c r="AP574" s="6"/>
      <c r="AQ574" s="6"/>
    </row>
    <row r="575" ht="12.75" customHeight="1">
      <c r="A575" s="1"/>
      <c r="B575" s="1"/>
      <c r="C575" s="245"/>
      <c r="D575" s="245"/>
      <c r="E575" s="245"/>
      <c r="F575" s="245"/>
      <c r="G575" s="245"/>
      <c r="H575" s="245"/>
      <c r="I575" s="4"/>
      <c r="J575" s="245"/>
      <c r="K575" s="1"/>
      <c r="L575" s="1"/>
      <c r="M575" s="1"/>
      <c r="N575" s="1"/>
      <c r="O575" s="1"/>
      <c r="V575" s="35" t="str">
        <f>CONCATENATE("Cells in range ",TEXT(ADDRESS(ROW(V577),COLUMN(V577),4),"0")," - ",TEXT(ADDRESS(ROW(X615),COLUMN(X615),4),"0")," are ")</f>
        <v>Cells in range V577 - X615 are </v>
      </c>
      <c r="W575" s="35"/>
      <c r="Z575" s="6"/>
      <c r="AA575" s="6"/>
      <c r="AB575" s="6"/>
      <c r="AC575" s="6"/>
      <c r="AD575" s="319"/>
      <c r="AE575" s="6"/>
      <c r="AF575" s="319"/>
      <c r="AG575" s="6"/>
      <c r="AH575" s="319"/>
      <c r="AI575" s="6"/>
      <c r="AJ575" s="6"/>
      <c r="AK575" s="318" t="str">
        <f t="array" ref="AK575">INDEX(recirc_sel_text,recirc+1)</f>
        <v>no recirc</v>
      </c>
      <c r="AL575" s="6"/>
      <c r="AM575" s="6"/>
      <c r="AN575" s="6" t="s">
        <v>1147</v>
      </c>
      <c r="AO575" s="6" t="str">
        <f t="array" ref="AO575">INDEX(_coalm_text,_coalm_pos+1)</f>
        <v>no coal mill</v>
      </c>
      <c r="AP575" s="6"/>
      <c r="AQ575" s="6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V576" s="1" t="s">
        <v>1148</v>
      </c>
      <c r="Z576" s="6" t="b">
        <v>1</v>
      </c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318" t="str">
        <f>CONCATENATE("case= ",TEXT(_case,"0"))</f>
        <v>case= 1</v>
      </c>
      <c r="AL576" s="6"/>
      <c r="AM576" s="6"/>
      <c r="AN576" s="6" t="s">
        <v>1149</v>
      </c>
      <c r="AO576" s="6" t="str">
        <f t="array" ref="AO576">INDEX(_ct_text,_ctpos+1)</f>
        <v>no CT</v>
      </c>
      <c r="AP576" s="6"/>
      <c r="AQ576" s="6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V577" s="101"/>
      <c r="W577" s="102"/>
      <c r="X577" s="103"/>
      <c r="Z577" s="12"/>
      <c r="AA577" s="320"/>
      <c r="AB577" s="15"/>
      <c r="AC577" s="320"/>
      <c r="AD577" s="320"/>
      <c r="AE577" s="320" t="str">
        <f t="array" ref="AE577">INDEX(array1,1,arrayindex)</f>
        <v>Heat balance</v>
      </c>
      <c r="AF577" s="15"/>
      <c r="AG577" s="15"/>
      <c r="AH577" s="15"/>
      <c r="AI577" s="15"/>
      <c r="AJ577" s="15"/>
      <c r="AK577" s="321"/>
      <c r="AL577" s="15"/>
      <c r="AM577" s="102"/>
      <c r="AN577" s="102"/>
      <c r="AO577" s="102"/>
      <c r="AP577" s="102"/>
      <c r="AQ577" s="103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V578" s="109"/>
      <c r="W578" s="322"/>
      <c r="X578" s="110"/>
      <c r="Z578" s="20"/>
      <c r="AA578" s="323"/>
      <c r="AB578" s="4"/>
      <c r="AC578" s="324"/>
      <c r="AD578" s="317"/>
      <c r="AE578" s="324" t="str">
        <f t="array" ref="AE578">INDEX(array1,2,arrayindex)</f>
        <v>Plant:</v>
      </c>
      <c r="AF578" s="317" t="str">
        <f t="shared" ref="AF578:AF579" si="262">C3</f>
        <v>Holderbank</v>
      </c>
      <c r="AG578" s="4"/>
      <c r="AH578" s="4"/>
      <c r="AI578" s="4"/>
      <c r="AJ578" s="4"/>
      <c r="AK578" s="325"/>
      <c r="AL578" s="19"/>
      <c r="AM578" s="51"/>
      <c r="AN578" s="19"/>
      <c r="AO578" s="51"/>
      <c r="AP578" s="51"/>
      <c r="AQ578" s="110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V579" s="109"/>
      <c r="W579" s="51"/>
      <c r="X579" s="110"/>
      <c r="Z579" s="20"/>
      <c r="AA579" s="324"/>
      <c r="AB579" s="324"/>
      <c r="AC579" s="324"/>
      <c r="AD579" s="317"/>
      <c r="AE579" s="324" t="str">
        <f t="array" ref="AE579">INDEX(array1,4,arrayindex)</f>
        <v>Equipment:</v>
      </c>
      <c r="AF579" s="317" t="str">
        <f t="shared" si="262"/>
        <v>CM</v>
      </c>
      <c r="AG579" s="4"/>
      <c r="AH579" s="4"/>
      <c r="AI579" s="325"/>
      <c r="AJ579" s="326"/>
      <c r="AK579" s="327" t="str">
        <f t="array" ref="AK579">INDEX(array1,62,arrayindex)</f>
        <v>Filter</v>
      </c>
      <c r="AL579" s="328"/>
      <c r="AM579" s="19"/>
      <c r="AN579" s="328" t="str">
        <f>IF(sepcirctype=2,sepfanpower,"")</f>
        <v/>
      </c>
      <c r="AO579" s="51" t="str">
        <f>IF(sepcirctype=2,"kW","")</f>
        <v/>
      </c>
      <c r="AP579" s="19"/>
      <c r="AQ579" s="110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V580" s="109"/>
      <c r="W580" s="51"/>
      <c r="X580" s="110"/>
      <c r="Z580" s="20"/>
      <c r="AA580" s="324"/>
      <c r="AB580" s="324"/>
      <c r="AC580" s="317"/>
      <c r="AD580" s="324"/>
      <c r="AE580" s="4"/>
      <c r="AF580" s="4"/>
      <c r="AG580" s="4"/>
      <c r="AH580" s="4"/>
      <c r="AI580" s="329"/>
      <c r="AJ580" s="19"/>
      <c r="AK580" s="327"/>
      <c r="AL580" s="330"/>
      <c r="AM580" s="4"/>
      <c r="AN580" s="328" t="str">
        <f>IF(sepcirctype=2,Vsfi,Vsfresh)</f>
        <v> 10,000 </v>
      </c>
      <c r="AO580" s="51" t="str">
        <f>IF(2=2,"Nm3/h","")</f>
        <v>Nm3/h</v>
      </c>
      <c r="AP580" s="4"/>
      <c r="AQ580" s="110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V581" s="109"/>
      <c r="W581" s="51"/>
      <c r="X581" s="110"/>
      <c r="Z581" s="20"/>
      <c r="AA581" s="331"/>
      <c r="AB581" s="4"/>
      <c r="AC581" s="317"/>
      <c r="AD581" s="4"/>
      <c r="AE581" s="332"/>
      <c r="AF581" s="18"/>
      <c r="AG581" s="324" t="str">
        <f t="array" ref="AG581">IF(_system=0,INDEX(array1,64,arrayindex),"")</f>
        <v/>
      </c>
      <c r="AH581" s="4"/>
      <c r="AI581" s="329"/>
      <c r="AJ581" s="4"/>
      <c r="AK581" s="328"/>
      <c r="AL581" s="206"/>
      <c r="AM581" s="4"/>
      <c r="AN581" s="328" t="str">
        <f>IF(sepcirctype=2,E36,"")</f>
        <v/>
      </c>
      <c r="AO581" s="51" t="str">
        <f>IF(sepcirctype=2,"m3/h","")</f>
        <v/>
      </c>
      <c r="AP581" s="4"/>
      <c r="AQ581" s="110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V582" s="109"/>
      <c r="W582" s="51"/>
      <c r="X582" s="110"/>
      <c r="Z582" s="20"/>
      <c r="AA582" s="4"/>
      <c r="AB582" s="4"/>
      <c r="AC582" s="4"/>
      <c r="AD582" s="324"/>
      <c r="AE582" s="330"/>
      <c r="AF582" s="328" t="str">
        <f>IF(sepcirctype=1,sepfanpower,"")</f>
        <v> 230 </v>
      </c>
      <c r="AG582" s="51" t="str">
        <f>IF(sepcirctype=1,"kW","")</f>
        <v>kW</v>
      </c>
      <c r="AH582" s="4"/>
      <c r="AI582" s="324"/>
      <c r="AJ582" s="327"/>
      <c r="AK582" s="333"/>
      <c r="AL582" s="333"/>
      <c r="AM582" s="4"/>
      <c r="AN582" s="333" t="str">
        <f>IF(sepcirctype=2,F36,"")</f>
        <v/>
      </c>
      <c r="AO582" s="51" t="str">
        <f>IF(sepcirctype=2,"°C","")</f>
        <v/>
      </c>
      <c r="AP582" s="4"/>
      <c r="AQ582" s="110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V583" s="109"/>
      <c r="W583" s="51"/>
      <c r="X583" s="110"/>
      <c r="Z583" s="20"/>
      <c r="AA583" s="4"/>
      <c r="AB583" s="330"/>
      <c r="AC583" s="4"/>
      <c r="AD583" s="324"/>
      <c r="AE583" s="330"/>
      <c r="AF583" s="328" t="str">
        <f>IF(sepcirctype=1,Vsfi,"")</f>
        <v> 130,000 </v>
      </c>
      <c r="AG583" s="51" t="str">
        <f>IF(sepcirctype=1,"Nm3/h","")</f>
        <v>Nm3/h</v>
      </c>
      <c r="AH583" s="334"/>
      <c r="AI583" s="4"/>
      <c r="AJ583" s="206"/>
      <c r="AK583" s="4"/>
      <c r="AL583" s="19"/>
      <c r="AM583" s="4"/>
      <c r="AN583" s="333"/>
      <c r="AO583" s="4"/>
      <c r="AP583" s="51"/>
      <c r="AQ583" s="110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V584" s="109"/>
      <c r="W584" s="51" t="str">
        <f>_system</f>
        <v>1 </v>
      </c>
      <c r="X584" s="110"/>
      <c r="Z584" s="20"/>
      <c r="AA584" s="4"/>
      <c r="AB584" s="332"/>
      <c r="AC584" s="4"/>
      <c r="AD584" s="4"/>
      <c r="AE584" s="4"/>
      <c r="AF584" s="328" t="str">
        <f>IF(sepcirctype=1,E36,"")</f>
        <v> 196,939 </v>
      </c>
      <c r="AG584" s="51" t="str">
        <f>IF(sepcirctype=1,"m3/h","")</f>
        <v>m3/h</v>
      </c>
      <c r="AH584" s="4"/>
      <c r="AI584" s="327"/>
      <c r="AJ584" s="4"/>
      <c r="AK584" s="332"/>
      <c r="AL584" s="328"/>
      <c r="AM584" s="19"/>
      <c r="AN584" s="51"/>
      <c r="AO584" s="51"/>
      <c r="AP584" s="51"/>
      <c r="AQ584" s="110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V585" s="109"/>
      <c r="W585" s="51"/>
      <c r="X585" s="110"/>
      <c r="Z585" s="20"/>
      <c r="AA585" s="330"/>
      <c r="AB585" s="19"/>
      <c r="AC585" s="19"/>
      <c r="AD585" s="4"/>
      <c r="AE585" s="4"/>
      <c r="AF585" s="333" t="str">
        <f>IF(sepcirctype=1,F36,"")</f>
        <v>100</v>
      </c>
      <c r="AG585" s="51" t="str">
        <f>IF(sepcirctype=1,"°C","")</f>
        <v>°C</v>
      </c>
      <c r="AH585" s="4"/>
      <c r="AI585" s="4"/>
      <c r="AJ585" s="19"/>
      <c r="AK585" s="4"/>
      <c r="AL585" s="328"/>
      <c r="AM585" s="4"/>
      <c r="AN585" s="51"/>
      <c r="AO585" s="51"/>
      <c r="AP585" s="51"/>
      <c r="AQ585" s="110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V586" s="109"/>
      <c r="W586" s="51"/>
      <c r="X586" s="110"/>
      <c r="Z586" s="20"/>
      <c r="AA586" s="330"/>
      <c r="AB586" s="4"/>
      <c r="AC586" s="317"/>
      <c r="AD586" s="317"/>
      <c r="AE586" s="4"/>
      <c r="AF586" s="317" t="str">
        <f t="array" ref="AF586">IF(_system=0,INDEX(array1,63,arrayindex),"")</f>
        <v/>
      </c>
      <c r="AG586" s="4"/>
      <c r="AH586" s="4"/>
      <c r="AI586" s="4"/>
      <c r="AJ586" s="328"/>
      <c r="AK586" s="335" t="str">
        <f>CONCATENATE(TEXT(C344,"0.0")," t/h")</f>
        <v>5.2 t/h</v>
      </c>
      <c r="AL586" s="333"/>
      <c r="AM586" s="4"/>
      <c r="AN586" s="51"/>
      <c r="AO586" s="51"/>
      <c r="AP586" s="51"/>
      <c r="AQ586" s="110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V587" s="109"/>
      <c r="W587" s="51"/>
      <c r="X587" s="110"/>
      <c r="Z587" s="20"/>
      <c r="AA587" s="4"/>
      <c r="AB587" s="4"/>
      <c r="AC587" s="4"/>
      <c r="AD587" s="4"/>
      <c r="AE587" s="4"/>
      <c r="AF587" s="324"/>
      <c r="AG587" s="4"/>
      <c r="AH587" s="4"/>
      <c r="AI587" s="4"/>
      <c r="AJ587" s="4"/>
      <c r="AK587" s="4"/>
      <c r="AL587" s="333"/>
      <c r="AM587" s="4"/>
      <c r="AN587" s="336" t="str">
        <f t="array" ref="AN587">INDEX(array1,66,arrayindex)</f>
        <v>System exhaust</v>
      </c>
      <c r="AO587" s="51"/>
      <c r="AP587" s="51"/>
      <c r="AQ587" s="110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V588" s="109"/>
      <c r="W588" s="51"/>
      <c r="X588" s="110"/>
      <c r="Z588" s="20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33"/>
      <c r="AM588" s="4"/>
      <c r="AN588" s="328" t="str">
        <f>AN589*((273.16+AN590)/273.16)*1013/(pr_amb-AN591)</f>
        <v>#REF!</v>
      </c>
      <c r="AO588" s="51" t="s">
        <v>1150</v>
      </c>
      <c r="AP588" s="51"/>
      <c r="AQ588" s="110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V589" s="109"/>
      <c r="W589" s="51"/>
      <c r="X589" s="110"/>
      <c r="Z589" s="20" t="str">
        <f t="array" ref="Z589">INDEX(array1,27,arrayindex)</f>
        <v>Fresh air</v>
      </c>
      <c r="AA589" s="4"/>
      <c r="AB589" s="4"/>
      <c r="AC589" s="4"/>
      <c r="AD589" s="4"/>
      <c r="AE589" s="4"/>
      <c r="AF589" s="4"/>
      <c r="AG589" s="4"/>
      <c r="AH589" s="4"/>
      <c r="AI589" s="214"/>
      <c r="AJ589" s="4"/>
      <c r="AK589" s="4"/>
      <c r="AL589" s="333"/>
      <c r="AM589" s="4"/>
      <c r="AN589" s="330" t="str">
        <f>CHOOSE(_system+1,$E$306,$E$264-$E$239)</f>
        <v>#REF!</v>
      </c>
      <c r="AO589" s="51" t="s">
        <v>32</v>
      </c>
      <c r="AP589" s="51"/>
      <c r="AQ589" s="110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V590" s="109"/>
      <c r="W590" s="51"/>
      <c r="X590" s="110"/>
      <c r="Z590" s="337" t="str">
        <f>Vsfresh</f>
        <v> 10,000 </v>
      </c>
      <c r="AA590" s="19" t="s">
        <v>32</v>
      </c>
      <c r="AB590" s="18"/>
      <c r="AC590" s="4"/>
      <c r="AD590" s="330" t="str">
        <f>IF(sepcirctype&gt;0,Vsfi-Vsfresh,"")</f>
        <v> 120,000 </v>
      </c>
      <c r="AE590" s="4" t="str">
        <f>IF(sepcirctype&gt;0,"Nm3/h","")</f>
        <v>Nm3/h</v>
      </c>
      <c r="AF590" s="4"/>
      <c r="AG590" s="332"/>
      <c r="AH590" s="4"/>
      <c r="AI590" s="4"/>
      <c r="AJ590" s="4"/>
      <c r="AK590" s="4"/>
      <c r="AL590" s="332"/>
      <c r="AM590" s="51"/>
      <c r="AN590" s="328" t="str">
        <f>CHOOSE(_system+1,$K$307,$K$265)</f>
        <v>#NAME?</v>
      </c>
      <c r="AO590" s="51" t="s">
        <v>1151</v>
      </c>
      <c r="AP590" s="51"/>
      <c r="AQ590" s="110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V591" s="109"/>
      <c r="W591" s="51"/>
      <c r="X591" s="110"/>
      <c r="Z591" s="338"/>
      <c r="AA591" s="214"/>
      <c r="AB591" s="4"/>
      <c r="AC591" s="214"/>
      <c r="AD591" s="4"/>
      <c r="AE591" s="4"/>
      <c r="AF591" s="328"/>
      <c r="AG591" s="4"/>
      <c r="AH591" s="4"/>
      <c r="AI591" s="242" t="str">
        <f>IF(sepcirctype=1,CONCATENATE(TEXT(C342,"0.0")," t/h"),"")</f>
        <v>98.9 t/h</v>
      </c>
      <c r="AJ591" s="4"/>
      <c r="AK591" s="4"/>
      <c r="AL591" s="330"/>
      <c r="AM591" s="51"/>
      <c r="AN591" s="333" t="str">
        <f>CHOOSE(_system+1,upffe,upmfe)</f>
        <v>0</v>
      </c>
      <c r="AO591" s="51" t="s">
        <v>1152</v>
      </c>
      <c r="AP591" s="51"/>
      <c r="AQ591" s="110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V592" s="109"/>
      <c r="W592" s="51"/>
      <c r="X592" s="110"/>
      <c r="Z592" s="339"/>
      <c r="AA592" s="4"/>
      <c r="AB592" s="4"/>
      <c r="AC592" s="4"/>
      <c r="AD592" s="4"/>
      <c r="AE592" s="4"/>
      <c r="AF592" s="4"/>
      <c r="AG592" s="332"/>
      <c r="AH592" s="4"/>
      <c r="AI592" s="4"/>
      <c r="AJ592" s="4"/>
      <c r="AK592" s="4"/>
      <c r="AL592" s="4"/>
      <c r="AM592" s="51"/>
      <c r="AN592" s="333" t="str">
        <f>dewp_H2O(CHOOSE(_system+1,G307,G265),pr_amb+AN591)</f>
        <v>#NAME?</v>
      </c>
      <c r="AO592" s="51" t="str">
        <f t="array" ref="AO592">CONCATENATE("°C ",INDEX(array1,45,arrayindex))</f>
        <v>°C Dew point </v>
      </c>
      <c r="AP592" s="51"/>
      <c r="AQ592" s="110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V593" s="109"/>
      <c r="W593" s="51"/>
      <c r="X593" s="110"/>
      <c r="Z593" s="340"/>
      <c r="AA593" s="4"/>
      <c r="AB593" s="4"/>
      <c r="AC593" s="4"/>
      <c r="AD593" s="4"/>
      <c r="AE593" s="4"/>
      <c r="AF593" s="242" t="str">
        <f>CONCATENATE(TEXT(C341,"0.0")," t/h")</f>
        <v>5.9 t/h</v>
      </c>
      <c r="AG593" s="332"/>
      <c r="AH593" s="4"/>
      <c r="AI593" s="4"/>
      <c r="AJ593" s="4"/>
      <c r="AK593" s="4"/>
      <c r="AL593" s="4"/>
      <c r="AM593" s="51"/>
      <c r="AN593" s="51"/>
      <c r="AO593" s="51"/>
      <c r="AP593" s="51"/>
      <c r="AQ593" s="110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V594" s="109"/>
      <c r="W594" s="51"/>
      <c r="X594" s="110"/>
      <c r="Z594" s="20"/>
      <c r="AA594" s="4"/>
      <c r="AB594" s="4"/>
      <c r="AC594" s="4"/>
      <c r="AD594" s="4"/>
      <c r="AE594" s="4"/>
      <c r="AF594" s="328"/>
      <c r="AG594" s="4"/>
      <c r="AH594" s="4"/>
      <c r="AI594" s="214"/>
      <c r="AJ594" s="4"/>
      <c r="AK594" s="4"/>
      <c r="AL594" s="4"/>
      <c r="AM594" s="51"/>
      <c r="AN594" s="51"/>
      <c r="AO594" s="51"/>
      <c r="AP594" s="51"/>
      <c r="AQ594" s="110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V595" s="109"/>
      <c r="W595" s="51"/>
      <c r="X595" s="110"/>
      <c r="Z595" s="20"/>
      <c r="AA595" s="4"/>
      <c r="AB595" s="4"/>
      <c r="AC595" s="4"/>
      <c r="AD595" s="4"/>
      <c r="AE595" s="4"/>
      <c r="AF595" s="242" t="str">
        <f>IF(sepcirctype=0,CONCATENATE(TEXT(C343,"0.0")," t/h"),"")</f>
        <v/>
      </c>
      <c r="AG595" s="4"/>
      <c r="AH595" s="4"/>
      <c r="AI595" s="4"/>
      <c r="AJ595" s="4"/>
      <c r="AK595" s="4"/>
      <c r="AL595" s="327"/>
      <c r="AM595" s="51"/>
      <c r="AN595" s="206" t="str">
        <f>IF(_system=1,CONCATENATE(TEXT(millfanpower,"0")," kW"),"")</f>
        <v>100 kW</v>
      </c>
      <c r="AO595" s="51"/>
      <c r="AP595" s="51"/>
      <c r="AQ595" s="110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V596" s="109"/>
      <c r="W596" s="51"/>
      <c r="X596" s="110"/>
      <c r="Z596" s="20" t="str">
        <f t="array" ref="Z596">INDEX(array1,37,arrayindex)</f>
        <v>Mill outlet</v>
      </c>
      <c r="AA596" s="4"/>
      <c r="AB596" s="332"/>
      <c r="AC596" s="4"/>
      <c r="AD596" s="4"/>
      <c r="AE596" s="4"/>
      <c r="AF596" s="4" t="str">
        <f t="array" ref="AF596">IF(recirc=1,INDEX(array1,42,arrayindex),"")</f>
        <v/>
      </c>
      <c r="AG596" s="332"/>
      <c r="AH596" s="206"/>
      <c r="AI596" s="4"/>
      <c r="AJ596" s="4"/>
      <c r="AK596" s="4"/>
      <c r="AL596" s="4"/>
      <c r="AM596" s="341"/>
      <c r="AN596" s="342"/>
      <c r="AO596" s="51"/>
      <c r="AP596" s="51"/>
      <c r="AQ596" s="110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V597" s="109"/>
      <c r="W597" s="51"/>
      <c r="X597" s="110"/>
      <c r="Z597" s="337" t="str">
        <f>$C$88</f>
        <v>#REF!</v>
      </c>
      <c r="AA597" s="19" t="s">
        <v>1150</v>
      </c>
      <c r="AB597" s="19"/>
      <c r="AC597" s="4"/>
      <c r="AD597" s="333" t="str">
        <f>grittemp</f>
        <v>#REF!</v>
      </c>
      <c r="AE597" s="4" t="s">
        <v>1151</v>
      </c>
      <c r="AF597" s="328" t="str">
        <f>IF(recirc=1,CONCATENATE(TEXT($D$83,"#'##"),""),"")</f>
        <v/>
      </c>
      <c r="AG597" s="4"/>
      <c r="AH597" s="206" t="str">
        <f t="array" ref="AH597">IF(it_v1=TRUE,INDEX(array1,65,arrayindex),"excess gas")</f>
        <v>excess gas</v>
      </c>
      <c r="AI597" s="4"/>
      <c r="AJ597" s="4"/>
      <c r="AK597" s="4"/>
      <c r="AL597" s="332"/>
      <c r="AM597" s="325"/>
      <c r="AN597" s="4" t="str">
        <f t="array" ref="AN597">INDEX(array1,123,arrayindex)</f>
        <v>Production</v>
      </c>
      <c r="AO597" s="51"/>
      <c r="AP597" s="51"/>
      <c r="AQ597" s="110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V598" s="109"/>
      <c r="W598" s="51"/>
      <c r="X598" s="110"/>
      <c r="Z598" s="337" t="str">
        <f>Vmexit</f>
        <v> 29,550 </v>
      </c>
      <c r="AA598" s="4" t="s">
        <v>32</v>
      </c>
      <c r="AB598" s="4"/>
      <c r="AC598" s="4"/>
      <c r="AD598" s="328"/>
      <c r="AE598" s="4"/>
      <c r="AF598" s="328" t="str">
        <f>IF(recirc=1,CONCATENATE(TEXT($E$83,"#'#"),""),"")</f>
        <v/>
      </c>
      <c r="AG598" s="4"/>
      <c r="AH598" s="206" t="str">
        <f t="array" ref="AH598">CONCATENATE(TEXT(INDEX($E$257:$E$259,_millgas_pos+1),"#'##0")," Nm3/h","")</f>
        <v>#NAME?</v>
      </c>
      <c r="AI598" s="4"/>
      <c r="AJ598" s="4"/>
      <c r="AK598" s="4"/>
      <c r="AL598" s="4"/>
      <c r="AM598" s="330"/>
      <c r="AN598" s="4" t="str">
        <f>prod_dry</f>
        <v>110 </v>
      </c>
      <c r="AO598" s="4" t="s">
        <v>183</v>
      </c>
      <c r="AP598" s="51"/>
      <c r="AQ598" s="110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V599" s="109"/>
      <c r="W599" s="51"/>
      <c r="X599" s="110"/>
      <c r="Z599" s="20" t="str">
        <f>millexittemp</f>
        <v>85 </v>
      </c>
      <c r="AA599" s="4" t="s">
        <v>1151</v>
      </c>
      <c r="AB599" s="4"/>
      <c r="AC599" s="4"/>
      <c r="AD599" s="328"/>
      <c r="AE599" s="4"/>
      <c r="AF599" s="4"/>
      <c r="AG599" s="4"/>
      <c r="AH599" s="206" t="str">
        <f t="array" ref="AH599">CONCATENATE(TEXT(INDEX($K$257:$K$259,_millgas_pos+1),"#'##0")," °C","")</f>
        <v>#NAME?</v>
      </c>
      <c r="AI599" s="4"/>
      <c r="AJ599" s="4"/>
      <c r="AK599" s="4"/>
      <c r="AL599" s="4"/>
      <c r="AM599" s="51"/>
      <c r="AN599" s="214" t="str">
        <f>C346</f>
        <v>#NAME?</v>
      </c>
      <c r="AO599" s="4" t="s">
        <v>1151</v>
      </c>
      <c r="AP599" s="51"/>
      <c r="AQ599" s="110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V600" s="109"/>
      <c r="W600" s="51"/>
      <c r="X600" s="110"/>
      <c r="Z600" s="20"/>
      <c r="AA600" s="4"/>
      <c r="AB600" s="4"/>
      <c r="AC600" s="328"/>
      <c r="AD600" s="4"/>
      <c r="AE600" s="4"/>
      <c r="AF600" s="4"/>
      <c r="AG600" s="4"/>
      <c r="AH600" s="327"/>
      <c r="AI600" s="327"/>
      <c r="AJ600" s="206" t="str">
        <f>CONCATENATE(TEXT(L231,"#'##0")," Nm3/h")</f>
        <v>'1 Nm3/h</v>
      </c>
      <c r="AK600" s="206"/>
      <c r="AL600" s="4"/>
      <c r="AM600" s="51"/>
      <c r="AN600" s="51"/>
      <c r="AO600" s="336"/>
      <c r="AP600" s="51"/>
      <c r="AQ600" s="110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V601" s="109"/>
      <c r="W601" s="51"/>
      <c r="X601" s="110"/>
      <c r="Z601" s="20"/>
      <c r="AA601" s="4"/>
      <c r="AB601" s="4"/>
      <c r="AC601" s="4"/>
      <c r="AD601" s="19"/>
      <c r="AE601" s="4"/>
      <c r="AF601" s="4"/>
      <c r="AG601" s="4" t="str">
        <f>CONCATENATE(TEXT($E$235,"#'##0")," Nm3/h","")</f>
        <v>#NAME?</v>
      </c>
      <c r="AH601" s="4"/>
      <c r="AI601" s="4"/>
      <c r="AJ601" s="206" t="str">
        <f>CONCATENATE(TEXT(CTexittemp,"0")," °C")</f>
        <v>#REF!</v>
      </c>
      <c r="AK601" s="206"/>
      <c r="AL601" s="4"/>
      <c r="AM601" s="51"/>
      <c r="AN601" s="51"/>
      <c r="AO601" s="343" t="str">
        <f t="array" ref="AO601">IF(_cairadd_pos=1,INDEX(array1,26,arrayindex),"")</f>
        <v>Cooler exhaust gases</v>
      </c>
      <c r="AP601" s="51"/>
      <c r="AQ601" s="110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V602" s="109"/>
      <c r="W602" s="51"/>
      <c r="X602" s="110"/>
      <c r="Z602" s="20"/>
      <c r="AA602" s="324"/>
      <c r="AB602" s="4"/>
      <c r="AC602" s="4"/>
      <c r="AD602" s="4"/>
      <c r="AE602" s="4"/>
      <c r="AF602" s="4"/>
      <c r="AG602" s="4"/>
      <c r="AH602" s="4"/>
      <c r="AI602" s="332"/>
      <c r="AJ602" s="4"/>
      <c r="AK602" s="4"/>
      <c r="AL602" s="4"/>
      <c r="AM602" s="341"/>
      <c r="AN602" s="51" t="str">
        <f>IF(_cairadd_pos=1,coolergasmax,"")</f>
        <v>0 </v>
      </c>
      <c r="AO602" s="51" t="str">
        <f>IF(_cairadd_pos=1,"Nm3/h","")</f>
        <v>Nm3/h</v>
      </c>
      <c r="AP602" s="51"/>
      <c r="AQ602" s="110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V603" s="109"/>
      <c r="W603" s="51"/>
      <c r="X603" s="110"/>
      <c r="Z603" s="20"/>
      <c r="AA603" s="4"/>
      <c r="AB603" s="4"/>
      <c r="AC603" s="4" t="s">
        <v>1153</v>
      </c>
      <c r="AD603" s="4" t="s">
        <v>1154</v>
      </c>
      <c r="AE603" s="4"/>
      <c r="AF603" s="4"/>
      <c r="AG603" s="19"/>
      <c r="AH603" s="19"/>
      <c r="AI603" s="332"/>
      <c r="AJ603" s="4"/>
      <c r="AK603" s="4"/>
      <c r="AL603" s="4"/>
      <c r="AM603" s="19"/>
      <c r="AN603" s="51" t="str">
        <f>IF(_cairadd_pos=1,coolergastemp,"")</f>
        <v>330 </v>
      </c>
      <c r="AO603" s="51" t="str">
        <f>IF(_cairadd_pos=1,"°C","")</f>
        <v>°C</v>
      </c>
      <c r="AP603" s="51"/>
      <c r="AQ603" s="110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V604" s="109"/>
      <c r="W604" s="51"/>
      <c r="X604" s="110"/>
      <c r="Z604" s="344"/>
      <c r="AA604" s="4"/>
      <c r="AB604" s="4"/>
      <c r="AC604" s="4"/>
      <c r="AD604" s="4"/>
      <c r="AE604" s="4"/>
      <c r="AF604" s="4"/>
      <c r="AG604" s="4"/>
      <c r="AH604" s="4"/>
      <c r="AI604" s="330"/>
      <c r="AJ604" s="4"/>
      <c r="AK604" s="4"/>
      <c r="AL604" s="4"/>
      <c r="AM604" s="330"/>
      <c r="AN604" s="51"/>
      <c r="AO604" s="51"/>
      <c r="AP604" s="51"/>
      <c r="AQ604" s="110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V605" s="109"/>
      <c r="W605" s="51"/>
      <c r="X605" s="110"/>
      <c r="Z605" s="340"/>
      <c r="AA605" s="4"/>
      <c r="AB605" s="4"/>
      <c r="AC605" s="4"/>
      <c r="AD605" s="19"/>
      <c r="AE605" s="4"/>
      <c r="AF605" s="4"/>
      <c r="AG605" s="4"/>
      <c r="AH605" s="4"/>
      <c r="AI605" s="330"/>
      <c r="AJ605" s="4"/>
      <c r="AK605" s="4"/>
      <c r="AL605" s="4"/>
      <c r="AM605" s="51"/>
      <c r="AN605" s="51"/>
      <c r="AO605" s="51" t="str">
        <f t="array" ref="AO605">INDEX(array1,24,arrayindex)</f>
        <v>Kiln exhaust gases</v>
      </c>
      <c r="AP605" s="51"/>
      <c r="AQ605" s="110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V606" s="109"/>
      <c r="W606" s="51"/>
      <c r="X606" s="110"/>
      <c r="Z606" s="339"/>
      <c r="AA606" s="4"/>
      <c r="AB606" s="4" t="str">
        <f>prodtemp</f>
        <v>90 </v>
      </c>
      <c r="AC606" s="4" t="s">
        <v>1151</v>
      </c>
      <c r="AD606" s="345"/>
      <c r="AE606" s="4"/>
      <c r="AF606" s="332"/>
      <c r="AG606" s="345"/>
      <c r="AH606" s="4"/>
      <c r="AI606" s="330"/>
      <c r="AJ606" s="330" t="str">
        <f t="array" ref="AJ606">IF(_coalm_pos=2,INDEX(array1,73,arrayindex),"")</f>
        <v/>
      </c>
      <c r="AK606" s="4"/>
      <c r="AL606" s="4"/>
      <c r="AM606" s="51"/>
      <c r="AN606" s="51"/>
      <c r="AO606" s="336" t="str">
        <f>kgmax</f>
        <v>0</v>
      </c>
      <c r="AP606" s="51" t="s">
        <v>32</v>
      </c>
      <c r="AQ606" s="110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V607" s="109"/>
      <c r="W607" s="51"/>
      <c r="X607" s="110"/>
      <c r="Z607" s="340"/>
      <c r="AA607" s="4"/>
      <c r="AB607" s="4"/>
      <c r="AC607" s="330"/>
      <c r="AD607" s="4"/>
      <c r="AE607" s="4" t="str">
        <f t="array" ref="AE607">INDEX(array1,27,arrayindex)</f>
        <v>Fresh air</v>
      </c>
      <c r="AF607" s="4"/>
      <c r="AG607" s="4" t="str">
        <f t="array" ref="AG607">INDEX(array1,25,arrayindex)</f>
        <v>Hot gases</v>
      </c>
      <c r="AH607" s="4"/>
      <c r="AI607" s="330" t="str">
        <f>IF(_coalm_pos=2,_coalm_gasamount,"")</f>
        <v/>
      </c>
      <c r="AJ607" s="330" t="str">
        <f>IF(_coalm_pos=2,"Nm3/h","")</f>
        <v/>
      </c>
      <c r="AK607" s="4"/>
      <c r="AL607" s="4"/>
      <c r="AM607" s="51"/>
      <c r="AN607" s="51"/>
      <c r="AO607" s="336" t="str">
        <f>kgtemp</f>
        <v>360</v>
      </c>
      <c r="AP607" s="51" t="s">
        <v>1151</v>
      </c>
      <c r="AQ607" s="110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V608" s="109"/>
      <c r="W608" s="51"/>
      <c r="X608" s="110"/>
      <c r="Z608" s="344" t="str">
        <f t="array" ref="Z608">INDEX(array1,20,arrayindex)</f>
        <v>Mill</v>
      </c>
      <c r="AA608" s="4"/>
      <c r="AB608" s="4"/>
      <c r="AC608" s="4"/>
      <c r="AD608" s="330" t="str">
        <f>$D$82</f>
        <v>#REF!</v>
      </c>
      <c r="AE608" s="4" t="s">
        <v>32</v>
      </c>
      <c r="AF608" s="346"/>
      <c r="AG608" s="346" t="str">
        <f>$E$237</f>
        <v>#REF!</v>
      </c>
      <c r="AH608" s="4" t="s">
        <v>32</v>
      </c>
      <c r="AI608" s="4"/>
      <c r="AJ608" s="4"/>
      <c r="AK608" s="4"/>
      <c r="AL608" s="4"/>
      <c r="AM608" s="51"/>
      <c r="AN608" s="51"/>
      <c r="AO608" s="51"/>
      <c r="AP608" s="51"/>
      <c r="AQ608" s="110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V609" s="109"/>
      <c r="W609" s="51"/>
      <c r="X609" s="110"/>
      <c r="Z609" s="340" t="str">
        <f>Especmill</f>
        <v>31.8 </v>
      </c>
      <c r="AA609" s="4" t="s">
        <v>1155</v>
      </c>
      <c r="AB609" s="4"/>
      <c r="AC609" s="4"/>
      <c r="AD609" s="4" t="str">
        <f>freshairtemp</f>
        <v>20 </v>
      </c>
      <c r="AE609" s="4" t="s">
        <v>1151</v>
      </c>
      <c r="AF609" s="4"/>
      <c r="AG609" s="4" t="str">
        <f>hotgastemp</f>
        <v>600 </v>
      </c>
      <c r="AH609" s="4" t="s">
        <v>1151</v>
      </c>
      <c r="AI609" s="4"/>
      <c r="AJ609" s="343" t="str">
        <f t="array" ref="AJ609">IF(_cairadd_pos=2,INDEX(array1,26,arrayindex),"")</f>
        <v/>
      </c>
      <c r="AK609" s="4"/>
      <c r="AL609" s="4"/>
      <c r="AM609" s="206"/>
      <c r="AN609" s="4"/>
      <c r="AO609" s="51"/>
      <c r="AP609" s="51"/>
      <c r="AQ609" s="110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V610" s="109"/>
      <c r="W610" s="51"/>
      <c r="X610" s="110"/>
      <c r="Z610" s="339" t="str">
        <f>prod_wet</f>
        <v>113 </v>
      </c>
      <c r="AA610" s="4" t="str">
        <f t="array" ref="AA610">CONCATENATE("t/h ",INDEX(array1,12,arrayindex))</f>
        <v>t/h Mill feed rate wet</v>
      </c>
      <c r="AB610" s="4"/>
      <c r="AC610" s="330"/>
      <c r="AD610" s="4"/>
      <c r="AE610" s="330"/>
      <c r="AF610" s="4"/>
      <c r="AG610" s="346"/>
      <c r="AH610" s="4"/>
      <c r="AI610" s="51" t="str">
        <f>IF(_cairadd_pos=2,coolergasmax,"")</f>
        <v/>
      </c>
      <c r="AJ610" s="4" t="str">
        <f>IF(_cairadd_pos=2,"Nm3/h","")</f>
        <v/>
      </c>
      <c r="AK610" s="330"/>
      <c r="AL610" s="330"/>
      <c r="AM610" s="4"/>
      <c r="AN610" s="330"/>
      <c r="AO610" s="4"/>
      <c r="AP610" s="51"/>
      <c r="AQ610" s="110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V611" s="109"/>
      <c r="W611" s="51"/>
      <c r="X611" s="110"/>
      <c r="Z611" s="340" t="str">
        <f>feedh2o</f>
        <v>2.6 </v>
      </c>
      <c r="AA611" s="4" t="str">
        <f t="array" ref="AA611">CONCATENATE("% ",INDEX(array1,15,arrayindex))</f>
        <v>% Humidity</v>
      </c>
      <c r="AB611" s="4"/>
      <c r="AC611" s="4"/>
      <c r="AD611" s="4"/>
      <c r="AE611" s="4"/>
      <c r="AF611" s="4"/>
      <c r="AG611" s="4" t="str">
        <f t="array" ref="AG611">INDEX(array1,92,arrayindex)</f>
        <v>HGG excess air</v>
      </c>
      <c r="AH611" s="4"/>
      <c r="AI611" s="51" t="str">
        <f>IF(_cairadd_pos=2,coolergastemp,"")</f>
        <v/>
      </c>
      <c r="AJ611" s="4" t="str">
        <f>IF(_cairadd_pos=2,"°C","")</f>
        <v/>
      </c>
      <c r="AK611" s="4"/>
      <c r="AL611" s="206"/>
      <c r="AM611" s="4"/>
      <c r="AN611" s="4"/>
      <c r="AO611" s="4"/>
      <c r="AP611" s="51"/>
      <c r="AQ611" s="110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V612" s="109"/>
      <c r="W612" s="51"/>
      <c r="X612" s="110"/>
      <c r="Z612" s="347" t="str">
        <f>famill</f>
        <v>10.0 </v>
      </c>
      <c r="AA612" s="4" t="str">
        <f t="array" ref="AA612">CONCATENATE("% ",INDEX(array1,22,arrayindex))</f>
        <v>% False air rate</v>
      </c>
      <c r="AB612" s="4"/>
      <c r="AC612" s="4"/>
      <c r="AD612" s="4"/>
      <c r="AE612" s="4"/>
      <c r="AF612" s="346"/>
      <c r="AG612" s="346" t="str">
        <f>_HGGsecair_rate</f>
        <v>#NAME?</v>
      </c>
      <c r="AH612" s="4" t="s">
        <v>32</v>
      </c>
      <c r="AI612" s="4"/>
      <c r="AJ612" s="4"/>
      <c r="AK612" s="330"/>
      <c r="AL612" s="4"/>
      <c r="AM612" s="4"/>
      <c r="AN612" s="4"/>
      <c r="AO612" s="4"/>
      <c r="AP612" s="51"/>
      <c r="AQ612" s="110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V613" s="109"/>
      <c r="W613" s="51"/>
      <c r="X613" s="110"/>
      <c r="Z613" s="348" t="str">
        <f>$D$86</f>
        <v>#REF!</v>
      </c>
      <c r="AA613" s="4" t="str">
        <f t="array" ref="AA613">CONCATENATE("Nm3/h ",INDEX(array1,22,arrayindex))</f>
        <v>Nm3/h False air rate</v>
      </c>
      <c r="AB613" s="4"/>
      <c r="AC613" s="4"/>
      <c r="AD613" s="4"/>
      <c r="AE613" s="4"/>
      <c r="AF613" s="4"/>
      <c r="AG613" s="4" t="str">
        <f t="array" ref="AG613">INDEX(_HGGsecair_temp,_HGGsecair+1)</f>
        <v>20 </v>
      </c>
      <c r="AH613" s="4" t="s">
        <v>1151</v>
      </c>
      <c r="AI613" s="4"/>
      <c r="AJ613" s="4"/>
      <c r="AK613" s="341" t="str">
        <f t="array" ref="AK613">IF(_ctpos&lt;&gt;0,INDEX(array1,61,arrayindex),"")</f>
        <v/>
      </c>
      <c r="AL613" s="4"/>
      <c r="AM613" s="206"/>
      <c r="AN613" s="4"/>
      <c r="AO613" s="330" t="str">
        <f t="array" ref="AO613">IF(OR(_coalm_pos=1,_coalm_pos=3),INDEX(array1,73,arrayindex),"")</f>
        <v/>
      </c>
      <c r="AP613" s="51"/>
      <c r="AQ613" s="110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V614" s="109"/>
      <c r="W614" s="51"/>
      <c r="X614" s="110"/>
      <c r="Z614" s="349" t="str">
        <f>wimill</f>
        <v> 0 </v>
      </c>
      <c r="AA614" s="4" t="str">
        <f t="array" ref="AA614">CONCATENATE("l/h ",INDEX(array1,21,arrayindex))</f>
        <v>l/h Water injection</v>
      </c>
      <c r="AB614" s="4"/>
      <c r="AC614" s="4"/>
      <c r="AD614" s="4"/>
      <c r="AE614" s="4"/>
      <c r="AF614" s="4"/>
      <c r="AG614" s="4"/>
      <c r="AH614" s="330"/>
      <c r="AI614" s="4"/>
      <c r="AJ614" s="4"/>
      <c r="AK614" s="19" t="str">
        <f t="array" ref="AK614">IF(_ctpos&lt;&gt;0,INDEX(array1,21,arrayindex),"")</f>
        <v/>
      </c>
      <c r="AL614" s="330"/>
      <c r="AM614" s="4"/>
      <c r="AN614" s="4"/>
      <c r="AO614" s="330" t="str">
        <f>IF(OR(_coalm_pos=1,_coalm_pos=3),_coalm_gasamount,"")</f>
        <v/>
      </c>
      <c r="AP614" s="330" t="str">
        <f>IF(OR(_coalm_pos=1,_coalm_pos=3),"Nm3/h","")</f>
        <v/>
      </c>
      <c r="AQ614" s="110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V615" s="350"/>
      <c r="W615" s="185"/>
      <c r="X615" s="186"/>
      <c r="Z615" s="351" t="str">
        <f>$K$240</f>
        <v>#NAME?</v>
      </c>
      <c r="AA615" s="10" t="str">
        <f t="array" ref="AA615">CONCATENATE("°C ",INDEX(array1,36,arrayindex))</f>
        <v>°C Mill inlet</v>
      </c>
      <c r="AB615" s="10"/>
      <c r="AC615" s="10"/>
      <c r="AD615" s="10"/>
      <c r="AE615" s="10"/>
      <c r="AF615" s="10"/>
      <c r="AG615" s="10"/>
      <c r="AH615" s="10"/>
      <c r="AI615" s="10"/>
      <c r="AJ615" s="10"/>
      <c r="AK615" s="352" t="str">
        <f>IF(_ctpos&lt;&gt;0,CONCATENATE(TEXT(wikct,"#'##0")," l/h"),"")</f>
        <v/>
      </c>
      <c r="AL615" s="10"/>
      <c r="AM615" s="10"/>
      <c r="AN615" s="185"/>
      <c r="AO615" s="185"/>
      <c r="AP615" s="185"/>
      <c r="AQ615" s="186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V616" s="1"/>
      <c r="AK616" s="1"/>
      <c r="AM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V617" s="1"/>
      <c r="AK617" s="1"/>
      <c r="AL617" s="341" t="str">
        <f t="array" ref="AL617">IF(_ctpos&lt;&gt;0,INDEX(array1,61,arrayindex),"")</f>
        <v/>
      </c>
      <c r="AM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V618" s="1"/>
      <c r="Z618" s="1" t="s">
        <v>1156</v>
      </c>
      <c r="AK618" s="1"/>
      <c r="AL618" s="19" t="str">
        <f t="array" ref="AL618">IF(_ctpos&lt;&gt;0,INDEX(array1,21,arrayindex),"")</f>
        <v/>
      </c>
      <c r="AM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V619" s="1"/>
      <c r="Z619" s="1" t="s">
        <v>1157</v>
      </c>
      <c r="AK619" s="1"/>
      <c r="AL619" s="330" t="str">
        <f>IF(_ctpos&lt;&gt;0,CONCATENATE(TEXT(wikct,"#'##0")," l/h"),"")</f>
        <v/>
      </c>
      <c r="AM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V620" s="1"/>
      <c r="Z620" s="1" t="s">
        <v>1158</v>
      </c>
      <c r="AK620" s="1"/>
      <c r="AM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V621" s="1"/>
      <c r="AK621" s="1"/>
      <c r="AM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V622" s="1"/>
      <c r="Z622" s="249"/>
      <c r="AK622" s="1"/>
      <c r="AM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V623" s="1"/>
      <c r="AK623" s="1"/>
      <c r="AM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V624" s="1"/>
      <c r="AK624" s="1"/>
      <c r="AM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V625" s="1"/>
      <c r="AK625" s="1"/>
      <c r="AM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V626" s="1"/>
      <c r="AK626" s="1"/>
      <c r="AM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V627" s="1"/>
      <c r="AK627" s="1"/>
      <c r="AM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V628" s="1"/>
      <c r="AK628" s="1"/>
      <c r="AM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V629" s="1"/>
      <c r="AK629" s="1"/>
      <c r="AM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V630" s="1"/>
      <c r="AK630" s="1"/>
      <c r="AM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V631" s="1"/>
      <c r="AK631" s="1"/>
      <c r="AM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V632" s="1"/>
      <c r="AK632" s="1"/>
      <c r="AM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V633" s="1"/>
      <c r="AK633" s="1"/>
      <c r="AM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V634" s="1"/>
      <c r="AK634" s="1"/>
      <c r="AM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V635" s="1"/>
      <c r="AK635" s="1"/>
      <c r="AM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V636" s="1"/>
      <c r="AK636" s="1"/>
      <c r="AM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V637" s="1"/>
      <c r="AK637" s="1"/>
      <c r="AM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V638" s="1"/>
      <c r="AK638" s="1"/>
      <c r="AM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V639" s="1"/>
      <c r="AK639" s="1"/>
      <c r="AM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V640" s="1"/>
      <c r="AK640" s="1"/>
      <c r="AM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V641" s="1"/>
      <c r="AK641" s="1"/>
      <c r="AM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V642" s="1"/>
      <c r="AK642" s="1"/>
      <c r="AM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V643" s="1"/>
      <c r="AK643" s="1"/>
      <c r="AM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V644" s="1"/>
      <c r="AK644" s="1"/>
      <c r="AM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V645" s="1"/>
      <c r="AK645" s="1"/>
      <c r="AM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V646" s="1"/>
      <c r="AK646" s="1"/>
      <c r="AM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V647" s="1"/>
      <c r="AK647" s="1"/>
      <c r="AM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V648" s="1"/>
      <c r="AK648" s="1"/>
      <c r="AM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V649" s="1"/>
      <c r="AK649" s="1"/>
      <c r="AM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V650" s="1"/>
      <c r="AK650" s="1"/>
      <c r="AM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V651" s="1"/>
      <c r="AK651" s="1"/>
      <c r="AM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V652" s="1"/>
      <c r="AK652" s="1"/>
      <c r="AM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V653" s="1"/>
      <c r="AK653" s="1"/>
      <c r="AM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V654" s="1"/>
      <c r="AK654" s="1"/>
      <c r="AM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V655" s="1"/>
      <c r="AK655" s="1"/>
      <c r="AM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V656" s="1"/>
      <c r="AK656" s="1"/>
      <c r="AM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V657" s="1"/>
      <c r="AK657" s="1"/>
      <c r="AM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V658" s="1"/>
      <c r="AK658" s="1"/>
      <c r="AM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V659" s="1"/>
      <c r="AK659" s="1"/>
      <c r="AM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V660" s="1"/>
      <c r="AK660" s="1"/>
      <c r="AM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V661" s="1"/>
      <c r="AK661" s="1"/>
      <c r="AM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V662" s="1"/>
      <c r="AK662" s="1"/>
      <c r="AM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V663" s="1"/>
      <c r="AK663" s="1"/>
      <c r="AM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V664" s="1"/>
      <c r="AK664" s="1"/>
      <c r="AM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V665" s="1"/>
      <c r="AK665" s="1"/>
      <c r="AM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V666" s="1"/>
      <c r="AK666" s="1"/>
      <c r="AM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V667" s="1"/>
      <c r="AK667" s="1"/>
      <c r="AM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V668" s="1"/>
      <c r="AK668" s="1"/>
      <c r="AM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V669" s="1"/>
      <c r="AK669" s="1"/>
      <c r="AM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V670" s="1"/>
      <c r="AK670" s="1"/>
      <c r="AM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V671" s="1"/>
      <c r="AK671" s="1"/>
      <c r="AM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V672" s="1"/>
      <c r="AK672" s="1"/>
      <c r="AM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V673" s="1"/>
      <c r="AK673" s="1"/>
      <c r="AM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V674" s="1"/>
      <c r="AK674" s="1"/>
      <c r="AM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V675" s="1"/>
      <c r="AK675" s="1"/>
      <c r="AM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V676" s="1"/>
      <c r="AK676" s="1"/>
      <c r="AM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V677" s="1"/>
      <c r="AK677" s="1"/>
      <c r="AM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V678" s="1"/>
      <c r="AK678" s="1"/>
      <c r="AM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V679" s="1"/>
      <c r="AK679" s="1"/>
      <c r="AM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V680" s="1"/>
      <c r="AK680" s="1"/>
      <c r="AM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V681" s="1"/>
      <c r="AK681" s="1"/>
      <c r="AM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V682" s="1"/>
      <c r="AK682" s="1"/>
      <c r="AM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V683" s="1"/>
      <c r="AK683" s="1"/>
      <c r="AM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V684" s="1"/>
      <c r="AK684" s="1"/>
      <c r="AM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V685" s="1"/>
      <c r="AK685" s="1"/>
      <c r="AM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V686" s="1"/>
      <c r="AK686" s="1"/>
      <c r="AM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V687" s="1"/>
      <c r="AK687" s="1"/>
      <c r="AM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V688" s="1"/>
      <c r="AK688" s="1"/>
      <c r="AM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V689" s="1"/>
      <c r="AK689" s="1"/>
      <c r="AM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V690" s="1"/>
      <c r="AK690" s="1"/>
      <c r="AM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V691" s="1"/>
      <c r="AK691" s="1"/>
      <c r="AM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V692" s="1"/>
      <c r="AK692" s="1"/>
      <c r="AM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V693" s="1"/>
      <c r="AK693" s="1"/>
      <c r="AM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V694" s="1"/>
      <c r="AK694" s="1"/>
      <c r="AM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V695" s="1"/>
      <c r="AK695" s="1"/>
      <c r="AM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V696" s="1"/>
      <c r="AK696" s="1"/>
      <c r="AM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V697" s="1"/>
      <c r="AK697" s="1"/>
      <c r="AM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V698" s="1"/>
      <c r="AK698" s="1"/>
      <c r="AM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V699" s="1"/>
      <c r="AK699" s="1"/>
      <c r="AM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V700" s="1"/>
      <c r="AK700" s="1"/>
      <c r="AM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V701" s="1"/>
      <c r="AK701" s="1"/>
      <c r="AM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V702" s="1"/>
      <c r="AK702" s="1"/>
      <c r="AM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V703" s="1"/>
      <c r="AK703" s="1"/>
      <c r="AM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V704" s="1"/>
      <c r="AK704" s="1"/>
      <c r="AM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V705" s="1"/>
      <c r="AK705" s="1"/>
      <c r="AM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V706" s="1"/>
      <c r="AK706" s="1"/>
      <c r="AM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V707" s="1"/>
      <c r="AK707" s="1"/>
      <c r="AM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V708" s="1"/>
      <c r="AK708" s="1"/>
      <c r="AM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V709" s="1"/>
      <c r="AK709" s="1"/>
      <c r="AM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V710" s="1"/>
      <c r="AK710" s="1"/>
      <c r="AM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V711" s="1"/>
      <c r="AK711" s="1"/>
      <c r="AM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V712" s="1"/>
      <c r="AK712" s="1"/>
      <c r="AM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V713" s="1"/>
      <c r="AK713" s="1"/>
      <c r="AM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V714" s="1"/>
      <c r="AK714" s="1"/>
      <c r="AM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V715" s="1"/>
      <c r="AK715" s="1"/>
      <c r="AM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V716" s="1"/>
      <c r="AK716" s="1"/>
      <c r="AM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V717" s="1"/>
      <c r="AK717" s="1"/>
      <c r="AM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V718" s="1"/>
      <c r="AK718" s="1"/>
      <c r="AM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V719" s="1"/>
      <c r="AK719" s="1"/>
      <c r="AM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V720" s="1"/>
      <c r="AK720" s="1"/>
      <c r="AM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V721" s="1"/>
      <c r="AK721" s="1"/>
      <c r="AM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V722" s="1"/>
      <c r="AK722" s="1"/>
      <c r="AM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V723" s="1"/>
      <c r="AK723" s="1"/>
      <c r="AM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V724" s="1"/>
      <c r="AK724" s="1"/>
      <c r="AM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V725" s="1"/>
      <c r="AK725" s="1"/>
      <c r="AM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V726" s="1"/>
      <c r="AK726" s="1"/>
      <c r="AM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V727" s="1"/>
      <c r="AK727" s="1"/>
      <c r="AM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V728" s="1"/>
      <c r="AK728" s="1"/>
      <c r="AM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V729" s="1"/>
      <c r="AK729" s="1"/>
      <c r="AM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V730" s="1"/>
      <c r="AK730" s="1"/>
      <c r="AM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V731" s="1"/>
      <c r="AK731" s="1"/>
      <c r="AM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V732" s="1"/>
      <c r="AK732" s="1"/>
      <c r="AM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V733" s="1"/>
      <c r="AK733" s="1"/>
      <c r="AM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V734" s="1"/>
      <c r="AK734" s="1"/>
      <c r="AM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V735" s="1"/>
      <c r="AK735" s="1"/>
      <c r="AM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V736" s="1"/>
      <c r="AK736" s="1"/>
      <c r="AM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V737" s="1"/>
      <c r="AK737" s="1"/>
      <c r="AM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V738" s="1"/>
      <c r="AK738" s="1"/>
      <c r="AM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V739" s="1"/>
      <c r="AK739" s="1"/>
      <c r="AM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V740" s="1"/>
      <c r="AK740" s="1"/>
      <c r="AM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V741" s="1"/>
      <c r="AK741" s="1"/>
      <c r="AM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V742" s="1"/>
      <c r="AK742" s="1"/>
      <c r="AM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V743" s="1"/>
      <c r="AK743" s="1"/>
      <c r="AM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V744" s="1"/>
      <c r="AK744" s="1"/>
      <c r="AM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V745" s="1"/>
      <c r="AK745" s="1"/>
      <c r="AM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V746" s="1"/>
      <c r="AK746" s="1"/>
      <c r="AM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V747" s="1"/>
      <c r="AK747" s="1"/>
      <c r="AM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V748" s="1"/>
      <c r="AK748" s="1"/>
      <c r="AM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V749" s="1"/>
      <c r="AK749" s="1"/>
      <c r="AM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V750" s="1"/>
      <c r="AK750" s="1"/>
      <c r="AM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V751" s="1"/>
      <c r="AK751" s="1"/>
      <c r="AM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V752" s="1"/>
      <c r="AK752" s="1"/>
      <c r="AM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V753" s="1"/>
      <c r="AK753" s="1"/>
      <c r="AM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V754" s="1"/>
      <c r="AK754" s="1"/>
      <c r="AM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V755" s="1"/>
      <c r="AK755" s="1"/>
      <c r="AM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V756" s="1"/>
      <c r="AK756" s="1"/>
      <c r="AM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V757" s="1"/>
      <c r="AK757" s="1"/>
      <c r="AM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V758" s="1"/>
      <c r="AK758" s="1"/>
      <c r="AM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V759" s="1"/>
      <c r="AK759" s="1"/>
      <c r="AM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V760" s="1"/>
      <c r="AK760" s="1"/>
      <c r="AM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V761" s="1"/>
      <c r="AK761" s="1"/>
      <c r="AM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V762" s="1"/>
      <c r="AK762" s="1"/>
      <c r="AM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V763" s="1"/>
      <c r="AK763" s="1"/>
      <c r="AM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V764" s="1"/>
      <c r="AK764" s="1"/>
      <c r="AM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V765" s="1"/>
      <c r="AK765" s="1"/>
      <c r="AM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V766" s="1"/>
      <c r="AK766" s="1"/>
      <c r="AM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V767" s="1"/>
      <c r="AK767" s="1"/>
      <c r="AM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V768" s="1"/>
      <c r="AK768" s="1"/>
      <c r="AM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V769" s="1"/>
      <c r="AK769" s="1"/>
      <c r="AM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V770" s="1"/>
      <c r="AK770" s="1"/>
      <c r="AM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V771" s="1"/>
      <c r="AK771" s="1"/>
      <c r="AM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V772" s="1"/>
      <c r="AK772" s="1"/>
      <c r="AM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V773" s="1"/>
      <c r="AK773" s="1"/>
      <c r="AM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V774" s="1"/>
      <c r="AK774" s="1"/>
      <c r="AM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V775" s="1"/>
      <c r="AK775" s="1"/>
      <c r="AM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V776" s="1"/>
      <c r="AK776" s="1"/>
      <c r="AM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V777" s="1"/>
      <c r="AK777" s="1"/>
      <c r="AM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V778" s="1"/>
      <c r="AK778" s="1"/>
      <c r="AM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V779" s="1"/>
      <c r="AK779" s="1"/>
      <c r="AM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V780" s="1"/>
      <c r="AK780" s="1"/>
      <c r="AM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V781" s="1"/>
      <c r="AK781" s="1"/>
      <c r="AM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V782" s="1"/>
      <c r="AK782" s="1"/>
      <c r="AM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V783" s="1"/>
      <c r="AK783" s="1"/>
      <c r="AM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V784" s="1"/>
      <c r="AK784" s="1"/>
      <c r="AM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V785" s="1"/>
      <c r="AK785" s="1"/>
      <c r="AM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V786" s="1"/>
      <c r="AK786" s="1"/>
      <c r="AM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V787" s="1"/>
      <c r="AK787" s="1"/>
      <c r="AM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V788" s="1"/>
      <c r="AK788" s="1"/>
      <c r="AM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V789" s="1"/>
      <c r="AK789" s="1"/>
      <c r="AM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V790" s="1"/>
      <c r="AK790" s="1"/>
      <c r="AM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V791" s="1"/>
      <c r="AK791" s="1"/>
      <c r="AM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V792" s="1"/>
      <c r="AK792" s="1"/>
      <c r="AM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V793" s="1"/>
      <c r="AK793" s="1"/>
      <c r="AM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V794" s="1"/>
      <c r="AK794" s="1"/>
      <c r="AM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V795" s="1"/>
      <c r="AK795" s="1"/>
      <c r="AM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V796" s="1"/>
      <c r="AK796" s="1"/>
      <c r="AM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V797" s="1"/>
      <c r="AK797" s="1"/>
      <c r="AM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V798" s="1"/>
      <c r="AK798" s="1"/>
      <c r="AM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V799" s="1"/>
      <c r="AK799" s="1"/>
      <c r="AM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V800" s="1"/>
      <c r="AK800" s="1"/>
      <c r="AM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V801" s="1"/>
      <c r="AK801" s="1"/>
      <c r="AM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V802" s="1"/>
      <c r="AK802" s="1"/>
      <c r="AM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V803" s="1"/>
      <c r="AK803" s="1"/>
      <c r="AM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V804" s="1"/>
      <c r="AK804" s="1"/>
      <c r="AM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V805" s="1"/>
      <c r="AK805" s="1"/>
      <c r="AM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V806" s="1"/>
      <c r="AK806" s="1"/>
      <c r="AM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V807" s="1"/>
      <c r="AK807" s="1"/>
      <c r="AM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V808" s="1"/>
      <c r="AK808" s="1"/>
      <c r="AM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V809" s="1"/>
      <c r="AK809" s="1"/>
      <c r="AM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V810" s="1"/>
      <c r="AK810" s="1"/>
      <c r="AM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V811" s="1"/>
      <c r="AK811" s="1"/>
      <c r="AM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V812" s="1"/>
      <c r="AK812" s="1"/>
      <c r="AM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V813" s="1"/>
      <c r="AK813" s="1"/>
      <c r="AM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V814" s="1"/>
      <c r="AK814" s="1"/>
      <c r="AM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V815" s="1"/>
      <c r="AK815" s="1"/>
      <c r="AM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V816" s="1"/>
      <c r="AK816" s="1"/>
      <c r="AM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V817" s="1"/>
      <c r="AK817" s="1"/>
      <c r="AM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V818" s="1"/>
      <c r="AK818" s="1"/>
      <c r="AM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V819" s="1"/>
      <c r="AK819" s="1"/>
      <c r="AM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V820" s="1"/>
      <c r="AK820" s="1"/>
      <c r="AM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V821" s="1"/>
      <c r="AK821" s="1"/>
      <c r="AM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V822" s="1"/>
      <c r="AK822" s="1"/>
      <c r="AM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V823" s="1"/>
      <c r="AK823" s="1"/>
      <c r="AM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V824" s="1"/>
      <c r="AK824" s="1"/>
      <c r="AM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V825" s="1"/>
      <c r="AK825" s="1"/>
      <c r="AM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V826" s="1"/>
      <c r="AK826" s="1"/>
      <c r="AM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V827" s="1"/>
      <c r="AK827" s="1"/>
      <c r="AM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V828" s="1"/>
      <c r="AK828" s="1"/>
      <c r="AM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V829" s="1"/>
      <c r="AK829" s="1"/>
      <c r="AM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V830" s="1"/>
      <c r="AK830" s="1"/>
      <c r="AM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V831" s="1"/>
      <c r="AK831" s="1"/>
      <c r="AM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V832" s="1"/>
      <c r="AK832" s="1"/>
      <c r="AM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V833" s="1"/>
      <c r="AK833" s="1"/>
      <c r="AM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V834" s="1"/>
      <c r="AK834" s="1"/>
      <c r="AM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V835" s="1"/>
      <c r="AK835" s="1"/>
      <c r="AM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V836" s="1"/>
      <c r="AK836" s="1"/>
      <c r="AM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V837" s="1"/>
      <c r="AK837" s="1"/>
      <c r="AM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V838" s="1"/>
      <c r="AK838" s="1"/>
      <c r="AM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V839" s="1"/>
      <c r="AK839" s="1"/>
      <c r="AM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V840" s="1"/>
      <c r="AK840" s="1"/>
      <c r="AM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V841" s="1"/>
      <c r="AK841" s="1"/>
      <c r="AM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V842" s="1"/>
      <c r="AK842" s="1"/>
      <c r="AM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V843" s="1"/>
      <c r="AK843" s="1"/>
      <c r="AM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V844" s="1"/>
      <c r="AK844" s="1"/>
      <c r="AM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V845" s="1"/>
      <c r="AK845" s="1"/>
      <c r="AM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V846" s="1"/>
      <c r="AK846" s="1"/>
      <c r="AM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V847" s="1"/>
      <c r="AK847" s="1"/>
      <c r="AM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V848" s="1"/>
      <c r="AK848" s="1"/>
      <c r="AM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V849" s="1"/>
      <c r="AK849" s="1"/>
      <c r="AM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V850" s="1"/>
      <c r="AK850" s="1"/>
      <c r="AM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V851" s="1"/>
      <c r="AK851" s="1"/>
      <c r="AM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V852" s="1"/>
      <c r="AK852" s="1"/>
      <c r="AM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V853" s="1"/>
      <c r="AK853" s="1"/>
      <c r="AM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V854" s="1"/>
      <c r="AK854" s="1"/>
      <c r="AM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V855" s="1"/>
      <c r="AK855" s="1"/>
      <c r="AM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V856" s="1"/>
      <c r="AK856" s="1"/>
      <c r="AM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V857" s="1"/>
      <c r="AK857" s="1"/>
      <c r="AM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V858" s="1"/>
      <c r="AK858" s="1"/>
      <c r="AM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V859" s="1"/>
      <c r="AK859" s="1"/>
      <c r="AM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V860" s="1"/>
      <c r="AK860" s="1"/>
      <c r="AM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V861" s="1"/>
      <c r="AK861" s="1"/>
      <c r="AM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V862" s="1"/>
      <c r="AK862" s="1"/>
      <c r="AM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V863" s="1"/>
      <c r="AK863" s="1"/>
      <c r="AM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V864" s="1"/>
      <c r="AK864" s="1"/>
      <c r="AM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V865" s="1"/>
      <c r="AK865" s="1"/>
      <c r="AM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V866" s="1"/>
      <c r="AK866" s="1"/>
      <c r="AM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V867" s="1"/>
      <c r="AK867" s="1"/>
      <c r="AM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V868" s="1"/>
      <c r="AK868" s="1"/>
      <c r="AM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V869" s="1"/>
      <c r="AK869" s="1"/>
      <c r="AM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V870" s="1"/>
      <c r="AK870" s="1"/>
      <c r="AM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V871" s="1"/>
      <c r="AK871" s="1"/>
      <c r="AM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V872" s="1"/>
      <c r="AK872" s="1"/>
      <c r="AM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V873" s="1"/>
      <c r="AK873" s="1"/>
      <c r="AM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V874" s="1"/>
      <c r="AK874" s="1"/>
      <c r="AM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V875" s="1"/>
      <c r="AK875" s="1"/>
      <c r="AM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V876" s="1"/>
      <c r="AK876" s="1"/>
      <c r="AM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V877" s="1"/>
      <c r="AK877" s="1"/>
      <c r="AM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V878" s="1"/>
      <c r="AK878" s="1"/>
      <c r="AM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V879" s="1"/>
      <c r="AK879" s="1"/>
      <c r="AM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V880" s="1"/>
      <c r="AK880" s="1"/>
      <c r="AM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V881" s="1"/>
      <c r="AK881" s="1"/>
      <c r="AM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V882" s="1"/>
      <c r="AK882" s="1"/>
      <c r="AM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V883" s="1"/>
      <c r="AK883" s="1"/>
      <c r="AM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V884" s="1"/>
      <c r="AK884" s="1"/>
      <c r="AM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V885" s="1"/>
      <c r="AK885" s="1"/>
      <c r="AM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V886" s="1"/>
      <c r="AK886" s="1"/>
      <c r="AM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V887" s="1"/>
      <c r="AK887" s="1"/>
      <c r="AM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V888" s="1"/>
      <c r="AK888" s="1"/>
      <c r="AM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V889" s="1"/>
      <c r="AK889" s="1"/>
      <c r="AM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V890" s="1"/>
      <c r="AK890" s="1"/>
      <c r="AM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V891" s="1"/>
      <c r="AK891" s="1"/>
      <c r="AM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V892" s="1"/>
      <c r="AK892" s="1"/>
      <c r="AM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V893" s="1"/>
      <c r="AK893" s="1"/>
      <c r="AM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V894" s="1"/>
      <c r="AK894" s="1"/>
      <c r="AM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V895" s="1"/>
      <c r="AK895" s="1"/>
      <c r="AM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V896" s="1"/>
      <c r="AK896" s="1"/>
      <c r="AM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V897" s="1"/>
      <c r="AK897" s="1"/>
      <c r="AM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V898" s="1"/>
      <c r="AK898" s="1"/>
      <c r="AM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V899" s="1"/>
      <c r="AK899" s="1"/>
      <c r="AM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V900" s="1"/>
      <c r="AK900" s="1"/>
      <c r="AM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V901" s="1"/>
      <c r="AK901" s="1"/>
      <c r="AM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V902" s="1"/>
      <c r="AK902" s="1"/>
      <c r="AM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V903" s="1"/>
      <c r="AK903" s="1"/>
      <c r="AM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V904" s="1"/>
      <c r="AK904" s="1"/>
      <c r="AM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V905" s="1"/>
      <c r="AK905" s="1"/>
      <c r="AM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V906" s="1"/>
      <c r="AK906" s="1"/>
      <c r="AM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V907" s="1"/>
      <c r="AK907" s="1"/>
      <c r="AM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V908" s="1"/>
      <c r="AK908" s="1"/>
      <c r="AM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V909" s="1"/>
      <c r="AK909" s="1"/>
      <c r="AM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V910" s="1"/>
      <c r="AK910" s="1"/>
      <c r="AM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V911" s="1"/>
      <c r="AK911" s="1"/>
      <c r="AM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V912" s="1"/>
      <c r="AK912" s="1"/>
      <c r="AM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V913" s="1"/>
      <c r="AK913" s="1"/>
      <c r="AM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V914" s="1"/>
      <c r="AK914" s="1"/>
      <c r="AM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V915" s="1"/>
      <c r="AK915" s="1"/>
      <c r="AM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V916" s="1"/>
      <c r="AK916" s="1"/>
      <c r="AM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V917" s="1"/>
      <c r="AK917" s="1"/>
      <c r="AM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V918" s="1"/>
      <c r="AK918" s="1"/>
      <c r="AM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V919" s="1"/>
      <c r="AK919" s="1"/>
      <c r="AM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V920" s="1"/>
      <c r="AK920" s="1"/>
      <c r="AM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V921" s="1"/>
      <c r="AK921" s="1"/>
      <c r="AM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V922" s="1"/>
      <c r="AK922" s="1"/>
      <c r="AM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V923" s="1"/>
      <c r="AK923" s="1"/>
      <c r="AM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V924" s="1"/>
      <c r="AK924" s="1"/>
      <c r="AM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V925" s="1"/>
      <c r="AK925" s="1"/>
      <c r="AM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V926" s="1"/>
      <c r="AK926" s="1"/>
      <c r="AM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V927" s="1"/>
      <c r="AK927" s="1"/>
      <c r="AM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V928" s="1"/>
      <c r="AK928" s="1"/>
      <c r="AM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V929" s="1"/>
      <c r="AK929" s="1"/>
      <c r="AM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V930" s="1"/>
      <c r="AK930" s="1"/>
      <c r="AM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V931" s="1"/>
      <c r="AK931" s="1"/>
      <c r="AM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V932" s="1"/>
      <c r="AK932" s="1"/>
      <c r="AM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V933" s="1"/>
      <c r="AK933" s="1"/>
      <c r="AM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V934" s="1"/>
      <c r="AK934" s="1"/>
      <c r="AM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V935" s="1"/>
      <c r="AK935" s="1"/>
      <c r="AM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V936" s="1"/>
      <c r="AK936" s="1"/>
      <c r="AM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V937" s="1"/>
      <c r="AK937" s="1"/>
      <c r="AM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V938" s="1"/>
      <c r="AK938" s="1"/>
      <c r="AM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V939" s="1"/>
      <c r="AK939" s="1"/>
      <c r="AM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V940" s="1"/>
      <c r="AK940" s="1"/>
      <c r="AM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V941" s="1"/>
      <c r="AK941" s="1"/>
      <c r="AM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V942" s="1"/>
      <c r="AK942" s="1"/>
      <c r="AM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V943" s="1"/>
      <c r="AK943" s="1"/>
      <c r="AM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V944" s="1"/>
      <c r="AK944" s="1"/>
      <c r="AM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V945" s="1"/>
      <c r="AK945" s="1"/>
      <c r="AM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V946" s="1"/>
      <c r="AK946" s="1"/>
      <c r="AM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V947" s="1"/>
      <c r="AK947" s="1"/>
      <c r="AM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V948" s="1"/>
      <c r="AK948" s="1"/>
      <c r="AM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V949" s="1"/>
      <c r="AK949" s="1"/>
      <c r="AM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V950" s="1"/>
      <c r="AK950" s="1"/>
      <c r="AM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V951" s="1"/>
      <c r="AK951" s="1"/>
      <c r="AM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V952" s="1"/>
      <c r="AK952" s="1"/>
      <c r="AM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V953" s="1"/>
      <c r="AK953" s="1"/>
      <c r="AM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V954" s="1"/>
      <c r="AK954" s="1"/>
      <c r="AM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V955" s="1"/>
      <c r="AK955" s="1"/>
      <c r="AM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V956" s="1"/>
      <c r="AK956" s="1"/>
      <c r="AM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V957" s="1"/>
      <c r="AK957" s="1"/>
      <c r="AM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V958" s="1"/>
      <c r="AK958" s="1"/>
      <c r="AM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V959" s="1"/>
      <c r="AK959" s="1"/>
      <c r="AM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V960" s="1"/>
      <c r="AK960" s="1"/>
      <c r="AM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V961" s="1"/>
      <c r="AK961" s="1"/>
      <c r="AM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V962" s="1"/>
      <c r="AK962" s="1"/>
      <c r="AM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V963" s="1"/>
      <c r="AK963" s="1"/>
      <c r="AM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V964" s="1"/>
      <c r="AK964" s="1"/>
      <c r="AM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V965" s="1"/>
      <c r="AK965" s="1"/>
      <c r="AM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V966" s="1"/>
      <c r="AK966" s="1"/>
      <c r="AM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V967" s="1"/>
      <c r="AK967" s="1"/>
      <c r="AM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V968" s="1"/>
      <c r="AK968" s="1"/>
      <c r="AM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V969" s="1"/>
      <c r="AK969" s="1"/>
      <c r="AM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V970" s="1"/>
      <c r="AK970" s="1"/>
      <c r="AM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V971" s="1"/>
      <c r="AK971" s="1"/>
      <c r="AM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V972" s="1"/>
      <c r="AK972" s="1"/>
      <c r="AM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V973" s="1"/>
      <c r="AK973" s="1"/>
      <c r="AM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V974" s="1"/>
      <c r="AK974" s="1"/>
      <c r="AM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V975" s="1"/>
      <c r="AK975" s="1"/>
      <c r="AM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V976" s="1"/>
      <c r="AK976" s="1"/>
      <c r="AM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V977" s="1"/>
      <c r="AK977" s="1"/>
      <c r="AM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V978" s="1"/>
      <c r="AK978" s="1"/>
      <c r="AM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V979" s="1"/>
      <c r="AK979" s="1"/>
      <c r="AM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V980" s="1"/>
      <c r="AK980" s="1"/>
      <c r="AM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V981" s="1"/>
      <c r="AK981" s="1"/>
      <c r="AM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V982" s="1"/>
      <c r="AK982" s="1"/>
      <c r="AM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V983" s="1"/>
      <c r="AK983" s="1"/>
      <c r="AM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V984" s="1"/>
      <c r="AK984" s="1"/>
      <c r="AM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V985" s="1"/>
      <c r="AK985" s="1"/>
      <c r="AM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V986" s="1"/>
      <c r="AK986" s="1"/>
      <c r="AM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V987" s="1"/>
      <c r="AK987" s="1"/>
      <c r="AM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V988" s="1"/>
      <c r="AK988" s="1"/>
      <c r="AM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V989" s="1"/>
      <c r="AK989" s="1"/>
      <c r="AM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V990" s="1"/>
      <c r="AK990" s="1"/>
      <c r="AM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V991" s="1"/>
      <c r="AK991" s="1"/>
      <c r="AM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V992" s="1"/>
      <c r="AK992" s="1"/>
      <c r="AM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V993" s="1"/>
      <c r="AK993" s="1"/>
      <c r="AM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  <c r="O994" s="1"/>
      <c r="V994" s="1"/>
      <c r="AK994" s="1"/>
      <c r="AM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  <c r="O995" s="1"/>
      <c r="V995" s="1"/>
      <c r="AK995" s="1"/>
      <c r="AM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  <c r="O996" s="1"/>
      <c r="V996" s="1"/>
      <c r="AK996" s="1"/>
      <c r="AM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K997" s="1"/>
      <c r="L997" s="1"/>
      <c r="M997" s="1"/>
      <c r="N997" s="1"/>
      <c r="O997" s="1"/>
      <c r="V997" s="1"/>
      <c r="AK997" s="1"/>
      <c r="AM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K998" s="1"/>
      <c r="L998" s="1"/>
      <c r="M998" s="1"/>
      <c r="N998" s="1"/>
      <c r="O998" s="1"/>
      <c r="V998" s="1"/>
      <c r="AK998" s="1"/>
      <c r="AM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K999" s="1"/>
      <c r="L999" s="1"/>
      <c r="M999" s="1"/>
      <c r="N999" s="1"/>
      <c r="O999" s="1"/>
      <c r="V999" s="1"/>
      <c r="AK999" s="1"/>
      <c r="AM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K1000" s="1"/>
      <c r="L1000" s="1"/>
      <c r="M1000" s="1"/>
      <c r="N1000" s="1"/>
      <c r="O1000" s="1"/>
      <c r="V1000" s="1"/>
      <c r="AK1000" s="1"/>
      <c r="AM1000" s="1"/>
    </row>
  </sheetData>
  <conditionalFormatting sqref="H15:I15">
    <cfRule type="expression" dxfId="0" priority="1">
      <formula>(LEN($B$15)&gt;1)=FALSE</formula>
    </cfRule>
  </conditionalFormatting>
  <conditionalFormatting sqref="H16:I16">
    <cfRule type="expression" dxfId="0" priority="2">
      <formula>(LEN($B$16)&gt;1)=FALSE</formula>
    </cfRule>
  </conditionalFormatting>
  <conditionalFormatting sqref="H14:I14">
    <cfRule type="expression" dxfId="0" priority="3">
      <formula>(LEN($B$14)&gt;1)=FALSE</formula>
    </cfRule>
  </conditionalFormatting>
  <conditionalFormatting sqref="H13:I13">
    <cfRule type="expression" dxfId="0" priority="4">
      <formula>LEN($B$13)&gt;1=FALSE</formula>
    </cfRule>
  </conditionalFormatting>
  <conditionalFormatting sqref="I77:I79">
    <cfRule type="expression" dxfId="1" priority="5">
      <formula>ISNUMBER($J$77)=FALSE</formula>
    </cfRule>
  </conditionalFormatting>
  <conditionalFormatting sqref="E13:G13">
    <cfRule type="expression" dxfId="1" priority="6">
      <formula>LEN($B$13)&gt;1=FALSE</formula>
    </cfRule>
  </conditionalFormatting>
  <conditionalFormatting sqref="E14:G14">
    <cfRule type="expression" dxfId="1" priority="7">
      <formula>(LEN($B$14)&gt;1)=FALSE</formula>
    </cfRule>
  </conditionalFormatting>
  <conditionalFormatting sqref="E15:G15">
    <cfRule type="expression" dxfId="1" priority="8">
      <formula>(LEN($B$15)&gt;1)=FALSE</formula>
    </cfRule>
  </conditionalFormatting>
  <conditionalFormatting sqref="E16:G16">
    <cfRule type="expression" dxfId="1" priority="9">
      <formula>(LEN($B$16)&gt;1)=FALSE</formula>
    </cfRule>
  </conditionalFormatting>
  <hyperlinks>
    <hyperlink r:id="rId2" ref="C43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0"/>
    <col customWidth="1" min="2" max="2" width="8.0"/>
    <col customWidth="1" min="3" max="3" width="13.86"/>
    <col customWidth="1" min="4" max="4" width="13.14"/>
    <col customWidth="1" min="5" max="5" width="11.57"/>
    <col customWidth="1" min="6" max="6" width="11.0"/>
    <col customWidth="1" min="7" max="26" width="8.0"/>
  </cols>
  <sheetData>
    <row r="1" ht="12.75" customHeight="1">
      <c r="A1" s="353" t="s">
        <v>1159</v>
      </c>
      <c r="B1" s="51"/>
      <c r="C1" s="51"/>
      <c r="D1" s="51"/>
      <c r="E1" s="51"/>
      <c r="F1" s="51"/>
      <c r="G1" s="51"/>
    </row>
    <row r="2" ht="12.75" customHeight="1">
      <c r="A2" s="353"/>
      <c r="B2" s="124" t="s">
        <v>1160</v>
      </c>
      <c r="C2" s="51"/>
      <c r="D2" s="51"/>
      <c r="E2" s="51"/>
      <c r="F2" s="51"/>
      <c r="G2" s="51"/>
    </row>
    <row r="3" ht="12.75" customHeight="1">
      <c r="A3" s="353"/>
      <c r="B3" s="124" t="s">
        <v>1161</v>
      </c>
      <c r="C3" s="51"/>
      <c r="D3" s="51"/>
      <c r="E3" s="51"/>
      <c r="F3" s="51"/>
      <c r="G3" s="51"/>
    </row>
    <row r="4" ht="12.75" customHeight="1">
      <c r="A4" s="353"/>
      <c r="B4" s="118" t="s">
        <v>1162</v>
      </c>
      <c r="C4" s="51"/>
      <c r="D4" s="51"/>
      <c r="E4" s="51"/>
      <c r="F4" s="51"/>
      <c r="G4" s="51"/>
    </row>
    <row r="5" ht="12.75" customHeight="1">
      <c r="A5" s="353"/>
      <c r="B5" s="118" t="s">
        <v>1163</v>
      </c>
      <c r="C5" s="51"/>
      <c r="D5" s="51"/>
      <c r="E5" s="51"/>
      <c r="F5" s="51"/>
      <c r="G5" s="51"/>
    </row>
    <row r="6" ht="12.75" customHeight="1">
      <c r="A6" s="353"/>
      <c r="B6" s="118" t="str">
        <f>CONCATENATE("It is possible to have several copies of the calculation spreadsheet ",sheetname(NOW())," in the same workbook (by Edit-&gt;Move or copy Sheet...)")</f>
        <v>#NAME?</v>
      </c>
      <c r="C6" s="51"/>
      <c r="D6" s="51"/>
      <c r="E6" s="51"/>
      <c r="F6" s="51"/>
      <c r="G6" s="51"/>
    </row>
    <row r="7" ht="12.75" customHeight="1">
      <c r="A7" s="51"/>
      <c r="B7" s="124" t="str">
        <f>CONCATENATE("When closing or saving the Workbook, ",sheetname(NOW())," (or a copy of it) must be the active, visible Worksheet (otherwise, an error will occur when reopening the Workbook)")</f>
        <v>#NAME?</v>
      </c>
      <c r="C7" s="51"/>
      <c r="D7" s="51"/>
      <c r="E7" s="51"/>
      <c r="F7" s="51"/>
      <c r="G7" s="51"/>
    </row>
    <row r="8" ht="12.75" customHeight="1">
      <c r="A8" s="51"/>
      <c r="B8" s="118" t="s">
        <v>1164</v>
      </c>
      <c r="C8" s="51"/>
      <c r="D8" s="51"/>
      <c r="E8" s="51"/>
      <c r="F8" s="51"/>
      <c r="G8" s="51"/>
    </row>
    <row r="9" ht="12.75" customHeight="1">
      <c r="A9" s="51"/>
      <c r="B9" s="118" t="s">
        <v>1165</v>
      </c>
      <c r="C9" s="51"/>
      <c r="D9" s="51"/>
      <c r="E9" s="51"/>
      <c r="F9" s="51"/>
      <c r="G9" s="51"/>
    </row>
    <row r="10" ht="12.75" customHeight="1">
      <c r="A10" s="51"/>
      <c r="B10" s="118" t="s">
        <v>1166</v>
      </c>
      <c r="C10" s="51"/>
      <c r="D10" s="51"/>
      <c r="E10" s="51"/>
      <c r="F10" s="51"/>
      <c r="G10" s="51"/>
    </row>
    <row r="11" ht="12.75" customHeight="1">
      <c r="A11" s="51"/>
      <c r="B11" s="124" t="str">
        <f>CONCATENATE("All cell links mentioned below refer to the calculation Worksheet ",sheetname(NOW())," or a copy of it")</f>
        <v>#NAME?</v>
      </c>
      <c r="C11" s="354"/>
      <c r="D11" s="51"/>
      <c r="E11" s="51"/>
      <c r="F11" s="51"/>
      <c r="G11" s="51"/>
    </row>
    <row r="12" ht="12.75" customHeight="1">
      <c r="A12" s="355"/>
      <c r="B12" s="356" t="s">
        <v>1167</v>
      </c>
      <c r="C12" s="354"/>
      <c r="D12" s="51"/>
      <c r="E12" s="51"/>
      <c r="F12" s="51"/>
      <c r="G12" s="51"/>
    </row>
    <row r="13" ht="12.75" customHeight="1">
      <c r="A13" s="51"/>
      <c r="B13" s="32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C13" s="51"/>
      <c r="D13" s="51"/>
      <c r="E13" s="51"/>
      <c r="F13" s="51"/>
      <c r="G13" s="51"/>
    </row>
    <row r="14" ht="12.75" customHeight="1">
      <c r="A14" s="51"/>
      <c r="B14" s="118" t="s">
        <v>16</v>
      </c>
      <c r="C14" s="51"/>
      <c r="D14" s="51"/>
      <c r="E14" s="51"/>
      <c r="F14" s="51"/>
      <c r="G14" s="51"/>
    </row>
    <row r="15" ht="12.75" customHeight="1">
      <c r="A15" s="51"/>
      <c r="B15" s="118" t="s">
        <v>1168</v>
      </c>
      <c r="C15" s="51"/>
      <c r="D15" s="51"/>
      <c r="E15" s="51"/>
      <c r="F15" s="51"/>
      <c r="G15" s="51"/>
    </row>
    <row r="16" ht="12.75" customHeight="1">
      <c r="A16" s="51"/>
      <c r="B16" s="118" t="s">
        <v>17</v>
      </c>
      <c r="C16" s="51"/>
      <c r="D16" s="51"/>
      <c r="E16" s="51"/>
      <c r="F16" s="51"/>
      <c r="G16" s="51"/>
    </row>
    <row r="17" ht="12.75" customHeight="1">
      <c r="A17" s="51"/>
      <c r="B17" s="322" t="s">
        <v>1169</v>
      </c>
      <c r="C17" s="51"/>
      <c r="D17" s="51"/>
      <c r="E17" s="51"/>
      <c r="F17" s="51"/>
      <c r="G17" s="51"/>
    </row>
    <row r="18" ht="12.75" customHeight="1">
      <c r="A18" s="51"/>
      <c r="B18" s="357">
        <v>300.0</v>
      </c>
      <c r="C18" s="51" t="s">
        <v>1170</v>
      </c>
      <c r="D18" s="51"/>
      <c r="E18" s="51"/>
      <c r="F18" s="51"/>
      <c r="G18" s="51"/>
    </row>
    <row r="19" ht="14.25" customHeight="1">
      <c r="A19" s="51"/>
      <c r="B19" s="358">
        <v>-50.0</v>
      </c>
      <c r="C19" s="51" t="s">
        <v>1171</v>
      </c>
      <c r="D19" s="51"/>
      <c r="E19" s="51"/>
      <c r="F19" s="51"/>
      <c r="G19" s="51"/>
    </row>
    <row r="20" ht="12.75" customHeight="1">
      <c r="A20" s="51"/>
      <c r="B20" s="124"/>
      <c r="C20" s="51"/>
      <c r="D20" s="51"/>
      <c r="E20" s="51"/>
      <c r="F20" s="51"/>
      <c r="G20" s="51"/>
    </row>
    <row r="21" ht="12.75" customHeight="1">
      <c r="A21" s="353" t="s">
        <v>1172</v>
      </c>
      <c r="B21" s="124"/>
      <c r="C21" s="51"/>
      <c r="D21" s="51"/>
      <c r="E21" s="51"/>
      <c r="F21" s="51"/>
      <c r="G21" s="51"/>
    </row>
    <row r="22" ht="12.75" customHeight="1">
      <c r="A22" s="353"/>
      <c r="B22" s="118" t="s">
        <v>1173</v>
      </c>
      <c r="C22" s="51"/>
      <c r="D22" s="51"/>
      <c r="E22" s="51"/>
      <c r="F22" s="51"/>
      <c r="G22" s="51"/>
    </row>
    <row r="23" ht="12.75" customHeight="1">
      <c r="A23" s="353"/>
      <c r="B23" s="52" t="str">
        <f>CONCATENATE(" -the predefined print areas are found in cells ",TEXT(ADDRESS(ROW(_flowsheet_print_area),COLUMN(_flowsheet_print_area),4),"0")," (flowsheet), ",TEXT(ADDRESS(ROW(_page1_print_area),COLUMN(_page1_print_area),4),"0"),", and ",TEXT(ADDRESS(ROW(_page2_print_area),COLUMN(_page2_print_area),4),"0")," (Balance page 1 and page 2)")</f>
        <v> -the predefined print areas are found in cells G427 (flowsheet), G428, and G429 (Balance page 1 and page 2)</v>
      </c>
      <c r="C23" s="51"/>
      <c r="D23" s="51"/>
      <c r="E23" s="51"/>
      <c r="F23" s="51"/>
      <c r="G23" s="51"/>
    </row>
    <row r="24" ht="12.75" customHeight="1">
      <c r="A24" s="353"/>
      <c r="B24" s="118" t="s">
        <v>1174</v>
      </c>
      <c r="C24" s="51"/>
      <c r="D24" s="51"/>
      <c r="E24" s="51"/>
      <c r="F24" s="51"/>
      <c r="G24" s="51"/>
    </row>
    <row r="25" ht="12.75" customHeight="1">
      <c r="A25" s="51"/>
      <c r="B25" s="51" t="s">
        <v>1175</v>
      </c>
      <c r="C25" s="51"/>
      <c r="D25" s="51"/>
      <c r="E25" s="51"/>
      <c r="F25" s="51"/>
      <c r="G25" s="51"/>
    </row>
    <row r="26" ht="12.75" customHeight="1">
      <c r="A26" s="51"/>
      <c r="B26" s="51" t="s">
        <v>1176</v>
      </c>
      <c r="C26" s="51"/>
      <c r="D26" s="51"/>
      <c r="E26" s="51"/>
      <c r="F26" s="51"/>
      <c r="G26" s="51"/>
    </row>
    <row r="27" ht="12.75" customHeight="1">
      <c r="A27" s="51"/>
      <c r="B27" s="51"/>
      <c r="C27" s="51"/>
      <c r="D27" s="51"/>
      <c r="E27" s="51"/>
      <c r="F27" s="51"/>
      <c r="G27" s="51"/>
    </row>
    <row r="28" ht="12.75" customHeight="1">
      <c r="A28" s="353" t="s">
        <v>1177</v>
      </c>
      <c r="B28" s="51"/>
      <c r="C28" s="51"/>
      <c r="D28" s="51"/>
      <c r="E28" s="51"/>
      <c r="F28" s="51"/>
      <c r="G28" s="51"/>
    </row>
    <row r="29" ht="12.75" customHeight="1">
      <c r="A29" s="353"/>
      <c r="B29" s="51" t="s">
        <v>1178</v>
      </c>
      <c r="C29" s="51"/>
      <c r="D29" s="51"/>
      <c r="E29" s="51"/>
      <c r="F29" s="51"/>
      <c r="G29" s="51"/>
    </row>
    <row r="30" ht="12.75" customHeight="1">
      <c r="A30" s="51"/>
      <c r="B30" s="51" t="s">
        <v>1179</v>
      </c>
      <c r="C30" s="51"/>
      <c r="D30" s="51"/>
      <c r="E30" s="51"/>
      <c r="F30" s="51"/>
      <c r="G30" s="51"/>
    </row>
    <row r="31" ht="12.75" customHeight="1">
      <c r="A31" s="51"/>
      <c r="B31" s="51" t="s">
        <v>1180</v>
      </c>
      <c r="C31" s="51"/>
      <c r="D31" s="51"/>
      <c r="E31" s="51"/>
      <c r="F31" s="51"/>
      <c r="G31" s="51"/>
    </row>
    <row r="32" ht="12.75" customHeight="1">
      <c r="A32" s="51"/>
      <c r="B32" s="51" t="s">
        <v>1181</v>
      </c>
      <c r="C32" s="51"/>
      <c r="D32" s="51"/>
      <c r="E32" s="51"/>
      <c r="F32" s="51"/>
      <c r="G32" s="51"/>
    </row>
    <row r="33" ht="12.75" customHeight="1">
      <c r="A33" s="51"/>
      <c r="B33" s="51"/>
      <c r="C33" s="51"/>
      <c r="D33" s="51"/>
      <c r="E33" s="51"/>
      <c r="F33" s="51"/>
      <c r="G33" s="51"/>
    </row>
    <row r="34" ht="12.75" customHeight="1">
      <c r="A34" s="353" t="s">
        <v>1182</v>
      </c>
      <c r="B34" s="52"/>
      <c r="C34" s="51"/>
      <c r="D34" s="51"/>
      <c r="E34" s="51"/>
      <c r="F34" s="51"/>
      <c r="G34" s="51"/>
    </row>
    <row r="35" ht="12.75" customHeight="1">
      <c r="A35" s="51"/>
      <c r="B35" s="52" t="s">
        <v>1183</v>
      </c>
      <c r="C35" s="51"/>
      <c r="D35" s="51"/>
      <c r="E35" s="51"/>
      <c r="F35" s="51"/>
      <c r="G35" s="51"/>
    </row>
    <row r="36" ht="12.75" customHeight="1">
      <c r="A36" s="51" t="s">
        <v>1184</v>
      </c>
      <c r="B36" s="52" t="s">
        <v>1185</v>
      </c>
      <c r="C36" s="51"/>
      <c r="D36" s="51"/>
      <c r="E36" s="51"/>
      <c r="F36" s="51"/>
      <c r="G36" s="51"/>
    </row>
    <row r="37" ht="12.75" customHeight="1">
      <c r="A37" s="51"/>
      <c r="B37" s="52" t="str">
        <f t="array" ref="B37">CONCATENATE(" -System ...  Options : ",INDEX(system_sel_text,1),", ",INDEX(system_sel_text,2)," (cell link : ",TEXT(ADDRESS(ROW(_system),COLUMN(_system),4),"0"),", cell value 0, 1)")</f>
        <v> -System ...  Options : 3-fan system, 2-fan system (cell link : E401, cell value 0, 1)</v>
      </c>
      <c r="C37" s="51"/>
      <c r="D37" s="51"/>
      <c r="E37" s="51"/>
      <c r="F37" s="51"/>
      <c r="G37" s="51"/>
    </row>
    <row r="38" ht="12.75" customHeight="1">
      <c r="A38" s="51"/>
      <c r="B38" s="52"/>
      <c r="C38" s="51" t="s">
        <v>1186</v>
      </c>
      <c r="D38" s="51"/>
      <c r="E38" s="51"/>
      <c r="F38" s="51"/>
      <c r="G38" s="51"/>
    </row>
    <row r="39" ht="12.75" customHeight="1">
      <c r="A39" s="51"/>
      <c r="B39" s="52" t="str">
        <f t="array" ref="B39">CONCATENATE(" -Gas recirculation ...  Options : ",INDEX(recirc_sel_text,1),", ",INDEX(recirc_sel_text,2)," (cell link : ",TEXT(ADDRESS(ROW(recirc),COLUMN(recirc),4),"0"),", cell value 0, 1)")</f>
        <v> -Gas recirculation ...  Options : no recirc, recirc allowed (cell link : E404, cell value 0, 1)</v>
      </c>
      <c r="C39" s="51"/>
      <c r="D39" s="51"/>
      <c r="E39" s="51"/>
      <c r="F39" s="51"/>
      <c r="G39" s="51"/>
    </row>
    <row r="40" ht="12.75" customHeight="1">
      <c r="A40" s="51"/>
      <c r="B40" s="52"/>
      <c r="C40" s="51" t="s">
        <v>1187</v>
      </c>
      <c r="D40" s="51"/>
      <c r="E40" s="51"/>
      <c r="F40" s="51"/>
      <c r="G40" s="51"/>
    </row>
    <row r="41" ht="12.75" customHeight="1">
      <c r="A41" s="51"/>
      <c r="B41" s="52" t="str">
        <f t="array" ref="B41">CONCATENATE(" -Cooling tower ...  Options : ",INDEX(_ct_text,1),", ",INDEX(_ct_text,2),", ",INDEX(_ct_text,3)," (cell link : ",TEXT(ADDRESS(ROW(_ctpos),COLUMN(_ctpos),4),"0"),", cell value 0, 1, 2)")</f>
        <v> -Cooling tower ...  Options : no CT, before kiln fan, after kiln fan (cell link : D407, cell value 0, 1, 2)</v>
      </c>
      <c r="C41" s="51"/>
      <c r="D41" s="51"/>
      <c r="E41" s="51"/>
      <c r="F41" s="51"/>
      <c r="G41" s="51"/>
    </row>
    <row r="42" ht="12.75" customHeight="1">
      <c r="A42" s="51"/>
      <c r="B42" s="52" t="str">
        <f t="array" ref="B42">CONCATENATE(" -Cooler air addition ...  Options : ",INDEX(_cairadd_text,1),", ",INDEX(_cairadd_text,2),", ",INDEX(_cairadd_text,3)," (cell link : ",TEXT(ADDRESS(ROW(_cairadd_pos),COLUMN(_cairadd_pos),4),"0"),", cell value 0, 1, 2)")</f>
        <v> -Cooler air addition ...  Options : no cooler gas, before kiln fan, after kiln fan (cell link : H407, cell value 0, 1, 2)</v>
      </c>
      <c r="C42" s="51"/>
      <c r="D42" s="51"/>
      <c r="E42" s="51"/>
      <c r="F42" s="51"/>
      <c r="G42" s="51"/>
    </row>
    <row r="43" ht="12.75" customHeight="1">
      <c r="A43" s="51"/>
      <c r="B43" s="52"/>
      <c r="C43" s="51" t="str">
        <f>CONCATENATE("your current selection is : ",IF(_ctpos=0,"no CT ","a CT exists"))</f>
        <v>your current selection is : no CT </v>
      </c>
      <c r="D43" s="51"/>
      <c r="E43" s="51"/>
      <c r="F43" s="51"/>
      <c r="G43" s="51"/>
    </row>
    <row r="44" ht="12.75" customHeight="1">
      <c r="A44" s="51"/>
      <c r="B44" s="52"/>
      <c r="C44" s="51" t="s">
        <v>1188</v>
      </c>
      <c r="D44" s="51"/>
      <c r="E44" s="51"/>
      <c r="F44" s="51"/>
      <c r="G44" s="51"/>
    </row>
    <row r="45" ht="12.75" customHeight="1">
      <c r="A45" s="51"/>
      <c r="B45" s="52"/>
      <c r="C45" s="51" t="s">
        <v>1189</v>
      </c>
      <c r="D45" s="51"/>
      <c r="E45" s="51"/>
      <c r="F45" s="51"/>
      <c r="G45" s="51"/>
    </row>
    <row r="46" ht="12.75" customHeight="1">
      <c r="A46" s="51"/>
      <c r="B46" s="52" t="str">
        <f t="array" ref="B46">CONCATENATE(" -Gas to coal mill ...  Options : ",INDEX(_coalm_text,1),", ",INDEX(_coalm_text,2),", ",INDEX(_coalm_text,3),", ",INDEX(_coalm_text,4)," (cell link : ",TEXT(ADDRESS(ROW(_coalm_pos),COLUMN(_coalm_pos),4),"0"),", cell value 0, 1, 2, 3)")</f>
        <v> -Gas to coal mill ...  Options : no coal mill, before kiln fan, after kiln fan, at PH  exit (cell link : L407, cell value 0, 1, 2, 3)</v>
      </c>
      <c r="C46" s="51"/>
      <c r="D46" s="51"/>
      <c r="E46" s="51"/>
      <c r="F46" s="51"/>
      <c r="G46" s="51"/>
    </row>
    <row r="47" ht="12.75" customHeight="1">
      <c r="A47" s="51"/>
      <c r="B47" s="52" t="str">
        <f>CONCATENATE(" -Amount of gas to coal mill ... Nm3/h  (cell link : ",TEXT(ADDRESS(ROW(_coalm_gasamount),COLUMN(_coalm_gasamount),4),"0"),")")</f>
        <v> -Amount of gas to coal mill ... Nm3/h  (cell link : M407)</v>
      </c>
      <c r="C47" s="51"/>
      <c r="D47" s="51"/>
      <c r="E47" s="51"/>
      <c r="F47" s="51"/>
      <c r="G47" s="51"/>
    </row>
    <row r="48" ht="12.75" customHeight="1">
      <c r="A48" s="51"/>
      <c r="B48" s="52" t="str">
        <f t="array" ref="B48">CONCATENATE(" -Gas to mill ...  Options : ",INDEX(_millgas_pos_text,1),"/ ",INDEX(_millgas_pos_text,2),"/ ",INDEX(_millgas_pos_text,3)," (cell link : ",TEXT(ADDRESS(ROW(_millgas_pos),COLUMN(_millgas_pos),4),"0"),", cell value 0, 1, 2)")</f>
        <v> -Gas to mill ...  Options : after CT/ before CT, without cooler gas/ before CT, including cooler gas  (cell link : D411, cell value 0, 1, 2)</v>
      </c>
      <c r="C48" s="51"/>
      <c r="D48" s="51"/>
      <c r="E48" s="51"/>
      <c r="F48" s="51"/>
      <c r="G48" s="51"/>
    </row>
    <row r="49" ht="12.75" customHeight="1">
      <c r="A49" s="51"/>
      <c r="B49" s="52"/>
      <c r="C49" s="51" t="s">
        <v>1190</v>
      </c>
      <c r="D49" s="51"/>
      <c r="E49" s="51"/>
      <c r="F49" s="51"/>
      <c r="G49" s="51"/>
    </row>
    <row r="50" ht="12.75" customHeight="1">
      <c r="A50" s="51"/>
      <c r="B50" s="52"/>
      <c r="C50" s="51" t="s">
        <v>1191</v>
      </c>
      <c r="D50" s="51"/>
      <c r="E50" s="51"/>
      <c r="F50" s="51"/>
      <c r="G50" s="51"/>
    </row>
    <row r="51" ht="12.75" customHeight="1">
      <c r="A51" s="51"/>
      <c r="B51" s="52"/>
      <c r="C51" s="51" t="s">
        <v>1192</v>
      </c>
      <c r="D51" s="51"/>
      <c r="E51" s="51"/>
      <c r="F51" s="51"/>
      <c r="G51" s="51"/>
    </row>
    <row r="52" ht="12.75" customHeight="1">
      <c r="A52" s="51"/>
      <c r="B52" s="52" t="str">
        <f t="array" ref="B52">CONCATENATE(" -feed composition based on ...  Options : ",INDEX(_comp_text,1),", ",INDEX(_comp_text,2)," (cell link : ",TEXT(ADDRESS(ROW(_comp_base),COLUMN(_comp_base),4),"0"),", cell value 0, 1)")</f>
        <v> -feed composition based on ...  Options : wet, dry (cell link : D435, cell value 0, 1)</v>
      </c>
      <c r="C52" s="51"/>
      <c r="D52" s="51"/>
      <c r="E52" s="51"/>
      <c r="F52" s="51"/>
      <c r="G52" s="51"/>
    </row>
    <row r="53" ht="12.75" customHeight="1">
      <c r="A53" s="51"/>
      <c r="B53" s="52"/>
      <c r="C53" s="51"/>
      <c r="D53" s="51"/>
      <c r="E53" s="51"/>
      <c r="F53" s="51"/>
      <c r="G53" s="51"/>
    </row>
    <row r="54" ht="12.75" customHeight="1">
      <c r="A54" s="51"/>
      <c r="B54" s="52" t="s">
        <v>1193</v>
      </c>
      <c r="C54" s="51"/>
      <c r="D54" s="51"/>
      <c r="E54" s="51"/>
      <c r="F54" s="51"/>
      <c r="G54" s="51"/>
    </row>
    <row r="55" ht="12.75" customHeight="1">
      <c r="A55" s="51"/>
      <c r="B55" s="52"/>
      <c r="C55" s="51" t="s">
        <v>1194</v>
      </c>
      <c r="D55" s="51"/>
      <c r="E55" s="51"/>
      <c r="F55" s="51"/>
      <c r="G55" s="51"/>
    </row>
    <row r="56" ht="12.75" customHeight="1">
      <c r="A56" s="51"/>
      <c r="B56" s="52"/>
      <c r="C56" s="51" t="s">
        <v>1195</v>
      </c>
      <c r="D56" s="51"/>
      <c r="E56" s="51"/>
      <c r="F56" s="51"/>
      <c r="G56" s="51"/>
    </row>
    <row r="57" ht="12.75" customHeight="1">
      <c r="A57" s="51"/>
      <c r="B57" s="52"/>
      <c r="C57" s="51" t="str">
        <f>CONCATENATE("(see also line ",TEXT(ROW(Gas_direct_to_filter),"0")," of this Help Sheet)")</f>
        <v>(see also line 204 of this Help Sheet)</v>
      </c>
      <c r="D57" s="51"/>
      <c r="E57" s="51"/>
      <c r="F57" s="51"/>
      <c r="G57" s="51"/>
    </row>
    <row r="58" ht="12.75" customHeight="1">
      <c r="A58" s="51"/>
      <c r="B58" s="52" t="str">
        <f>CONCATENATE(" -Checkbox1 : redraw flowsheet automatically  (cell link : ",TEXT(ADDRESS(ROW(auto_redraw),COLUMN(auto_redraw),4,TRUE, ),"0"),")")</f>
        <v> -Checkbox1 : redraw flowsheet automatically  (cell link : Z576)</v>
      </c>
      <c r="C58" s="359"/>
      <c r="D58" s="51"/>
      <c r="E58" s="51"/>
      <c r="F58" s="51"/>
      <c r="G58" s="51"/>
    </row>
    <row r="59" ht="12.75" customHeight="1">
      <c r="A59" s="51"/>
      <c r="B59" s="52"/>
      <c r="C59" s="205" t="s">
        <v>1196</v>
      </c>
      <c r="D59" s="51"/>
      <c r="E59" s="51"/>
      <c r="F59" s="51"/>
      <c r="G59" s="51"/>
    </row>
    <row r="60" ht="12.75" customHeight="1">
      <c r="A60" s="51"/>
      <c r="B60" s="52"/>
      <c r="C60" s="205" t="s">
        <v>1197</v>
      </c>
      <c r="D60" s="51"/>
      <c r="E60" s="51"/>
      <c r="F60" s="51"/>
      <c r="G60" s="51"/>
    </row>
    <row r="61" ht="12.75" customHeight="1">
      <c r="A61" s="51"/>
      <c r="B61" s="52"/>
      <c r="C61" s="205" t="s">
        <v>1198</v>
      </c>
      <c r="D61" s="51"/>
      <c r="E61" s="51"/>
      <c r="F61" s="51"/>
      <c r="G61" s="51"/>
    </row>
    <row r="62" ht="12.75" customHeight="1">
      <c r="A62" s="51"/>
      <c r="B62" s="52" t="str">
        <f>CONCATENATE(" -Checkbox2 : suppress yellow patterns in print area  (cell link : ",TEXT(ADDRESS(ROW(_printing_active),COLUMN(_printing_active),4,TRUE, ),"0"),")")</f>
        <v> -Checkbox2 : suppress yellow patterns in print area  (cell link : G431)</v>
      </c>
      <c r="C62" s="205"/>
      <c r="D62" s="51"/>
      <c r="E62" s="51"/>
      <c r="F62" s="51"/>
      <c r="G62" s="51"/>
    </row>
    <row r="63" ht="12.75" customHeight="1">
      <c r="A63" s="51"/>
      <c r="B63" s="52"/>
      <c r="C63" s="205" t="s">
        <v>1199</v>
      </c>
      <c r="D63" s="51"/>
      <c r="E63" s="51"/>
      <c r="F63" s="51"/>
      <c r="G63" s="51"/>
    </row>
    <row r="64" ht="12.75" customHeight="1">
      <c r="A64" s="51"/>
      <c r="B64" s="52" t="str">
        <f>CONCATENATE(" -Checkbox3 : open Dialogsheet automatically at startup (cell link : ",TEXT(ADDRESS(ROW(_dialog_start),COLUMN(_dialog_start),4,TRUE, ),"0"),")")</f>
        <v> -Checkbox3 : open Dialogsheet automatically at startup (cell link : H401)</v>
      </c>
      <c r="C64" s="205"/>
      <c r="D64" s="51"/>
      <c r="E64" s="51"/>
      <c r="F64" s="51"/>
      <c r="G64" s="51"/>
    </row>
    <row r="65" ht="12.75" customHeight="1">
      <c r="A65" s="51"/>
      <c r="B65" s="52"/>
      <c r="C65" s="205" t="s">
        <v>1200</v>
      </c>
      <c r="D65" s="51"/>
      <c r="E65" s="51"/>
      <c r="F65" s="51"/>
      <c r="G65" s="51"/>
    </row>
    <row r="66" ht="12.75" customHeight="1">
      <c r="A66" s="51"/>
      <c r="B66" s="52"/>
      <c r="C66" s="205"/>
      <c r="D66" s="51"/>
      <c r="E66" s="51"/>
      <c r="F66" s="51"/>
      <c r="G66" s="51"/>
    </row>
    <row r="67" ht="12.75" customHeight="1">
      <c r="A67" s="51" t="s">
        <v>1201</v>
      </c>
      <c r="B67" s="52" t="s">
        <v>1202</v>
      </c>
      <c r="C67" s="205"/>
      <c r="D67" s="51"/>
      <c r="E67" s="51"/>
      <c r="F67" s="51"/>
      <c r="G67" s="51"/>
    </row>
    <row r="68" ht="12.75" customHeight="1">
      <c r="A68" s="51"/>
      <c r="B68" s="52" t="str">
        <f t="array" ref="B68">CONCATENATE(" -Mill discharge ...  Options : ",INDEX(_disch_text,1),", ",INDEX(_disch_text,2)," (cell link : ",TEXT(ADDRESS(ROW(_disch),COLUMN(_disch),4),"0"),", cell value 0, 1)")</f>
        <v> -Mill discharge ...  Options : end discharge, center discharge (cell link : D423, cell value 0, 1)</v>
      </c>
      <c r="C68" s="205"/>
      <c r="D68" s="51"/>
      <c r="E68" s="51"/>
      <c r="F68" s="51"/>
      <c r="G68" s="51"/>
    </row>
    <row r="69" ht="12.75" customHeight="1">
      <c r="A69" s="51"/>
      <c r="B69" s="52" t="str">
        <f t="array" ref="B69">CONCATENATE(" -Separator type ...  Options : ",INDEX(septype_text,1),", ",INDEX(septype_text,2),", ",INDEX(septype_text,3)," (cell link : ",TEXT(ADDRESS(ROW(septype),COLUMN(septype),4),"0"),", cell value 0, 1, 2)")</f>
        <v> -Separator type ...  Options : 1st generation, 2nd generation, 3rd generation (cell link : H423, cell value 0, 1, 2)</v>
      </c>
      <c r="C69" s="205"/>
      <c r="D69" s="51"/>
      <c r="E69" s="51"/>
      <c r="F69" s="51"/>
      <c r="G69" s="51"/>
    </row>
    <row r="70" ht="12.75" customHeight="1">
      <c r="A70" s="51"/>
      <c r="B70" s="52" t="str">
        <f t="array" ref="B70">CONCATENATE(" -Separator circuit ...  Options : ",INDEX(sepcirctype_text,1),", ",INDEX(sepcirctype_text,2),", ",INDEX(sepcirctype_text,3)," (cell link : ",TEXT(ADDRESS(ROW(sepcirctype),COLUMN(sepcirctype),4),"0"),", cell value 0, 1, 2)")</f>
        <v> -Separator circuit ...  Options : internal fan, cyclone air sep., single pass sep. (cell link : L423, cell value 0, 1, 2)</v>
      </c>
      <c r="C70" s="205"/>
      <c r="D70" s="51"/>
      <c r="E70" s="51"/>
      <c r="F70" s="51"/>
      <c r="G70" s="51"/>
    </row>
    <row r="71" ht="12.75" customHeight="1">
      <c r="A71" s="51"/>
      <c r="B71" s="52"/>
      <c r="C71" s="205" t="s">
        <v>1203</v>
      </c>
      <c r="D71" s="51"/>
      <c r="E71" s="51"/>
      <c r="F71" s="51"/>
      <c r="G71" s="51"/>
    </row>
    <row r="72" ht="12.75" customHeight="1">
      <c r="A72" s="51"/>
      <c r="B72" s="52"/>
      <c r="C72" s="205"/>
      <c r="D72" s="51"/>
      <c r="E72" s="51"/>
      <c r="F72" s="51"/>
      <c r="G72" s="51"/>
    </row>
    <row r="73" ht="12.75" customHeight="1">
      <c r="A73" s="51" t="s">
        <v>1204</v>
      </c>
      <c r="B73" s="52" t="s">
        <v>1205</v>
      </c>
      <c r="C73" s="359"/>
      <c r="D73" s="51"/>
      <c r="E73" s="51"/>
      <c r="F73" s="51"/>
      <c r="G73" s="51"/>
    </row>
    <row r="74" ht="12.75" customHeight="1">
      <c r="A74" s="51"/>
      <c r="B74" s="52" t="str">
        <f t="array" ref="B74">CONCATENATE(" -Hot Gas generator fuel ...  Options : ",INDEX(_HGGfuel_txt,1),"/ ",INDEX(_HGGfuel_txt,2),"/ ",INDEX(_HGGfuel_txt,3),"/ ",INDEX(_HGGfuel_txt,4),"/ ",INDEX(_HGGfuel_txt,5),"/ ",INDEX(_HGGfuel_txt,6),",  (cell link : ",TEXT(ADDRESS(ROW(_HGGfuel),COLUMN(_HGGfuel),4),"0"),")")</f>
        <v> -Hot Gas generator fuel ...  Options : anthracite, coke/ bituminous coal (low ash)/ lignite 10 % H2O/ light oil/ heavy oil/ natural gas (high CH4),  (cell link : D416)</v>
      </c>
      <c r="C74" s="359"/>
      <c r="D74" s="51"/>
      <c r="E74" s="51"/>
      <c r="F74" s="51"/>
      <c r="G74" s="51"/>
    </row>
    <row r="75" ht="12.75" customHeight="1">
      <c r="A75" s="51"/>
      <c r="B75" s="52" t="str">
        <f>CONCATENATE(" -Net Calorific Value of fuel : the standard value for CV of selected fuel will appear automatically, but can be changed by the user  (cell link : ",TEXT(ADDRESS(ROW(CV_fuel),COLUMN(CV_fuel),4),"0"),")")</f>
        <v> -Net Calorific Value of fuel : the standard value for CV of selected fuel will appear automatically, but can be changed by the user  (cell link : E335)</v>
      </c>
      <c r="C75" s="359"/>
      <c r="D75" s="51"/>
      <c r="E75" s="51"/>
      <c r="F75" s="51"/>
      <c r="G75" s="51"/>
    </row>
    <row r="76" ht="12.75" customHeight="1">
      <c r="A76" s="51"/>
      <c r="B76" s="52" t="str">
        <f t="array" ref="B76">CONCATENATE(" -Hot Gas generator excess air ...  Options : ",INDEX(_HGGsecair_txt,1),"/ ",INDEX(_HGGsecair_txt,2),"/ ",INDEX(_HGGsecair_txt,3),",  (cell link : ",TEXT(ADDRESS(ROW(_HGGsecair),COLUMN(_HGGsecair),4),"0"),", cell value 0, 1, 2)")</f>
        <v> -Hot Gas generator excess air ...  Options : ambient air/ cooler gas/ user-defined temp,  (cell link : H416, cell value 0, 1, 2)</v>
      </c>
      <c r="C76" s="359"/>
      <c r="D76" s="51"/>
      <c r="E76" s="51"/>
      <c r="F76" s="51"/>
      <c r="G76" s="51"/>
    </row>
    <row r="77" ht="12.75" customHeight="1">
      <c r="A77" s="51"/>
      <c r="B77" s="52" t="str">
        <f>CONCATENATE(" -Excess air temperature ...  only if last option (user-defined temperature) is selected ...  (cell link : ",TEXT(ADDRESS(ROW(_HGGsecair_usertemp),COLUMN(_HGGsecair_usertemp),4),"0"),")")</f>
        <v> -Excess air temperature ...  only if last option (user-defined temperature) is selected ...  (cell link : I418)</v>
      </c>
      <c r="C77" s="359"/>
      <c r="D77" s="51"/>
      <c r="E77" s="51"/>
      <c r="F77" s="51"/>
      <c r="G77" s="51"/>
    </row>
    <row r="78" ht="12.75" customHeight="1">
      <c r="A78" s="51"/>
      <c r="B78" s="52"/>
      <c r="C78" s="359"/>
      <c r="D78" s="51"/>
      <c r="E78" s="51"/>
      <c r="F78" s="51"/>
      <c r="G78" s="51"/>
    </row>
    <row r="79" ht="12.75" customHeight="1">
      <c r="A79" s="360" t="s">
        <v>1206</v>
      </c>
      <c r="B79" s="361" t="s">
        <v>1207</v>
      </c>
      <c r="C79" s="359"/>
      <c r="D79" s="51"/>
      <c r="E79" s="51"/>
      <c r="F79" s="51"/>
      <c r="G79" s="51"/>
    </row>
    <row r="80" ht="12.75" customHeight="1">
      <c r="A80" s="51"/>
      <c r="B80" s="52"/>
      <c r="C80" s="359"/>
      <c r="D80" s="51"/>
      <c r="E80" s="51"/>
      <c r="F80" s="51"/>
      <c r="G80" s="51"/>
    </row>
    <row r="81" ht="12.75" customHeight="1">
      <c r="A81" s="51"/>
      <c r="B81" s="362" t="s">
        <v>1208</v>
      </c>
      <c r="C81" s="359"/>
      <c r="D81" s="51"/>
      <c r="E81" s="51"/>
      <c r="F81" s="51"/>
      <c r="G81" s="51"/>
    </row>
    <row r="82" ht="12.75" customHeight="1">
      <c r="A82" s="363" t="s">
        <v>1209</v>
      </c>
      <c r="B82" s="362"/>
      <c r="C82" s="359"/>
      <c r="D82" s="51"/>
      <c r="E82" s="51"/>
      <c r="F82" s="51"/>
      <c r="G82" s="51"/>
    </row>
    <row r="83" ht="12.75" customHeight="1">
      <c r="A83" s="51"/>
      <c r="B83" s="52" t="str">
        <f>CONCATENATE("Circulating load (enter value in cell ",TEXT(ADDRESS(ROW(circ_load),COLUMN(circ_load),4),"0"),") is mill discharge divided by fresh feed")</f>
        <v>Circulating load (enter value in cell F7) is mill discharge divided by fresh feed</v>
      </c>
      <c r="C83" s="359"/>
      <c r="D83" s="51"/>
      <c r="E83" s="51"/>
      <c r="F83" s="51"/>
      <c r="G83" s="51"/>
    </row>
    <row r="84" ht="12.75" customHeight="1">
      <c r="A84" s="51"/>
      <c r="B84" s="52" t="str">
        <f>CONCATENATE("mill diameter and length (enter values in cells ",TEXT(ADDRESS(ROW(dia_m),COLUMN(dia_m),4),"0"),", ",TEXT(ADDRESS(ROW(length_m),COLUMN(length_m),4),"0"),") are used for calculation of mill shell heat loss")</f>
        <v>mill diameter and length (enter values in cells I6, I7) are used for calculation of mill shell heat loss</v>
      </c>
      <c r="C84" s="359"/>
      <c r="D84" s="51"/>
      <c r="E84" s="51"/>
      <c r="F84" s="51"/>
      <c r="G84" s="51"/>
    </row>
    <row r="85" ht="12.75" customHeight="1">
      <c r="A85" s="51"/>
      <c r="B85" s="52"/>
      <c r="C85" s="359"/>
      <c r="D85" s="51"/>
      <c r="E85" s="51"/>
      <c r="F85" s="51"/>
      <c r="G85" s="51"/>
    </row>
    <row r="86" ht="12.75" customHeight="1">
      <c r="A86" s="353" t="s">
        <v>1210</v>
      </c>
      <c r="B86" s="364"/>
      <c r="C86" s="364"/>
      <c r="D86" s="51"/>
      <c r="E86" s="51"/>
      <c r="F86" s="51"/>
      <c r="G86" s="51"/>
    </row>
    <row r="87" ht="12.75" customHeight="1">
      <c r="A87" s="51"/>
      <c r="B87" s="52" t="str">
        <f>CONCATENATE("up to five feed components out of 9 material types can be selected using the 'DropDowns' in line ",TEXT(ROW(feedh2o1),"0")," - ",TEXT(ROW(feedh2o5),"0"))</f>
        <v>up to five feed components out of 9 material types can be selected using the 'DropDowns' in line 12 - 16</v>
      </c>
      <c r="C87" s="52"/>
      <c r="D87" s="51"/>
      <c r="E87" s="51"/>
      <c r="F87" s="51"/>
      <c r="G87" s="51"/>
    </row>
    <row r="88" ht="12.75" customHeight="1">
      <c r="A88" s="51"/>
      <c r="B88" s="52" t="s">
        <v>1211</v>
      </c>
      <c r="C88" s="52"/>
      <c r="D88" s="51"/>
      <c r="E88" s="51"/>
      <c r="F88" s="51"/>
      <c r="G88" s="51"/>
    </row>
    <row r="89" ht="12.75" customHeight="1">
      <c r="A89" s="51"/>
      <c r="B89" s="52" t="s">
        <v>1212</v>
      </c>
      <c r="C89" s="52"/>
      <c r="D89" s="51"/>
      <c r="E89" s="51"/>
      <c r="F89" s="51"/>
      <c r="G89" s="51"/>
    </row>
    <row r="90" ht="12.75" customHeight="1">
      <c r="A90" s="51"/>
      <c r="B90" s="52" t="str">
        <f>CONCATENATE("Temperatures in cells ",TEXT(ADDRESS(ROW(feedtemp1),COLUMN(feedtemp1),4),"0")," - ",TEXT(ADDRESS(ROW(feedtemp5),COLUMN(feedtemp5),4),"0")," are feed temperatures")</f>
        <v>Temperatures in cells F12 - F16 are feed temperatures</v>
      </c>
      <c r="C90" s="52"/>
      <c r="D90" s="51"/>
      <c r="E90" s="51"/>
      <c r="F90" s="51"/>
      <c r="G90" s="51"/>
    </row>
    <row r="91" ht="12.75" customHeight="1">
      <c r="A91" s="51"/>
      <c r="B91" s="52" t="str">
        <f>CONCATENATE("Specific heat capacities in cells ",TEXT(ADDRESS(ROW(_cp_feed1),COLUMN(_cp_feed1),4),"0")," - ",TEXT(ADDRESS(ROW(_cp_feed5),COLUMN(_cp_feed5),4),"0")," refer to feed temperatures")</f>
        <v>Specific heat capacities in cells I12 - I16 refer to feed temperatures</v>
      </c>
      <c r="C91" s="52"/>
      <c r="D91" s="51"/>
      <c r="E91" s="51"/>
      <c r="F91" s="51"/>
      <c r="G91" s="51"/>
    </row>
    <row r="92" ht="12.75" customHeight="1">
      <c r="A92" s="51"/>
      <c r="B92" s="52"/>
      <c r="C92" s="52"/>
      <c r="D92" s="51"/>
      <c r="E92" s="51"/>
      <c r="F92" s="51"/>
      <c r="G92" s="51"/>
    </row>
    <row r="93" ht="12.75" customHeight="1">
      <c r="A93" s="365" t="s">
        <v>1213</v>
      </c>
      <c r="B93" s="52"/>
      <c r="C93" s="52"/>
      <c r="D93" s="51"/>
      <c r="E93" s="51"/>
      <c r="F93" s="51"/>
      <c r="G93" s="51"/>
    </row>
    <row r="94" ht="12.75" customHeight="1">
      <c r="A94" s="64"/>
      <c r="B94" s="52" t="str">
        <f>CONCATENATE("Product temperature (enter value in cell ",TEXT(ADDRESS(ROW(prodtemp),COLUMN(prodtemp),4),"0"),") is temperature of the solid materials at mill exit")</f>
        <v>Product temperature (enter value in cell F18) is temperature of the solid materials at mill exit</v>
      </c>
      <c r="C94" s="52"/>
      <c r="D94" s="51"/>
      <c r="E94" s="51"/>
      <c r="F94" s="51"/>
      <c r="G94" s="51"/>
    </row>
    <row r="95" ht="12.75" customHeight="1">
      <c r="A95" s="64"/>
      <c r="B95" s="52" t="s">
        <v>1214</v>
      </c>
      <c r="C95" s="52"/>
      <c r="D95" s="51"/>
      <c r="E95" s="51"/>
      <c r="F95" s="51"/>
      <c r="G95" s="51"/>
    </row>
    <row r="96" ht="12.75" customHeight="1">
      <c r="A96" s="64"/>
      <c r="B96" s="52" t="str">
        <f>CONCATENATE("Product moisture (enter value in cell ",TEXT(ADDRESS(ROW(prodh2o),COLUMN(prodh2o),4),"0"),") refers to wet material")</f>
        <v>Product moisture (enter value in cell E18) refers to wet material</v>
      </c>
      <c r="C96" s="52"/>
      <c r="D96" s="51"/>
      <c r="E96" s="51"/>
      <c r="F96" s="51"/>
      <c r="G96" s="51"/>
    </row>
    <row r="97" ht="12.75" customHeight="1">
      <c r="A97" s="64"/>
      <c r="B97" s="52" t="str">
        <f>CONCATENATE("Mill feed rate dry (enter value in cell ",TEXT(ADDRESS(ROW(prod_dry),COLUMN(prod_dry),4),"0"),") refers to wet material at prescribed product moisture")</f>
        <v>Mill feed rate dry (enter value in cell D18) refers to wet material at prescribed product moisture</v>
      </c>
      <c r="C97" s="52"/>
      <c r="D97" s="51"/>
      <c r="E97" s="51"/>
      <c r="F97" s="51"/>
      <c r="G97" s="51"/>
    </row>
    <row r="98" ht="12.75" customHeight="1">
      <c r="A98" s="64"/>
      <c r="B98" s="52"/>
      <c r="C98" s="52"/>
      <c r="D98" s="51"/>
      <c r="E98" s="51"/>
      <c r="F98" s="51"/>
      <c r="G98" s="51"/>
    </row>
    <row r="99" ht="12.75" customHeight="1">
      <c r="A99" s="353" t="s">
        <v>1215</v>
      </c>
      <c r="B99" s="52"/>
      <c r="C99" s="52"/>
      <c r="D99" s="51"/>
      <c r="E99" s="51"/>
      <c r="F99" s="51"/>
      <c r="G99" s="51"/>
    </row>
    <row r="100" ht="12.75" customHeight="1">
      <c r="A100" s="353"/>
      <c r="B100" s="52" t="str">
        <f>CONCATENATE("spec. energy mill in kWh/t at counter (cell ",TEXT(ADDRESS(ROW(Especmill),COLUMN(Especmill),4),"0"),") refers to mill feed rate dry")</f>
        <v>spec. energy mill in kWh/t at counter (cell D22) refers to mill feed rate dry</v>
      </c>
      <c r="C100" s="52"/>
      <c r="D100" s="51"/>
      <c r="E100" s="51"/>
      <c r="F100" s="51"/>
      <c r="G100" s="51"/>
    </row>
    <row r="101" ht="12.75" customHeight="1">
      <c r="A101" s="353"/>
      <c r="B101" s="52" t="str">
        <f>CONCATENATE("spec. energy separator (rotor) in kWh/t at counter (cell ",TEXT(ADDRESS(ROW(Especsep),COLUMN(Especsep),4),"0"),") refers to mill feed rate dry")</f>
        <v>spec. energy separator (rotor) in kWh/t at counter (cell D23) refers to mill feed rate dry</v>
      </c>
      <c r="C101" s="52"/>
      <c r="D101" s="51"/>
      <c r="E101" s="51"/>
      <c r="F101" s="51"/>
      <c r="G101" s="51"/>
    </row>
    <row r="102" ht="12.75" customHeight="1">
      <c r="A102" s="353"/>
      <c r="B102" s="52" t="str">
        <f>CONCATENATE("Drive efficiencies in cells ",TEXT(ADDRESS(ROW(milldriveeff),COLUMN(milldriveeff),4),"0")," - ",TEXT(ADDRESS(ROW(ffandriveeff),COLUMN(ffandriveeff),4),"0")," are the product of motor and gearbox efficiency and must be estimated )")</f>
        <v>Drive efficiencies in cells F22 - F27 are the product of motor and gearbox efficiency and must be estimated )</v>
      </c>
      <c r="C102" s="52"/>
      <c r="D102" s="51"/>
      <c r="E102" s="51"/>
      <c r="F102" s="51"/>
      <c r="G102" s="51"/>
    </row>
    <row r="103" ht="12.75" customHeight="1">
      <c r="A103" s="353"/>
      <c r="B103" s="52" t="str">
        <f>CONCATENATE("- see respective VA-Datenbankblatt Fh 09.02.1994 or table below (start at cell ",TEXT(ADDRESS(ROW(Efficiencies_of_drives),COLUMN(Efficiencies_of_drives),4),"0"),"of this Help Worksheet)")</f>
        <v>- see respective VA-Datenbankblatt Fh 09.02.1994 or table below (start at cell A214of this Help Worksheet)</v>
      </c>
      <c r="C103" s="52"/>
      <c r="D103" s="51"/>
      <c r="E103" s="51"/>
      <c r="F103" s="51"/>
      <c r="G103" s="51"/>
    </row>
    <row r="104" ht="12.75" customHeight="1">
      <c r="A104" s="353"/>
      <c r="B104" s="52" t="str">
        <f>CONCATENATE("Fan efficiencies in cells ",TEXT(ADDRESS(ROW(kilnfaneff),COLUMN(kilnfaneff),4),"0")," - ",TEXT(ADDRESS(ROW(filterfaneff),COLUMN(filterfaneff),4),"0")," must be estimated (see respective VA-Datenbankblaetter)")</f>
        <v>Fan efficiencies in cells G24 - G27 must be estimated (see respective VA-Datenbankblaetter)</v>
      </c>
      <c r="C104" s="52"/>
      <c r="D104" s="51"/>
      <c r="E104" s="51"/>
      <c r="F104" s="51"/>
      <c r="G104" s="51"/>
    </row>
    <row r="105" ht="12.75" customHeight="1">
      <c r="A105" s="353"/>
      <c r="B105" s="52" t="str">
        <f>CONCATENATE("underpressures at mill inlet - outlet in cells ",TEXT(ADDRESS(ROW(upmi),COLUMN(upmi),4),"0")," - ",TEXT(ADDRESS(ROW(upme),COLUMN(upme),4),"0")," must be prescribed to calculate correct gas flows in actual m3/h")</f>
        <v>underpressures at mill inlet - outlet in cells H22 - I22 must be prescribed to calculate correct gas flows in actual m3/h</v>
      </c>
      <c r="C105" s="52"/>
      <c r="D105" s="51"/>
      <c r="E105" s="51"/>
      <c r="F105" s="51"/>
      <c r="G105" s="51"/>
    </row>
    <row r="106" ht="12.75" customHeight="1">
      <c r="A106" s="353"/>
      <c r="B106" s="52" t="str">
        <f>CONCATENATE("underpressures at fan inlets - outlets in cells ",TEXT(ADDRESS(ROW(upkfi),COLUMN(upkfi),4),"0")," - ",TEXT(ADDRESS(ROW(upffe),COLUMN(upffe),4),"0")," must be prescribed in order to calculate meaningful fan power consumptions")</f>
        <v>underpressures at fan inlets - outlets in cells H24 - I27 must be prescribed in order to calculate meaningful fan power consumptions</v>
      </c>
      <c r="C106" s="52"/>
      <c r="D106" s="51"/>
      <c r="E106" s="51"/>
      <c r="F106" s="51"/>
      <c r="G106" s="51"/>
    </row>
    <row r="107" ht="12.75" customHeight="1">
      <c r="A107" s="353"/>
      <c r="B107" s="52" t="s">
        <v>1216</v>
      </c>
      <c r="C107" s="52"/>
      <c r="D107" s="51"/>
      <c r="E107" s="51"/>
      <c r="F107" s="51"/>
      <c r="G107" s="51"/>
    </row>
    <row r="108" ht="12.75" customHeight="1">
      <c r="A108" s="353"/>
      <c r="B108" s="52" t="s">
        <v>1217</v>
      </c>
      <c r="C108" s="52"/>
      <c r="D108" s="51"/>
      <c r="E108" s="51"/>
      <c r="F108" s="51"/>
      <c r="G108" s="51"/>
    </row>
    <row r="109" ht="12.75" customHeight="1">
      <c r="A109" s="353"/>
      <c r="B109" s="52"/>
      <c r="C109" s="52"/>
      <c r="D109" s="51"/>
      <c r="E109" s="51"/>
      <c r="F109" s="51"/>
      <c r="G109" s="51"/>
    </row>
    <row r="110" ht="12.75" customHeight="1">
      <c r="A110" s="353" t="s">
        <v>1218</v>
      </c>
      <c r="B110" s="52"/>
      <c r="C110" s="52"/>
      <c r="D110" s="51"/>
      <c r="E110" s="51"/>
      <c r="F110" s="51"/>
      <c r="G110" s="51"/>
    </row>
    <row r="111" ht="12.75" customHeight="1">
      <c r="A111" s="353"/>
      <c r="B111" s="52" t="str">
        <f>CONCATENATE("water injection mill in cell ",TEXT(ADDRESS(ROW(wimill),COLUMN(wimill),4),"0")," is the total of compartment 1 and 2 (see below)")</f>
        <v>water injection mill in cell D30 is the total of compartment 1 and 2 (see below)</v>
      </c>
      <c r="C111" s="52"/>
      <c r="D111" s="51"/>
      <c r="E111" s="51"/>
      <c r="F111" s="51"/>
      <c r="G111" s="51"/>
    </row>
    <row r="112" ht="12.75" customHeight="1">
      <c r="A112" s="51"/>
      <c r="B112" s="52" t="str">
        <f>CONCATENATE("water injection into cooling tower (cell ",TEXT(ADDRESS(ROW(wikct),COLUMN(wikct),4),"0"),") is not an input value, but is calculated by means of a prescribed CT exit temperature (see below)")</f>
        <v>water injection into cooling tower (cell E30) is not an input value, but is calculated by means of a prescribed CT exit temperature (see below)</v>
      </c>
      <c r="C112" s="52"/>
      <c r="D112" s="51"/>
      <c r="E112" s="51"/>
      <c r="F112" s="51"/>
      <c r="G112" s="51"/>
    </row>
    <row r="113" ht="12.75" customHeight="1">
      <c r="A113" s="51"/>
      <c r="B113" s="52" t="str">
        <f>CONCATENATE("Cooling tower exit temperature (cell ",TEXT(ADDRESS(ROW(CTexittemp),COLUMN(CTexittemp),4),"0"),") is the prescribed gas temperature at cooling tower exit")</f>
        <v>Cooling tower exit temperature (cell E32) is the prescribed gas temperature at cooling tower exit</v>
      </c>
      <c r="C113" s="52"/>
      <c r="D113" s="51"/>
      <c r="E113" s="51"/>
      <c r="F113" s="51"/>
      <c r="G113" s="51"/>
    </row>
    <row r="114" ht="12.75" customHeight="1">
      <c r="A114" s="51"/>
      <c r="B114" s="52" t="str">
        <f>CONCATENATE("- Cooling tower exit temperature must be low enough to avoid negative water injection rate into CT (cell ",TEXT(ADDRESS(ROW(wikct),COLUMN(wikct),4),"0"),")")</f>
        <v>- Cooling tower exit temperature must be low enough to avoid negative water injection rate into CT (cell E30)</v>
      </c>
      <c r="C114" s="52"/>
      <c r="D114" s="51"/>
      <c r="E114" s="51"/>
      <c r="F114" s="51"/>
      <c r="G114" s="51"/>
    </row>
    <row r="115" ht="12.75" customHeight="1">
      <c r="A115" s="51"/>
      <c r="B115" s="322" t="str">
        <f>CONCATENATE("- a hint in the 3rd column of line ",TEXT(ROW(wikct),"0")," will indicate the max. possible CT exit temp. in case that water inj. Into CT becomes negative")</f>
        <v>- a hint in the 3rd column of line 30 will indicate the max. possible CT exit temp. in case that water inj. Into CT becomes negative</v>
      </c>
      <c r="C115" s="52"/>
      <c r="D115" s="51"/>
      <c r="E115" s="51"/>
      <c r="F115" s="51"/>
      <c r="G115" s="51"/>
    </row>
    <row r="116" ht="12.75" customHeight="1">
      <c r="A116" s="51"/>
      <c r="B116" s="322"/>
      <c r="C116" s="52"/>
      <c r="D116" s="51"/>
      <c r="E116" s="51"/>
      <c r="F116" s="51"/>
      <c r="G116" s="51"/>
    </row>
    <row r="117" ht="12.75" customHeight="1">
      <c r="A117" s="353" t="s">
        <v>1219</v>
      </c>
      <c r="B117" s="52"/>
      <c r="C117" s="52"/>
      <c r="D117" s="51"/>
      <c r="E117" s="51"/>
      <c r="F117" s="51"/>
      <c r="G117" s="51"/>
    </row>
    <row r="118" ht="12.75" customHeight="1">
      <c r="A118" s="51"/>
      <c r="B118" s="52" t="str">
        <f>CONCATENATE("False air mill enters between mill inlet and mill exit ")</f>
        <v>False air mill enters between mill inlet and mill exit </v>
      </c>
      <c r="C118" s="52"/>
      <c r="D118" s="51"/>
      <c r="E118" s="51"/>
      <c r="F118" s="51"/>
      <c r="G118" s="51"/>
    </row>
    <row r="119" ht="12.75" customHeight="1">
      <c r="A119" s="51"/>
      <c r="B119" s="52" t="str">
        <f>CONCATENATE("- False air rate mill (cell ",TEXT(ADDRESS(ROW(famill),COLUMN(famill),4),"0"),") for design purposes is min. 15 % for Loesche-type mills and min. 10 % for other manufacturers ")</f>
        <v>- False air rate mill (cell D31) for design purposes is min. 15 % for Loesche-type mills and min. 10 % for other manufacturers </v>
      </c>
      <c r="C119" s="52"/>
      <c r="D119" s="51"/>
      <c r="E119" s="51"/>
      <c r="F119" s="51"/>
      <c r="G119" s="51"/>
    </row>
    <row r="120" ht="12.75" customHeight="1">
      <c r="A120" s="51"/>
      <c r="B120" s="52" t="str">
        <f>CONCATENATE("False air system enters between mill inlet and mill fan inlet ")</f>
        <v>False air system enters between mill inlet and mill fan inlet </v>
      </c>
      <c r="C120" s="52"/>
      <c r="D120" s="51"/>
      <c r="E120" s="51"/>
      <c r="F120" s="51"/>
      <c r="G120" s="51"/>
    </row>
    <row r="121" ht="12.75" customHeight="1">
      <c r="A121" s="51"/>
      <c r="B121" s="52" t="str">
        <f>CONCATENATE("- False air rate system (cell ",TEXT(ADDRESS(ROW(fasystem),COLUMN(fasystem),4),"0"),") for design purposes is min. 25 % for Loesche-type mills and min. 20 % for other manufacturers ")</f>
        <v>- False air rate system (cell F31) for design purposes is min. 25 % for Loesche-type mills and min. 20 % for other manufacturers </v>
      </c>
      <c r="C121" s="52"/>
      <c r="D121" s="51"/>
      <c r="E121" s="51"/>
      <c r="F121" s="51"/>
      <c r="G121" s="51"/>
    </row>
    <row r="122" ht="12.75" customHeight="1">
      <c r="A122" s="51"/>
      <c r="B122" s="52" t="s">
        <v>1220</v>
      </c>
      <c r="C122" s="52"/>
      <c r="D122" s="51"/>
      <c r="E122" s="51"/>
      <c r="F122" s="51"/>
      <c r="G122" s="51"/>
    </row>
    <row r="123" ht="12.75" customHeight="1">
      <c r="A123" s="51"/>
      <c r="B123" s="52" t="str">
        <f>CONCATENATE("- False air rate filter (cell ",TEXT(ADDRESS(ROW(false_air_filter),COLUMN(false_air_filter),4),"0"),") may be around 5 % ")</f>
        <v>- False air rate filter (cell G31) may be around 5 % </v>
      </c>
      <c r="C123" s="52"/>
      <c r="D123" s="51"/>
      <c r="E123" s="51"/>
      <c r="F123" s="51"/>
      <c r="G123" s="51"/>
    </row>
    <row r="124" ht="12.75" customHeight="1">
      <c r="A124" s="51"/>
      <c r="B124" s="52"/>
      <c r="C124" s="52"/>
      <c r="D124" s="51"/>
      <c r="E124" s="51"/>
      <c r="F124" s="51"/>
      <c r="G124" s="51"/>
    </row>
    <row r="125" ht="12.75" customHeight="1">
      <c r="A125" s="353" t="s">
        <v>1221</v>
      </c>
      <c r="B125" s="52"/>
      <c r="C125" s="52"/>
      <c r="D125" s="51"/>
      <c r="E125" s="51"/>
      <c r="F125" s="51"/>
      <c r="G125" s="51"/>
    </row>
    <row r="126" ht="12.75" customHeight="1">
      <c r="A126" s="353"/>
      <c r="B126" s="52" t="str">
        <f>CONCATENATE("mill exit temperature (cell ",TEXT(ADDRESS(ROW(millexittemp),COLUMN(millexittemp),4),"0"),") is the prescribed gas temperature at mill exit")</f>
        <v>mill exit temperature (cell F35) is the prescribed gas temperature at mill exit</v>
      </c>
      <c r="C126" s="52"/>
      <c r="D126" s="51"/>
      <c r="E126" s="51"/>
      <c r="F126" s="51"/>
      <c r="G126" s="51"/>
    </row>
    <row r="127" ht="12.75" customHeight="1">
      <c r="A127" s="353"/>
      <c r="B127" s="52" t="str">
        <f>CONCATENATE("mill exit gas flow in Bm3/h wet must be entered in cell ",TEXT(ADDRESS(ROW(Vmexit),COLUMN(Vmexit)+1,4),"0"))</f>
        <v>mill exit gas flow in Bm3/h wet must be entered in cell E35</v>
      </c>
      <c r="C127" s="52"/>
      <c r="D127" s="51"/>
      <c r="E127" s="51"/>
      <c r="F127" s="51"/>
      <c r="G127" s="51"/>
    </row>
    <row r="128" ht="12.75" customHeight="1">
      <c r="A128" s="353"/>
      <c r="B128" s="322" t="str">
        <f>CONCATENATE("- a hint in the 2nd column of line",TEXT(ROW(Vmexit),"0")," will indicate the minimum proposed mill exit gas flow in case that the prescribed value is insufficient")</f>
        <v>- a hint in the 2nd column of line35 will indicate the minimum proposed mill exit gas flow in case that the prescribed value is insufficient</v>
      </c>
      <c r="C128" s="52"/>
      <c r="D128" s="51"/>
      <c r="E128" s="51"/>
      <c r="F128" s="51"/>
      <c r="G128" s="51"/>
    </row>
    <row r="129" ht="12.75" customHeight="1">
      <c r="A129" s="353"/>
      <c r="B129" s="52" t="s">
        <v>1222</v>
      </c>
      <c r="C129" s="52"/>
      <c r="D129" s="51"/>
      <c r="E129" s="51"/>
      <c r="F129" s="51"/>
      <c r="G129" s="51"/>
    </row>
    <row r="130" ht="12.75" customHeight="1">
      <c r="A130" s="353"/>
      <c r="B130" s="52" t="s">
        <v>1223</v>
      </c>
      <c r="C130" s="52"/>
      <c r="D130" s="51"/>
      <c r="E130" s="51"/>
      <c r="F130" s="51"/>
      <c r="G130" s="51"/>
    </row>
    <row r="131" ht="12.75" customHeight="1">
      <c r="A131" s="353"/>
      <c r="B131" s="52" t="str">
        <f>CONCATENATE("Gas flow at separator fan inlet in Nm3/h is entered in cell ",TEXT(ADDRESS(ROW(Vsfi),COLUMN(Vsfi),4),"0"))</f>
        <v>Gas flow at separator fan inlet in Nm3/h is entered in cell D36</v>
      </c>
      <c r="C131" s="52"/>
      <c r="D131" s="51"/>
      <c r="E131" s="51"/>
      <c r="F131" s="51"/>
      <c r="G131" s="51"/>
    </row>
    <row r="132" ht="12.75" customHeight="1">
      <c r="A132" s="353"/>
      <c r="B132" s="52" t="str">
        <f>CONCATENATE("Separator fresh air in Nm3/h is entered in cell ",TEXT(ADDRESS(ROW(Vsfresh),COLUMN(Vsfresh),4),"0"))</f>
        <v>Separator fresh air in Nm3/h is entered in cell D37</v>
      </c>
      <c r="C132" s="52"/>
      <c r="D132" s="51"/>
      <c r="E132" s="51"/>
      <c r="F132" s="51"/>
      <c r="G132" s="51"/>
    </row>
    <row r="133" ht="12.75" customHeight="1">
      <c r="A133" s="353"/>
      <c r="B133" s="52" t="s">
        <v>1224</v>
      </c>
      <c r="C133" s="52"/>
      <c r="D133" s="51"/>
      <c r="E133" s="51"/>
      <c r="F133" s="51"/>
      <c r="G133" s="51"/>
    </row>
    <row r="134" ht="12.75" customHeight="1">
      <c r="A134" s="353"/>
      <c r="B134" s="52" t="s">
        <v>1225</v>
      </c>
      <c r="C134" s="52"/>
      <c r="D134" s="51"/>
      <c r="E134" s="51"/>
      <c r="F134" s="51"/>
      <c r="G134" s="51"/>
    </row>
    <row r="135" ht="12.75" customHeight="1">
      <c r="A135" s="353"/>
      <c r="B135" s="52"/>
      <c r="C135" s="52"/>
      <c r="D135" s="51"/>
      <c r="E135" s="51"/>
      <c r="F135" s="51"/>
      <c r="G135" s="51"/>
    </row>
    <row r="136" ht="12.75" customHeight="1">
      <c r="A136" s="353" t="s">
        <v>1226</v>
      </c>
      <c r="B136" s="52"/>
      <c r="C136" s="52"/>
      <c r="D136" s="51"/>
      <c r="E136" s="51"/>
      <c r="F136" s="51"/>
      <c r="G136" s="51"/>
    </row>
    <row r="137" ht="12.75" customHeight="1">
      <c r="A137" s="353"/>
      <c r="B137" s="52" t="str">
        <f>CONCATENATE("water injection into Comp. 1 and 2 is entered in cells ",TEXT(ADDRESS(ROW(watinj_c1),COLUMN(watinj_c1),4),"0")," and ",TEXT(ADDRESS(ROW(watinj_c1)+1,COLUMN(watinj_c1),4),"0"))</f>
        <v>water injection into Comp. 1 and 2 is entered in cells D42 and D43</v>
      </c>
      <c r="C137" s="52"/>
      <c r="D137" s="51"/>
      <c r="E137" s="51"/>
      <c r="F137" s="51"/>
      <c r="G137" s="51"/>
    </row>
    <row r="138" ht="12.75" customHeight="1">
      <c r="A138" s="353"/>
      <c r="B138" s="52" t="str">
        <f>CONCATENATE("- in case that higher water injection is required, the total amount will be indicated in cell ",TEXT(ADDRESS(ROW(grheat_c1)+2,COLUMN(grheat_c1)-3,4),"0"))</f>
        <v>- in case that higher water injection is required, the total amount will be indicated in cell B44</v>
      </c>
      <c r="C138" s="52"/>
      <c r="D138" s="51"/>
      <c r="E138" s="51"/>
      <c r="F138" s="51"/>
      <c r="G138" s="51"/>
    </row>
    <row r="139" ht="12.75" customHeight="1">
      <c r="A139" s="353"/>
      <c r="B139" s="52" t="str">
        <f>CONCATENATE("grinding heat in % of total for Comp. 1 is entered in cell ",TEXT(ADDRESS(ROW(grheat_c1),COLUMN(grheat_c1),4),"0"))</f>
        <v>grinding heat in % of total for Comp. 1 is entered in cell E42</v>
      </c>
      <c r="C139" s="52"/>
      <c r="D139" s="51"/>
      <c r="E139" s="51"/>
      <c r="F139" s="51"/>
      <c r="G139" s="51"/>
    </row>
    <row r="140" ht="12.75" customHeight="1">
      <c r="A140" s="353"/>
      <c r="B140" s="52" t="str">
        <f>CONCATENATE("separator rejects in % of total for Comp. 1 are entered in cell ",TEXT(ADDRESS(ROW(grits_c1),COLUMN(grits_c1),4),"0")," (value must be 100 % for end-discharge mills)")</f>
        <v>separator rejects in % of total for Comp. 1 are entered in cell F42 (value must be 100 % for end-discharge mills)</v>
      </c>
      <c r="C140" s="52"/>
      <c r="D140" s="51"/>
      <c r="E140" s="51"/>
      <c r="F140" s="51"/>
      <c r="G140" s="51"/>
    </row>
    <row r="141" ht="12.75" customHeight="1">
      <c r="A141" s="353"/>
      <c r="B141" s="52" t="str">
        <f>CONCATENATE("amount of kiln/cooler gases in % of total for Comp. 1 is entered in cell ",TEXT(ADDRESS(ROW(kilng_c1),COLUMN(kilng_c1),4),"0")," (value must be 100 % for end-discharge mills)")</f>
        <v>amount of kiln/cooler gases in % of total for Comp. 1 is entered in cell G42 (value must be 100 % for end-discharge mills)</v>
      </c>
      <c r="C141" s="52"/>
      <c r="D141" s="51"/>
      <c r="E141" s="51"/>
      <c r="F141" s="51"/>
      <c r="G141" s="51"/>
    </row>
    <row r="142" ht="12.75" customHeight="1">
      <c r="A142" s="353"/>
      <c r="B142" s="52" t="str">
        <f>CONCATENATE("amount of hot gas from HGG in % of total for Comp. 1 is entered in cell ",TEXT(ADDRESS(ROW(hotg_c1),COLUMN(hotg_c1),4),"0")," (value must be 100 % for end-discharge mills)")</f>
        <v>amount of hot gas from HGG in % of total for Comp. 1 is entered in cell H42 (value must be 100 % for end-discharge mills)</v>
      </c>
      <c r="C142" s="52"/>
      <c r="D142" s="51"/>
      <c r="E142" s="51"/>
      <c r="F142" s="51"/>
      <c r="G142" s="51"/>
    </row>
    <row r="143" ht="12.75" customHeight="1">
      <c r="A143" s="353"/>
      <c r="B143" s="52" t="str">
        <f>CONCATENATE("fresh air in % of total for Comp. 1 is entered in cell ",TEXT(ADDRESS(ROW(fair_c1),COLUMN(fair_c1),4),"0")," (value must be 100 % for end-discharge mills)")</f>
        <v>fresh air in % of total for Comp. 1 is entered in cell I42 (value must be 100 % for end-discharge mills)</v>
      </c>
      <c r="C143" s="52"/>
      <c r="D143" s="51"/>
      <c r="E143" s="51"/>
      <c r="F143" s="51"/>
      <c r="G143" s="51"/>
    </row>
    <row r="144" ht="12.75" customHeight="1">
      <c r="A144" s="353"/>
      <c r="B144" s="52" t="str">
        <f>CONCATENATE("average mill shell temperature for Comp. 1 and 2 is entered in cells ",TEXT(ADDRESS(ROW(temp_shell_c1),COLUMN(temp_shell_c1),4),"0")," and ",TEXT(ADDRESS(ROW(temp_shell_c2),COLUMN(temp_shell_c2),4),"0"))</f>
        <v>average mill shell temperature for Comp. 1 and 2 is entered in cells H47 and H48</v>
      </c>
      <c r="C144" s="52"/>
      <c r="D144" s="51"/>
      <c r="E144" s="51"/>
      <c r="F144" s="51"/>
      <c r="G144" s="51"/>
    </row>
    <row r="145" ht="12.75" customHeight="1">
      <c r="A145" s="353"/>
      <c r="B145" s="52"/>
      <c r="C145" s="52"/>
      <c r="D145" s="51"/>
      <c r="E145" s="51"/>
      <c r="F145" s="51"/>
      <c r="G145" s="51"/>
    </row>
    <row r="146" ht="12.75" customHeight="1">
      <c r="A146" s="353" t="s">
        <v>910</v>
      </c>
      <c r="B146" s="52"/>
      <c r="C146" s="52"/>
      <c r="D146" s="51"/>
      <c r="E146" s="51"/>
      <c r="F146" s="51"/>
      <c r="G146" s="51"/>
    </row>
    <row r="147" ht="12.75" customHeight="1">
      <c r="A147" s="353"/>
      <c r="B147" s="52" t="str">
        <f>CONCATENATE("Kiln specific heat consumption (enter value in cell ",TEXT(ADDRESS(ROW(kheatc),COLUMN(kheatc),4),"0"),") must be estimated (if in doubt, ask a TPT expert)")</f>
        <v>Kiln specific heat consumption (enter value in cell D50) must be estimated (if in doubt, ask a TPT expert)</v>
      </c>
      <c r="C147" s="52"/>
      <c r="D147" s="51"/>
      <c r="E147" s="51"/>
      <c r="F147" s="51"/>
      <c r="G147" s="51"/>
    </row>
    <row r="148" ht="12.75" customHeight="1">
      <c r="A148" s="353"/>
      <c r="B148" s="52" t="str">
        <f>CONCATENATE("Kiln production (enter value in cell ",TEXT(ADDRESS(ROW(kiln_prod),COLUMN(kiln_prod),4),"0"),") is optional (not yet used in calculation)")</f>
        <v>Kiln production (enter value in cell D51) is optional (not yet used in calculation)</v>
      </c>
      <c r="C148" s="52"/>
      <c r="D148" s="51"/>
      <c r="E148" s="51"/>
      <c r="F148" s="51"/>
      <c r="G148" s="51"/>
    </row>
    <row r="149" ht="12.75" customHeight="1">
      <c r="A149" s="353"/>
      <c r="B149" s="322" t="str">
        <f>CONCATENATE("Kiln system (enter value in cell ",TEXT(ADDRESS(ROW(kiln_system),COLUMN(kiln_system),4),"0"),") is optional (not used in calculation)")</f>
        <v>Kiln system (enter value in cell D52) is optional (not used in calculation)</v>
      </c>
      <c r="C149" s="52"/>
      <c r="D149" s="51"/>
      <c r="E149" s="51"/>
      <c r="F149" s="51"/>
      <c r="G149" s="51"/>
    </row>
    <row r="150" ht="12.75" customHeight="1">
      <c r="A150" s="353"/>
      <c r="B150" s="52" t="str">
        <f>CONCATENATE("O2 content of kiln gas at PH exit (enter value in cell ",TEXT(ADDRESS(ROW(kilng_o2),COLUMN(kilng_o2),4),"0"),") refers to dry gas and must be measured or estimated (if in doubt, ask a TPT expert)")</f>
        <v>O2 content of kiln gas at PH exit (enter value in cell D53) refers to dry gas and must be measured or estimated (if in doubt, ask a TPT expert)</v>
      </c>
      <c r="C150" s="52"/>
      <c r="D150" s="51"/>
      <c r="E150" s="51"/>
      <c r="F150" s="51"/>
      <c r="G150" s="51"/>
    </row>
    <row r="151" ht="12.75" customHeight="1">
      <c r="A151" s="353"/>
      <c r="B151" s="52"/>
      <c r="C151" s="52"/>
      <c r="D151" s="51"/>
      <c r="E151" s="51"/>
      <c r="F151" s="51"/>
      <c r="G151" s="51"/>
    </row>
    <row r="152" ht="12.75" customHeight="1">
      <c r="A152" s="353" t="s">
        <v>950</v>
      </c>
      <c r="B152" s="52"/>
      <c r="C152" s="52"/>
      <c r="D152" s="51"/>
      <c r="E152" s="51"/>
      <c r="F152" s="51"/>
      <c r="G152" s="51"/>
    </row>
    <row r="153" ht="12.75" customHeight="1">
      <c r="A153" s="353"/>
      <c r="B153" s="52" t="str">
        <f>CONCATENATE("Water temperature (enter value in cell ",TEXT(ADDRESS(ROW(watertemp),COLUMN(watertemp),4),"0"),") influences cooling tower and mill heat balance, if water injection is &lt;&gt; zero ")</f>
        <v>Water temperature (enter value in cell I50) influences cooling tower and mill heat balance, if water injection is &lt;&gt; zero </v>
      </c>
      <c r="C153" s="52"/>
      <c r="D153" s="51"/>
      <c r="E153" s="51"/>
      <c r="F153" s="51"/>
      <c r="G153" s="51"/>
    </row>
    <row r="154" ht="12.75" customHeight="1">
      <c r="A154" s="353"/>
      <c r="B154" s="52" t="str">
        <f>CONCATENATE("Relative humidity of ambient air (enter value in cell ",TEXT(ADDRESS(ROW(rel_hum),COLUMN(rel_hum),4),"0"),") influences the heat balance and dew points slightly (default value is ~ 80 %) ")</f>
        <v>Relative humidity of ambient air (enter value in cell I51) influences the heat balance and dew points slightly (default value is ~ 80 %) </v>
      </c>
      <c r="C154" s="52"/>
      <c r="D154" s="51"/>
      <c r="E154" s="51"/>
      <c r="F154" s="51"/>
      <c r="G154" s="51"/>
    </row>
    <row r="155" ht="12.75" customHeight="1">
      <c r="A155" s="353"/>
      <c r="B155" s="52" t="str">
        <f>CONCATENATE("surface factor separator (enter value in cell ",TEXT(ADDRESS(ROW(sf_sep),COLUMN(sf_sep),4),"0"),") influences the heat loss of the separator")</f>
        <v>surface factor separator (enter value in cell I52) influences the heat loss of the separator</v>
      </c>
      <c r="C155" s="52"/>
      <c r="D155" s="51"/>
      <c r="E155" s="51"/>
      <c r="F155" s="51"/>
      <c r="G155" s="51"/>
    </row>
    <row r="156" ht="12.75" customHeight="1">
      <c r="A156" s="353"/>
      <c r="B156" s="52" t="s">
        <v>1227</v>
      </c>
      <c r="C156" s="52"/>
      <c r="D156" s="51"/>
      <c r="E156" s="51"/>
      <c r="F156" s="51"/>
      <c r="G156" s="51"/>
    </row>
    <row r="157" ht="12.75" customHeight="1">
      <c r="A157" s="353"/>
      <c r="B157" s="52" t="str">
        <f>CONCATENATE("Cyclone efficiency (enter value in cell ",TEXT(ADDRESS(ROW(cyc_eff),COLUMN(cyc_eff),4),"0"),") is normally between 90 and 95 % and only used in 3-fan systems ")</f>
        <v>Cyclone efficiency (enter value in cell I53) is normally between 90 and 95 % and only used in 3-fan systems </v>
      </c>
      <c r="C157" s="52"/>
      <c r="D157" s="51"/>
      <c r="E157" s="51"/>
      <c r="F157" s="51"/>
      <c r="G157" s="51"/>
    </row>
    <row r="158" ht="12.75" customHeight="1">
      <c r="A158" s="353"/>
      <c r="B158" s="52" t="str">
        <f>CONCATENATE("Volatiles content of coal (enter value in cell ",TEXT(ADDRESS(ROW(volatiles_coal),COLUMN(volatiles_coal),4),"0"),") influences the balance (slightly) only if one of the feed materials is coal ")</f>
        <v>Volatiles content of coal (enter value in cell I54) influences the balance (slightly) only if one of the feed materials is coal </v>
      </c>
      <c r="C158" s="52"/>
      <c r="D158" s="51"/>
      <c r="E158" s="51"/>
      <c r="F158" s="51"/>
      <c r="G158" s="51"/>
    </row>
    <row r="159" ht="12.75" customHeight="1">
      <c r="A159" s="51"/>
      <c r="B159" s="72" t="s">
        <v>1228</v>
      </c>
      <c r="C159" s="72"/>
      <c r="D159" s="51"/>
      <c r="E159" s="51"/>
      <c r="F159" s="51"/>
      <c r="G159" s="51"/>
    </row>
    <row r="160" ht="12.75" customHeight="1">
      <c r="A160" s="51"/>
      <c r="B160" s="52" t="str">
        <f>CONCATENATE("dust load at mill exit (g/Nm3) is entered in cell ",TEXT(ADDRESS(ROW(dustload_me),COLUMN(dustload_me),4),"0")," ( used in calculation of product temperature)")</f>
        <v>dust load at mill exit (g/Nm3) is entered in cell I55 ( used in calculation of product temperature)</v>
      </c>
      <c r="C160" s="72"/>
      <c r="D160" s="51"/>
      <c r="E160" s="51"/>
      <c r="F160" s="51"/>
      <c r="G160" s="51"/>
    </row>
    <row r="161" ht="12.75" customHeight="1">
      <c r="A161" s="51"/>
      <c r="B161" s="52" t="str">
        <f>CONCATENATE("assumed material moisture in front of outlet diaphragm comp. 1 in % is entered in cell ",TEXT(ADDRESS(ROW(diaphr_h2o),COLUMN(diaphr_h2o),4),"0")," (used for estimation of temperature at diaphragm)")</f>
        <v>assumed material moisture in front of outlet diaphragm comp. 1 in % is entered in cell I56 (used for estimation of temperature at diaphragm)</v>
      </c>
      <c r="C161" s="72"/>
      <c r="D161" s="51"/>
      <c r="E161" s="51"/>
      <c r="F161" s="51"/>
      <c r="G161" s="51"/>
    </row>
    <row r="162" ht="12.75" customHeight="1">
      <c r="A162" s="51"/>
      <c r="B162" s="52"/>
      <c r="C162" s="72"/>
      <c r="D162" s="51"/>
      <c r="E162" s="51"/>
      <c r="F162" s="51"/>
      <c r="G162" s="51"/>
    </row>
    <row r="163" ht="12.75" customHeight="1">
      <c r="A163" s="353" t="s">
        <v>1229</v>
      </c>
      <c r="B163" s="72"/>
      <c r="C163" s="72"/>
      <c r="D163" s="51"/>
      <c r="E163" s="51"/>
      <c r="F163" s="51"/>
      <c r="G163" s="51"/>
    </row>
    <row r="164" ht="12.75" customHeight="1">
      <c r="A164" s="353"/>
      <c r="B164" s="366" t="s">
        <v>1230</v>
      </c>
      <c r="C164" s="72"/>
      <c r="D164" s="51"/>
      <c r="E164" s="51"/>
      <c r="F164" s="51"/>
      <c r="G164" s="51"/>
    </row>
    <row r="165" ht="12.75" customHeight="1">
      <c r="A165" s="353"/>
      <c r="B165" s="52"/>
      <c r="C165" s="52" t="str">
        <f>CONCATENATE("max. amount of kiln exhaust gases (enter value in cell ",TEXT(ADDRESS(ROW(kgmax),COLUMN(kgmax),4),"0"),") in [Nm3/h wet] refers to PH exit and must be measured or estimated ")</f>
        <v>max. amount of kiln exhaust gases (enter value in cell D60) in [Nm3/h wet] refers to PH exit and must be measured or estimated </v>
      </c>
      <c r="D165" s="51"/>
      <c r="E165" s="51"/>
      <c r="F165" s="51"/>
      <c r="G165" s="51"/>
    </row>
    <row r="166" ht="12.75" customHeight="1">
      <c r="A166" s="353"/>
      <c r="B166" s="52"/>
      <c r="C166" s="52" t="s">
        <v>1231</v>
      </c>
      <c r="D166" s="51"/>
      <c r="E166" s="51"/>
      <c r="F166" s="51"/>
      <c r="G166" s="51"/>
    </row>
    <row r="167" ht="12.75" customHeight="1">
      <c r="A167" s="51"/>
      <c r="B167" s="52"/>
      <c r="C167" s="52" t="str">
        <f>CONCATENATE(" - O2 content of kiln gas at PH exit is entered in cell ",TEXT(ADDRESS(ROW(kilng_o2),COLUMN(kilng_o2),4),"0")," and refers to dry gas (see above)")</f>
        <v> - O2 content of kiln gas at PH exit is entered in cell D53 and refers to dry gas (see above)</v>
      </c>
      <c r="D167" s="51"/>
      <c r="E167" s="51"/>
      <c r="F167" s="51"/>
      <c r="G167" s="51"/>
    </row>
    <row r="168" ht="12.75" customHeight="1">
      <c r="A168" s="51"/>
      <c r="B168" s="52"/>
      <c r="C168" s="52" t="s">
        <v>1232</v>
      </c>
      <c r="D168" s="51"/>
      <c r="E168" s="51"/>
      <c r="F168" s="51"/>
      <c r="G168" s="51"/>
    </row>
    <row r="169" ht="12.75" customHeight="1">
      <c r="A169" s="51"/>
      <c r="B169" s="52"/>
      <c r="C169" s="52" t="str">
        <f>CONCATENATE(" - water content of kiln gas at PH exit is entered in cell ",TEXT(ADDRESS(ROW(kgaqua),COLUMN(kgaqua),4),"0")," in [g/Nm3 w] and refers to wet gas ")</f>
        <v> - water content of kiln gas at PH exit is entered in cell F60 in [g/Nm3 w] and refers to wet gas </v>
      </c>
      <c r="D169" s="51"/>
      <c r="E169" s="51"/>
      <c r="F169" s="51"/>
      <c r="G169" s="51"/>
    </row>
    <row r="170" ht="12.75" customHeight="1">
      <c r="A170" s="51"/>
      <c r="B170" s="52"/>
      <c r="C170" s="52" t="s">
        <v>1233</v>
      </c>
      <c r="D170" s="51"/>
      <c r="E170" s="51"/>
      <c r="F170" s="51"/>
      <c r="G170" s="51"/>
    </row>
    <row r="171" ht="12.75" customHeight="1">
      <c r="A171" s="51"/>
      <c r="B171" s="52"/>
      <c r="C171" s="52" t="str">
        <f>CONCATENATE(" - dust content of kiln gas at PH exit is entered in cell ",TEXT(ADDRESS(ROW(kgdust),COLUMN(kgdust),4),"0")," in [g/Nm3 w] , refers to wet gas and must be estimated")</f>
        <v> - dust content of kiln gas at PH exit is entered in cell G60 in [g/Nm3 w] , refers to wet gas and must be estimated</v>
      </c>
      <c r="D171" s="51"/>
      <c r="E171" s="51"/>
      <c r="F171" s="51"/>
      <c r="G171" s="51"/>
    </row>
    <row r="172" ht="12.75" customHeight="1">
      <c r="A172" s="51"/>
      <c r="B172" s="367" t="s">
        <v>1234</v>
      </c>
      <c r="C172" s="52"/>
      <c r="D172" s="51"/>
      <c r="E172" s="51"/>
      <c r="F172" s="51"/>
      <c r="G172" s="51"/>
    </row>
    <row r="173" ht="12.75" customHeight="1">
      <c r="A173" s="51"/>
      <c r="B173" s="52"/>
      <c r="C173" s="52" t="str">
        <f>CONCATENATE("max. amount of cooler exhaust gases (enter value in cell ",TEXT(ADDRESS(ROW(coolergasmax),COLUMN(coolergasmax),4),"0"),") in [Nm3/h wet] must be measured or estimated ")</f>
        <v>max. amount of cooler exhaust gases (enter value in cell D62) in [Nm3/h wet] must be measured or estimated </v>
      </c>
      <c r="D173" s="51"/>
      <c r="E173" s="51"/>
      <c r="F173" s="51"/>
      <c r="G173" s="51"/>
    </row>
    <row r="174" ht="12.75" customHeight="1">
      <c r="A174" s="51"/>
      <c r="B174" s="52"/>
      <c r="C174" s="52" t="s">
        <v>1235</v>
      </c>
      <c r="D174" s="51"/>
      <c r="E174" s="51"/>
      <c r="F174" s="51"/>
      <c r="G174" s="51"/>
    </row>
    <row r="175" ht="12.75" customHeight="1">
      <c r="A175" s="51"/>
      <c r="B175" s="52"/>
      <c r="C175" s="52" t="s">
        <v>1236</v>
      </c>
      <c r="D175" s="51"/>
      <c r="E175" s="51"/>
      <c r="F175" s="51"/>
      <c r="G175" s="51"/>
    </row>
    <row r="176" ht="12.75" customHeight="1">
      <c r="A176" s="51"/>
      <c r="B176" s="52"/>
      <c r="C176" s="52" t="s">
        <v>1237</v>
      </c>
      <c r="D176" s="51"/>
      <c r="E176" s="51"/>
      <c r="F176" s="51"/>
      <c r="G176" s="51"/>
    </row>
    <row r="177" ht="12.75" customHeight="1">
      <c r="A177" s="51"/>
      <c r="B177" s="72"/>
      <c r="C177" s="72" t="s">
        <v>1238</v>
      </c>
      <c r="D177" s="51"/>
      <c r="E177" s="51"/>
      <c r="F177" s="51"/>
      <c r="G177" s="51"/>
    </row>
    <row r="178" ht="12.75" customHeight="1">
      <c r="A178" s="51"/>
      <c r="B178" s="72"/>
      <c r="C178" s="52" t="str">
        <f>CONCATENATE(" - dust content of cooler exhaust gas is entered in cell ",TEXT(ADDRESS(ROW(coolergasdust),COLUMN(coolergasdust),4),"0")," in [g/Nm3 w] , refers to wet gas and must be estimated")</f>
        <v> - dust content of cooler exhaust gas is entered in cell G62 in [g/Nm3 w] , refers to wet gas and must be estimated</v>
      </c>
      <c r="D178" s="51"/>
      <c r="E178" s="51"/>
      <c r="F178" s="51"/>
      <c r="G178" s="51"/>
    </row>
    <row r="179" ht="12.75" customHeight="1">
      <c r="A179" s="51"/>
      <c r="B179" s="72"/>
      <c r="C179" s="52"/>
      <c r="D179" s="51"/>
      <c r="E179" s="51"/>
      <c r="F179" s="51"/>
      <c r="G179" s="51"/>
    </row>
    <row r="180" ht="12.75" customHeight="1">
      <c r="A180" s="51"/>
      <c r="B180" s="368" t="s">
        <v>1239</v>
      </c>
      <c r="C180" s="52"/>
      <c r="D180" s="51"/>
      <c r="E180" s="51"/>
      <c r="F180" s="51"/>
      <c r="G180" s="51"/>
    </row>
    <row r="181" ht="12.75" customHeight="1">
      <c r="A181" s="51"/>
      <c r="B181" s="72"/>
      <c r="C181" s="369" t="s">
        <v>1240</v>
      </c>
      <c r="D181" s="51"/>
      <c r="E181" s="51"/>
      <c r="F181" s="51"/>
      <c r="G181" s="51"/>
    </row>
    <row r="182" ht="12.75" customHeight="1">
      <c r="A182" s="51"/>
      <c r="B182" s="72"/>
      <c r="C182" s="369"/>
      <c r="D182" s="51"/>
      <c r="E182" s="51"/>
      <c r="F182" s="51"/>
      <c r="G182" s="51"/>
    </row>
    <row r="183" ht="12.75" customHeight="1">
      <c r="A183" s="51"/>
      <c r="B183" s="366" t="s">
        <v>1241</v>
      </c>
      <c r="C183" s="72"/>
      <c r="D183" s="51"/>
      <c r="E183" s="51"/>
      <c r="F183" s="51"/>
      <c r="G183" s="51"/>
    </row>
    <row r="184" ht="12.75" customHeight="1">
      <c r="A184" s="51"/>
      <c r="B184" s="72"/>
      <c r="C184" s="72" t="s">
        <v>1242</v>
      </c>
      <c r="D184" s="51"/>
      <c r="E184" s="51"/>
      <c r="F184" s="51"/>
      <c r="G184" s="51"/>
    </row>
    <row r="185" ht="12.75" customHeight="1">
      <c r="A185" s="51"/>
      <c r="B185" s="72"/>
      <c r="C185" s="52" t="str">
        <f>CONCATENATE("hot gas temperature is entered in cell ",TEXT(ADDRESS(ROW(hotgastemp),COLUMN(hotgastemp),4),"0"),"")</f>
        <v>hot gas temperature is entered in cell E61</v>
      </c>
      <c r="D185" s="51"/>
      <c r="E185" s="51"/>
      <c r="F185" s="51"/>
      <c r="G185" s="51"/>
    </row>
    <row r="186" ht="12.75" customHeight="1">
      <c r="A186" s="51"/>
      <c r="B186" s="72"/>
      <c r="C186" s="52" t="str">
        <f>CONCATENATE(" - dust content of hotgas (enter value in cell ",TEXT(ADDRESS(ROW(hotgasdust),COLUMN(hotgasdust),4),"0"),") in [g/Nm3 w] is normally Zero...values other than Zero are not processed")</f>
        <v> - dust content of hotgas (enter value in cell G61) in [g/Nm3 w] is normally Zero...values other than Zero are not processed</v>
      </c>
      <c r="D186" s="51"/>
      <c r="E186" s="51"/>
      <c r="F186" s="51"/>
      <c r="G186" s="51"/>
    </row>
    <row r="187" ht="12.75" customHeight="1">
      <c r="A187" s="51"/>
      <c r="B187" s="72"/>
      <c r="C187" s="52" t="s">
        <v>1243</v>
      </c>
      <c r="D187" s="51"/>
      <c r="E187" s="51"/>
      <c r="F187" s="51"/>
      <c r="G187" s="51"/>
    </row>
    <row r="188" ht="12.75" customHeight="1">
      <c r="A188" s="51"/>
      <c r="B188" s="72"/>
      <c r="C188" s="52" t="s">
        <v>1244</v>
      </c>
      <c r="D188" s="51"/>
      <c r="E188" s="51"/>
      <c r="F188" s="51"/>
      <c r="G188" s="51"/>
    </row>
    <row r="189" ht="12.75" customHeight="1">
      <c r="A189" s="51"/>
      <c r="B189" s="72"/>
      <c r="C189" s="361" t="s">
        <v>1245</v>
      </c>
      <c r="D189" s="51"/>
      <c r="E189" s="51"/>
      <c r="F189" s="51"/>
      <c r="G189" s="51"/>
    </row>
    <row r="190" ht="12.75" customHeight="1">
      <c r="A190" s="51"/>
      <c r="B190" s="72"/>
      <c r="C190" s="361" t="s">
        <v>1246</v>
      </c>
      <c r="D190" s="51"/>
      <c r="E190" s="51"/>
      <c r="F190" s="51"/>
      <c r="G190" s="51"/>
    </row>
    <row r="191" ht="12.75" customHeight="1">
      <c r="A191" s="51"/>
      <c r="B191" s="72"/>
      <c r="C191" s="52" t="s">
        <v>1247</v>
      </c>
      <c r="D191" s="51"/>
      <c r="E191" s="51"/>
      <c r="F191" s="51"/>
      <c r="G191" s="51"/>
    </row>
    <row r="192" ht="12.75" customHeight="1">
      <c r="A192" s="51"/>
      <c r="B192" s="366" t="s">
        <v>106</v>
      </c>
      <c r="C192" s="52"/>
      <c r="D192" s="51"/>
      <c r="E192" s="51"/>
      <c r="F192" s="51"/>
      <c r="G192" s="51"/>
    </row>
    <row r="193" ht="12.75" customHeight="1">
      <c r="A193" s="51"/>
      <c r="B193" s="51"/>
      <c r="C193" s="52" t="str">
        <f>CONCATENATE("the minimim amount of fresh air to be used is entered in cell ",TEXT(ADDRESS(ROW(freshairmax),COLUMN(freshairmax),4),"0"))</f>
        <v>the minimim amount of fresh air to be used is entered in cell D63</v>
      </c>
      <c r="D193" s="51"/>
      <c r="E193" s="51"/>
      <c r="F193" s="51"/>
      <c r="G193" s="51"/>
    </row>
    <row r="194" ht="12.75" customHeight="1">
      <c r="A194" s="51"/>
      <c r="B194" s="51"/>
      <c r="C194" s="52" t="str">
        <f>CONCATENATE("the actually used amount of fresh air to mill in [Nm3/h w] is indicated in cell ",TEXT(ADDRESS(ROW(freshair_used),COLUMN(freshair_used),4),"0")," (additional fresh air may be required to make up for the prescribed mill exit gas volume)")</f>
        <v>the actually used amount of fresh air to mill in [Nm3/h w] is indicated in cell D82 (additional fresh air may be required to make up for the prescribed mill exit gas volume)</v>
      </c>
      <c r="D194" s="51"/>
      <c r="E194" s="51"/>
      <c r="F194" s="51"/>
      <c r="G194" s="51"/>
    </row>
    <row r="195" ht="12.75" customHeight="1">
      <c r="A195" s="51"/>
      <c r="B195" s="51"/>
      <c r="C195" s="52" t="str">
        <f>CONCATENATE(" - fresh air temperature is entered in cell ",TEXT(ADDRESS(ROW(freshairtemp),COLUMN(freshairtemp),4),"0"),"")</f>
        <v> - fresh air temperature is entered in cell E63</v>
      </c>
      <c r="D195" s="51"/>
      <c r="E195" s="51"/>
      <c r="F195" s="51"/>
      <c r="G195" s="51"/>
    </row>
    <row r="196" ht="12.75" customHeight="1">
      <c r="A196" s="51"/>
      <c r="B196" s="51"/>
      <c r="C196" s="52" t="str">
        <f>CONCATENATE(" - water content of fresh air is automatically calculated via relative humidity (see cell ",TEXT(ADDRESS(ROW(rel_hum),COLUMN(rel_hum),4),"0"),") and fresh air temperature ")</f>
        <v> - water content of fresh air is automatically calculated via relative humidity (see cell I51) and fresh air temperature </v>
      </c>
      <c r="D196" s="51"/>
      <c r="E196" s="51"/>
      <c r="F196" s="51"/>
      <c r="G196" s="51"/>
    </row>
    <row r="197" ht="12.75" customHeight="1">
      <c r="A197" s="51"/>
      <c r="B197" s="51"/>
      <c r="C197" s="52" t="str">
        <f>CONCATENATE(" - dust content of fresh air (enter value in cell ",TEXT(ADDRESS(ROW(freshairdust),COLUMN(freshairdust),4),"0"),") in [g/Nm3 w] is normally Zero...values other than Zero are not processed")</f>
        <v> - dust content of fresh air (enter value in cell G63) in [g/Nm3 w] is normally Zero...values other than Zero are not processed</v>
      </c>
      <c r="D197" s="51"/>
      <c r="E197" s="51"/>
      <c r="F197" s="51"/>
      <c r="G197" s="51"/>
    </row>
    <row r="198" ht="12.75" customHeight="1">
      <c r="A198" s="51"/>
      <c r="B198" s="51"/>
      <c r="C198" s="52"/>
      <c r="D198" s="51"/>
      <c r="E198" s="51"/>
      <c r="F198" s="51"/>
      <c r="G198" s="51"/>
    </row>
    <row r="199" ht="12.75" customHeight="1">
      <c r="A199" s="353" t="s">
        <v>1248</v>
      </c>
      <c r="B199" s="51"/>
      <c r="C199" s="52"/>
      <c r="D199" s="51"/>
      <c r="E199" s="51"/>
      <c r="F199" s="51"/>
      <c r="G199" s="51"/>
    </row>
    <row r="200" ht="12.75" customHeight="1">
      <c r="A200" s="353"/>
      <c r="B200" s="52" t="str">
        <f>CONCATENATE("to calculate actual gasflows in m3/h, some underpressures between cells ",TEXT(ADDRESS(ROW(mup_start),COLUMN(mup_start),4),"0")," and ",TEXT(ADDRESS(ROW(mup_end),COLUMN(mup_end),4),"0")," must be manually entered")</f>
        <v>to calculate actual gasflows in m3/h, some underpressures between cells I68 and I83 must be manually entered</v>
      </c>
      <c r="C200" s="52"/>
      <c r="D200" s="51"/>
      <c r="E200" s="51"/>
      <c r="F200" s="51"/>
      <c r="G200" s="51"/>
    </row>
    <row r="201" ht="12.75" customHeight="1">
      <c r="A201" s="353"/>
      <c r="B201" s="52" t="s">
        <v>1249</v>
      </c>
      <c r="C201" s="52"/>
      <c r="D201" s="51"/>
      <c r="E201" s="51"/>
      <c r="F201" s="51"/>
      <c r="G201" s="51"/>
    </row>
    <row r="202" ht="12.75" customHeight="1">
      <c r="A202" s="353"/>
      <c r="B202" s="52" t="s">
        <v>1250</v>
      </c>
      <c r="C202" s="52"/>
      <c r="D202" s="51"/>
      <c r="E202" s="51"/>
      <c r="F202" s="51"/>
      <c r="G202" s="51"/>
    </row>
    <row r="203" ht="12.75" customHeight="1">
      <c r="A203" s="353"/>
      <c r="B203" s="52"/>
      <c r="C203" s="52"/>
      <c r="D203" s="51"/>
      <c r="E203" s="51"/>
      <c r="F203" s="51"/>
      <c r="G203" s="51"/>
    </row>
    <row r="204" ht="12.75" customHeight="1">
      <c r="A204" s="353" t="s">
        <v>1251</v>
      </c>
      <c r="B204" s="51"/>
      <c r="C204" s="51"/>
      <c r="D204" s="51"/>
      <c r="E204" s="51"/>
      <c r="F204" s="51"/>
      <c r="G204" s="51"/>
    </row>
    <row r="205" ht="12.75" customHeight="1">
      <c r="A205" s="353"/>
      <c r="B205" s="51" t="s">
        <v>1252</v>
      </c>
      <c r="C205" s="51"/>
      <c r="D205" s="51"/>
      <c r="E205" s="51"/>
      <c r="F205" s="51"/>
      <c r="G205" s="51"/>
    </row>
    <row r="206" ht="12.75" customHeight="1">
      <c r="A206" s="353"/>
      <c r="B206" s="51" t="s">
        <v>1253</v>
      </c>
      <c r="C206" s="51"/>
      <c r="D206" s="51"/>
      <c r="E206" s="51"/>
      <c r="F206" s="51"/>
      <c r="G206" s="51"/>
    </row>
    <row r="207" ht="12.75" customHeight="1">
      <c r="A207" s="353"/>
      <c r="B207" s="51" t="s">
        <v>1254</v>
      </c>
      <c r="C207" s="51"/>
      <c r="D207" s="51"/>
      <c r="E207" s="51"/>
      <c r="F207" s="51"/>
      <c r="G207" s="51"/>
    </row>
    <row r="208" ht="12.75" customHeight="1">
      <c r="A208" s="51"/>
      <c r="B208" s="51" t="s">
        <v>1255</v>
      </c>
      <c r="C208" s="51"/>
      <c r="D208" s="51"/>
      <c r="E208" s="51"/>
      <c r="F208" s="51"/>
      <c r="G208" s="51"/>
    </row>
    <row r="209" ht="12.75" customHeight="1">
      <c r="A209" s="51"/>
      <c r="B209" s="51" t="s">
        <v>1256</v>
      </c>
      <c r="C209" s="51"/>
      <c r="D209" s="51"/>
      <c r="E209" s="51"/>
      <c r="F209" s="51"/>
      <c r="G209" s="51"/>
    </row>
    <row r="210" ht="12.75" customHeight="1">
      <c r="A210" s="51"/>
      <c r="B210" s="51" t="s">
        <v>1257</v>
      </c>
      <c r="C210" s="51"/>
      <c r="D210" s="51"/>
      <c r="E210" s="51"/>
      <c r="F210" s="51"/>
      <c r="G210" s="51"/>
    </row>
    <row r="211" ht="12.75" customHeight="1">
      <c r="A211" s="51"/>
      <c r="B211" s="51" t="s">
        <v>1258</v>
      </c>
      <c r="C211" s="51"/>
      <c r="D211" s="51"/>
      <c r="E211" s="51"/>
      <c r="F211" s="51"/>
      <c r="G211" s="51"/>
    </row>
    <row r="212" ht="12.75" customHeight="1">
      <c r="A212" s="51"/>
      <c r="B212" s="51" t="s">
        <v>1259</v>
      </c>
      <c r="C212" s="51"/>
      <c r="D212" s="51"/>
      <c r="E212" s="51"/>
      <c r="F212" s="51"/>
      <c r="G212" s="51"/>
    </row>
    <row r="213" ht="12.75" customHeight="1">
      <c r="A213" s="51"/>
      <c r="B213" s="51"/>
      <c r="C213" s="51"/>
      <c r="D213" s="51"/>
      <c r="E213" s="51"/>
      <c r="F213" s="51"/>
      <c r="G213" s="51"/>
    </row>
    <row r="214" ht="12.75" customHeight="1">
      <c r="A214" s="363" t="s">
        <v>1260</v>
      </c>
      <c r="B214" s="51"/>
      <c r="C214" s="51"/>
      <c r="D214" s="51"/>
      <c r="E214" s="51"/>
      <c r="F214" s="51"/>
      <c r="G214" s="51"/>
    </row>
    <row r="215" ht="12.75" customHeight="1">
      <c r="A215" s="101"/>
      <c r="B215" s="103"/>
      <c r="C215" s="370" t="s">
        <v>1261</v>
      </c>
      <c r="D215" s="371" t="s">
        <v>1262</v>
      </c>
      <c r="E215" s="372"/>
      <c r="F215" s="373"/>
      <c r="G215" s="51"/>
    </row>
    <row r="216" ht="12.75" customHeight="1">
      <c r="A216" s="374" t="s">
        <v>1263</v>
      </c>
      <c r="B216" s="370" t="s">
        <v>1264</v>
      </c>
      <c r="C216" s="370"/>
      <c r="D216" s="375" t="s">
        <v>1265</v>
      </c>
      <c r="E216" s="375" t="s">
        <v>1266</v>
      </c>
      <c r="F216" s="375" t="s">
        <v>1267</v>
      </c>
      <c r="G216" s="51"/>
    </row>
    <row r="217" ht="12.75" customHeight="1">
      <c r="A217" s="109"/>
      <c r="B217" s="376"/>
      <c r="C217" s="376"/>
      <c r="D217" s="376"/>
      <c r="E217" s="376"/>
      <c r="F217" s="376"/>
      <c r="G217" s="51"/>
    </row>
    <row r="218" ht="12.75" customHeight="1">
      <c r="A218" s="109" t="s">
        <v>1268</v>
      </c>
      <c r="B218" s="376" t="s">
        <v>1269</v>
      </c>
      <c r="C218" s="377">
        <v>0.98</v>
      </c>
      <c r="D218" s="377">
        <v>0.93</v>
      </c>
      <c r="E218" s="377">
        <v>0.94</v>
      </c>
      <c r="F218" s="377">
        <v>0.945</v>
      </c>
      <c r="G218" s="51"/>
    </row>
    <row r="219" ht="12.75" customHeight="1">
      <c r="A219" s="109"/>
      <c r="B219" s="376" t="s">
        <v>1270</v>
      </c>
      <c r="C219" s="377">
        <v>0.97</v>
      </c>
      <c r="D219" s="377">
        <v>0.92</v>
      </c>
      <c r="E219" s="377">
        <v>0.93</v>
      </c>
      <c r="F219" s="377">
        <v>0.935</v>
      </c>
      <c r="G219" s="51"/>
    </row>
    <row r="220" ht="12.75" customHeight="1">
      <c r="A220" s="109" t="s">
        <v>1271</v>
      </c>
      <c r="B220" s="376"/>
      <c r="C220" s="377">
        <v>0.96</v>
      </c>
      <c r="D220" s="377"/>
      <c r="E220" s="377"/>
      <c r="F220" s="377">
        <v>0.925</v>
      </c>
      <c r="G220" s="51"/>
    </row>
    <row r="221" ht="12.75" customHeight="1">
      <c r="A221" s="109" t="s">
        <v>1272</v>
      </c>
      <c r="B221" s="376"/>
      <c r="C221" s="377">
        <v>0.97</v>
      </c>
      <c r="D221" s="377">
        <v>0.92</v>
      </c>
      <c r="E221" s="377">
        <v>0.93</v>
      </c>
      <c r="F221" s="377">
        <v>0.935</v>
      </c>
      <c r="G221" s="51"/>
    </row>
    <row r="222" ht="12.75" customHeight="1">
      <c r="A222" s="109" t="s">
        <v>1273</v>
      </c>
      <c r="B222" s="376"/>
      <c r="C222" s="377">
        <v>0.96</v>
      </c>
      <c r="D222" s="377">
        <v>0.91</v>
      </c>
      <c r="E222" s="377">
        <v>0.92</v>
      </c>
      <c r="F222" s="377">
        <v>0.925</v>
      </c>
      <c r="G222" s="51"/>
    </row>
    <row r="223" ht="12.75" customHeight="1">
      <c r="A223" s="109" t="s">
        <v>1274</v>
      </c>
      <c r="B223" s="376" t="s">
        <v>1269</v>
      </c>
      <c r="C223" s="377">
        <v>0.98</v>
      </c>
      <c r="D223" s="377">
        <v>0.93</v>
      </c>
      <c r="E223" s="377">
        <v>0.94</v>
      </c>
      <c r="F223" s="377"/>
      <c r="G223" s="51"/>
    </row>
    <row r="224" ht="12.75" customHeight="1">
      <c r="A224" s="350" t="s">
        <v>1275</v>
      </c>
      <c r="B224" s="378" t="s">
        <v>1269</v>
      </c>
      <c r="C224" s="379">
        <v>0.98</v>
      </c>
      <c r="D224" s="379">
        <v>0.93</v>
      </c>
      <c r="E224" s="379">
        <v>0.94</v>
      </c>
      <c r="F224" s="379">
        <v>0.945</v>
      </c>
      <c r="G224" s="51"/>
    </row>
    <row r="225" ht="12.75" customHeight="1">
      <c r="A225" s="51"/>
      <c r="B225" s="51"/>
      <c r="C225" s="51"/>
      <c r="D225" s="51"/>
      <c r="E225" s="51"/>
      <c r="F225" s="51"/>
      <c r="G225" s="51"/>
    </row>
    <row r="226" ht="12.75" customHeight="1">
      <c r="A226" s="374" t="s">
        <v>1276</v>
      </c>
      <c r="B226" s="380"/>
      <c r="C226" s="380"/>
      <c r="D226" s="381" t="s">
        <v>1277</v>
      </c>
      <c r="E226" s="372"/>
      <c r="F226" s="373"/>
      <c r="G226" s="51"/>
    </row>
    <row r="227" ht="12.75" customHeight="1">
      <c r="A227" s="109" t="s">
        <v>1278</v>
      </c>
      <c r="B227" s="51"/>
      <c r="C227" s="51"/>
      <c r="D227" s="382" t="s">
        <v>1265</v>
      </c>
      <c r="E227" s="382" t="s">
        <v>1266</v>
      </c>
      <c r="F227" s="382" t="s">
        <v>1267</v>
      </c>
      <c r="G227" s="51"/>
    </row>
    <row r="228" ht="12.75" customHeight="1">
      <c r="A228" s="109" t="s">
        <v>1279</v>
      </c>
      <c r="B228" s="51"/>
      <c r="C228" s="51"/>
      <c r="D228" s="377">
        <v>0.945</v>
      </c>
      <c r="E228" s="377">
        <v>0.96</v>
      </c>
      <c r="F228" s="377">
        <v>0.964</v>
      </c>
      <c r="G228" s="51"/>
    </row>
    <row r="229" ht="12.75" customHeight="1">
      <c r="A229" s="350" t="s">
        <v>1280</v>
      </c>
      <c r="B229" s="185"/>
      <c r="C229" s="186"/>
      <c r="D229" s="379">
        <v>0.8</v>
      </c>
      <c r="E229" s="379">
        <v>0.83</v>
      </c>
      <c r="F229" s="379">
        <v>0.9</v>
      </c>
      <c r="G229" s="51"/>
    </row>
    <row r="230" ht="12.75" customHeight="1">
      <c r="A230" s="109"/>
      <c r="B230" s="51"/>
      <c r="C230" s="51"/>
      <c r="D230" s="51"/>
      <c r="E230" s="51"/>
      <c r="F230" s="110"/>
      <c r="G230" s="51"/>
    </row>
    <row r="231" ht="12.75" customHeight="1">
      <c r="A231" s="101" t="s">
        <v>1281</v>
      </c>
      <c r="B231" s="102"/>
      <c r="C231" s="102"/>
      <c r="D231" s="382" t="s">
        <v>1282</v>
      </c>
      <c r="E231" s="382" t="s">
        <v>1283</v>
      </c>
      <c r="F231" s="103"/>
      <c r="G231" s="51"/>
    </row>
    <row r="232" ht="12.75" customHeight="1">
      <c r="A232" s="109" t="s">
        <v>1279</v>
      </c>
      <c r="B232" s="51"/>
      <c r="C232" s="51"/>
      <c r="D232" s="377"/>
      <c r="E232" s="377">
        <v>0.95</v>
      </c>
      <c r="F232" s="110"/>
      <c r="G232" s="51"/>
    </row>
    <row r="233" ht="12.75" customHeight="1">
      <c r="A233" s="350" t="s">
        <v>1280</v>
      </c>
      <c r="B233" s="185"/>
      <c r="C233" s="185"/>
      <c r="D233" s="379">
        <v>0.8</v>
      </c>
      <c r="E233" s="379">
        <v>0.9</v>
      </c>
      <c r="F233" s="186"/>
      <c r="G233" s="51"/>
    </row>
    <row r="234" ht="12.75" customHeight="1">
      <c r="A234" s="101"/>
      <c r="B234" s="102"/>
      <c r="C234" s="102"/>
      <c r="D234" s="102"/>
      <c r="E234" s="102"/>
      <c r="F234" s="103"/>
      <c r="G234" s="51"/>
    </row>
    <row r="235" ht="12.75" customHeight="1">
      <c r="A235" s="101" t="s">
        <v>1284</v>
      </c>
      <c r="B235" s="102"/>
      <c r="C235" s="102"/>
      <c r="D235" s="102"/>
      <c r="E235" s="382" t="s">
        <v>1285</v>
      </c>
      <c r="F235" s="103"/>
      <c r="G235" s="51"/>
    </row>
    <row r="236" ht="12.75" customHeight="1">
      <c r="A236" s="350" t="s">
        <v>1279</v>
      </c>
      <c r="B236" s="185"/>
      <c r="C236" s="185"/>
      <c r="D236" s="185"/>
      <c r="E236" s="379">
        <v>0.94</v>
      </c>
      <c r="F236" s="186"/>
      <c r="G236" s="51"/>
    </row>
    <row r="237" ht="12.75" customHeight="1">
      <c r="A237" s="51"/>
      <c r="B237" s="51"/>
      <c r="C237" s="51"/>
      <c r="D237" s="51"/>
      <c r="E237" s="51"/>
      <c r="F237" s="51"/>
      <c r="G237" s="51"/>
    </row>
    <row r="238" ht="12.75" customHeight="1">
      <c r="A238" s="1"/>
      <c r="C238" s="1"/>
      <c r="D238" s="1"/>
      <c r="E238" s="1"/>
      <c r="F238" s="1"/>
    </row>
    <row r="239" ht="12.75" customHeight="1">
      <c r="A239" s="1"/>
      <c r="C239" s="1"/>
      <c r="D239" s="1"/>
      <c r="E239" s="1"/>
      <c r="F239" s="1"/>
    </row>
    <row r="240" ht="12.75" customHeight="1">
      <c r="A240" s="1"/>
      <c r="C240" s="1"/>
      <c r="D240" s="1"/>
      <c r="E240" s="1"/>
      <c r="F240" s="1"/>
    </row>
    <row r="241" ht="12.75" customHeight="1">
      <c r="A241" s="1"/>
      <c r="C241" s="1"/>
      <c r="D241" s="1"/>
      <c r="E241" s="1"/>
      <c r="F241" s="1"/>
    </row>
    <row r="242" ht="12.75" customHeight="1">
      <c r="A242" s="1"/>
      <c r="C242" s="1"/>
      <c r="D242" s="1"/>
      <c r="E242" s="1"/>
      <c r="F242" s="1"/>
    </row>
    <row r="243" ht="12.75" customHeight="1">
      <c r="A243" s="1"/>
      <c r="C243" s="1"/>
      <c r="D243" s="1"/>
      <c r="E243" s="1"/>
      <c r="F243" s="1"/>
    </row>
    <row r="244" ht="12.75" customHeight="1">
      <c r="A244" s="1"/>
      <c r="C244" s="1"/>
      <c r="D244" s="1"/>
      <c r="E244" s="1"/>
      <c r="F244" s="1"/>
    </row>
    <row r="245" ht="12.75" customHeight="1">
      <c r="A245" s="1"/>
      <c r="C245" s="1"/>
      <c r="D245" s="1"/>
      <c r="E245" s="1"/>
      <c r="F245" s="1"/>
    </row>
    <row r="246" ht="12.75" customHeight="1">
      <c r="A246" s="1"/>
      <c r="C246" s="1"/>
      <c r="D246" s="1"/>
      <c r="E246" s="1"/>
      <c r="F246" s="1"/>
    </row>
    <row r="247" ht="12.75" customHeight="1">
      <c r="A247" s="1"/>
      <c r="C247" s="1"/>
      <c r="D247" s="1"/>
      <c r="E247" s="1"/>
      <c r="F247" s="1"/>
    </row>
    <row r="248" ht="12.75" customHeight="1">
      <c r="A248" s="1"/>
      <c r="C248" s="1"/>
      <c r="D248" s="1"/>
      <c r="E248" s="1"/>
      <c r="F248" s="1"/>
    </row>
    <row r="249" ht="12.75" customHeight="1">
      <c r="A249" s="1"/>
      <c r="C249" s="1"/>
      <c r="D249" s="1"/>
      <c r="E249" s="1"/>
      <c r="F249" s="1"/>
    </row>
    <row r="250" ht="12.75" customHeight="1">
      <c r="A250" s="1"/>
      <c r="C250" s="1"/>
      <c r="D250" s="1"/>
      <c r="E250" s="1"/>
      <c r="F250" s="1"/>
    </row>
    <row r="251" ht="12.75" customHeight="1">
      <c r="A251" s="1"/>
      <c r="C251" s="1"/>
      <c r="D251" s="1"/>
      <c r="E251" s="1"/>
      <c r="F251" s="1"/>
    </row>
    <row r="252" ht="12.75" customHeight="1">
      <c r="A252" s="1"/>
      <c r="C252" s="1"/>
      <c r="D252" s="1"/>
      <c r="E252" s="1"/>
      <c r="F252" s="1"/>
    </row>
    <row r="253" ht="12.75" customHeight="1">
      <c r="A253" s="1"/>
      <c r="C253" s="1"/>
      <c r="D253" s="1"/>
      <c r="E253" s="1"/>
      <c r="F253" s="1"/>
    </row>
    <row r="254" ht="12.75" customHeight="1">
      <c r="A254" s="1"/>
      <c r="C254" s="1"/>
      <c r="D254" s="1"/>
      <c r="E254" s="1"/>
      <c r="F254" s="1"/>
    </row>
    <row r="255" ht="12.75" customHeight="1">
      <c r="A255" s="1"/>
      <c r="C255" s="1"/>
      <c r="D255" s="1"/>
      <c r="E255" s="1"/>
      <c r="F255" s="1"/>
    </row>
    <row r="256" ht="12.75" customHeight="1">
      <c r="A256" s="1"/>
      <c r="C256" s="1"/>
      <c r="D256" s="1"/>
      <c r="E256" s="1"/>
      <c r="F256" s="1"/>
    </row>
    <row r="257" ht="12.75" customHeight="1">
      <c r="A257" s="1"/>
      <c r="C257" s="1"/>
      <c r="D257" s="1"/>
      <c r="E257" s="1"/>
      <c r="F257" s="1"/>
    </row>
    <row r="258" ht="12.75" customHeight="1">
      <c r="A258" s="1"/>
      <c r="C258" s="1"/>
      <c r="D258" s="1"/>
      <c r="E258" s="1"/>
      <c r="F258" s="1"/>
    </row>
    <row r="259" ht="12.75" customHeight="1">
      <c r="A259" s="1"/>
      <c r="C259" s="1"/>
      <c r="D259" s="1"/>
      <c r="E259" s="1"/>
      <c r="F259" s="1"/>
    </row>
    <row r="260" ht="12.75" customHeight="1">
      <c r="A260" s="1"/>
      <c r="C260" s="1"/>
      <c r="D260" s="1"/>
      <c r="E260" s="1"/>
      <c r="F260" s="1"/>
    </row>
    <row r="261" ht="12.75" customHeight="1">
      <c r="A261" s="1"/>
      <c r="C261" s="1"/>
      <c r="D261" s="1"/>
      <c r="E261" s="1"/>
      <c r="F261" s="1"/>
    </row>
    <row r="262" ht="12.75" customHeight="1">
      <c r="A262" s="1"/>
      <c r="C262" s="1"/>
      <c r="D262" s="1"/>
      <c r="E262" s="1"/>
      <c r="F262" s="1"/>
    </row>
    <row r="263" ht="12.75" customHeight="1">
      <c r="A263" s="1"/>
      <c r="C263" s="1"/>
      <c r="D263" s="1"/>
      <c r="E263" s="1"/>
      <c r="F263" s="1"/>
    </row>
    <row r="264" ht="12.75" customHeight="1">
      <c r="A264" s="1"/>
      <c r="C264" s="1"/>
      <c r="D264" s="1"/>
      <c r="E264" s="1"/>
      <c r="F264" s="1"/>
    </row>
    <row r="265" ht="12.75" customHeight="1">
      <c r="A265" s="1"/>
      <c r="C265" s="1"/>
      <c r="D265" s="1"/>
      <c r="E265" s="1"/>
      <c r="F265" s="1"/>
    </row>
    <row r="266" ht="12.75" customHeight="1">
      <c r="A266" s="1"/>
      <c r="C266" s="1"/>
      <c r="D266" s="1"/>
      <c r="E266" s="1"/>
      <c r="F266" s="1"/>
    </row>
    <row r="267" ht="12.75" customHeight="1">
      <c r="A267" s="1"/>
      <c r="C267" s="1"/>
      <c r="D267" s="1"/>
      <c r="E267" s="1"/>
      <c r="F267" s="1"/>
    </row>
    <row r="268" ht="12.75" customHeight="1">
      <c r="A268" s="1"/>
      <c r="C268" s="1"/>
      <c r="D268" s="1"/>
      <c r="E268" s="1"/>
      <c r="F268" s="1"/>
    </row>
    <row r="269" ht="12.75" customHeight="1">
      <c r="A269" s="1"/>
      <c r="C269" s="1"/>
      <c r="D269" s="1"/>
      <c r="E269" s="1"/>
      <c r="F269" s="1"/>
    </row>
    <row r="270" ht="12.75" customHeight="1">
      <c r="A270" s="1"/>
      <c r="C270" s="1"/>
      <c r="D270" s="1"/>
      <c r="E270" s="1"/>
      <c r="F270" s="1"/>
    </row>
    <row r="271" ht="12.75" customHeight="1">
      <c r="A271" s="1"/>
      <c r="C271" s="1"/>
      <c r="D271" s="1"/>
      <c r="E271" s="1"/>
      <c r="F271" s="1"/>
    </row>
    <row r="272" ht="12.75" customHeight="1">
      <c r="A272" s="1"/>
      <c r="C272" s="1"/>
      <c r="D272" s="1"/>
      <c r="E272" s="1"/>
      <c r="F272" s="1"/>
    </row>
    <row r="273" ht="12.75" customHeight="1">
      <c r="A273" s="1"/>
      <c r="C273" s="1"/>
      <c r="D273" s="1"/>
      <c r="E273" s="1"/>
      <c r="F273" s="1"/>
    </row>
    <row r="274" ht="12.75" customHeight="1">
      <c r="A274" s="1"/>
      <c r="C274" s="1"/>
      <c r="D274" s="1"/>
      <c r="E274" s="1"/>
      <c r="F274" s="1"/>
    </row>
    <row r="275" ht="12.75" customHeight="1">
      <c r="A275" s="1"/>
      <c r="C275" s="1"/>
      <c r="D275" s="1"/>
      <c r="E275" s="1"/>
      <c r="F275" s="1"/>
    </row>
    <row r="276" ht="12.75" customHeight="1">
      <c r="A276" s="1"/>
      <c r="C276" s="1"/>
      <c r="D276" s="1"/>
      <c r="E276" s="1"/>
      <c r="F276" s="1"/>
    </row>
    <row r="277" ht="12.75" customHeight="1">
      <c r="A277" s="1"/>
      <c r="C277" s="1"/>
      <c r="D277" s="1"/>
      <c r="E277" s="1"/>
      <c r="F277" s="1"/>
    </row>
    <row r="278" ht="12.75" customHeight="1">
      <c r="A278" s="1"/>
      <c r="C278" s="1"/>
      <c r="D278" s="1"/>
      <c r="E278" s="1"/>
      <c r="F278" s="1"/>
    </row>
    <row r="279" ht="12.75" customHeight="1">
      <c r="A279" s="1"/>
      <c r="C279" s="1"/>
      <c r="D279" s="1"/>
      <c r="E279" s="1"/>
      <c r="F279" s="1"/>
    </row>
    <row r="280" ht="12.75" customHeight="1">
      <c r="A280" s="1"/>
      <c r="C280" s="1"/>
      <c r="D280" s="1"/>
      <c r="E280" s="1"/>
      <c r="F280" s="1"/>
    </row>
    <row r="281" ht="12.75" customHeight="1">
      <c r="A281" s="1"/>
      <c r="C281" s="1"/>
      <c r="D281" s="1"/>
      <c r="E281" s="1"/>
      <c r="F281" s="1"/>
    </row>
    <row r="282" ht="12.75" customHeight="1">
      <c r="A282" s="1"/>
      <c r="C282" s="1"/>
      <c r="D282" s="1"/>
      <c r="E282" s="1"/>
      <c r="F282" s="1"/>
    </row>
    <row r="283" ht="12.75" customHeight="1">
      <c r="A283" s="1"/>
      <c r="C283" s="1"/>
      <c r="D283" s="1"/>
      <c r="E283" s="1"/>
      <c r="F283" s="1"/>
    </row>
    <row r="284" ht="12.75" customHeight="1">
      <c r="A284" s="1"/>
      <c r="C284" s="1"/>
      <c r="D284" s="1"/>
      <c r="E284" s="1"/>
      <c r="F284" s="1"/>
    </row>
    <row r="285" ht="12.75" customHeight="1">
      <c r="A285" s="1"/>
      <c r="C285" s="1"/>
      <c r="D285" s="1"/>
      <c r="E285" s="1"/>
      <c r="F285" s="1"/>
    </row>
    <row r="286" ht="12.75" customHeight="1">
      <c r="A286" s="1"/>
      <c r="C286" s="1"/>
      <c r="D286" s="1"/>
      <c r="E286" s="1"/>
      <c r="F286" s="1"/>
    </row>
    <row r="287" ht="12.75" customHeight="1">
      <c r="A287" s="1"/>
      <c r="C287" s="1"/>
      <c r="D287" s="1"/>
      <c r="E287" s="1"/>
      <c r="F287" s="1"/>
    </row>
    <row r="288" ht="12.75" customHeight="1">
      <c r="A288" s="1"/>
      <c r="C288" s="1"/>
      <c r="D288" s="1"/>
      <c r="E288" s="1"/>
      <c r="F288" s="1"/>
    </row>
    <row r="289" ht="12.75" customHeight="1">
      <c r="A289" s="1"/>
      <c r="C289" s="1"/>
      <c r="D289" s="1"/>
      <c r="E289" s="1"/>
      <c r="F289" s="1"/>
    </row>
    <row r="290" ht="12.75" customHeight="1">
      <c r="A290" s="1"/>
      <c r="C290" s="1"/>
      <c r="D290" s="1"/>
      <c r="E290" s="1"/>
      <c r="F290" s="1"/>
    </row>
    <row r="291" ht="12.75" customHeight="1">
      <c r="A291" s="1"/>
      <c r="C291" s="1"/>
      <c r="D291" s="1"/>
      <c r="E291" s="1"/>
      <c r="F291" s="1"/>
    </row>
    <row r="292" ht="12.75" customHeight="1">
      <c r="A292" s="1"/>
      <c r="C292" s="1"/>
      <c r="D292" s="1"/>
      <c r="E292" s="1"/>
      <c r="F292" s="1"/>
    </row>
    <row r="293" ht="12.75" customHeight="1">
      <c r="A293" s="1"/>
      <c r="C293" s="1"/>
      <c r="D293" s="1"/>
      <c r="E293" s="1"/>
      <c r="F293" s="1"/>
    </row>
    <row r="294" ht="12.75" customHeight="1">
      <c r="A294" s="1"/>
      <c r="C294" s="1"/>
      <c r="D294" s="1"/>
      <c r="E294" s="1"/>
      <c r="F294" s="1"/>
    </row>
    <row r="295" ht="12.75" customHeight="1">
      <c r="A295" s="1"/>
      <c r="C295" s="1"/>
      <c r="D295" s="1"/>
      <c r="E295" s="1"/>
      <c r="F295" s="1"/>
    </row>
    <row r="296" ht="12.75" customHeight="1">
      <c r="A296" s="1"/>
      <c r="C296" s="1"/>
      <c r="D296" s="1"/>
      <c r="E296" s="1"/>
      <c r="F296" s="1"/>
    </row>
    <row r="297" ht="12.75" customHeight="1">
      <c r="A297" s="1"/>
      <c r="C297" s="1"/>
      <c r="D297" s="1"/>
      <c r="E297" s="1"/>
      <c r="F297" s="1"/>
    </row>
    <row r="298" ht="12.75" customHeight="1">
      <c r="A298" s="1"/>
      <c r="C298" s="1"/>
      <c r="D298" s="1"/>
      <c r="E298" s="1"/>
      <c r="F298" s="1"/>
    </row>
    <row r="299" ht="12.75" customHeight="1">
      <c r="A299" s="1"/>
      <c r="C299" s="1"/>
      <c r="D299" s="1"/>
      <c r="E299" s="1"/>
      <c r="F299" s="1"/>
    </row>
    <row r="300" ht="12.75" customHeight="1">
      <c r="A300" s="1"/>
      <c r="C300" s="1"/>
      <c r="D300" s="1"/>
      <c r="E300" s="1"/>
      <c r="F300" s="1"/>
    </row>
    <row r="301" ht="12.75" customHeight="1">
      <c r="A301" s="1"/>
      <c r="C301" s="1"/>
      <c r="D301" s="1"/>
      <c r="E301" s="1"/>
      <c r="F301" s="1"/>
    </row>
    <row r="302" ht="12.75" customHeight="1">
      <c r="A302" s="1"/>
      <c r="C302" s="1"/>
      <c r="D302" s="1"/>
      <c r="E302" s="1"/>
      <c r="F302" s="1"/>
    </row>
    <row r="303" ht="12.75" customHeight="1">
      <c r="A303" s="1"/>
      <c r="C303" s="1"/>
      <c r="D303" s="1"/>
      <c r="E303" s="1"/>
      <c r="F303" s="1"/>
    </row>
    <row r="304" ht="12.75" customHeight="1">
      <c r="A304" s="1"/>
      <c r="C304" s="1"/>
      <c r="D304" s="1"/>
      <c r="E304" s="1"/>
      <c r="F304" s="1"/>
    </row>
    <row r="305" ht="12.75" customHeight="1">
      <c r="A305" s="1"/>
      <c r="C305" s="1"/>
      <c r="D305" s="1"/>
      <c r="E305" s="1"/>
      <c r="F305" s="1"/>
    </row>
    <row r="306" ht="12.75" customHeight="1">
      <c r="A306" s="1"/>
      <c r="C306" s="1"/>
      <c r="D306" s="1"/>
      <c r="E306" s="1"/>
      <c r="F306" s="1"/>
    </row>
    <row r="307" ht="12.75" customHeight="1">
      <c r="A307" s="1"/>
      <c r="C307" s="1"/>
      <c r="D307" s="1"/>
      <c r="E307" s="1"/>
      <c r="F307" s="1"/>
    </row>
    <row r="308" ht="12.75" customHeight="1">
      <c r="A308" s="1"/>
      <c r="C308" s="1"/>
      <c r="D308" s="1"/>
      <c r="E308" s="1"/>
      <c r="F308" s="1"/>
    </row>
    <row r="309" ht="12.75" customHeight="1">
      <c r="A309" s="1"/>
      <c r="C309" s="1"/>
      <c r="D309" s="1"/>
      <c r="E309" s="1"/>
      <c r="F309" s="1"/>
    </row>
    <row r="310" ht="12.75" customHeight="1">
      <c r="A310" s="1"/>
      <c r="C310" s="1"/>
      <c r="D310" s="1"/>
      <c r="E310" s="1"/>
      <c r="F310" s="1"/>
    </row>
    <row r="311" ht="12.75" customHeight="1">
      <c r="A311" s="1"/>
      <c r="C311" s="1"/>
      <c r="D311" s="1"/>
      <c r="E311" s="1"/>
      <c r="F311" s="1"/>
    </row>
    <row r="312" ht="12.75" customHeight="1">
      <c r="A312" s="1"/>
      <c r="C312" s="1"/>
      <c r="D312" s="1"/>
      <c r="E312" s="1"/>
      <c r="F312" s="1"/>
    </row>
    <row r="313" ht="12.75" customHeight="1">
      <c r="A313" s="1"/>
      <c r="C313" s="1"/>
      <c r="D313" s="1"/>
      <c r="E313" s="1"/>
      <c r="F313" s="1"/>
    </row>
    <row r="314" ht="12.75" customHeight="1">
      <c r="A314" s="1"/>
      <c r="C314" s="1"/>
      <c r="D314" s="1"/>
      <c r="E314" s="1"/>
      <c r="F314" s="1"/>
    </row>
    <row r="315" ht="12.75" customHeight="1">
      <c r="A315" s="1"/>
      <c r="C315" s="1"/>
      <c r="D315" s="1"/>
      <c r="E315" s="1"/>
      <c r="F315" s="1"/>
    </row>
    <row r="316" ht="12.75" customHeight="1">
      <c r="A316" s="1"/>
      <c r="C316" s="1"/>
      <c r="D316" s="1"/>
      <c r="E316" s="1"/>
      <c r="F316" s="1"/>
    </row>
    <row r="317" ht="12.75" customHeight="1">
      <c r="A317" s="1"/>
      <c r="C317" s="1"/>
      <c r="D317" s="1"/>
      <c r="E317" s="1"/>
      <c r="F317" s="1"/>
    </row>
    <row r="318" ht="12.75" customHeight="1">
      <c r="A318" s="1"/>
      <c r="C318" s="1"/>
      <c r="D318" s="1"/>
      <c r="E318" s="1"/>
      <c r="F318" s="1"/>
    </row>
    <row r="319" ht="12.75" customHeight="1">
      <c r="A319" s="1"/>
      <c r="C319" s="1"/>
      <c r="D319" s="1"/>
      <c r="E319" s="1"/>
      <c r="F319" s="1"/>
    </row>
    <row r="320" ht="12.75" customHeight="1">
      <c r="A320" s="1"/>
      <c r="C320" s="1"/>
      <c r="D320" s="1"/>
      <c r="E320" s="1"/>
      <c r="F320" s="1"/>
    </row>
    <row r="321" ht="12.75" customHeight="1">
      <c r="A321" s="1"/>
      <c r="C321" s="1"/>
      <c r="D321" s="1"/>
      <c r="E321" s="1"/>
      <c r="F321" s="1"/>
    </row>
    <row r="322" ht="12.75" customHeight="1">
      <c r="A322" s="1"/>
      <c r="C322" s="1"/>
      <c r="D322" s="1"/>
      <c r="E322" s="1"/>
      <c r="F322" s="1"/>
    </row>
    <row r="323" ht="12.75" customHeight="1">
      <c r="A323" s="1"/>
      <c r="C323" s="1"/>
      <c r="D323" s="1"/>
      <c r="E323" s="1"/>
      <c r="F323" s="1"/>
    </row>
    <row r="324" ht="12.75" customHeight="1">
      <c r="A324" s="1"/>
      <c r="C324" s="1"/>
      <c r="D324" s="1"/>
      <c r="E324" s="1"/>
      <c r="F324" s="1"/>
    </row>
    <row r="325" ht="12.75" customHeight="1">
      <c r="A325" s="1"/>
      <c r="C325" s="1"/>
      <c r="D325" s="1"/>
      <c r="E325" s="1"/>
      <c r="F325" s="1"/>
    </row>
    <row r="326" ht="12.75" customHeight="1">
      <c r="A326" s="1"/>
      <c r="C326" s="1"/>
      <c r="D326" s="1"/>
      <c r="E326" s="1"/>
      <c r="F326" s="1"/>
    </row>
    <row r="327" ht="12.75" customHeight="1">
      <c r="A327" s="1"/>
      <c r="C327" s="1"/>
      <c r="D327" s="1"/>
      <c r="E327" s="1"/>
      <c r="F327" s="1"/>
    </row>
    <row r="328" ht="12.75" customHeight="1">
      <c r="A328" s="1"/>
      <c r="C328" s="1"/>
      <c r="D328" s="1"/>
      <c r="E328" s="1"/>
      <c r="F328" s="1"/>
    </row>
    <row r="329" ht="12.75" customHeight="1">
      <c r="A329" s="1"/>
      <c r="C329" s="1"/>
      <c r="D329" s="1"/>
      <c r="E329" s="1"/>
      <c r="F329" s="1"/>
    </row>
    <row r="330" ht="12.75" customHeight="1">
      <c r="A330" s="1"/>
      <c r="C330" s="1"/>
      <c r="D330" s="1"/>
      <c r="E330" s="1"/>
      <c r="F330" s="1"/>
    </row>
    <row r="331" ht="12.75" customHeight="1">
      <c r="A331" s="1"/>
      <c r="C331" s="1"/>
      <c r="D331" s="1"/>
      <c r="E331" s="1"/>
      <c r="F331" s="1"/>
    </row>
    <row r="332" ht="12.75" customHeight="1">
      <c r="A332" s="1"/>
      <c r="C332" s="1"/>
      <c r="D332" s="1"/>
      <c r="E332" s="1"/>
      <c r="F332" s="1"/>
    </row>
    <row r="333" ht="12.75" customHeight="1">
      <c r="A333" s="1"/>
      <c r="C333" s="1"/>
      <c r="D333" s="1"/>
      <c r="E333" s="1"/>
      <c r="F333" s="1"/>
    </row>
    <row r="334" ht="12.75" customHeight="1">
      <c r="A334" s="1"/>
      <c r="C334" s="1"/>
      <c r="D334" s="1"/>
      <c r="E334" s="1"/>
      <c r="F334" s="1"/>
    </row>
    <row r="335" ht="12.75" customHeight="1">
      <c r="A335" s="1"/>
      <c r="C335" s="1"/>
      <c r="D335" s="1"/>
      <c r="E335" s="1"/>
      <c r="F335" s="1"/>
    </row>
    <row r="336" ht="12.75" customHeight="1">
      <c r="A336" s="1"/>
      <c r="C336" s="1"/>
      <c r="D336" s="1"/>
      <c r="E336" s="1"/>
      <c r="F336" s="1"/>
    </row>
    <row r="337" ht="12.75" customHeight="1">
      <c r="A337" s="1"/>
      <c r="C337" s="1"/>
      <c r="D337" s="1"/>
      <c r="E337" s="1"/>
      <c r="F337" s="1"/>
    </row>
    <row r="338" ht="12.75" customHeight="1">
      <c r="A338" s="1"/>
      <c r="C338" s="1"/>
      <c r="D338" s="1"/>
      <c r="E338" s="1"/>
      <c r="F338" s="1"/>
    </row>
    <row r="339" ht="12.75" customHeight="1">
      <c r="A339" s="1"/>
      <c r="C339" s="1"/>
      <c r="D339" s="1"/>
      <c r="E339" s="1"/>
      <c r="F339" s="1"/>
    </row>
    <row r="340" ht="12.75" customHeight="1">
      <c r="A340" s="1"/>
      <c r="C340" s="1"/>
      <c r="D340" s="1"/>
      <c r="E340" s="1"/>
      <c r="F340" s="1"/>
    </row>
    <row r="341" ht="12.75" customHeight="1">
      <c r="A341" s="1"/>
      <c r="C341" s="1"/>
      <c r="D341" s="1"/>
      <c r="E341" s="1"/>
      <c r="F341" s="1"/>
    </row>
    <row r="342" ht="12.75" customHeight="1">
      <c r="A342" s="1"/>
      <c r="C342" s="1"/>
      <c r="D342" s="1"/>
      <c r="E342" s="1"/>
      <c r="F342" s="1"/>
    </row>
    <row r="343" ht="12.75" customHeight="1">
      <c r="A343" s="1"/>
      <c r="C343" s="1"/>
      <c r="D343" s="1"/>
      <c r="E343" s="1"/>
      <c r="F343" s="1"/>
    </row>
    <row r="344" ht="12.75" customHeight="1">
      <c r="A344" s="1"/>
      <c r="C344" s="1"/>
      <c r="D344" s="1"/>
      <c r="E344" s="1"/>
      <c r="F344" s="1"/>
    </row>
    <row r="345" ht="12.75" customHeight="1">
      <c r="A345" s="1"/>
      <c r="C345" s="1"/>
      <c r="D345" s="1"/>
      <c r="E345" s="1"/>
      <c r="F345" s="1"/>
    </row>
    <row r="346" ht="12.75" customHeight="1">
      <c r="A346" s="1"/>
      <c r="C346" s="1"/>
      <c r="D346" s="1"/>
      <c r="E346" s="1"/>
      <c r="F346" s="1"/>
    </row>
    <row r="347" ht="12.75" customHeight="1">
      <c r="A347" s="1"/>
      <c r="C347" s="1"/>
      <c r="D347" s="1"/>
      <c r="E347" s="1"/>
      <c r="F347" s="1"/>
    </row>
    <row r="348" ht="12.75" customHeight="1">
      <c r="A348" s="1"/>
      <c r="C348" s="1"/>
      <c r="D348" s="1"/>
      <c r="E348" s="1"/>
      <c r="F348" s="1"/>
    </row>
    <row r="349" ht="12.75" customHeight="1">
      <c r="A349" s="1"/>
      <c r="C349" s="1"/>
      <c r="D349" s="1"/>
      <c r="E349" s="1"/>
      <c r="F349" s="1"/>
    </row>
    <row r="350" ht="12.75" customHeight="1">
      <c r="A350" s="1"/>
      <c r="C350" s="1"/>
      <c r="D350" s="1"/>
      <c r="E350" s="1"/>
      <c r="F350" s="1"/>
    </row>
    <row r="351" ht="12.75" customHeight="1">
      <c r="A351" s="1"/>
      <c r="C351" s="1"/>
      <c r="D351" s="1"/>
      <c r="E351" s="1"/>
      <c r="F351" s="1"/>
    </row>
    <row r="352" ht="12.75" customHeight="1">
      <c r="A352" s="1"/>
      <c r="C352" s="1"/>
      <c r="D352" s="1"/>
      <c r="E352" s="1"/>
      <c r="F352" s="1"/>
    </row>
    <row r="353" ht="12.75" customHeight="1">
      <c r="A353" s="1"/>
      <c r="C353" s="1"/>
      <c r="D353" s="1"/>
      <c r="E353" s="1"/>
      <c r="F353" s="1"/>
    </row>
    <row r="354" ht="12.75" customHeight="1">
      <c r="A354" s="1"/>
      <c r="C354" s="1"/>
      <c r="D354" s="1"/>
      <c r="E354" s="1"/>
      <c r="F354" s="1"/>
    </row>
    <row r="355" ht="12.75" customHeight="1">
      <c r="A355" s="1"/>
      <c r="C355" s="1"/>
      <c r="D355" s="1"/>
      <c r="E355" s="1"/>
      <c r="F355" s="1"/>
    </row>
    <row r="356" ht="12.75" customHeight="1">
      <c r="A356" s="1"/>
      <c r="C356" s="1"/>
      <c r="D356" s="1"/>
      <c r="E356" s="1"/>
      <c r="F356" s="1"/>
    </row>
    <row r="357" ht="12.75" customHeight="1">
      <c r="A357" s="1"/>
      <c r="C357" s="1"/>
      <c r="D357" s="1"/>
      <c r="E357" s="1"/>
      <c r="F357" s="1"/>
    </row>
    <row r="358" ht="12.75" customHeight="1">
      <c r="A358" s="1"/>
      <c r="C358" s="1"/>
      <c r="D358" s="1"/>
      <c r="E358" s="1"/>
      <c r="F358" s="1"/>
    </row>
    <row r="359" ht="12.75" customHeight="1">
      <c r="A359" s="1"/>
      <c r="C359" s="1"/>
      <c r="D359" s="1"/>
      <c r="E359" s="1"/>
      <c r="F359" s="1"/>
    </row>
    <row r="360" ht="12.75" customHeight="1">
      <c r="A360" s="1"/>
      <c r="C360" s="1"/>
      <c r="D360" s="1"/>
      <c r="E360" s="1"/>
      <c r="F360" s="1"/>
    </row>
    <row r="361" ht="12.75" customHeight="1">
      <c r="A361" s="1"/>
      <c r="C361" s="1"/>
      <c r="D361" s="1"/>
      <c r="E361" s="1"/>
      <c r="F361" s="1"/>
    </row>
    <row r="362" ht="12.75" customHeight="1">
      <c r="A362" s="1"/>
      <c r="C362" s="1"/>
      <c r="D362" s="1"/>
      <c r="E362" s="1"/>
      <c r="F362" s="1"/>
    </row>
    <row r="363" ht="12.75" customHeight="1">
      <c r="A363" s="1"/>
      <c r="C363" s="1"/>
      <c r="D363" s="1"/>
      <c r="E363" s="1"/>
      <c r="F363" s="1"/>
    </row>
    <row r="364" ht="12.75" customHeight="1">
      <c r="A364" s="1"/>
      <c r="C364" s="1"/>
      <c r="D364" s="1"/>
      <c r="E364" s="1"/>
      <c r="F364" s="1"/>
    </row>
    <row r="365" ht="12.75" customHeight="1">
      <c r="A365" s="1"/>
      <c r="C365" s="1"/>
      <c r="D365" s="1"/>
      <c r="E365" s="1"/>
      <c r="F365" s="1"/>
    </row>
    <row r="366" ht="12.75" customHeight="1">
      <c r="A366" s="1"/>
      <c r="C366" s="1"/>
      <c r="D366" s="1"/>
      <c r="E366" s="1"/>
      <c r="F366" s="1"/>
    </row>
    <row r="367" ht="12.75" customHeight="1">
      <c r="A367" s="1"/>
      <c r="C367" s="1"/>
      <c r="D367" s="1"/>
      <c r="E367" s="1"/>
      <c r="F367" s="1"/>
    </row>
    <row r="368" ht="12.75" customHeight="1">
      <c r="A368" s="1"/>
      <c r="C368" s="1"/>
      <c r="D368" s="1"/>
      <c r="E368" s="1"/>
      <c r="F368" s="1"/>
    </row>
    <row r="369" ht="12.75" customHeight="1">
      <c r="A369" s="1"/>
      <c r="C369" s="1"/>
      <c r="D369" s="1"/>
      <c r="E369" s="1"/>
      <c r="F369" s="1"/>
    </row>
    <row r="370" ht="12.75" customHeight="1">
      <c r="A370" s="1"/>
      <c r="C370" s="1"/>
      <c r="D370" s="1"/>
      <c r="E370" s="1"/>
      <c r="F370" s="1"/>
    </row>
    <row r="371" ht="12.75" customHeight="1">
      <c r="A371" s="1"/>
      <c r="C371" s="1"/>
      <c r="D371" s="1"/>
      <c r="E371" s="1"/>
      <c r="F371" s="1"/>
    </row>
    <row r="372" ht="12.75" customHeight="1">
      <c r="A372" s="1"/>
      <c r="C372" s="1"/>
      <c r="D372" s="1"/>
      <c r="E372" s="1"/>
      <c r="F372" s="1"/>
    </row>
    <row r="373" ht="12.75" customHeight="1">
      <c r="A373" s="1"/>
      <c r="C373" s="1"/>
      <c r="D373" s="1"/>
      <c r="E373" s="1"/>
      <c r="F373" s="1"/>
    </row>
    <row r="374" ht="12.75" customHeight="1">
      <c r="A374" s="1"/>
      <c r="C374" s="1"/>
      <c r="D374" s="1"/>
      <c r="E374" s="1"/>
      <c r="F374" s="1"/>
    </row>
    <row r="375" ht="12.75" customHeight="1">
      <c r="A375" s="1"/>
      <c r="C375" s="1"/>
      <c r="D375" s="1"/>
      <c r="E375" s="1"/>
      <c r="F375" s="1"/>
    </row>
    <row r="376" ht="12.75" customHeight="1">
      <c r="A376" s="1"/>
      <c r="C376" s="1"/>
      <c r="D376" s="1"/>
      <c r="E376" s="1"/>
      <c r="F376" s="1"/>
    </row>
    <row r="377" ht="12.75" customHeight="1">
      <c r="A377" s="1"/>
      <c r="C377" s="1"/>
      <c r="D377" s="1"/>
      <c r="E377" s="1"/>
      <c r="F377" s="1"/>
    </row>
    <row r="378" ht="12.75" customHeight="1">
      <c r="A378" s="1"/>
      <c r="C378" s="1"/>
      <c r="D378" s="1"/>
      <c r="E378" s="1"/>
      <c r="F378" s="1"/>
    </row>
    <row r="379" ht="12.75" customHeight="1">
      <c r="A379" s="1"/>
      <c r="C379" s="1"/>
      <c r="D379" s="1"/>
      <c r="E379" s="1"/>
      <c r="F379" s="1"/>
    </row>
    <row r="380" ht="12.75" customHeight="1">
      <c r="A380" s="1"/>
      <c r="C380" s="1"/>
      <c r="D380" s="1"/>
      <c r="E380" s="1"/>
      <c r="F380" s="1"/>
    </row>
    <row r="381" ht="12.75" customHeight="1">
      <c r="A381" s="1"/>
      <c r="C381" s="1"/>
      <c r="D381" s="1"/>
      <c r="E381" s="1"/>
      <c r="F381" s="1"/>
    </row>
    <row r="382" ht="12.75" customHeight="1">
      <c r="A382" s="1"/>
      <c r="C382" s="1"/>
      <c r="D382" s="1"/>
      <c r="E382" s="1"/>
      <c r="F382" s="1"/>
    </row>
    <row r="383" ht="12.75" customHeight="1">
      <c r="A383" s="1"/>
      <c r="C383" s="1"/>
      <c r="D383" s="1"/>
      <c r="E383" s="1"/>
      <c r="F383" s="1"/>
    </row>
    <row r="384" ht="12.75" customHeight="1">
      <c r="A384" s="1"/>
      <c r="C384" s="1"/>
      <c r="D384" s="1"/>
      <c r="E384" s="1"/>
      <c r="F384" s="1"/>
    </row>
    <row r="385" ht="12.75" customHeight="1">
      <c r="A385" s="1"/>
      <c r="C385" s="1"/>
      <c r="D385" s="1"/>
      <c r="E385" s="1"/>
      <c r="F385" s="1"/>
    </row>
    <row r="386" ht="12.75" customHeight="1">
      <c r="A386" s="1"/>
      <c r="C386" s="1"/>
      <c r="D386" s="1"/>
      <c r="E386" s="1"/>
      <c r="F386" s="1"/>
    </row>
    <row r="387" ht="12.75" customHeight="1">
      <c r="A387" s="1"/>
      <c r="C387" s="1"/>
      <c r="D387" s="1"/>
      <c r="E387" s="1"/>
      <c r="F387" s="1"/>
    </row>
    <row r="388" ht="12.75" customHeight="1">
      <c r="A388" s="1"/>
      <c r="C388" s="1"/>
      <c r="D388" s="1"/>
      <c r="E388" s="1"/>
      <c r="F388" s="1"/>
    </row>
    <row r="389" ht="12.75" customHeight="1">
      <c r="A389" s="1"/>
      <c r="C389" s="1"/>
      <c r="D389" s="1"/>
      <c r="E389" s="1"/>
      <c r="F389" s="1"/>
    </row>
    <row r="390" ht="12.75" customHeight="1">
      <c r="A390" s="1"/>
      <c r="C390" s="1"/>
      <c r="D390" s="1"/>
      <c r="E390" s="1"/>
      <c r="F390" s="1"/>
    </row>
    <row r="391" ht="12.75" customHeight="1">
      <c r="A391" s="1"/>
      <c r="C391" s="1"/>
      <c r="D391" s="1"/>
      <c r="E391" s="1"/>
      <c r="F391" s="1"/>
    </row>
    <row r="392" ht="12.75" customHeight="1">
      <c r="A392" s="1"/>
      <c r="C392" s="1"/>
      <c r="D392" s="1"/>
      <c r="E392" s="1"/>
      <c r="F392" s="1"/>
    </row>
    <row r="393" ht="12.75" customHeight="1">
      <c r="A393" s="1"/>
      <c r="C393" s="1"/>
      <c r="D393" s="1"/>
      <c r="E393" s="1"/>
      <c r="F393" s="1"/>
    </row>
    <row r="394" ht="12.75" customHeight="1">
      <c r="A394" s="1"/>
      <c r="C394" s="1"/>
      <c r="D394" s="1"/>
      <c r="E394" s="1"/>
      <c r="F394" s="1"/>
    </row>
    <row r="395" ht="12.75" customHeight="1">
      <c r="A395" s="1"/>
      <c r="C395" s="1"/>
      <c r="D395" s="1"/>
      <c r="E395" s="1"/>
      <c r="F395" s="1"/>
    </row>
    <row r="396" ht="12.75" customHeight="1">
      <c r="A396" s="1"/>
      <c r="C396" s="1"/>
      <c r="D396" s="1"/>
      <c r="E396" s="1"/>
      <c r="F396" s="1"/>
    </row>
    <row r="397" ht="12.75" customHeight="1">
      <c r="A397" s="1"/>
      <c r="C397" s="1"/>
      <c r="D397" s="1"/>
      <c r="E397" s="1"/>
      <c r="F397" s="1"/>
    </row>
    <row r="398" ht="12.75" customHeight="1">
      <c r="A398" s="1"/>
      <c r="C398" s="1"/>
      <c r="D398" s="1"/>
      <c r="E398" s="1"/>
      <c r="F398" s="1"/>
    </row>
    <row r="399" ht="12.75" customHeight="1">
      <c r="A399" s="1"/>
      <c r="C399" s="1"/>
      <c r="D399" s="1"/>
      <c r="E399" s="1"/>
      <c r="F399" s="1"/>
    </row>
    <row r="400" ht="12.75" customHeight="1">
      <c r="A400" s="1"/>
      <c r="C400" s="1"/>
      <c r="D400" s="1"/>
      <c r="E400" s="1"/>
      <c r="F400" s="1"/>
    </row>
    <row r="401" ht="12.75" customHeight="1">
      <c r="A401" s="1"/>
      <c r="C401" s="1"/>
      <c r="D401" s="1"/>
      <c r="E401" s="1"/>
      <c r="F401" s="1"/>
    </row>
    <row r="402" ht="12.75" customHeight="1">
      <c r="A402" s="1"/>
      <c r="C402" s="1"/>
      <c r="D402" s="1"/>
      <c r="E402" s="1"/>
      <c r="F402" s="1"/>
    </row>
    <row r="403" ht="12.75" customHeight="1">
      <c r="A403" s="1"/>
      <c r="C403" s="1"/>
      <c r="D403" s="1"/>
      <c r="E403" s="1"/>
      <c r="F403" s="1"/>
    </row>
    <row r="404" ht="12.75" customHeight="1">
      <c r="A404" s="1"/>
      <c r="C404" s="1"/>
      <c r="D404" s="1"/>
      <c r="E404" s="1"/>
      <c r="F404" s="1"/>
    </row>
    <row r="405" ht="12.75" customHeight="1">
      <c r="A405" s="1"/>
      <c r="C405" s="1"/>
      <c r="D405" s="1"/>
      <c r="E405" s="1"/>
      <c r="F405" s="1"/>
    </row>
    <row r="406" ht="12.75" customHeight="1">
      <c r="A406" s="1"/>
      <c r="C406" s="1"/>
      <c r="D406" s="1"/>
      <c r="E406" s="1"/>
      <c r="F406" s="1"/>
    </row>
    <row r="407" ht="12.75" customHeight="1">
      <c r="A407" s="1"/>
      <c r="C407" s="1"/>
      <c r="D407" s="1"/>
      <c r="E407" s="1"/>
      <c r="F407" s="1"/>
    </row>
    <row r="408" ht="12.75" customHeight="1">
      <c r="A408" s="1"/>
      <c r="C408" s="1"/>
      <c r="D408" s="1"/>
      <c r="E408" s="1"/>
      <c r="F408" s="1"/>
    </row>
    <row r="409" ht="12.75" customHeight="1">
      <c r="A409" s="1"/>
      <c r="C409" s="1"/>
      <c r="D409" s="1"/>
      <c r="E409" s="1"/>
      <c r="F409" s="1"/>
    </row>
    <row r="410" ht="12.75" customHeight="1">
      <c r="A410" s="1"/>
      <c r="C410" s="1"/>
      <c r="D410" s="1"/>
      <c r="E410" s="1"/>
      <c r="F410" s="1"/>
    </row>
    <row r="411" ht="12.75" customHeight="1">
      <c r="A411" s="1"/>
      <c r="C411" s="1"/>
      <c r="D411" s="1"/>
      <c r="E411" s="1"/>
      <c r="F411" s="1"/>
    </row>
    <row r="412" ht="12.75" customHeight="1">
      <c r="A412" s="1"/>
      <c r="C412" s="1"/>
      <c r="D412" s="1"/>
      <c r="E412" s="1"/>
      <c r="F412" s="1"/>
    </row>
    <row r="413" ht="12.75" customHeight="1">
      <c r="A413" s="1"/>
      <c r="C413" s="1"/>
      <c r="D413" s="1"/>
      <c r="E413" s="1"/>
      <c r="F413" s="1"/>
    </row>
    <row r="414" ht="12.75" customHeight="1">
      <c r="A414" s="1"/>
      <c r="C414" s="1"/>
      <c r="D414" s="1"/>
      <c r="E414" s="1"/>
      <c r="F414" s="1"/>
    </row>
    <row r="415" ht="12.75" customHeight="1">
      <c r="A415" s="1"/>
      <c r="C415" s="1"/>
      <c r="D415" s="1"/>
      <c r="E415" s="1"/>
      <c r="F415" s="1"/>
    </row>
    <row r="416" ht="12.75" customHeight="1">
      <c r="A416" s="1"/>
      <c r="C416" s="1"/>
      <c r="D416" s="1"/>
      <c r="E416" s="1"/>
      <c r="F416" s="1"/>
    </row>
    <row r="417" ht="12.75" customHeight="1">
      <c r="A417" s="1"/>
      <c r="C417" s="1"/>
      <c r="D417" s="1"/>
      <c r="E417" s="1"/>
      <c r="F417" s="1"/>
    </row>
    <row r="418" ht="12.75" customHeight="1">
      <c r="A418" s="1"/>
      <c r="C418" s="1"/>
      <c r="D418" s="1"/>
      <c r="E418" s="1"/>
      <c r="F418" s="1"/>
    </row>
    <row r="419" ht="12.75" customHeight="1">
      <c r="A419" s="1"/>
      <c r="C419" s="1"/>
      <c r="D419" s="1"/>
      <c r="E419" s="1"/>
      <c r="F419" s="1"/>
    </row>
    <row r="420" ht="12.75" customHeight="1">
      <c r="A420" s="1"/>
      <c r="C420" s="1"/>
      <c r="D420" s="1"/>
      <c r="E420" s="1"/>
      <c r="F420" s="1"/>
    </row>
    <row r="421" ht="12.75" customHeight="1">
      <c r="A421" s="1"/>
      <c r="C421" s="1"/>
      <c r="D421" s="1"/>
      <c r="E421" s="1"/>
      <c r="F421" s="1"/>
    </row>
    <row r="422" ht="12.75" customHeight="1">
      <c r="A422" s="1"/>
      <c r="C422" s="1"/>
      <c r="D422" s="1"/>
      <c r="E422" s="1"/>
      <c r="F422" s="1"/>
    </row>
    <row r="423" ht="12.75" customHeight="1">
      <c r="A423" s="1"/>
      <c r="C423" s="1"/>
      <c r="D423" s="1"/>
      <c r="E423" s="1"/>
      <c r="F423" s="1"/>
    </row>
    <row r="424" ht="12.75" customHeight="1">
      <c r="A424" s="1"/>
      <c r="C424" s="1"/>
      <c r="D424" s="1"/>
      <c r="E424" s="1"/>
      <c r="F424" s="1"/>
    </row>
    <row r="425" ht="12.75" customHeight="1">
      <c r="A425" s="1"/>
      <c r="C425" s="1"/>
      <c r="D425" s="1"/>
      <c r="E425" s="1"/>
      <c r="F425" s="1"/>
    </row>
    <row r="426" ht="12.75" customHeight="1">
      <c r="A426" s="1"/>
      <c r="C426" s="1"/>
      <c r="D426" s="1"/>
      <c r="E426" s="1"/>
      <c r="F426" s="1"/>
    </row>
    <row r="427" ht="12.75" customHeight="1">
      <c r="A427" s="1"/>
      <c r="C427" s="1"/>
      <c r="D427" s="1"/>
      <c r="E427" s="1"/>
      <c r="F427" s="1"/>
    </row>
    <row r="428" ht="12.75" customHeight="1">
      <c r="A428" s="1"/>
      <c r="C428" s="1"/>
      <c r="D428" s="1"/>
      <c r="E428" s="1"/>
      <c r="F428" s="1"/>
    </row>
    <row r="429" ht="12.75" customHeight="1">
      <c r="A429" s="1"/>
      <c r="C429" s="1"/>
      <c r="D429" s="1"/>
      <c r="E429" s="1"/>
      <c r="F429" s="1"/>
    </row>
    <row r="430" ht="12.75" customHeight="1">
      <c r="A430" s="1"/>
      <c r="C430" s="1"/>
      <c r="D430" s="1"/>
      <c r="E430" s="1"/>
      <c r="F430" s="1"/>
    </row>
    <row r="431" ht="12.75" customHeight="1">
      <c r="A431" s="1"/>
      <c r="C431" s="1"/>
      <c r="D431" s="1"/>
      <c r="E431" s="1"/>
      <c r="F431" s="1"/>
    </row>
    <row r="432" ht="12.75" customHeight="1">
      <c r="A432" s="1"/>
      <c r="C432" s="1"/>
      <c r="D432" s="1"/>
      <c r="E432" s="1"/>
      <c r="F432" s="1"/>
    </row>
    <row r="433" ht="12.75" customHeight="1">
      <c r="A433" s="1"/>
      <c r="C433" s="1"/>
      <c r="D433" s="1"/>
      <c r="E433" s="1"/>
      <c r="F433" s="1"/>
    </row>
    <row r="434" ht="12.75" customHeight="1">
      <c r="A434" s="1"/>
      <c r="C434" s="1"/>
      <c r="D434" s="1"/>
      <c r="E434" s="1"/>
      <c r="F434" s="1"/>
    </row>
    <row r="435" ht="12.75" customHeight="1">
      <c r="A435" s="1"/>
      <c r="C435" s="1"/>
      <c r="D435" s="1"/>
      <c r="E435" s="1"/>
      <c r="F435" s="1"/>
    </row>
    <row r="436" ht="12.75" customHeight="1">
      <c r="A436" s="1"/>
      <c r="C436" s="1"/>
      <c r="D436" s="1"/>
      <c r="E436" s="1"/>
      <c r="F436" s="1"/>
    </row>
    <row r="437" ht="12.75" customHeight="1">
      <c r="A437" s="1"/>
      <c r="C437" s="1"/>
      <c r="D437" s="1"/>
      <c r="E437" s="1"/>
      <c r="F437" s="1"/>
    </row>
    <row r="438" ht="12.75" customHeight="1">
      <c r="A438" s="1"/>
      <c r="C438" s="1"/>
      <c r="D438" s="1"/>
      <c r="E438" s="1"/>
      <c r="F438" s="1"/>
    </row>
    <row r="439" ht="12.75" customHeight="1">
      <c r="A439" s="1"/>
      <c r="C439" s="1"/>
      <c r="D439" s="1"/>
      <c r="E439" s="1"/>
      <c r="F439" s="1"/>
    </row>
    <row r="440" ht="12.75" customHeight="1">
      <c r="A440" s="1"/>
      <c r="C440" s="1"/>
      <c r="D440" s="1"/>
      <c r="E440" s="1"/>
      <c r="F440" s="1"/>
    </row>
    <row r="441" ht="12.75" customHeight="1">
      <c r="A441" s="1"/>
      <c r="C441" s="1"/>
      <c r="D441" s="1"/>
      <c r="E441" s="1"/>
      <c r="F441" s="1"/>
    </row>
    <row r="442" ht="12.75" customHeight="1">
      <c r="A442" s="1"/>
      <c r="C442" s="1"/>
      <c r="D442" s="1"/>
      <c r="E442" s="1"/>
      <c r="F442" s="1"/>
    </row>
    <row r="443" ht="12.75" customHeight="1">
      <c r="A443" s="1"/>
      <c r="C443" s="1"/>
      <c r="D443" s="1"/>
      <c r="E443" s="1"/>
      <c r="F443" s="1"/>
    </row>
    <row r="444" ht="12.75" customHeight="1">
      <c r="A444" s="1"/>
      <c r="C444" s="1"/>
      <c r="D444" s="1"/>
      <c r="E444" s="1"/>
      <c r="F444" s="1"/>
    </row>
    <row r="445" ht="12.75" customHeight="1">
      <c r="A445" s="1"/>
      <c r="C445" s="1"/>
      <c r="D445" s="1"/>
      <c r="E445" s="1"/>
      <c r="F445" s="1"/>
    </row>
    <row r="446" ht="12.75" customHeight="1">
      <c r="A446" s="1"/>
      <c r="C446" s="1"/>
      <c r="D446" s="1"/>
      <c r="E446" s="1"/>
      <c r="F446" s="1"/>
    </row>
    <row r="447" ht="12.75" customHeight="1">
      <c r="A447" s="1"/>
      <c r="C447" s="1"/>
      <c r="D447" s="1"/>
      <c r="E447" s="1"/>
      <c r="F447" s="1"/>
    </row>
    <row r="448" ht="12.75" customHeight="1">
      <c r="A448" s="1"/>
      <c r="C448" s="1"/>
      <c r="D448" s="1"/>
      <c r="E448" s="1"/>
      <c r="F448" s="1"/>
    </row>
    <row r="449" ht="12.75" customHeight="1">
      <c r="A449" s="1"/>
      <c r="C449" s="1"/>
      <c r="D449" s="1"/>
      <c r="E449" s="1"/>
      <c r="F449" s="1"/>
    </row>
    <row r="450" ht="12.75" customHeight="1">
      <c r="A450" s="1"/>
      <c r="C450" s="1"/>
      <c r="D450" s="1"/>
      <c r="E450" s="1"/>
      <c r="F450" s="1"/>
    </row>
    <row r="451" ht="12.75" customHeight="1">
      <c r="A451" s="1"/>
      <c r="C451" s="1"/>
      <c r="D451" s="1"/>
      <c r="E451" s="1"/>
      <c r="F451" s="1"/>
    </row>
    <row r="452" ht="12.75" customHeight="1">
      <c r="A452" s="1"/>
      <c r="C452" s="1"/>
      <c r="D452" s="1"/>
      <c r="E452" s="1"/>
      <c r="F452" s="1"/>
    </row>
    <row r="453" ht="12.75" customHeight="1">
      <c r="A453" s="1"/>
      <c r="C453" s="1"/>
      <c r="D453" s="1"/>
      <c r="E453" s="1"/>
      <c r="F453" s="1"/>
    </row>
    <row r="454" ht="12.75" customHeight="1">
      <c r="A454" s="1"/>
      <c r="C454" s="1"/>
      <c r="D454" s="1"/>
      <c r="E454" s="1"/>
      <c r="F454" s="1"/>
    </row>
    <row r="455" ht="12.75" customHeight="1">
      <c r="A455" s="1"/>
      <c r="C455" s="1"/>
      <c r="D455" s="1"/>
      <c r="E455" s="1"/>
      <c r="F455" s="1"/>
    </row>
    <row r="456" ht="12.75" customHeight="1">
      <c r="A456" s="1"/>
      <c r="C456" s="1"/>
      <c r="D456" s="1"/>
      <c r="E456" s="1"/>
      <c r="F456" s="1"/>
    </row>
    <row r="457" ht="12.75" customHeight="1">
      <c r="A457" s="1"/>
      <c r="C457" s="1"/>
      <c r="D457" s="1"/>
      <c r="E457" s="1"/>
      <c r="F457" s="1"/>
    </row>
    <row r="458" ht="12.75" customHeight="1">
      <c r="A458" s="1"/>
      <c r="C458" s="1"/>
      <c r="D458" s="1"/>
      <c r="E458" s="1"/>
      <c r="F458" s="1"/>
    </row>
    <row r="459" ht="12.75" customHeight="1">
      <c r="A459" s="1"/>
      <c r="C459" s="1"/>
      <c r="D459" s="1"/>
      <c r="E459" s="1"/>
      <c r="F459" s="1"/>
    </row>
    <row r="460" ht="12.75" customHeight="1">
      <c r="A460" s="1"/>
      <c r="C460" s="1"/>
      <c r="D460" s="1"/>
      <c r="E460" s="1"/>
      <c r="F460" s="1"/>
    </row>
    <row r="461" ht="12.75" customHeight="1">
      <c r="A461" s="1"/>
      <c r="C461" s="1"/>
      <c r="D461" s="1"/>
      <c r="E461" s="1"/>
      <c r="F461" s="1"/>
    </row>
    <row r="462" ht="12.75" customHeight="1">
      <c r="A462" s="1"/>
      <c r="C462" s="1"/>
      <c r="D462" s="1"/>
      <c r="E462" s="1"/>
      <c r="F462" s="1"/>
    </row>
    <row r="463" ht="12.75" customHeight="1">
      <c r="A463" s="1"/>
      <c r="C463" s="1"/>
      <c r="D463" s="1"/>
      <c r="E463" s="1"/>
      <c r="F463" s="1"/>
    </row>
    <row r="464" ht="12.75" customHeight="1">
      <c r="A464" s="1"/>
      <c r="C464" s="1"/>
      <c r="D464" s="1"/>
      <c r="E464" s="1"/>
      <c r="F464" s="1"/>
    </row>
    <row r="465" ht="12.75" customHeight="1">
      <c r="A465" s="1"/>
      <c r="C465" s="1"/>
      <c r="D465" s="1"/>
      <c r="E465" s="1"/>
      <c r="F465" s="1"/>
    </row>
    <row r="466" ht="12.75" customHeight="1">
      <c r="A466" s="1"/>
      <c r="C466" s="1"/>
      <c r="D466" s="1"/>
      <c r="E466" s="1"/>
      <c r="F466" s="1"/>
    </row>
    <row r="467" ht="12.75" customHeight="1">
      <c r="A467" s="1"/>
      <c r="C467" s="1"/>
      <c r="D467" s="1"/>
      <c r="E467" s="1"/>
      <c r="F467" s="1"/>
    </row>
    <row r="468" ht="12.75" customHeight="1">
      <c r="A468" s="1"/>
      <c r="C468" s="1"/>
      <c r="D468" s="1"/>
      <c r="E468" s="1"/>
      <c r="F468" s="1"/>
    </row>
    <row r="469" ht="12.75" customHeight="1">
      <c r="A469" s="1"/>
      <c r="C469" s="1"/>
      <c r="D469" s="1"/>
      <c r="E469" s="1"/>
      <c r="F469" s="1"/>
    </row>
    <row r="470" ht="12.75" customHeight="1">
      <c r="A470" s="1"/>
      <c r="C470" s="1"/>
      <c r="D470" s="1"/>
      <c r="E470" s="1"/>
      <c r="F470" s="1"/>
    </row>
    <row r="471" ht="12.75" customHeight="1">
      <c r="A471" s="1"/>
      <c r="C471" s="1"/>
      <c r="D471" s="1"/>
      <c r="E471" s="1"/>
      <c r="F471" s="1"/>
    </row>
    <row r="472" ht="12.75" customHeight="1">
      <c r="A472" s="1"/>
      <c r="C472" s="1"/>
      <c r="D472" s="1"/>
      <c r="E472" s="1"/>
      <c r="F472" s="1"/>
    </row>
    <row r="473" ht="12.75" customHeight="1">
      <c r="A473" s="1"/>
      <c r="C473" s="1"/>
      <c r="D473" s="1"/>
      <c r="E473" s="1"/>
      <c r="F473" s="1"/>
    </row>
    <row r="474" ht="12.75" customHeight="1">
      <c r="A474" s="1"/>
      <c r="C474" s="1"/>
      <c r="D474" s="1"/>
      <c r="E474" s="1"/>
      <c r="F474" s="1"/>
    </row>
    <row r="475" ht="12.75" customHeight="1">
      <c r="A475" s="1"/>
      <c r="C475" s="1"/>
      <c r="D475" s="1"/>
      <c r="E475" s="1"/>
      <c r="F475" s="1"/>
    </row>
    <row r="476" ht="12.75" customHeight="1">
      <c r="A476" s="1"/>
      <c r="C476" s="1"/>
      <c r="D476" s="1"/>
      <c r="E476" s="1"/>
      <c r="F476" s="1"/>
    </row>
    <row r="477" ht="12.75" customHeight="1">
      <c r="A477" s="1"/>
      <c r="C477" s="1"/>
      <c r="D477" s="1"/>
      <c r="E477" s="1"/>
      <c r="F477" s="1"/>
    </row>
    <row r="478" ht="12.75" customHeight="1">
      <c r="A478" s="1"/>
      <c r="C478" s="1"/>
      <c r="D478" s="1"/>
      <c r="E478" s="1"/>
      <c r="F478" s="1"/>
    </row>
    <row r="479" ht="12.75" customHeight="1">
      <c r="A479" s="1"/>
      <c r="C479" s="1"/>
      <c r="D479" s="1"/>
      <c r="E479" s="1"/>
      <c r="F479" s="1"/>
    </row>
    <row r="480" ht="12.75" customHeight="1">
      <c r="A480" s="1"/>
      <c r="C480" s="1"/>
      <c r="D480" s="1"/>
      <c r="E480" s="1"/>
      <c r="F480" s="1"/>
    </row>
    <row r="481" ht="12.75" customHeight="1">
      <c r="A481" s="1"/>
      <c r="C481" s="1"/>
      <c r="D481" s="1"/>
      <c r="E481" s="1"/>
      <c r="F481" s="1"/>
    </row>
    <row r="482" ht="12.75" customHeight="1">
      <c r="A482" s="1"/>
      <c r="C482" s="1"/>
      <c r="D482" s="1"/>
      <c r="E482" s="1"/>
      <c r="F482" s="1"/>
    </row>
    <row r="483" ht="12.75" customHeight="1">
      <c r="A483" s="1"/>
      <c r="C483" s="1"/>
      <c r="D483" s="1"/>
      <c r="E483" s="1"/>
      <c r="F483" s="1"/>
    </row>
    <row r="484" ht="12.75" customHeight="1">
      <c r="A484" s="1"/>
      <c r="C484" s="1"/>
      <c r="D484" s="1"/>
      <c r="E484" s="1"/>
      <c r="F484" s="1"/>
    </row>
    <row r="485" ht="12.75" customHeight="1">
      <c r="A485" s="1"/>
      <c r="C485" s="1"/>
      <c r="D485" s="1"/>
      <c r="E485" s="1"/>
      <c r="F485" s="1"/>
    </row>
    <row r="486" ht="12.75" customHeight="1">
      <c r="A486" s="1"/>
      <c r="C486" s="1"/>
      <c r="D486" s="1"/>
      <c r="E486" s="1"/>
      <c r="F486" s="1"/>
    </row>
    <row r="487" ht="12.75" customHeight="1">
      <c r="A487" s="1"/>
      <c r="C487" s="1"/>
      <c r="D487" s="1"/>
      <c r="E487" s="1"/>
      <c r="F487" s="1"/>
    </row>
    <row r="488" ht="12.75" customHeight="1">
      <c r="A488" s="1"/>
      <c r="C488" s="1"/>
      <c r="D488" s="1"/>
      <c r="E488" s="1"/>
      <c r="F488" s="1"/>
    </row>
    <row r="489" ht="12.75" customHeight="1">
      <c r="A489" s="1"/>
      <c r="C489" s="1"/>
      <c r="D489" s="1"/>
      <c r="E489" s="1"/>
      <c r="F489" s="1"/>
    </row>
    <row r="490" ht="12.75" customHeight="1">
      <c r="A490" s="1"/>
      <c r="C490" s="1"/>
      <c r="D490" s="1"/>
      <c r="E490" s="1"/>
      <c r="F490" s="1"/>
    </row>
    <row r="491" ht="12.75" customHeight="1">
      <c r="A491" s="1"/>
      <c r="C491" s="1"/>
      <c r="D491" s="1"/>
      <c r="E491" s="1"/>
      <c r="F491" s="1"/>
    </row>
    <row r="492" ht="12.75" customHeight="1">
      <c r="A492" s="1"/>
      <c r="C492" s="1"/>
      <c r="D492" s="1"/>
      <c r="E492" s="1"/>
      <c r="F492" s="1"/>
    </row>
    <row r="493" ht="12.75" customHeight="1">
      <c r="A493" s="1"/>
      <c r="C493" s="1"/>
      <c r="D493" s="1"/>
      <c r="E493" s="1"/>
      <c r="F493" s="1"/>
    </row>
    <row r="494" ht="12.75" customHeight="1">
      <c r="A494" s="1"/>
      <c r="C494" s="1"/>
      <c r="D494" s="1"/>
      <c r="E494" s="1"/>
      <c r="F494" s="1"/>
    </row>
    <row r="495" ht="12.75" customHeight="1">
      <c r="A495" s="1"/>
      <c r="C495" s="1"/>
      <c r="D495" s="1"/>
      <c r="E495" s="1"/>
      <c r="F495" s="1"/>
    </row>
    <row r="496" ht="12.75" customHeight="1">
      <c r="A496" s="1"/>
      <c r="C496" s="1"/>
      <c r="D496" s="1"/>
      <c r="E496" s="1"/>
      <c r="F496" s="1"/>
    </row>
    <row r="497" ht="12.75" customHeight="1">
      <c r="A497" s="1"/>
      <c r="C497" s="1"/>
      <c r="D497" s="1"/>
      <c r="E497" s="1"/>
      <c r="F497" s="1"/>
    </row>
    <row r="498" ht="12.75" customHeight="1">
      <c r="A498" s="1"/>
      <c r="C498" s="1"/>
      <c r="D498" s="1"/>
      <c r="E498" s="1"/>
      <c r="F498" s="1"/>
    </row>
    <row r="499" ht="12.75" customHeight="1">
      <c r="A499" s="1"/>
      <c r="C499" s="1"/>
      <c r="D499" s="1"/>
      <c r="E499" s="1"/>
      <c r="F499" s="1"/>
    </row>
    <row r="500" ht="12.75" customHeight="1">
      <c r="A500" s="1"/>
      <c r="C500" s="1"/>
      <c r="D500" s="1"/>
      <c r="E500" s="1"/>
      <c r="F500" s="1"/>
    </row>
    <row r="501" ht="12.75" customHeight="1">
      <c r="A501" s="1"/>
      <c r="C501" s="1"/>
      <c r="D501" s="1"/>
      <c r="E501" s="1"/>
      <c r="F501" s="1"/>
    </row>
    <row r="502" ht="12.75" customHeight="1">
      <c r="A502" s="1"/>
      <c r="C502" s="1"/>
      <c r="D502" s="1"/>
      <c r="E502" s="1"/>
      <c r="F502" s="1"/>
    </row>
    <row r="503" ht="12.75" customHeight="1">
      <c r="A503" s="1"/>
      <c r="C503" s="1"/>
      <c r="D503" s="1"/>
      <c r="E503" s="1"/>
      <c r="F503" s="1"/>
    </row>
    <row r="504" ht="12.75" customHeight="1">
      <c r="A504" s="1"/>
      <c r="C504" s="1"/>
      <c r="D504" s="1"/>
      <c r="E504" s="1"/>
      <c r="F504" s="1"/>
    </row>
    <row r="505" ht="12.75" customHeight="1">
      <c r="A505" s="1"/>
      <c r="C505" s="1"/>
      <c r="D505" s="1"/>
      <c r="E505" s="1"/>
      <c r="F505" s="1"/>
    </row>
    <row r="506" ht="12.75" customHeight="1">
      <c r="A506" s="1"/>
      <c r="C506" s="1"/>
      <c r="D506" s="1"/>
      <c r="E506" s="1"/>
      <c r="F506" s="1"/>
    </row>
    <row r="507" ht="12.75" customHeight="1">
      <c r="A507" s="1"/>
      <c r="C507" s="1"/>
      <c r="D507" s="1"/>
      <c r="E507" s="1"/>
      <c r="F507" s="1"/>
    </row>
    <row r="508" ht="12.75" customHeight="1">
      <c r="A508" s="1"/>
      <c r="C508" s="1"/>
      <c r="D508" s="1"/>
      <c r="E508" s="1"/>
      <c r="F508" s="1"/>
    </row>
    <row r="509" ht="12.75" customHeight="1">
      <c r="A509" s="1"/>
      <c r="C509" s="1"/>
      <c r="D509" s="1"/>
      <c r="E509" s="1"/>
      <c r="F509" s="1"/>
    </row>
    <row r="510" ht="12.75" customHeight="1">
      <c r="A510" s="1"/>
      <c r="C510" s="1"/>
      <c r="D510" s="1"/>
      <c r="E510" s="1"/>
      <c r="F510" s="1"/>
    </row>
    <row r="511" ht="12.75" customHeight="1">
      <c r="A511" s="1"/>
      <c r="C511" s="1"/>
      <c r="D511" s="1"/>
      <c r="E511" s="1"/>
      <c r="F511" s="1"/>
    </row>
    <row r="512" ht="12.75" customHeight="1">
      <c r="A512" s="1"/>
      <c r="C512" s="1"/>
      <c r="D512" s="1"/>
      <c r="E512" s="1"/>
      <c r="F512" s="1"/>
    </row>
    <row r="513" ht="12.75" customHeight="1">
      <c r="A513" s="1"/>
      <c r="C513" s="1"/>
      <c r="D513" s="1"/>
      <c r="E513" s="1"/>
      <c r="F513" s="1"/>
    </row>
    <row r="514" ht="12.75" customHeight="1">
      <c r="A514" s="1"/>
      <c r="C514" s="1"/>
      <c r="D514" s="1"/>
      <c r="E514" s="1"/>
      <c r="F514" s="1"/>
    </row>
    <row r="515" ht="12.75" customHeight="1">
      <c r="A515" s="1"/>
      <c r="C515" s="1"/>
      <c r="D515" s="1"/>
      <c r="E515" s="1"/>
      <c r="F515" s="1"/>
    </row>
    <row r="516" ht="12.75" customHeight="1">
      <c r="A516" s="1"/>
      <c r="C516" s="1"/>
      <c r="D516" s="1"/>
      <c r="E516" s="1"/>
      <c r="F516" s="1"/>
    </row>
    <row r="517" ht="12.75" customHeight="1">
      <c r="A517" s="1"/>
      <c r="C517" s="1"/>
      <c r="D517" s="1"/>
      <c r="E517" s="1"/>
      <c r="F517" s="1"/>
    </row>
    <row r="518" ht="12.75" customHeight="1">
      <c r="A518" s="1"/>
      <c r="C518" s="1"/>
      <c r="D518" s="1"/>
      <c r="E518" s="1"/>
      <c r="F518" s="1"/>
    </row>
    <row r="519" ht="12.75" customHeight="1">
      <c r="A519" s="1"/>
      <c r="C519" s="1"/>
      <c r="D519" s="1"/>
      <c r="E519" s="1"/>
      <c r="F519" s="1"/>
    </row>
    <row r="520" ht="12.75" customHeight="1">
      <c r="A520" s="1"/>
      <c r="C520" s="1"/>
      <c r="D520" s="1"/>
      <c r="E520" s="1"/>
      <c r="F520" s="1"/>
    </row>
    <row r="521" ht="12.75" customHeight="1">
      <c r="A521" s="1"/>
      <c r="C521" s="1"/>
      <c r="D521" s="1"/>
      <c r="E521" s="1"/>
      <c r="F521" s="1"/>
    </row>
    <row r="522" ht="12.75" customHeight="1">
      <c r="A522" s="1"/>
      <c r="C522" s="1"/>
      <c r="D522" s="1"/>
      <c r="E522" s="1"/>
      <c r="F522" s="1"/>
    </row>
    <row r="523" ht="12.75" customHeight="1">
      <c r="A523" s="1"/>
      <c r="C523" s="1"/>
      <c r="D523" s="1"/>
      <c r="E523" s="1"/>
      <c r="F523" s="1"/>
    </row>
    <row r="524" ht="12.75" customHeight="1">
      <c r="A524" s="1"/>
      <c r="C524" s="1"/>
      <c r="D524" s="1"/>
      <c r="E524" s="1"/>
      <c r="F524" s="1"/>
    </row>
    <row r="525" ht="12.75" customHeight="1">
      <c r="A525" s="1"/>
      <c r="C525" s="1"/>
      <c r="D525" s="1"/>
      <c r="E525" s="1"/>
      <c r="F525" s="1"/>
    </row>
    <row r="526" ht="12.75" customHeight="1">
      <c r="A526" s="1"/>
      <c r="C526" s="1"/>
      <c r="D526" s="1"/>
      <c r="E526" s="1"/>
      <c r="F526" s="1"/>
    </row>
    <row r="527" ht="12.75" customHeight="1">
      <c r="A527" s="1"/>
      <c r="C527" s="1"/>
      <c r="D527" s="1"/>
      <c r="E527" s="1"/>
      <c r="F527" s="1"/>
    </row>
    <row r="528" ht="12.75" customHeight="1">
      <c r="A528" s="1"/>
      <c r="C528" s="1"/>
      <c r="D528" s="1"/>
      <c r="E528" s="1"/>
      <c r="F528" s="1"/>
    </row>
    <row r="529" ht="12.75" customHeight="1">
      <c r="A529" s="1"/>
      <c r="C529" s="1"/>
      <c r="D529" s="1"/>
      <c r="E529" s="1"/>
      <c r="F529" s="1"/>
    </row>
    <row r="530" ht="12.75" customHeight="1">
      <c r="A530" s="1"/>
      <c r="C530" s="1"/>
      <c r="D530" s="1"/>
      <c r="E530" s="1"/>
      <c r="F530" s="1"/>
    </row>
    <row r="531" ht="12.75" customHeight="1">
      <c r="A531" s="1"/>
      <c r="C531" s="1"/>
      <c r="D531" s="1"/>
      <c r="E531" s="1"/>
      <c r="F531" s="1"/>
    </row>
    <row r="532" ht="12.75" customHeight="1">
      <c r="A532" s="1"/>
      <c r="C532" s="1"/>
      <c r="D532" s="1"/>
      <c r="E532" s="1"/>
      <c r="F532" s="1"/>
    </row>
    <row r="533" ht="12.75" customHeight="1">
      <c r="A533" s="1"/>
      <c r="C533" s="1"/>
      <c r="D533" s="1"/>
      <c r="E533" s="1"/>
      <c r="F533" s="1"/>
    </row>
    <row r="534" ht="12.75" customHeight="1">
      <c r="A534" s="1"/>
      <c r="C534" s="1"/>
      <c r="D534" s="1"/>
      <c r="E534" s="1"/>
      <c r="F534" s="1"/>
    </row>
    <row r="535" ht="12.75" customHeight="1">
      <c r="A535" s="1"/>
      <c r="C535" s="1"/>
      <c r="D535" s="1"/>
      <c r="E535" s="1"/>
      <c r="F535" s="1"/>
    </row>
    <row r="536" ht="12.75" customHeight="1">
      <c r="A536" s="1"/>
      <c r="C536" s="1"/>
      <c r="D536" s="1"/>
      <c r="E536" s="1"/>
      <c r="F536" s="1"/>
    </row>
    <row r="537" ht="12.75" customHeight="1">
      <c r="A537" s="1"/>
      <c r="C537" s="1"/>
      <c r="D537" s="1"/>
      <c r="E537" s="1"/>
      <c r="F537" s="1"/>
    </row>
    <row r="538" ht="12.75" customHeight="1">
      <c r="A538" s="1"/>
      <c r="C538" s="1"/>
      <c r="D538" s="1"/>
      <c r="E538" s="1"/>
      <c r="F538" s="1"/>
    </row>
    <row r="539" ht="12.75" customHeight="1">
      <c r="A539" s="1"/>
      <c r="C539" s="1"/>
      <c r="D539" s="1"/>
      <c r="E539" s="1"/>
      <c r="F539" s="1"/>
    </row>
    <row r="540" ht="12.75" customHeight="1">
      <c r="A540" s="1"/>
      <c r="C540" s="1"/>
      <c r="D540" s="1"/>
      <c r="E540" s="1"/>
      <c r="F540" s="1"/>
    </row>
    <row r="541" ht="12.75" customHeight="1">
      <c r="A541" s="1"/>
      <c r="C541" s="1"/>
      <c r="D541" s="1"/>
      <c r="E541" s="1"/>
      <c r="F541" s="1"/>
    </row>
    <row r="542" ht="12.75" customHeight="1">
      <c r="A542" s="1"/>
      <c r="C542" s="1"/>
      <c r="D542" s="1"/>
      <c r="E542" s="1"/>
      <c r="F542" s="1"/>
    </row>
    <row r="543" ht="12.75" customHeight="1">
      <c r="A543" s="1"/>
      <c r="C543" s="1"/>
      <c r="D543" s="1"/>
      <c r="E543" s="1"/>
      <c r="F543" s="1"/>
    </row>
    <row r="544" ht="12.75" customHeight="1">
      <c r="A544" s="1"/>
      <c r="C544" s="1"/>
      <c r="D544" s="1"/>
      <c r="E544" s="1"/>
      <c r="F544" s="1"/>
    </row>
    <row r="545" ht="12.75" customHeight="1">
      <c r="A545" s="1"/>
      <c r="C545" s="1"/>
      <c r="D545" s="1"/>
      <c r="E545" s="1"/>
      <c r="F545" s="1"/>
    </row>
    <row r="546" ht="12.75" customHeight="1">
      <c r="A546" s="1"/>
      <c r="C546" s="1"/>
      <c r="D546" s="1"/>
      <c r="E546" s="1"/>
      <c r="F546" s="1"/>
    </row>
    <row r="547" ht="12.75" customHeight="1">
      <c r="A547" s="1"/>
      <c r="C547" s="1"/>
      <c r="D547" s="1"/>
      <c r="E547" s="1"/>
      <c r="F547" s="1"/>
    </row>
    <row r="548" ht="12.75" customHeight="1">
      <c r="A548" s="1"/>
      <c r="C548" s="1"/>
      <c r="D548" s="1"/>
      <c r="E548" s="1"/>
      <c r="F548" s="1"/>
    </row>
    <row r="549" ht="12.75" customHeight="1">
      <c r="A549" s="1"/>
      <c r="C549" s="1"/>
      <c r="D549" s="1"/>
      <c r="E549" s="1"/>
      <c r="F549" s="1"/>
    </row>
    <row r="550" ht="12.75" customHeight="1">
      <c r="A550" s="1"/>
      <c r="C550" s="1"/>
      <c r="D550" s="1"/>
      <c r="E550" s="1"/>
      <c r="F550" s="1"/>
    </row>
    <row r="551" ht="12.75" customHeight="1">
      <c r="A551" s="1"/>
      <c r="C551" s="1"/>
      <c r="D551" s="1"/>
      <c r="E551" s="1"/>
      <c r="F551" s="1"/>
    </row>
    <row r="552" ht="12.75" customHeight="1">
      <c r="A552" s="1"/>
      <c r="C552" s="1"/>
      <c r="D552" s="1"/>
      <c r="E552" s="1"/>
      <c r="F552" s="1"/>
    </row>
    <row r="553" ht="12.75" customHeight="1">
      <c r="A553" s="1"/>
      <c r="C553" s="1"/>
      <c r="D553" s="1"/>
      <c r="E553" s="1"/>
      <c r="F553" s="1"/>
    </row>
    <row r="554" ht="12.75" customHeight="1">
      <c r="A554" s="1"/>
      <c r="C554" s="1"/>
      <c r="D554" s="1"/>
      <c r="E554" s="1"/>
      <c r="F554" s="1"/>
    </row>
    <row r="555" ht="12.75" customHeight="1">
      <c r="A555" s="1"/>
      <c r="C555" s="1"/>
      <c r="D555" s="1"/>
      <c r="E555" s="1"/>
      <c r="F555" s="1"/>
    </row>
    <row r="556" ht="12.75" customHeight="1">
      <c r="A556" s="1"/>
      <c r="C556" s="1"/>
      <c r="D556" s="1"/>
      <c r="E556" s="1"/>
      <c r="F556" s="1"/>
    </row>
    <row r="557" ht="12.75" customHeight="1">
      <c r="A557" s="1"/>
      <c r="C557" s="1"/>
      <c r="D557" s="1"/>
      <c r="E557" s="1"/>
      <c r="F557" s="1"/>
    </row>
    <row r="558" ht="12.75" customHeight="1">
      <c r="A558" s="1"/>
      <c r="C558" s="1"/>
      <c r="D558" s="1"/>
      <c r="E558" s="1"/>
      <c r="F558" s="1"/>
    </row>
    <row r="559" ht="12.75" customHeight="1">
      <c r="A559" s="1"/>
      <c r="C559" s="1"/>
      <c r="D559" s="1"/>
      <c r="E559" s="1"/>
      <c r="F559" s="1"/>
    </row>
    <row r="560" ht="12.75" customHeight="1">
      <c r="A560" s="1"/>
      <c r="C560" s="1"/>
      <c r="D560" s="1"/>
      <c r="E560" s="1"/>
      <c r="F560" s="1"/>
    </row>
    <row r="561" ht="12.75" customHeight="1">
      <c r="A561" s="1"/>
      <c r="C561" s="1"/>
      <c r="D561" s="1"/>
      <c r="E561" s="1"/>
      <c r="F561" s="1"/>
    </row>
    <row r="562" ht="12.75" customHeight="1">
      <c r="A562" s="1"/>
      <c r="C562" s="1"/>
      <c r="D562" s="1"/>
      <c r="E562" s="1"/>
      <c r="F562" s="1"/>
    </row>
    <row r="563" ht="12.75" customHeight="1">
      <c r="A563" s="1"/>
      <c r="C563" s="1"/>
      <c r="D563" s="1"/>
      <c r="E563" s="1"/>
      <c r="F563" s="1"/>
    </row>
    <row r="564" ht="12.75" customHeight="1">
      <c r="A564" s="1"/>
      <c r="C564" s="1"/>
      <c r="D564" s="1"/>
      <c r="E564" s="1"/>
      <c r="F564" s="1"/>
    </row>
    <row r="565" ht="12.75" customHeight="1">
      <c r="A565" s="1"/>
      <c r="C565" s="1"/>
      <c r="D565" s="1"/>
      <c r="E565" s="1"/>
      <c r="F565" s="1"/>
    </row>
    <row r="566" ht="12.75" customHeight="1">
      <c r="A566" s="1"/>
      <c r="C566" s="1"/>
      <c r="D566" s="1"/>
      <c r="E566" s="1"/>
      <c r="F566" s="1"/>
    </row>
    <row r="567" ht="12.75" customHeight="1">
      <c r="A567" s="1"/>
      <c r="C567" s="1"/>
      <c r="D567" s="1"/>
      <c r="E567" s="1"/>
      <c r="F567" s="1"/>
    </row>
    <row r="568" ht="12.75" customHeight="1">
      <c r="A568" s="1"/>
      <c r="C568" s="1"/>
      <c r="D568" s="1"/>
      <c r="E568" s="1"/>
      <c r="F568" s="1"/>
    </row>
    <row r="569" ht="12.75" customHeight="1">
      <c r="A569" s="1"/>
      <c r="C569" s="1"/>
      <c r="D569" s="1"/>
      <c r="E569" s="1"/>
      <c r="F569" s="1"/>
    </row>
    <row r="570" ht="12.75" customHeight="1">
      <c r="A570" s="1"/>
      <c r="C570" s="1"/>
      <c r="D570" s="1"/>
      <c r="E570" s="1"/>
      <c r="F570" s="1"/>
    </row>
    <row r="571" ht="12.75" customHeight="1">
      <c r="A571" s="1"/>
      <c r="C571" s="1"/>
      <c r="D571" s="1"/>
      <c r="E571" s="1"/>
      <c r="F571" s="1"/>
    </row>
    <row r="572" ht="12.75" customHeight="1">
      <c r="A572" s="1"/>
      <c r="C572" s="1"/>
      <c r="D572" s="1"/>
      <c r="E572" s="1"/>
      <c r="F572" s="1"/>
    </row>
    <row r="573" ht="12.75" customHeight="1">
      <c r="A573" s="1"/>
      <c r="C573" s="1"/>
      <c r="D573" s="1"/>
      <c r="E573" s="1"/>
      <c r="F573" s="1"/>
    </row>
    <row r="574" ht="12.75" customHeight="1">
      <c r="A574" s="1"/>
      <c r="C574" s="1"/>
      <c r="D574" s="1"/>
      <c r="E574" s="1"/>
      <c r="F574" s="1"/>
    </row>
    <row r="575" ht="12.75" customHeight="1">
      <c r="A575" s="1"/>
      <c r="C575" s="1"/>
      <c r="D575" s="1"/>
      <c r="E575" s="1"/>
      <c r="F575" s="1"/>
    </row>
    <row r="576" ht="12.75" customHeight="1">
      <c r="A576" s="1"/>
      <c r="C576" s="1"/>
      <c r="D576" s="1"/>
      <c r="E576" s="1"/>
      <c r="F576" s="1"/>
    </row>
    <row r="577" ht="12.75" customHeight="1">
      <c r="A577" s="1"/>
      <c r="C577" s="1"/>
      <c r="D577" s="1"/>
      <c r="E577" s="1"/>
      <c r="F577" s="1"/>
    </row>
    <row r="578" ht="12.75" customHeight="1">
      <c r="A578" s="1"/>
      <c r="C578" s="1"/>
      <c r="D578" s="1"/>
      <c r="E578" s="1"/>
      <c r="F578" s="1"/>
    </row>
    <row r="579" ht="12.75" customHeight="1">
      <c r="A579" s="1"/>
      <c r="C579" s="1"/>
      <c r="D579" s="1"/>
      <c r="E579" s="1"/>
      <c r="F579" s="1"/>
    </row>
    <row r="580" ht="12.75" customHeight="1">
      <c r="A580" s="1"/>
      <c r="C580" s="1"/>
      <c r="D580" s="1"/>
      <c r="E580" s="1"/>
      <c r="F580" s="1"/>
    </row>
    <row r="581" ht="12.75" customHeight="1">
      <c r="A581" s="1"/>
      <c r="C581" s="1"/>
      <c r="D581" s="1"/>
      <c r="E581" s="1"/>
      <c r="F581" s="1"/>
    </row>
    <row r="582" ht="12.75" customHeight="1">
      <c r="A582" s="1"/>
      <c r="C582" s="1"/>
      <c r="D582" s="1"/>
      <c r="E582" s="1"/>
      <c r="F582" s="1"/>
    </row>
    <row r="583" ht="12.75" customHeight="1">
      <c r="A583" s="1"/>
      <c r="C583" s="1"/>
      <c r="D583" s="1"/>
      <c r="E583" s="1"/>
      <c r="F583" s="1"/>
    </row>
    <row r="584" ht="12.75" customHeight="1">
      <c r="A584" s="1"/>
      <c r="C584" s="1"/>
      <c r="D584" s="1"/>
      <c r="E584" s="1"/>
      <c r="F584" s="1"/>
    </row>
    <row r="585" ht="12.75" customHeight="1">
      <c r="A585" s="1"/>
      <c r="C585" s="1"/>
      <c r="D585" s="1"/>
      <c r="E585" s="1"/>
      <c r="F585" s="1"/>
    </row>
    <row r="586" ht="12.75" customHeight="1">
      <c r="A586" s="1"/>
      <c r="C586" s="1"/>
      <c r="D586" s="1"/>
      <c r="E586" s="1"/>
      <c r="F586" s="1"/>
    </row>
    <row r="587" ht="12.75" customHeight="1">
      <c r="A587" s="1"/>
      <c r="C587" s="1"/>
      <c r="D587" s="1"/>
      <c r="E587" s="1"/>
      <c r="F587" s="1"/>
    </row>
    <row r="588" ht="12.75" customHeight="1">
      <c r="A588" s="1"/>
      <c r="C588" s="1"/>
      <c r="D588" s="1"/>
      <c r="E588" s="1"/>
      <c r="F588" s="1"/>
    </row>
    <row r="589" ht="12.75" customHeight="1">
      <c r="A589" s="1"/>
      <c r="C589" s="1"/>
      <c r="D589" s="1"/>
      <c r="E589" s="1"/>
      <c r="F589" s="1"/>
    </row>
    <row r="590" ht="12.75" customHeight="1">
      <c r="A590" s="1"/>
      <c r="C590" s="1"/>
      <c r="D590" s="1"/>
      <c r="E590" s="1"/>
      <c r="F590" s="1"/>
    </row>
    <row r="591" ht="12.75" customHeight="1">
      <c r="A591" s="1"/>
      <c r="C591" s="1"/>
      <c r="D591" s="1"/>
      <c r="E591" s="1"/>
      <c r="F591" s="1"/>
    </row>
    <row r="592" ht="12.75" customHeight="1">
      <c r="A592" s="1"/>
      <c r="C592" s="1"/>
      <c r="D592" s="1"/>
      <c r="E592" s="1"/>
      <c r="F592" s="1"/>
    </row>
    <row r="593" ht="12.75" customHeight="1">
      <c r="A593" s="1"/>
      <c r="C593" s="1"/>
      <c r="D593" s="1"/>
      <c r="E593" s="1"/>
      <c r="F593" s="1"/>
    </row>
    <row r="594" ht="12.75" customHeight="1">
      <c r="A594" s="1"/>
      <c r="C594" s="1"/>
      <c r="D594" s="1"/>
      <c r="E594" s="1"/>
      <c r="F594" s="1"/>
    </row>
    <row r="595" ht="12.75" customHeight="1">
      <c r="A595" s="1"/>
      <c r="C595" s="1"/>
      <c r="D595" s="1"/>
      <c r="E595" s="1"/>
      <c r="F595" s="1"/>
    </row>
    <row r="596" ht="12.75" customHeight="1">
      <c r="A596" s="1"/>
      <c r="C596" s="1"/>
      <c r="D596" s="1"/>
      <c r="E596" s="1"/>
      <c r="F596" s="1"/>
    </row>
    <row r="597" ht="12.75" customHeight="1">
      <c r="A597" s="1"/>
      <c r="C597" s="1"/>
      <c r="D597" s="1"/>
      <c r="E597" s="1"/>
      <c r="F597" s="1"/>
    </row>
    <row r="598" ht="12.75" customHeight="1">
      <c r="A598" s="1"/>
      <c r="C598" s="1"/>
      <c r="D598" s="1"/>
      <c r="E598" s="1"/>
      <c r="F598" s="1"/>
    </row>
    <row r="599" ht="12.75" customHeight="1">
      <c r="A599" s="1"/>
      <c r="C599" s="1"/>
      <c r="D599" s="1"/>
      <c r="E599" s="1"/>
      <c r="F599" s="1"/>
    </row>
    <row r="600" ht="12.75" customHeight="1">
      <c r="A600" s="1"/>
      <c r="C600" s="1"/>
      <c r="D600" s="1"/>
      <c r="E600" s="1"/>
      <c r="F600" s="1"/>
    </row>
    <row r="601" ht="12.75" customHeight="1">
      <c r="A601" s="1"/>
      <c r="C601" s="1"/>
      <c r="D601" s="1"/>
      <c r="E601" s="1"/>
      <c r="F601" s="1"/>
    </row>
    <row r="602" ht="12.75" customHeight="1">
      <c r="A602" s="1"/>
      <c r="C602" s="1"/>
      <c r="D602" s="1"/>
      <c r="E602" s="1"/>
      <c r="F602" s="1"/>
    </row>
    <row r="603" ht="12.75" customHeight="1">
      <c r="A603" s="1"/>
      <c r="C603" s="1"/>
      <c r="D603" s="1"/>
      <c r="E603" s="1"/>
      <c r="F603" s="1"/>
    </row>
    <row r="604" ht="12.75" customHeight="1">
      <c r="A604" s="1"/>
      <c r="C604" s="1"/>
      <c r="D604" s="1"/>
      <c r="E604" s="1"/>
      <c r="F604" s="1"/>
    </row>
    <row r="605" ht="12.75" customHeight="1">
      <c r="A605" s="1"/>
      <c r="C605" s="1"/>
      <c r="D605" s="1"/>
      <c r="E605" s="1"/>
      <c r="F605" s="1"/>
    </row>
    <row r="606" ht="12.75" customHeight="1">
      <c r="A606" s="1"/>
      <c r="C606" s="1"/>
      <c r="D606" s="1"/>
      <c r="E606" s="1"/>
      <c r="F606" s="1"/>
    </row>
    <row r="607" ht="12.75" customHeight="1">
      <c r="A607" s="1"/>
      <c r="C607" s="1"/>
      <c r="D607" s="1"/>
      <c r="E607" s="1"/>
      <c r="F607" s="1"/>
    </row>
    <row r="608" ht="12.75" customHeight="1">
      <c r="A608" s="1"/>
      <c r="C608" s="1"/>
      <c r="D608" s="1"/>
      <c r="E608" s="1"/>
      <c r="F608" s="1"/>
    </row>
    <row r="609" ht="12.75" customHeight="1">
      <c r="A609" s="1"/>
      <c r="C609" s="1"/>
      <c r="D609" s="1"/>
      <c r="E609" s="1"/>
      <c r="F609" s="1"/>
    </row>
    <row r="610" ht="12.75" customHeight="1">
      <c r="A610" s="1"/>
      <c r="C610" s="1"/>
      <c r="D610" s="1"/>
      <c r="E610" s="1"/>
      <c r="F610" s="1"/>
    </row>
    <row r="611" ht="12.75" customHeight="1">
      <c r="A611" s="1"/>
      <c r="C611" s="1"/>
      <c r="D611" s="1"/>
      <c r="E611" s="1"/>
      <c r="F611" s="1"/>
    </row>
    <row r="612" ht="12.75" customHeight="1">
      <c r="A612" s="1"/>
      <c r="C612" s="1"/>
      <c r="D612" s="1"/>
      <c r="E612" s="1"/>
      <c r="F612" s="1"/>
    </row>
    <row r="613" ht="12.75" customHeight="1">
      <c r="A613" s="1"/>
      <c r="C613" s="1"/>
      <c r="D613" s="1"/>
      <c r="E613" s="1"/>
      <c r="F613" s="1"/>
    </row>
    <row r="614" ht="12.75" customHeight="1">
      <c r="A614" s="1"/>
      <c r="C614" s="1"/>
      <c r="D614" s="1"/>
      <c r="E614" s="1"/>
      <c r="F614" s="1"/>
    </row>
    <row r="615" ht="12.75" customHeight="1">
      <c r="A615" s="1"/>
      <c r="C615" s="1"/>
      <c r="D615" s="1"/>
      <c r="E615" s="1"/>
      <c r="F615" s="1"/>
    </row>
    <row r="616" ht="12.75" customHeight="1">
      <c r="A616" s="1"/>
      <c r="C616" s="1"/>
      <c r="D616" s="1"/>
      <c r="E616" s="1"/>
      <c r="F616" s="1"/>
    </row>
    <row r="617" ht="12.75" customHeight="1">
      <c r="A617" s="1"/>
      <c r="C617" s="1"/>
      <c r="D617" s="1"/>
      <c r="E617" s="1"/>
      <c r="F617" s="1"/>
    </row>
    <row r="618" ht="12.75" customHeight="1">
      <c r="A618" s="1"/>
      <c r="C618" s="1"/>
      <c r="D618" s="1"/>
      <c r="E618" s="1"/>
      <c r="F618" s="1"/>
    </row>
    <row r="619" ht="12.75" customHeight="1">
      <c r="A619" s="1"/>
      <c r="C619" s="1"/>
      <c r="D619" s="1"/>
      <c r="E619" s="1"/>
      <c r="F619" s="1"/>
    </row>
    <row r="620" ht="12.75" customHeight="1">
      <c r="A620" s="1"/>
      <c r="C620" s="1"/>
      <c r="D620" s="1"/>
      <c r="E620" s="1"/>
      <c r="F620" s="1"/>
    </row>
    <row r="621" ht="12.75" customHeight="1">
      <c r="A621" s="1"/>
      <c r="C621" s="1"/>
      <c r="D621" s="1"/>
      <c r="E621" s="1"/>
      <c r="F621" s="1"/>
    </row>
    <row r="622" ht="12.75" customHeight="1">
      <c r="A622" s="1"/>
      <c r="C622" s="1"/>
      <c r="D622" s="1"/>
      <c r="E622" s="1"/>
      <c r="F622" s="1"/>
    </row>
    <row r="623" ht="12.75" customHeight="1">
      <c r="A623" s="1"/>
      <c r="C623" s="1"/>
      <c r="D623" s="1"/>
      <c r="E623" s="1"/>
      <c r="F623" s="1"/>
    </row>
    <row r="624" ht="12.75" customHeight="1">
      <c r="A624" s="1"/>
      <c r="C624" s="1"/>
      <c r="D624" s="1"/>
      <c r="E624" s="1"/>
      <c r="F624" s="1"/>
    </row>
    <row r="625" ht="12.75" customHeight="1">
      <c r="A625" s="1"/>
      <c r="C625" s="1"/>
      <c r="D625" s="1"/>
      <c r="E625" s="1"/>
      <c r="F625" s="1"/>
    </row>
    <row r="626" ht="12.75" customHeight="1">
      <c r="A626" s="1"/>
      <c r="C626" s="1"/>
      <c r="D626" s="1"/>
      <c r="E626" s="1"/>
      <c r="F626" s="1"/>
    </row>
    <row r="627" ht="12.75" customHeight="1">
      <c r="A627" s="1"/>
      <c r="C627" s="1"/>
      <c r="D627" s="1"/>
      <c r="E627" s="1"/>
      <c r="F627" s="1"/>
    </row>
    <row r="628" ht="12.75" customHeight="1">
      <c r="A628" s="1"/>
      <c r="C628" s="1"/>
      <c r="D628" s="1"/>
      <c r="E628" s="1"/>
      <c r="F628" s="1"/>
    </row>
    <row r="629" ht="12.75" customHeight="1">
      <c r="A629" s="1"/>
      <c r="C629" s="1"/>
      <c r="D629" s="1"/>
      <c r="E629" s="1"/>
      <c r="F629" s="1"/>
    </row>
    <row r="630" ht="12.75" customHeight="1">
      <c r="A630" s="1"/>
      <c r="C630" s="1"/>
      <c r="D630" s="1"/>
      <c r="E630" s="1"/>
      <c r="F630" s="1"/>
    </row>
    <row r="631" ht="12.75" customHeight="1">
      <c r="A631" s="1"/>
      <c r="C631" s="1"/>
      <c r="D631" s="1"/>
      <c r="E631" s="1"/>
      <c r="F631" s="1"/>
    </row>
    <row r="632" ht="12.75" customHeight="1">
      <c r="A632" s="1"/>
      <c r="C632" s="1"/>
      <c r="D632" s="1"/>
      <c r="E632" s="1"/>
      <c r="F632" s="1"/>
    </row>
    <row r="633" ht="12.75" customHeight="1">
      <c r="A633" s="1"/>
      <c r="C633" s="1"/>
      <c r="D633" s="1"/>
      <c r="E633" s="1"/>
      <c r="F633" s="1"/>
    </row>
    <row r="634" ht="12.75" customHeight="1">
      <c r="A634" s="1"/>
      <c r="C634" s="1"/>
      <c r="D634" s="1"/>
      <c r="E634" s="1"/>
      <c r="F634" s="1"/>
    </row>
    <row r="635" ht="12.75" customHeight="1">
      <c r="A635" s="1"/>
      <c r="C635" s="1"/>
      <c r="D635" s="1"/>
      <c r="E635" s="1"/>
      <c r="F635" s="1"/>
    </row>
    <row r="636" ht="12.75" customHeight="1">
      <c r="A636" s="1"/>
      <c r="C636" s="1"/>
      <c r="D636" s="1"/>
      <c r="E636" s="1"/>
      <c r="F636" s="1"/>
    </row>
    <row r="637" ht="12.75" customHeight="1">
      <c r="A637" s="1"/>
      <c r="C637" s="1"/>
      <c r="D637" s="1"/>
      <c r="E637" s="1"/>
      <c r="F637" s="1"/>
    </row>
    <row r="638" ht="12.75" customHeight="1">
      <c r="A638" s="1"/>
      <c r="C638" s="1"/>
      <c r="D638" s="1"/>
      <c r="E638" s="1"/>
      <c r="F638" s="1"/>
    </row>
    <row r="639" ht="12.75" customHeight="1">
      <c r="A639" s="1"/>
      <c r="C639" s="1"/>
      <c r="D639" s="1"/>
      <c r="E639" s="1"/>
      <c r="F639" s="1"/>
    </row>
    <row r="640" ht="12.75" customHeight="1">
      <c r="A640" s="1"/>
      <c r="C640" s="1"/>
      <c r="D640" s="1"/>
      <c r="E640" s="1"/>
      <c r="F640" s="1"/>
    </row>
    <row r="641" ht="12.75" customHeight="1">
      <c r="A641" s="1"/>
      <c r="C641" s="1"/>
      <c r="D641" s="1"/>
      <c r="E641" s="1"/>
      <c r="F641" s="1"/>
    </row>
    <row r="642" ht="12.75" customHeight="1">
      <c r="A642" s="1"/>
      <c r="C642" s="1"/>
      <c r="D642" s="1"/>
      <c r="E642" s="1"/>
      <c r="F642" s="1"/>
    </row>
    <row r="643" ht="12.75" customHeight="1">
      <c r="A643" s="1"/>
      <c r="C643" s="1"/>
      <c r="D643" s="1"/>
      <c r="E643" s="1"/>
      <c r="F643" s="1"/>
    </row>
    <row r="644" ht="12.75" customHeight="1">
      <c r="A644" s="1"/>
      <c r="C644" s="1"/>
      <c r="D644" s="1"/>
      <c r="E644" s="1"/>
      <c r="F644" s="1"/>
    </row>
    <row r="645" ht="12.75" customHeight="1">
      <c r="A645" s="1"/>
      <c r="C645" s="1"/>
      <c r="D645" s="1"/>
      <c r="E645" s="1"/>
      <c r="F645" s="1"/>
    </row>
    <row r="646" ht="12.75" customHeight="1">
      <c r="A646" s="1"/>
      <c r="C646" s="1"/>
      <c r="D646" s="1"/>
      <c r="E646" s="1"/>
      <c r="F646" s="1"/>
    </row>
    <row r="647" ht="12.75" customHeight="1">
      <c r="A647" s="1"/>
      <c r="C647" s="1"/>
      <c r="D647" s="1"/>
      <c r="E647" s="1"/>
      <c r="F647" s="1"/>
    </row>
    <row r="648" ht="12.75" customHeight="1">
      <c r="A648" s="1"/>
      <c r="C648" s="1"/>
      <c r="D648" s="1"/>
      <c r="E648" s="1"/>
      <c r="F648" s="1"/>
    </row>
    <row r="649" ht="12.75" customHeight="1">
      <c r="A649" s="1"/>
      <c r="C649" s="1"/>
      <c r="D649" s="1"/>
      <c r="E649" s="1"/>
      <c r="F649" s="1"/>
    </row>
    <row r="650" ht="12.75" customHeight="1">
      <c r="A650" s="1"/>
      <c r="C650" s="1"/>
      <c r="D650" s="1"/>
      <c r="E650" s="1"/>
      <c r="F650" s="1"/>
    </row>
    <row r="651" ht="12.75" customHeight="1">
      <c r="A651" s="1"/>
      <c r="C651" s="1"/>
      <c r="D651" s="1"/>
      <c r="E651" s="1"/>
      <c r="F651" s="1"/>
    </row>
    <row r="652" ht="12.75" customHeight="1">
      <c r="A652" s="1"/>
      <c r="C652" s="1"/>
      <c r="D652" s="1"/>
      <c r="E652" s="1"/>
      <c r="F652" s="1"/>
    </row>
    <row r="653" ht="12.75" customHeight="1">
      <c r="A653" s="1"/>
      <c r="C653" s="1"/>
      <c r="D653" s="1"/>
      <c r="E653" s="1"/>
      <c r="F653" s="1"/>
    </row>
    <row r="654" ht="12.75" customHeight="1">
      <c r="A654" s="1"/>
      <c r="C654" s="1"/>
      <c r="D654" s="1"/>
      <c r="E654" s="1"/>
      <c r="F654" s="1"/>
    </row>
    <row r="655" ht="12.75" customHeight="1">
      <c r="A655" s="1"/>
      <c r="C655" s="1"/>
      <c r="D655" s="1"/>
      <c r="E655" s="1"/>
      <c r="F655" s="1"/>
    </row>
    <row r="656" ht="12.75" customHeight="1">
      <c r="A656" s="1"/>
      <c r="C656" s="1"/>
      <c r="D656" s="1"/>
      <c r="E656" s="1"/>
      <c r="F656" s="1"/>
    </row>
    <row r="657" ht="12.75" customHeight="1">
      <c r="A657" s="1"/>
      <c r="C657" s="1"/>
      <c r="D657" s="1"/>
      <c r="E657" s="1"/>
      <c r="F657" s="1"/>
    </row>
    <row r="658" ht="12.75" customHeight="1">
      <c r="A658" s="1"/>
      <c r="C658" s="1"/>
      <c r="D658" s="1"/>
      <c r="E658" s="1"/>
      <c r="F658" s="1"/>
    </row>
    <row r="659" ht="12.75" customHeight="1">
      <c r="A659" s="1"/>
      <c r="C659" s="1"/>
      <c r="D659" s="1"/>
      <c r="E659" s="1"/>
      <c r="F659" s="1"/>
    </row>
    <row r="660" ht="12.75" customHeight="1">
      <c r="A660" s="1"/>
      <c r="C660" s="1"/>
      <c r="D660" s="1"/>
      <c r="E660" s="1"/>
      <c r="F660" s="1"/>
    </row>
    <row r="661" ht="12.75" customHeight="1">
      <c r="A661" s="1"/>
      <c r="C661" s="1"/>
      <c r="D661" s="1"/>
      <c r="E661" s="1"/>
      <c r="F661" s="1"/>
    </row>
    <row r="662" ht="12.75" customHeight="1">
      <c r="A662" s="1"/>
      <c r="C662" s="1"/>
      <c r="D662" s="1"/>
      <c r="E662" s="1"/>
      <c r="F662" s="1"/>
    </row>
    <row r="663" ht="12.75" customHeight="1">
      <c r="A663" s="1"/>
      <c r="C663" s="1"/>
      <c r="D663" s="1"/>
      <c r="E663" s="1"/>
      <c r="F663" s="1"/>
    </row>
    <row r="664" ht="12.75" customHeight="1">
      <c r="A664" s="1"/>
      <c r="C664" s="1"/>
      <c r="D664" s="1"/>
      <c r="E664" s="1"/>
      <c r="F664" s="1"/>
    </row>
    <row r="665" ht="12.75" customHeight="1">
      <c r="A665" s="1"/>
      <c r="C665" s="1"/>
      <c r="D665" s="1"/>
      <c r="E665" s="1"/>
      <c r="F665" s="1"/>
    </row>
    <row r="666" ht="12.75" customHeight="1">
      <c r="A666" s="1"/>
      <c r="C666" s="1"/>
      <c r="D666" s="1"/>
      <c r="E666" s="1"/>
      <c r="F666" s="1"/>
    </row>
    <row r="667" ht="12.75" customHeight="1">
      <c r="A667" s="1"/>
      <c r="C667" s="1"/>
      <c r="D667" s="1"/>
      <c r="E667" s="1"/>
      <c r="F667" s="1"/>
    </row>
    <row r="668" ht="12.75" customHeight="1">
      <c r="A668" s="1"/>
      <c r="C668" s="1"/>
      <c r="D668" s="1"/>
      <c r="E668" s="1"/>
      <c r="F668" s="1"/>
    </row>
    <row r="669" ht="12.75" customHeight="1">
      <c r="A669" s="1"/>
      <c r="C669" s="1"/>
      <c r="D669" s="1"/>
      <c r="E669" s="1"/>
      <c r="F669" s="1"/>
    </row>
    <row r="670" ht="12.75" customHeight="1">
      <c r="A670" s="1"/>
      <c r="C670" s="1"/>
      <c r="D670" s="1"/>
      <c r="E670" s="1"/>
      <c r="F670" s="1"/>
    </row>
    <row r="671" ht="12.75" customHeight="1">
      <c r="A671" s="1"/>
      <c r="C671" s="1"/>
      <c r="D671" s="1"/>
      <c r="E671" s="1"/>
      <c r="F671" s="1"/>
    </row>
    <row r="672" ht="12.75" customHeight="1">
      <c r="A672" s="1"/>
      <c r="C672" s="1"/>
      <c r="D672" s="1"/>
      <c r="E672" s="1"/>
      <c r="F672" s="1"/>
    </row>
    <row r="673" ht="12.75" customHeight="1">
      <c r="A673" s="1"/>
      <c r="C673" s="1"/>
      <c r="D673" s="1"/>
      <c r="E673" s="1"/>
      <c r="F673" s="1"/>
    </row>
    <row r="674" ht="12.75" customHeight="1">
      <c r="A674" s="1"/>
      <c r="C674" s="1"/>
      <c r="D674" s="1"/>
      <c r="E674" s="1"/>
      <c r="F674" s="1"/>
    </row>
    <row r="675" ht="12.75" customHeight="1">
      <c r="A675" s="1"/>
      <c r="C675" s="1"/>
      <c r="D675" s="1"/>
      <c r="E675" s="1"/>
      <c r="F675" s="1"/>
    </row>
    <row r="676" ht="12.75" customHeight="1">
      <c r="A676" s="1"/>
      <c r="C676" s="1"/>
      <c r="D676" s="1"/>
      <c r="E676" s="1"/>
      <c r="F676" s="1"/>
    </row>
    <row r="677" ht="12.75" customHeight="1">
      <c r="A677" s="1"/>
      <c r="C677" s="1"/>
      <c r="D677" s="1"/>
      <c r="E677" s="1"/>
      <c r="F677" s="1"/>
    </row>
    <row r="678" ht="12.75" customHeight="1">
      <c r="A678" s="1"/>
      <c r="C678" s="1"/>
      <c r="D678" s="1"/>
      <c r="E678" s="1"/>
      <c r="F678" s="1"/>
    </row>
    <row r="679" ht="12.75" customHeight="1">
      <c r="A679" s="1"/>
      <c r="C679" s="1"/>
      <c r="D679" s="1"/>
      <c r="E679" s="1"/>
      <c r="F679" s="1"/>
    </row>
    <row r="680" ht="12.75" customHeight="1">
      <c r="A680" s="1"/>
      <c r="C680" s="1"/>
      <c r="D680" s="1"/>
      <c r="E680" s="1"/>
      <c r="F680" s="1"/>
    </row>
    <row r="681" ht="12.75" customHeight="1">
      <c r="A681" s="1"/>
      <c r="C681" s="1"/>
      <c r="D681" s="1"/>
      <c r="E681" s="1"/>
      <c r="F681" s="1"/>
    </row>
    <row r="682" ht="12.75" customHeight="1">
      <c r="A682" s="1"/>
      <c r="C682" s="1"/>
      <c r="D682" s="1"/>
      <c r="E682" s="1"/>
      <c r="F682" s="1"/>
    </row>
    <row r="683" ht="12.75" customHeight="1">
      <c r="A683" s="1"/>
      <c r="C683" s="1"/>
      <c r="D683" s="1"/>
      <c r="E683" s="1"/>
      <c r="F683" s="1"/>
    </row>
    <row r="684" ht="12.75" customHeight="1">
      <c r="A684" s="1"/>
      <c r="C684" s="1"/>
      <c r="D684" s="1"/>
      <c r="E684" s="1"/>
      <c r="F684" s="1"/>
    </row>
    <row r="685" ht="12.75" customHeight="1">
      <c r="A685" s="1"/>
      <c r="C685" s="1"/>
      <c r="D685" s="1"/>
      <c r="E685" s="1"/>
      <c r="F685" s="1"/>
    </row>
    <row r="686" ht="12.75" customHeight="1">
      <c r="A686" s="1"/>
      <c r="C686" s="1"/>
      <c r="D686" s="1"/>
      <c r="E686" s="1"/>
      <c r="F686" s="1"/>
    </row>
    <row r="687" ht="12.75" customHeight="1">
      <c r="A687" s="1"/>
      <c r="C687" s="1"/>
      <c r="D687" s="1"/>
      <c r="E687" s="1"/>
      <c r="F687" s="1"/>
    </row>
    <row r="688" ht="12.75" customHeight="1">
      <c r="A688" s="1"/>
      <c r="C688" s="1"/>
      <c r="D688" s="1"/>
      <c r="E688" s="1"/>
      <c r="F688" s="1"/>
    </row>
    <row r="689" ht="12.75" customHeight="1">
      <c r="A689" s="1"/>
      <c r="C689" s="1"/>
      <c r="D689" s="1"/>
      <c r="E689" s="1"/>
      <c r="F689" s="1"/>
    </row>
    <row r="690" ht="12.75" customHeight="1">
      <c r="A690" s="1"/>
      <c r="C690" s="1"/>
      <c r="D690" s="1"/>
      <c r="E690" s="1"/>
      <c r="F690" s="1"/>
    </row>
    <row r="691" ht="12.75" customHeight="1">
      <c r="A691" s="1"/>
      <c r="C691" s="1"/>
      <c r="D691" s="1"/>
      <c r="E691" s="1"/>
      <c r="F691" s="1"/>
    </row>
    <row r="692" ht="12.75" customHeight="1">
      <c r="A692" s="1"/>
      <c r="C692" s="1"/>
      <c r="D692" s="1"/>
      <c r="E692" s="1"/>
      <c r="F692" s="1"/>
    </row>
    <row r="693" ht="12.75" customHeight="1">
      <c r="A693" s="1"/>
      <c r="C693" s="1"/>
      <c r="D693" s="1"/>
      <c r="E693" s="1"/>
      <c r="F693" s="1"/>
    </row>
    <row r="694" ht="12.75" customHeight="1">
      <c r="A694" s="1"/>
      <c r="C694" s="1"/>
      <c r="D694" s="1"/>
      <c r="E694" s="1"/>
      <c r="F694" s="1"/>
    </row>
    <row r="695" ht="12.75" customHeight="1">
      <c r="A695" s="1"/>
      <c r="C695" s="1"/>
      <c r="D695" s="1"/>
      <c r="E695" s="1"/>
      <c r="F695" s="1"/>
    </row>
    <row r="696" ht="12.75" customHeight="1">
      <c r="A696" s="1"/>
      <c r="C696" s="1"/>
      <c r="D696" s="1"/>
      <c r="E696" s="1"/>
      <c r="F696" s="1"/>
    </row>
    <row r="697" ht="12.75" customHeight="1">
      <c r="A697" s="1"/>
      <c r="C697" s="1"/>
      <c r="D697" s="1"/>
      <c r="E697" s="1"/>
      <c r="F697" s="1"/>
    </row>
    <row r="698" ht="12.75" customHeight="1">
      <c r="A698" s="1"/>
      <c r="C698" s="1"/>
      <c r="D698" s="1"/>
      <c r="E698" s="1"/>
      <c r="F698" s="1"/>
    </row>
    <row r="699" ht="12.75" customHeight="1">
      <c r="A699" s="1"/>
      <c r="C699" s="1"/>
      <c r="D699" s="1"/>
      <c r="E699" s="1"/>
      <c r="F699" s="1"/>
    </row>
    <row r="700" ht="12.75" customHeight="1">
      <c r="A700" s="1"/>
      <c r="C700" s="1"/>
      <c r="D700" s="1"/>
      <c r="E700" s="1"/>
      <c r="F700" s="1"/>
    </row>
    <row r="701" ht="12.75" customHeight="1">
      <c r="A701" s="1"/>
      <c r="C701" s="1"/>
      <c r="D701" s="1"/>
      <c r="E701" s="1"/>
      <c r="F701" s="1"/>
    </row>
    <row r="702" ht="12.75" customHeight="1">
      <c r="A702" s="1"/>
      <c r="C702" s="1"/>
      <c r="D702" s="1"/>
      <c r="E702" s="1"/>
      <c r="F702" s="1"/>
    </row>
    <row r="703" ht="12.75" customHeight="1">
      <c r="A703" s="1"/>
      <c r="C703" s="1"/>
      <c r="D703" s="1"/>
      <c r="E703" s="1"/>
      <c r="F703" s="1"/>
    </row>
    <row r="704" ht="12.75" customHeight="1">
      <c r="A704" s="1"/>
      <c r="C704" s="1"/>
      <c r="D704" s="1"/>
      <c r="E704" s="1"/>
      <c r="F704" s="1"/>
    </row>
    <row r="705" ht="12.75" customHeight="1">
      <c r="A705" s="1"/>
      <c r="C705" s="1"/>
      <c r="D705" s="1"/>
      <c r="E705" s="1"/>
      <c r="F705" s="1"/>
    </row>
    <row r="706" ht="12.75" customHeight="1">
      <c r="A706" s="1"/>
      <c r="C706" s="1"/>
      <c r="D706" s="1"/>
      <c r="E706" s="1"/>
      <c r="F706" s="1"/>
    </row>
    <row r="707" ht="12.75" customHeight="1">
      <c r="A707" s="1"/>
      <c r="C707" s="1"/>
      <c r="D707" s="1"/>
      <c r="E707" s="1"/>
      <c r="F707" s="1"/>
    </row>
    <row r="708" ht="12.75" customHeight="1">
      <c r="A708" s="1"/>
      <c r="C708" s="1"/>
      <c r="D708" s="1"/>
      <c r="E708" s="1"/>
      <c r="F708" s="1"/>
    </row>
    <row r="709" ht="12.75" customHeight="1">
      <c r="A709" s="1"/>
      <c r="C709" s="1"/>
      <c r="D709" s="1"/>
      <c r="E709" s="1"/>
      <c r="F709" s="1"/>
    </row>
    <row r="710" ht="12.75" customHeight="1">
      <c r="A710" s="1"/>
      <c r="C710" s="1"/>
      <c r="D710" s="1"/>
      <c r="E710" s="1"/>
      <c r="F710" s="1"/>
    </row>
    <row r="711" ht="12.75" customHeight="1">
      <c r="A711" s="1"/>
      <c r="C711" s="1"/>
      <c r="D711" s="1"/>
      <c r="E711" s="1"/>
      <c r="F711" s="1"/>
    </row>
    <row r="712" ht="12.75" customHeight="1">
      <c r="A712" s="1"/>
      <c r="C712" s="1"/>
      <c r="D712" s="1"/>
      <c r="E712" s="1"/>
      <c r="F712" s="1"/>
    </row>
    <row r="713" ht="12.75" customHeight="1">
      <c r="A713" s="1"/>
      <c r="C713" s="1"/>
      <c r="D713" s="1"/>
      <c r="E713" s="1"/>
      <c r="F713" s="1"/>
    </row>
    <row r="714" ht="12.75" customHeight="1">
      <c r="A714" s="1"/>
      <c r="C714" s="1"/>
      <c r="D714" s="1"/>
      <c r="E714" s="1"/>
      <c r="F714" s="1"/>
    </row>
    <row r="715" ht="12.75" customHeight="1">
      <c r="A715" s="1"/>
      <c r="C715" s="1"/>
      <c r="D715" s="1"/>
      <c r="E715" s="1"/>
      <c r="F715" s="1"/>
    </row>
    <row r="716" ht="12.75" customHeight="1">
      <c r="A716" s="1"/>
      <c r="C716" s="1"/>
      <c r="D716" s="1"/>
      <c r="E716" s="1"/>
      <c r="F716" s="1"/>
    </row>
    <row r="717" ht="12.75" customHeight="1">
      <c r="A717" s="1"/>
      <c r="C717" s="1"/>
      <c r="D717" s="1"/>
      <c r="E717" s="1"/>
      <c r="F717" s="1"/>
    </row>
    <row r="718" ht="12.75" customHeight="1">
      <c r="A718" s="1"/>
      <c r="C718" s="1"/>
      <c r="D718" s="1"/>
      <c r="E718" s="1"/>
      <c r="F718" s="1"/>
    </row>
    <row r="719" ht="12.75" customHeight="1">
      <c r="A719" s="1"/>
      <c r="C719" s="1"/>
      <c r="D719" s="1"/>
      <c r="E719" s="1"/>
      <c r="F719" s="1"/>
    </row>
    <row r="720" ht="12.75" customHeight="1">
      <c r="A720" s="1"/>
      <c r="C720" s="1"/>
      <c r="D720" s="1"/>
      <c r="E720" s="1"/>
      <c r="F720" s="1"/>
    </row>
    <row r="721" ht="12.75" customHeight="1">
      <c r="A721" s="1"/>
      <c r="C721" s="1"/>
      <c r="D721" s="1"/>
      <c r="E721" s="1"/>
      <c r="F721" s="1"/>
    </row>
    <row r="722" ht="12.75" customHeight="1">
      <c r="A722" s="1"/>
      <c r="C722" s="1"/>
      <c r="D722" s="1"/>
      <c r="E722" s="1"/>
      <c r="F722" s="1"/>
    </row>
    <row r="723" ht="12.75" customHeight="1">
      <c r="A723" s="1"/>
      <c r="C723" s="1"/>
      <c r="D723" s="1"/>
      <c r="E723" s="1"/>
      <c r="F723" s="1"/>
    </row>
    <row r="724" ht="12.75" customHeight="1">
      <c r="A724" s="1"/>
      <c r="C724" s="1"/>
      <c r="D724" s="1"/>
      <c r="E724" s="1"/>
      <c r="F724" s="1"/>
    </row>
    <row r="725" ht="12.75" customHeight="1">
      <c r="A725" s="1"/>
      <c r="C725" s="1"/>
      <c r="D725" s="1"/>
      <c r="E725" s="1"/>
      <c r="F725" s="1"/>
    </row>
    <row r="726" ht="12.75" customHeight="1">
      <c r="A726" s="1"/>
      <c r="C726" s="1"/>
      <c r="D726" s="1"/>
      <c r="E726" s="1"/>
      <c r="F726" s="1"/>
    </row>
    <row r="727" ht="12.75" customHeight="1">
      <c r="A727" s="1"/>
      <c r="C727" s="1"/>
      <c r="D727" s="1"/>
      <c r="E727" s="1"/>
      <c r="F727" s="1"/>
    </row>
    <row r="728" ht="12.75" customHeight="1">
      <c r="A728" s="1"/>
      <c r="C728" s="1"/>
      <c r="D728" s="1"/>
      <c r="E728" s="1"/>
      <c r="F728" s="1"/>
    </row>
    <row r="729" ht="12.75" customHeight="1">
      <c r="A729" s="1"/>
      <c r="C729" s="1"/>
      <c r="D729" s="1"/>
      <c r="E729" s="1"/>
      <c r="F729" s="1"/>
    </row>
    <row r="730" ht="12.75" customHeight="1">
      <c r="A730" s="1"/>
      <c r="C730" s="1"/>
      <c r="D730" s="1"/>
      <c r="E730" s="1"/>
      <c r="F730" s="1"/>
    </row>
    <row r="731" ht="12.75" customHeight="1">
      <c r="A731" s="1"/>
      <c r="C731" s="1"/>
      <c r="D731" s="1"/>
      <c r="E731" s="1"/>
      <c r="F731" s="1"/>
    </row>
    <row r="732" ht="12.75" customHeight="1">
      <c r="A732" s="1"/>
      <c r="C732" s="1"/>
      <c r="D732" s="1"/>
      <c r="E732" s="1"/>
      <c r="F732" s="1"/>
    </row>
    <row r="733" ht="12.75" customHeight="1">
      <c r="A733" s="1"/>
      <c r="C733" s="1"/>
      <c r="D733" s="1"/>
      <c r="E733" s="1"/>
      <c r="F733" s="1"/>
    </row>
    <row r="734" ht="12.75" customHeight="1">
      <c r="A734" s="1"/>
      <c r="C734" s="1"/>
      <c r="D734" s="1"/>
      <c r="E734" s="1"/>
      <c r="F734" s="1"/>
    </row>
    <row r="735" ht="12.75" customHeight="1">
      <c r="A735" s="1"/>
      <c r="C735" s="1"/>
      <c r="D735" s="1"/>
      <c r="E735" s="1"/>
      <c r="F735" s="1"/>
    </row>
    <row r="736" ht="12.75" customHeight="1">
      <c r="A736" s="1"/>
      <c r="C736" s="1"/>
      <c r="D736" s="1"/>
      <c r="E736" s="1"/>
      <c r="F736" s="1"/>
    </row>
    <row r="737" ht="12.75" customHeight="1">
      <c r="A737" s="1"/>
      <c r="C737" s="1"/>
      <c r="D737" s="1"/>
      <c r="E737" s="1"/>
      <c r="F737" s="1"/>
    </row>
    <row r="738" ht="12.75" customHeight="1">
      <c r="A738" s="1"/>
      <c r="C738" s="1"/>
      <c r="D738" s="1"/>
      <c r="E738" s="1"/>
      <c r="F738" s="1"/>
    </row>
    <row r="739" ht="12.75" customHeight="1">
      <c r="A739" s="1"/>
      <c r="C739" s="1"/>
      <c r="D739" s="1"/>
      <c r="E739" s="1"/>
      <c r="F739" s="1"/>
    </row>
    <row r="740" ht="12.75" customHeight="1">
      <c r="A740" s="1"/>
      <c r="C740" s="1"/>
      <c r="D740" s="1"/>
      <c r="E740" s="1"/>
      <c r="F740" s="1"/>
    </row>
    <row r="741" ht="12.75" customHeight="1">
      <c r="A741" s="1"/>
      <c r="C741" s="1"/>
      <c r="D741" s="1"/>
      <c r="E741" s="1"/>
      <c r="F741" s="1"/>
    </row>
    <row r="742" ht="12.75" customHeight="1">
      <c r="A742" s="1"/>
      <c r="C742" s="1"/>
      <c r="D742" s="1"/>
      <c r="E742" s="1"/>
      <c r="F742" s="1"/>
    </row>
    <row r="743" ht="12.75" customHeight="1">
      <c r="A743" s="1"/>
      <c r="C743" s="1"/>
      <c r="D743" s="1"/>
      <c r="E743" s="1"/>
      <c r="F743" s="1"/>
    </row>
    <row r="744" ht="12.75" customHeight="1">
      <c r="A744" s="1"/>
      <c r="C744" s="1"/>
      <c r="D744" s="1"/>
      <c r="E744" s="1"/>
      <c r="F744" s="1"/>
    </row>
    <row r="745" ht="12.75" customHeight="1">
      <c r="A745" s="1"/>
      <c r="C745" s="1"/>
      <c r="D745" s="1"/>
      <c r="E745" s="1"/>
      <c r="F745" s="1"/>
    </row>
    <row r="746" ht="12.75" customHeight="1">
      <c r="A746" s="1"/>
      <c r="C746" s="1"/>
      <c r="D746" s="1"/>
      <c r="E746" s="1"/>
      <c r="F746" s="1"/>
    </row>
    <row r="747" ht="12.75" customHeight="1">
      <c r="A747" s="1"/>
      <c r="C747" s="1"/>
      <c r="D747" s="1"/>
      <c r="E747" s="1"/>
      <c r="F747" s="1"/>
    </row>
    <row r="748" ht="12.75" customHeight="1">
      <c r="A748" s="1"/>
      <c r="C748" s="1"/>
      <c r="D748" s="1"/>
      <c r="E748" s="1"/>
      <c r="F748" s="1"/>
    </row>
    <row r="749" ht="12.75" customHeight="1">
      <c r="A749" s="1"/>
      <c r="C749" s="1"/>
      <c r="D749" s="1"/>
      <c r="E749" s="1"/>
      <c r="F749" s="1"/>
    </row>
    <row r="750" ht="12.75" customHeight="1">
      <c r="A750" s="1"/>
      <c r="C750" s="1"/>
      <c r="D750" s="1"/>
      <c r="E750" s="1"/>
      <c r="F750" s="1"/>
    </row>
    <row r="751" ht="12.75" customHeight="1">
      <c r="A751" s="1"/>
      <c r="C751" s="1"/>
      <c r="D751" s="1"/>
      <c r="E751" s="1"/>
      <c r="F751" s="1"/>
    </row>
    <row r="752" ht="12.75" customHeight="1">
      <c r="A752" s="1"/>
      <c r="C752" s="1"/>
      <c r="D752" s="1"/>
      <c r="E752" s="1"/>
      <c r="F752" s="1"/>
    </row>
    <row r="753" ht="12.75" customHeight="1">
      <c r="A753" s="1"/>
      <c r="C753" s="1"/>
      <c r="D753" s="1"/>
      <c r="E753" s="1"/>
      <c r="F753" s="1"/>
    </row>
    <row r="754" ht="12.75" customHeight="1">
      <c r="A754" s="1"/>
      <c r="C754" s="1"/>
      <c r="D754" s="1"/>
      <c r="E754" s="1"/>
      <c r="F754" s="1"/>
    </row>
    <row r="755" ht="12.75" customHeight="1">
      <c r="A755" s="1"/>
      <c r="C755" s="1"/>
      <c r="D755" s="1"/>
      <c r="E755" s="1"/>
      <c r="F755" s="1"/>
    </row>
    <row r="756" ht="12.75" customHeight="1">
      <c r="A756" s="1"/>
      <c r="C756" s="1"/>
      <c r="D756" s="1"/>
      <c r="E756" s="1"/>
      <c r="F756" s="1"/>
    </row>
    <row r="757" ht="12.75" customHeight="1">
      <c r="A757" s="1"/>
      <c r="C757" s="1"/>
      <c r="D757" s="1"/>
      <c r="E757" s="1"/>
      <c r="F757" s="1"/>
    </row>
    <row r="758" ht="12.75" customHeight="1">
      <c r="A758" s="1"/>
      <c r="C758" s="1"/>
      <c r="D758" s="1"/>
      <c r="E758" s="1"/>
      <c r="F758" s="1"/>
    </row>
    <row r="759" ht="12.75" customHeight="1">
      <c r="A759" s="1"/>
      <c r="C759" s="1"/>
      <c r="D759" s="1"/>
      <c r="E759" s="1"/>
      <c r="F759" s="1"/>
    </row>
    <row r="760" ht="12.75" customHeight="1">
      <c r="A760" s="1"/>
      <c r="C760" s="1"/>
      <c r="D760" s="1"/>
      <c r="E760" s="1"/>
      <c r="F760" s="1"/>
    </row>
    <row r="761" ht="12.75" customHeight="1">
      <c r="A761" s="1"/>
      <c r="C761" s="1"/>
      <c r="D761" s="1"/>
      <c r="E761" s="1"/>
      <c r="F761" s="1"/>
    </row>
    <row r="762" ht="12.75" customHeight="1">
      <c r="A762" s="1"/>
      <c r="C762" s="1"/>
      <c r="D762" s="1"/>
      <c r="E762" s="1"/>
      <c r="F762" s="1"/>
    </row>
    <row r="763" ht="12.75" customHeight="1">
      <c r="A763" s="1"/>
      <c r="C763" s="1"/>
      <c r="D763" s="1"/>
      <c r="E763" s="1"/>
      <c r="F763" s="1"/>
    </row>
    <row r="764" ht="12.75" customHeight="1">
      <c r="A764" s="1"/>
      <c r="C764" s="1"/>
      <c r="D764" s="1"/>
      <c r="E764" s="1"/>
      <c r="F764" s="1"/>
    </row>
    <row r="765" ht="12.75" customHeight="1">
      <c r="A765" s="1"/>
      <c r="C765" s="1"/>
      <c r="D765" s="1"/>
      <c r="E765" s="1"/>
      <c r="F765" s="1"/>
    </row>
    <row r="766" ht="12.75" customHeight="1">
      <c r="A766" s="1"/>
      <c r="C766" s="1"/>
      <c r="D766" s="1"/>
      <c r="E766" s="1"/>
      <c r="F766" s="1"/>
    </row>
    <row r="767" ht="12.75" customHeight="1">
      <c r="A767" s="1"/>
      <c r="C767" s="1"/>
      <c r="D767" s="1"/>
      <c r="E767" s="1"/>
      <c r="F767" s="1"/>
    </row>
    <row r="768" ht="12.75" customHeight="1">
      <c r="A768" s="1"/>
      <c r="C768" s="1"/>
      <c r="D768" s="1"/>
      <c r="E768" s="1"/>
      <c r="F768" s="1"/>
    </row>
    <row r="769" ht="12.75" customHeight="1">
      <c r="A769" s="1"/>
      <c r="C769" s="1"/>
      <c r="D769" s="1"/>
      <c r="E769" s="1"/>
      <c r="F769" s="1"/>
    </row>
    <row r="770" ht="12.75" customHeight="1">
      <c r="A770" s="1"/>
      <c r="C770" s="1"/>
      <c r="D770" s="1"/>
      <c r="E770" s="1"/>
      <c r="F770" s="1"/>
    </row>
    <row r="771" ht="12.75" customHeight="1">
      <c r="A771" s="1"/>
      <c r="C771" s="1"/>
      <c r="D771" s="1"/>
      <c r="E771" s="1"/>
      <c r="F771" s="1"/>
    </row>
    <row r="772" ht="12.75" customHeight="1">
      <c r="A772" s="1"/>
      <c r="C772" s="1"/>
      <c r="D772" s="1"/>
      <c r="E772" s="1"/>
      <c r="F772" s="1"/>
    </row>
    <row r="773" ht="12.75" customHeight="1">
      <c r="A773" s="1"/>
      <c r="C773" s="1"/>
      <c r="D773" s="1"/>
      <c r="E773" s="1"/>
      <c r="F773" s="1"/>
    </row>
    <row r="774" ht="12.75" customHeight="1">
      <c r="A774" s="1"/>
      <c r="C774" s="1"/>
      <c r="D774" s="1"/>
      <c r="E774" s="1"/>
      <c r="F774" s="1"/>
    </row>
    <row r="775" ht="12.75" customHeight="1">
      <c r="A775" s="1"/>
      <c r="C775" s="1"/>
      <c r="D775" s="1"/>
      <c r="E775" s="1"/>
      <c r="F775" s="1"/>
    </row>
    <row r="776" ht="12.75" customHeight="1">
      <c r="A776" s="1"/>
      <c r="C776" s="1"/>
      <c r="D776" s="1"/>
      <c r="E776" s="1"/>
      <c r="F776" s="1"/>
    </row>
    <row r="777" ht="12.75" customHeight="1">
      <c r="A777" s="1"/>
      <c r="C777" s="1"/>
      <c r="D777" s="1"/>
      <c r="E777" s="1"/>
      <c r="F777" s="1"/>
    </row>
    <row r="778" ht="12.75" customHeight="1">
      <c r="A778" s="1"/>
      <c r="C778" s="1"/>
      <c r="D778" s="1"/>
      <c r="E778" s="1"/>
      <c r="F778" s="1"/>
    </row>
    <row r="779" ht="12.75" customHeight="1">
      <c r="A779" s="1"/>
      <c r="C779" s="1"/>
      <c r="D779" s="1"/>
      <c r="E779" s="1"/>
      <c r="F779" s="1"/>
    </row>
    <row r="780" ht="12.75" customHeight="1">
      <c r="A780" s="1"/>
      <c r="C780" s="1"/>
      <c r="D780" s="1"/>
      <c r="E780" s="1"/>
      <c r="F780" s="1"/>
    </row>
    <row r="781" ht="12.75" customHeight="1">
      <c r="A781" s="1"/>
      <c r="C781" s="1"/>
      <c r="D781" s="1"/>
      <c r="E781" s="1"/>
      <c r="F781" s="1"/>
    </row>
    <row r="782" ht="12.75" customHeight="1">
      <c r="A782" s="1"/>
      <c r="C782" s="1"/>
      <c r="D782" s="1"/>
      <c r="E782" s="1"/>
      <c r="F782" s="1"/>
    </row>
    <row r="783" ht="12.75" customHeight="1">
      <c r="A783" s="1"/>
      <c r="C783" s="1"/>
      <c r="D783" s="1"/>
      <c r="E783" s="1"/>
      <c r="F783" s="1"/>
    </row>
    <row r="784" ht="12.75" customHeight="1">
      <c r="A784" s="1"/>
      <c r="C784" s="1"/>
      <c r="D784" s="1"/>
      <c r="E784" s="1"/>
      <c r="F784" s="1"/>
    </row>
    <row r="785" ht="12.75" customHeight="1">
      <c r="A785" s="1"/>
      <c r="C785" s="1"/>
      <c r="D785" s="1"/>
      <c r="E785" s="1"/>
      <c r="F785" s="1"/>
    </row>
    <row r="786" ht="12.75" customHeight="1">
      <c r="A786" s="1"/>
      <c r="C786" s="1"/>
      <c r="D786" s="1"/>
      <c r="E786" s="1"/>
      <c r="F786" s="1"/>
    </row>
    <row r="787" ht="12.75" customHeight="1">
      <c r="A787" s="1"/>
      <c r="C787" s="1"/>
      <c r="D787" s="1"/>
      <c r="E787" s="1"/>
      <c r="F787" s="1"/>
    </row>
    <row r="788" ht="12.75" customHeight="1">
      <c r="A788" s="1"/>
      <c r="C788" s="1"/>
      <c r="D788" s="1"/>
      <c r="E788" s="1"/>
      <c r="F788" s="1"/>
    </row>
    <row r="789" ht="12.75" customHeight="1">
      <c r="A789" s="1"/>
      <c r="C789" s="1"/>
      <c r="D789" s="1"/>
      <c r="E789" s="1"/>
      <c r="F789" s="1"/>
    </row>
    <row r="790" ht="12.75" customHeight="1">
      <c r="A790" s="1"/>
      <c r="C790" s="1"/>
      <c r="D790" s="1"/>
      <c r="E790" s="1"/>
      <c r="F790" s="1"/>
    </row>
    <row r="791" ht="12.75" customHeight="1">
      <c r="A791" s="1"/>
      <c r="C791" s="1"/>
      <c r="D791" s="1"/>
      <c r="E791" s="1"/>
      <c r="F791" s="1"/>
    </row>
    <row r="792" ht="12.75" customHeight="1">
      <c r="A792" s="1"/>
      <c r="C792" s="1"/>
      <c r="D792" s="1"/>
      <c r="E792" s="1"/>
      <c r="F792" s="1"/>
    </row>
    <row r="793" ht="12.75" customHeight="1">
      <c r="A793" s="1"/>
      <c r="C793" s="1"/>
      <c r="D793" s="1"/>
      <c r="E793" s="1"/>
      <c r="F793" s="1"/>
    </row>
    <row r="794" ht="12.75" customHeight="1">
      <c r="A794" s="1"/>
      <c r="C794" s="1"/>
      <c r="D794" s="1"/>
      <c r="E794" s="1"/>
      <c r="F794" s="1"/>
    </row>
    <row r="795" ht="12.75" customHeight="1">
      <c r="A795" s="1"/>
      <c r="C795" s="1"/>
      <c r="D795" s="1"/>
      <c r="E795" s="1"/>
      <c r="F795" s="1"/>
    </row>
    <row r="796" ht="12.75" customHeight="1">
      <c r="A796" s="1"/>
      <c r="C796" s="1"/>
      <c r="D796" s="1"/>
      <c r="E796" s="1"/>
      <c r="F796" s="1"/>
    </row>
    <row r="797" ht="12.75" customHeight="1">
      <c r="A797" s="1"/>
      <c r="C797" s="1"/>
      <c r="D797" s="1"/>
      <c r="E797" s="1"/>
      <c r="F797" s="1"/>
    </row>
    <row r="798" ht="12.75" customHeight="1">
      <c r="A798" s="1"/>
      <c r="C798" s="1"/>
      <c r="D798" s="1"/>
      <c r="E798" s="1"/>
      <c r="F798" s="1"/>
    </row>
    <row r="799" ht="12.75" customHeight="1">
      <c r="A799" s="1"/>
      <c r="C799" s="1"/>
      <c r="D799" s="1"/>
      <c r="E799" s="1"/>
      <c r="F799" s="1"/>
    </row>
    <row r="800" ht="12.75" customHeight="1">
      <c r="A800" s="1"/>
      <c r="C800" s="1"/>
      <c r="D800" s="1"/>
      <c r="E800" s="1"/>
      <c r="F800" s="1"/>
    </row>
    <row r="801" ht="12.75" customHeight="1">
      <c r="A801" s="1"/>
      <c r="C801" s="1"/>
      <c r="D801" s="1"/>
      <c r="E801" s="1"/>
      <c r="F801" s="1"/>
    </row>
    <row r="802" ht="12.75" customHeight="1">
      <c r="A802" s="1"/>
      <c r="C802" s="1"/>
      <c r="D802" s="1"/>
      <c r="E802" s="1"/>
      <c r="F802" s="1"/>
    </row>
    <row r="803" ht="12.75" customHeight="1">
      <c r="A803" s="1"/>
      <c r="C803" s="1"/>
      <c r="D803" s="1"/>
      <c r="E803" s="1"/>
      <c r="F803" s="1"/>
    </row>
    <row r="804" ht="12.75" customHeight="1">
      <c r="A804" s="1"/>
      <c r="C804" s="1"/>
      <c r="D804" s="1"/>
      <c r="E804" s="1"/>
      <c r="F804" s="1"/>
    </row>
    <row r="805" ht="12.75" customHeight="1">
      <c r="A805" s="1"/>
      <c r="C805" s="1"/>
      <c r="D805" s="1"/>
      <c r="E805" s="1"/>
      <c r="F805" s="1"/>
    </row>
    <row r="806" ht="12.75" customHeight="1">
      <c r="A806" s="1"/>
      <c r="C806" s="1"/>
      <c r="D806" s="1"/>
      <c r="E806" s="1"/>
      <c r="F806" s="1"/>
    </row>
    <row r="807" ht="12.75" customHeight="1">
      <c r="A807" s="1"/>
      <c r="C807" s="1"/>
      <c r="D807" s="1"/>
      <c r="E807" s="1"/>
      <c r="F807" s="1"/>
    </row>
    <row r="808" ht="12.75" customHeight="1">
      <c r="A808" s="1"/>
      <c r="C808" s="1"/>
      <c r="D808" s="1"/>
      <c r="E808" s="1"/>
      <c r="F808" s="1"/>
    </row>
    <row r="809" ht="12.75" customHeight="1">
      <c r="A809" s="1"/>
      <c r="C809" s="1"/>
      <c r="D809" s="1"/>
      <c r="E809" s="1"/>
      <c r="F809" s="1"/>
    </row>
    <row r="810" ht="12.75" customHeight="1">
      <c r="A810" s="1"/>
      <c r="C810" s="1"/>
      <c r="D810" s="1"/>
      <c r="E810" s="1"/>
      <c r="F810" s="1"/>
    </row>
    <row r="811" ht="12.75" customHeight="1">
      <c r="A811" s="1"/>
      <c r="C811" s="1"/>
      <c r="D811" s="1"/>
      <c r="E811" s="1"/>
      <c r="F811" s="1"/>
    </row>
    <row r="812" ht="12.75" customHeight="1">
      <c r="A812" s="1"/>
      <c r="C812" s="1"/>
      <c r="D812" s="1"/>
      <c r="E812" s="1"/>
      <c r="F812" s="1"/>
    </row>
    <row r="813" ht="12.75" customHeight="1">
      <c r="A813" s="1"/>
      <c r="C813" s="1"/>
      <c r="D813" s="1"/>
      <c r="E813" s="1"/>
      <c r="F813" s="1"/>
    </row>
    <row r="814" ht="12.75" customHeight="1">
      <c r="A814" s="1"/>
      <c r="C814" s="1"/>
      <c r="D814" s="1"/>
      <c r="E814" s="1"/>
      <c r="F814" s="1"/>
    </row>
    <row r="815" ht="12.75" customHeight="1">
      <c r="A815" s="1"/>
      <c r="C815" s="1"/>
      <c r="D815" s="1"/>
      <c r="E815" s="1"/>
      <c r="F815" s="1"/>
    </row>
    <row r="816" ht="12.75" customHeight="1">
      <c r="A816" s="1"/>
      <c r="C816" s="1"/>
      <c r="D816" s="1"/>
      <c r="E816" s="1"/>
      <c r="F816" s="1"/>
    </row>
    <row r="817" ht="12.75" customHeight="1">
      <c r="A817" s="1"/>
      <c r="C817" s="1"/>
      <c r="D817" s="1"/>
      <c r="E817" s="1"/>
      <c r="F817" s="1"/>
    </row>
    <row r="818" ht="12.75" customHeight="1">
      <c r="A818" s="1"/>
      <c r="C818" s="1"/>
      <c r="D818" s="1"/>
      <c r="E818" s="1"/>
      <c r="F818" s="1"/>
    </row>
    <row r="819" ht="12.75" customHeight="1">
      <c r="A819" s="1"/>
      <c r="C819" s="1"/>
      <c r="D819" s="1"/>
      <c r="E819" s="1"/>
      <c r="F819" s="1"/>
    </row>
    <row r="820" ht="12.75" customHeight="1">
      <c r="A820" s="1"/>
      <c r="C820" s="1"/>
      <c r="D820" s="1"/>
      <c r="E820" s="1"/>
      <c r="F820" s="1"/>
    </row>
    <row r="821" ht="12.75" customHeight="1">
      <c r="A821" s="1"/>
      <c r="C821" s="1"/>
      <c r="D821" s="1"/>
      <c r="E821" s="1"/>
      <c r="F821" s="1"/>
    </row>
    <row r="822" ht="12.75" customHeight="1">
      <c r="A822" s="1"/>
      <c r="C822" s="1"/>
      <c r="D822" s="1"/>
      <c r="E822" s="1"/>
      <c r="F822" s="1"/>
    </row>
    <row r="823" ht="12.75" customHeight="1">
      <c r="A823" s="1"/>
      <c r="C823" s="1"/>
      <c r="D823" s="1"/>
      <c r="E823" s="1"/>
      <c r="F823" s="1"/>
    </row>
    <row r="824" ht="12.75" customHeight="1">
      <c r="A824" s="1"/>
      <c r="C824" s="1"/>
      <c r="D824" s="1"/>
      <c r="E824" s="1"/>
      <c r="F824" s="1"/>
    </row>
    <row r="825" ht="12.75" customHeight="1">
      <c r="A825" s="1"/>
      <c r="C825" s="1"/>
      <c r="D825" s="1"/>
      <c r="E825" s="1"/>
      <c r="F825" s="1"/>
    </row>
    <row r="826" ht="12.75" customHeight="1">
      <c r="A826" s="1"/>
      <c r="C826" s="1"/>
      <c r="D826" s="1"/>
      <c r="E826" s="1"/>
      <c r="F826" s="1"/>
    </row>
    <row r="827" ht="12.75" customHeight="1">
      <c r="A827" s="1"/>
      <c r="C827" s="1"/>
      <c r="D827" s="1"/>
      <c r="E827" s="1"/>
      <c r="F827" s="1"/>
    </row>
    <row r="828" ht="12.75" customHeight="1">
      <c r="A828" s="1"/>
      <c r="C828" s="1"/>
      <c r="D828" s="1"/>
      <c r="E828" s="1"/>
      <c r="F828" s="1"/>
    </row>
    <row r="829" ht="12.75" customHeight="1">
      <c r="A829" s="1"/>
      <c r="C829" s="1"/>
      <c r="D829" s="1"/>
      <c r="E829" s="1"/>
      <c r="F829" s="1"/>
    </row>
    <row r="830" ht="12.75" customHeight="1">
      <c r="A830" s="1"/>
      <c r="C830" s="1"/>
      <c r="D830" s="1"/>
      <c r="E830" s="1"/>
      <c r="F830" s="1"/>
    </row>
    <row r="831" ht="12.75" customHeight="1">
      <c r="A831" s="1"/>
      <c r="C831" s="1"/>
      <c r="D831" s="1"/>
      <c r="E831" s="1"/>
      <c r="F831" s="1"/>
    </row>
    <row r="832" ht="12.75" customHeight="1">
      <c r="A832" s="1"/>
      <c r="C832" s="1"/>
      <c r="D832" s="1"/>
      <c r="E832" s="1"/>
      <c r="F832" s="1"/>
    </row>
    <row r="833" ht="12.75" customHeight="1">
      <c r="A833" s="1"/>
      <c r="C833" s="1"/>
      <c r="D833" s="1"/>
      <c r="E833" s="1"/>
      <c r="F833" s="1"/>
    </row>
    <row r="834" ht="12.75" customHeight="1">
      <c r="A834" s="1"/>
      <c r="C834" s="1"/>
      <c r="D834" s="1"/>
      <c r="E834" s="1"/>
      <c r="F834" s="1"/>
    </row>
    <row r="835" ht="12.75" customHeight="1">
      <c r="A835" s="1"/>
      <c r="C835" s="1"/>
      <c r="D835" s="1"/>
      <c r="E835" s="1"/>
      <c r="F835" s="1"/>
    </row>
    <row r="836" ht="12.75" customHeight="1">
      <c r="A836" s="1"/>
      <c r="C836" s="1"/>
      <c r="D836" s="1"/>
      <c r="E836" s="1"/>
      <c r="F836" s="1"/>
    </row>
    <row r="837" ht="12.75" customHeight="1">
      <c r="A837" s="1"/>
      <c r="C837" s="1"/>
      <c r="D837" s="1"/>
      <c r="E837" s="1"/>
      <c r="F837" s="1"/>
    </row>
    <row r="838" ht="12.75" customHeight="1">
      <c r="A838" s="1"/>
      <c r="C838" s="1"/>
      <c r="D838" s="1"/>
      <c r="E838" s="1"/>
      <c r="F838" s="1"/>
    </row>
    <row r="839" ht="12.75" customHeight="1">
      <c r="A839" s="1"/>
      <c r="C839" s="1"/>
      <c r="D839" s="1"/>
      <c r="E839" s="1"/>
      <c r="F839" s="1"/>
    </row>
    <row r="840" ht="12.75" customHeight="1">
      <c r="A840" s="1"/>
      <c r="C840" s="1"/>
      <c r="D840" s="1"/>
      <c r="E840" s="1"/>
      <c r="F840" s="1"/>
    </row>
    <row r="841" ht="12.75" customHeight="1">
      <c r="A841" s="1"/>
      <c r="C841" s="1"/>
      <c r="D841" s="1"/>
      <c r="E841" s="1"/>
      <c r="F841" s="1"/>
    </row>
    <row r="842" ht="12.75" customHeight="1">
      <c r="A842" s="1"/>
      <c r="C842" s="1"/>
      <c r="D842" s="1"/>
      <c r="E842" s="1"/>
      <c r="F842" s="1"/>
    </row>
    <row r="843" ht="12.75" customHeight="1">
      <c r="A843" s="1"/>
      <c r="C843" s="1"/>
      <c r="D843" s="1"/>
      <c r="E843" s="1"/>
      <c r="F843" s="1"/>
    </row>
    <row r="844" ht="12.75" customHeight="1">
      <c r="A844" s="1"/>
      <c r="C844" s="1"/>
      <c r="D844" s="1"/>
      <c r="E844" s="1"/>
      <c r="F844" s="1"/>
    </row>
    <row r="845" ht="12.75" customHeight="1">
      <c r="A845" s="1"/>
      <c r="C845" s="1"/>
      <c r="D845" s="1"/>
      <c r="E845" s="1"/>
      <c r="F845" s="1"/>
    </row>
    <row r="846" ht="12.75" customHeight="1">
      <c r="A846" s="1"/>
      <c r="C846" s="1"/>
      <c r="D846" s="1"/>
      <c r="E846" s="1"/>
      <c r="F846" s="1"/>
    </row>
    <row r="847" ht="12.75" customHeight="1">
      <c r="A847" s="1"/>
      <c r="C847" s="1"/>
      <c r="D847" s="1"/>
      <c r="E847" s="1"/>
      <c r="F847" s="1"/>
    </row>
    <row r="848" ht="12.75" customHeight="1">
      <c r="A848" s="1"/>
      <c r="C848" s="1"/>
      <c r="D848" s="1"/>
      <c r="E848" s="1"/>
      <c r="F848" s="1"/>
    </row>
    <row r="849" ht="12.75" customHeight="1">
      <c r="A849" s="1"/>
      <c r="C849" s="1"/>
      <c r="D849" s="1"/>
      <c r="E849" s="1"/>
      <c r="F849" s="1"/>
    </row>
    <row r="850" ht="12.75" customHeight="1">
      <c r="A850" s="1"/>
      <c r="C850" s="1"/>
      <c r="D850" s="1"/>
      <c r="E850" s="1"/>
      <c r="F850" s="1"/>
    </row>
    <row r="851" ht="12.75" customHeight="1">
      <c r="A851" s="1"/>
      <c r="C851" s="1"/>
      <c r="D851" s="1"/>
      <c r="E851" s="1"/>
      <c r="F851" s="1"/>
    </row>
    <row r="852" ht="12.75" customHeight="1">
      <c r="A852" s="1"/>
      <c r="C852" s="1"/>
      <c r="D852" s="1"/>
      <c r="E852" s="1"/>
      <c r="F852" s="1"/>
    </row>
    <row r="853" ht="12.75" customHeight="1">
      <c r="A853" s="1"/>
      <c r="C853" s="1"/>
      <c r="D853" s="1"/>
      <c r="E853" s="1"/>
      <c r="F853" s="1"/>
    </row>
    <row r="854" ht="12.75" customHeight="1">
      <c r="A854" s="1"/>
      <c r="C854" s="1"/>
      <c r="D854" s="1"/>
      <c r="E854" s="1"/>
      <c r="F854" s="1"/>
    </row>
    <row r="855" ht="12.75" customHeight="1">
      <c r="A855" s="1"/>
      <c r="C855" s="1"/>
      <c r="D855" s="1"/>
      <c r="E855" s="1"/>
      <c r="F855" s="1"/>
    </row>
    <row r="856" ht="12.75" customHeight="1">
      <c r="A856" s="1"/>
      <c r="C856" s="1"/>
      <c r="D856" s="1"/>
      <c r="E856" s="1"/>
      <c r="F856" s="1"/>
    </row>
    <row r="857" ht="12.75" customHeight="1">
      <c r="A857" s="1"/>
      <c r="C857" s="1"/>
      <c r="D857" s="1"/>
      <c r="E857" s="1"/>
      <c r="F857" s="1"/>
    </row>
    <row r="858" ht="12.75" customHeight="1">
      <c r="A858" s="1"/>
      <c r="C858" s="1"/>
      <c r="D858" s="1"/>
      <c r="E858" s="1"/>
      <c r="F858" s="1"/>
    </row>
    <row r="859" ht="12.75" customHeight="1">
      <c r="A859" s="1"/>
      <c r="C859" s="1"/>
      <c r="D859" s="1"/>
      <c r="E859" s="1"/>
      <c r="F859" s="1"/>
    </row>
    <row r="860" ht="12.75" customHeight="1">
      <c r="A860" s="1"/>
      <c r="C860" s="1"/>
      <c r="D860" s="1"/>
      <c r="E860" s="1"/>
      <c r="F860" s="1"/>
    </row>
    <row r="861" ht="12.75" customHeight="1">
      <c r="A861" s="1"/>
      <c r="C861" s="1"/>
      <c r="D861" s="1"/>
      <c r="E861" s="1"/>
      <c r="F861" s="1"/>
    </row>
    <row r="862" ht="12.75" customHeight="1">
      <c r="A862" s="1"/>
      <c r="C862" s="1"/>
      <c r="D862" s="1"/>
      <c r="E862" s="1"/>
      <c r="F862" s="1"/>
    </row>
    <row r="863" ht="12.75" customHeight="1">
      <c r="A863" s="1"/>
      <c r="C863" s="1"/>
      <c r="D863" s="1"/>
      <c r="E863" s="1"/>
      <c r="F863" s="1"/>
    </row>
    <row r="864" ht="12.75" customHeight="1">
      <c r="A864" s="1"/>
      <c r="C864" s="1"/>
      <c r="D864" s="1"/>
      <c r="E864" s="1"/>
      <c r="F864" s="1"/>
    </row>
    <row r="865" ht="12.75" customHeight="1">
      <c r="A865" s="1"/>
      <c r="C865" s="1"/>
      <c r="D865" s="1"/>
      <c r="E865" s="1"/>
      <c r="F865" s="1"/>
    </row>
    <row r="866" ht="12.75" customHeight="1">
      <c r="A866" s="1"/>
      <c r="C866" s="1"/>
      <c r="D866" s="1"/>
      <c r="E866" s="1"/>
      <c r="F866" s="1"/>
    </row>
    <row r="867" ht="12.75" customHeight="1">
      <c r="A867" s="1"/>
      <c r="C867" s="1"/>
      <c r="D867" s="1"/>
      <c r="E867" s="1"/>
      <c r="F867" s="1"/>
    </row>
    <row r="868" ht="12.75" customHeight="1">
      <c r="A868" s="1"/>
      <c r="C868" s="1"/>
      <c r="D868" s="1"/>
      <c r="E868" s="1"/>
      <c r="F868" s="1"/>
    </row>
    <row r="869" ht="12.75" customHeight="1">
      <c r="A869" s="1"/>
      <c r="C869" s="1"/>
      <c r="D869" s="1"/>
      <c r="E869" s="1"/>
      <c r="F869" s="1"/>
    </row>
    <row r="870" ht="12.75" customHeight="1">
      <c r="A870" s="1"/>
      <c r="C870" s="1"/>
      <c r="D870" s="1"/>
      <c r="E870" s="1"/>
      <c r="F870" s="1"/>
    </row>
    <row r="871" ht="12.75" customHeight="1">
      <c r="A871" s="1"/>
      <c r="C871" s="1"/>
      <c r="D871" s="1"/>
      <c r="E871" s="1"/>
      <c r="F871" s="1"/>
    </row>
    <row r="872" ht="12.75" customHeight="1">
      <c r="A872" s="1"/>
      <c r="C872" s="1"/>
      <c r="D872" s="1"/>
      <c r="E872" s="1"/>
      <c r="F872" s="1"/>
    </row>
    <row r="873" ht="12.75" customHeight="1">
      <c r="A873" s="1"/>
      <c r="C873" s="1"/>
      <c r="D873" s="1"/>
      <c r="E873" s="1"/>
      <c r="F873" s="1"/>
    </row>
    <row r="874" ht="12.75" customHeight="1">
      <c r="A874" s="1"/>
      <c r="C874" s="1"/>
      <c r="D874" s="1"/>
      <c r="E874" s="1"/>
      <c r="F874" s="1"/>
    </row>
    <row r="875" ht="12.75" customHeight="1">
      <c r="A875" s="1"/>
      <c r="C875" s="1"/>
      <c r="D875" s="1"/>
      <c r="E875" s="1"/>
      <c r="F875" s="1"/>
    </row>
    <row r="876" ht="12.75" customHeight="1">
      <c r="A876" s="1"/>
      <c r="C876" s="1"/>
      <c r="D876" s="1"/>
      <c r="E876" s="1"/>
      <c r="F876" s="1"/>
    </row>
    <row r="877" ht="12.75" customHeight="1">
      <c r="A877" s="1"/>
      <c r="C877" s="1"/>
      <c r="D877" s="1"/>
      <c r="E877" s="1"/>
      <c r="F877" s="1"/>
    </row>
    <row r="878" ht="12.75" customHeight="1">
      <c r="A878" s="1"/>
      <c r="C878" s="1"/>
      <c r="D878" s="1"/>
      <c r="E878" s="1"/>
      <c r="F878" s="1"/>
    </row>
    <row r="879" ht="12.75" customHeight="1">
      <c r="A879" s="1"/>
      <c r="C879" s="1"/>
      <c r="D879" s="1"/>
      <c r="E879" s="1"/>
      <c r="F879" s="1"/>
    </row>
    <row r="880" ht="12.75" customHeight="1">
      <c r="A880" s="1"/>
      <c r="C880" s="1"/>
      <c r="D880" s="1"/>
      <c r="E880" s="1"/>
      <c r="F880" s="1"/>
    </row>
    <row r="881" ht="12.75" customHeight="1">
      <c r="A881" s="1"/>
      <c r="C881" s="1"/>
      <c r="D881" s="1"/>
      <c r="E881" s="1"/>
      <c r="F881" s="1"/>
    </row>
    <row r="882" ht="12.75" customHeight="1">
      <c r="A882" s="1"/>
      <c r="C882" s="1"/>
      <c r="D882" s="1"/>
      <c r="E882" s="1"/>
      <c r="F882" s="1"/>
    </row>
    <row r="883" ht="12.75" customHeight="1">
      <c r="A883" s="1"/>
      <c r="C883" s="1"/>
      <c r="D883" s="1"/>
      <c r="E883" s="1"/>
      <c r="F883" s="1"/>
    </row>
    <row r="884" ht="12.75" customHeight="1">
      <c r="A884" s="1"/>
      <c r="C884" s="1"/>
      <c r="D884" s="1"/>
      <c r="E884" s="1"/>
      <c r="F884" s="1"/>
    </row>
    <row r="885" ht="12.75" customHeight="1">
      <c r="A885" s="1"/>
      <c r="C885" s="1"/>
      <c r="D885" s="1"/>
      <c r="E885" s="1"/>
      <c r="F885" s="1"/>
    </row>
    <row r="886" ht="12.75" customHeight="1">
      <c r="A886" s="1"/>
      <c r="C886" s="1"/>
      <c r="D886" s="1"/>
      <c r="E886" s="1"/>
      <c r="F886" s="1"/>
    </row>
    <row r="887" ht="12.75" customHeight="1">
      <c r="A887" s="1"/>
      <c r="C887" s="1"/>
      <c r="D887" s="1"/>
      <c r="E887" s="1"/>
      <c r="F887" s="1"/>
    </row>
    <row r="888" ht="12.75" customHeight="1">
      <c r="A888" s="1"/>
      <c r="C888" s="1"/>
      <c r="D888" s="1"/>
      <c r="E888" s="1"/>
      <c r="F888" s="1"/>
    </row>
    <row r="889" ht="12.75" customHeight="1">
      <c r="A889" s="1"/>
      <c r="C889" s="1"/>
      <c r="D889" s="1"/>
      <c r="E889" s="1"/>
      <c r="F889" s="1"/>
    </row>
    <row r="890" ht="12.75" customHeight="1">
      <c r="A890" s="1"/>
      <c r="C890" s="1"/>
      <c r="D890" s="1"/>
      <c r="E890" s="1"/>
      <c r="F890" s="1"/>
    </row>
    <row r="891" ht="12.75" customHeight="1">
      <c r="A891" s="1"/>
      <c r="C891" s="1"/>
      <c r="D891" s="1"/>
      <c r="E891" s="1"/>
      <c r="F891" s="1"/>
    </row>
    <row r="892" ht="12.75" customHeight="1">
      <c r="A892" s="1"/>
      <c r="C892" s="1"/>
      <c r="D892" s="1"/>
      <c r="E892" s="1"/>
      <c r="F892" s="1"/>
    </row>
    <row r="893" ht="12.75" customHeight="1">
      <c r="A893" s="1"/>
      <c r="C893" s="1"/>
      <c r="D893" s="1"/>
      <c r="E893" s="1"/>
      <c r="F893" s="1"/>
    </row>
    <row r="894" ht="12.75" customHeight="1">
      <c r="A894" s="1"/>
      <c r="C894" s="1"/>
      <c r="D894" s="1"/>
      <c r="E894" s="1"/>
      <c r="F894" s="1"/>
    </row>
    <row r="895" ht="12.75" customHeight="1">
      <c r="A895" s="1"/>
      <c r="C895" s="1"/>
      <c r="D895" s="1"/>
      <c r="E895" s="1"/>
      <c r="F895" s="1"/>
    </row>
    <row r="896" ht="12.75" customHeight="1">
      <c r="A896" s="1"/>
      <c r="C896" s="1"/>
      <c r="D896" s="1"/>
      <c r="E896" s="1"/>
      <c r="F896" s="1"/>
    </row>
    <row r="897" ht="12.75" customHeight="1">
      <c r="A897" s="1"/>
      <c r="C897" s="1"/>
      <c r="D897" s="1"/>
      <c r="E897" s="1"/>
      <c r="F897" s="1"/>
    </row>
    <row r="898" ht="12.75" customHeight="1">
      <c r="A898" s="1"/>
      <c r="C898" s="1"/>
      <c r="D898" s="1"/>
      <c r="E898" s="1"/>
      <c r="F898" s="1"/>
    </row>
    <row r="899" ht="12.75" customHeight="1">
      <c r="A899" s="1"/>
      <c r="C899" s="1"/>
      <c r="D899" s="1"/>
      <c r="E899" s="1"/>
      <c r="F899" s="1"/>
    </row>
    <row r="900" ht="12.75" customHeight="1">
      <c r="A900" s="1"/>
      <c r="C900" s="1"/>
      <c r="D900" s="1"/>
      <c r="E900" s="1"/>
      <c r="F900" s="1"/>
    </row>
    <row r="901" ht="12.75" customHeight="1">
      <c r="A901" s="1"/>
      <c r="C901" s="1"/>
      <c r="D901" s="1"/>
      <c r="E901" s="1"/>
      <c r="F901" s="1"/>
    </row>
    <row r="902" ht="12.75" customHeight="1">
      <c r="A902" s="1"/>
      <c r="C902" s="1"/>
      <c r="D902" s="1"/>
      <c r="E902" s="1"/>
      <c r="F902" s="1"/>
    </row>
    <row r="903" ht="12.75" customHeight="1">
      <c r="A903" s="1"/>
      <c r="C903" s="1"/>
      <c r="D903" s="1"/>
      <c r="E903" s="1"/>
      <c r="F903" s="1"/>
    </row>
    <row r="904" ht="12.75" customHeight="1">
      <c r="A904" s="1"/>
      <c r="C904" s="1"/>
      <c r="D904" s="1"/>
      <c r="E904" s="1"/>
      <c r="F904" s="1"/>
    </row>
    <row r="905" ht="12.75" customHeight="1">
      <c r="A905" s="1"/>
      <c r="C905" s="1"/>
      <c r="D905" s="1"/>
      <c r="E905" s="1"/>
      <c r="F905" s="1"/>
    </row>
    <row r="906" ht="12.75" customHeight="1">
      <c r="A906" s="1"/>
      <c r="C906" s="1"/>
      <c r="D906" s="1"/>
      <c r="E906" s="1"/>
      <c r="F906" s="1"/>
    </row>
    <row r="907" ht="12.75" customHeight="1">
      <c r="A907" s="1"/>
      <c r="C907" s="1"/>
      <c r="D907" s="1"/>
      <c r="E907" s="1"/>
      <c r="F907" s="1"/>
    </row>
    <row r="908" ht="12.75" customHeight="1">
      <c r="A908" s="1"/>
      <c r="C908" s="1"/>
      <c r="D908" s="1"/>
      <c r="E908" s="1"/>
      <c r="F908" s="1"/>
    </row>
    <row r="909" ht="12.75" customHeight="1">
      <c r="A909" s="1"/>
      <c r="C909" s="1"/>
      <c r="D909" s="1"/>
      <c r="E909" s="1"/>
      <c r="F909" s="1"/>
    </row>
    <row r="910" ht="12.75" customHeight="1">
      <c r="A910" s="1"/>
      <c r="C910" s="1"/>
      <c r="D910" s="1"/>
      <c r="E910" s="1"/>
      <c r="F910" s="1"/>
    </row>
    <row r="911" ht="12.75" customHeight="1">
      <c r="A911" s="1"/>
      <c r="C911" s="1"/>
      <c r="D911" s="1"/>
      <c r="E911" s="1"/>
      <c r="F911" s="1"/>
    </row>
    <row r="912" ht="12.75" customHeight="1">
      <c r="A912" s="1"/>
      <c r="C912" s="1"/>
      <c r="D912" s="1"/>
      <c r="E912" s="1"/>
      <c r="F912" s="1"/>
    </row>
    <row r="913" ht="12.75" customHeight="1">
      <c r="A913" s="1"/>
      <c r="C913" s="1"/>
      <c r="D913" s="1"/>
      <c r="E913" s="1"/>
      <c r="F913" s="1"/>
    </row>
    <row r="914" ht="12.75" customHeight="1">
      <c r="A914" s="1"/>
      <c r="C914" s="1"/>
      <c r="D914" s="1"/>
      <c r="E914" s="1"/>
      <c r="F914" s="1"/>
    </row>
    <row r="915" ht="12.75" customHeight="1">
      <c r="A915" s="1"/>
      <c r="C915" s="1"/>
      <c r="D915" s="1"/>
      <c r="E915" s="1"/>
      <c r="F915" s="1"/>
    </row>
    <row r="916" ht="12.75" customHeight="1">
      <c r="A916" s="1"/>
      <c r="C916" s="1"/>
      <c r="D916" s="1"/>
      <c r="E916" s="1"/>
      <c r="F916" s="1"/>
    </row>
    <row r="917" ht="12.75" customHeight="1">
      <c r="A917" s="1"/>
      <c r="C917" s="1"/>
      <c r="D917" s="1"/>
      <c r="E917" s="1"/>
      <c r="F917" s="1"/>
    </row>
    <row r="918" ht="12.75" customHeight="1">
      <c r="A918" s="1"/>
      <c r="C918" s="1"/>
      <c r="D918" s="1"/>
      <c r="E918" s="1"/>
      <c r="F918" s="1"/>
    </row>
    <row r="919" ht="12.75" customHeight="1">
      <c r="A919" s="1"/>
      <c r="C919" s="1"/>
      <c r="D919" s="1"/>
      <c r="E919" s="1"/>
      <c r="F919" s="1"/>
    </row>
    <row r="920" ht="12.75" customHeight="1">
      <c r="A920" s="1"/>
      <c r="C920" s="1"/>
      <c r="D920" s="1"/>
      <c r="E920" s="1"/>
      <c r="F920" s="1"/>
    </row>
    <row r="921" ht="12.75" customHeight="1">
      <c r="A921" s="1"/>
      <c r="C921" s="1"/>
      <c r="D921" s="1"/>
      <c r="E921" s="1"/>
      <c r="F921" s="1"/>
    </row>
    <row r="922" ht="12.75" customHeight="1">
      <c r="A922" s="1"/>
      <c r="C922" s="1"/>
      <c r="D922" s="1"/>
      <c r="E922" s="1"/>
      <c r="F922" s="1"/>
    </row>
    <row r="923" ht="12.75" customHeight="1">
      <c r="A923" s="1"/>
      <c r="C923" s="1"/>
      <c r="D923" s="1"/>
      <c r="E923" s="1"/>
      <c r="F923" s="1"/>
    </row>
    <row r="924" ht="12.75" customHeight="1">
      <c r="A924" s="1"/>
      <c r="C924" s="1"/>
      <c r="D924" s="1"/>
      <c r="E924" s="1"/>
      <c r="F924" s="1"/>
    </row>
    <row r="925" ht="12.75" customHeight="1">
      <c r="A925" s="1"/>
      <c r="C925" s="1"/>
      <c r="D925" s="1"/>
      <c r="E925" s="1"/>
      <c r="F925" s="1"/>
    </row>
    <row r="926" ht="12.75" customHeight="1">
      <c r="A926" s="1"/>
      <c r="C926" s="1"/>
      <c r="D926" s="1"/>
      <c r="E926" s="1"/>
      <c r="F926" s="1"/>
    </row>
    <row r="927" ht="12.75" customHeight="1">
      <c r="A927" s="1"/>
      <c r="C927" s="1"/>
      <c r="D927" s="1"/>
      <c r="E927" s="1"/>
      <c r="F927" s="1"/>
    </row>
    <row r="928" ht="12.75" customHeight="1">
      <c r="A928" s="1"/>
      <c r="C928" s="1"/>
      <c r="D928" s="1"/>
      <c r="E928" s="1"/>
      <c r="F928" s="1"/>
    </row>
    <row r="929" ht="12.75" customHeight="1">
      <c r="A929" s="1"/>
      <c r="C929" s="1"/>
      <c r="D929" s="1"/>
      <c r="E929" s="1"/>
      <c r="F929" s="1"/>
    </row>
    <row r="930" ht="12.75" customHeight="1">
      <c r="A930" s="1"/>
      <c r="C930" s="1"/>
      <c r="D930" s="1"/>
      <c r="E930" s="1"/>
      <c r="F930" s="1"/>
    </row>
    <row r="931" ht="12.75" customHeight="1">
      <c r="A931" s="1"/>
      <c r="C931" s="1"/>
      <c r="D931" s="1"/>
      <c r="E931" s="1"/>
      <c r="F931" s="1"/>
    </row>
    <row r="932" ht="12.75" customHeight="1">
      <c r="A932" s="1"/>
      <c r="C932" s="1"/>
      <c r="D932" s="1"/>
      <c r="E932" s="1"/>
      <c r="F932" s="1"/>
    </row>
    <row r="933" ht="12.75" customHeight="1">
      <c r="A933" s="1"/>
      <c r="C933" s="1"/>
      <c r="D933" s="1"/>
      <c r="E933" s="1"/>
      <c r="F933" s="1"/>
    </row>
    <row r="934" ht="12.75" customHeight="1">
      <c r="A934" s="1"/>
      <c r="C934" s="1"/>
      <c r="D934" s="1"/>
      <c r="E934" s="1"/>
      <c r="F934" s="1"/>
    </row>
    <row r="935" ht="12.75" customHeight="1">
      <c r="A935" s="1"/>
      <c r="C935" s="1"/>
      <c r="D935" s="1"/>
      <c r="E935" s="1"/>
      <c r="F935" s="1"/>
    </row>
    <row r="936" ht="12.75" customHeight="1">
      <c r="A936" s="1"/>
      <c r="C936" s="1"/>
      <c r="D936" s="1"/>
      <c r="E936" s="1"/>
      <c r="F936" s="1"/>
    </row>
    <row r="937" ht="12.75" customHeight="1">
      <c r="A937" s="1"/>
      <c r="C937" s="1"/>
      <c r="D937" s="1"/>
      <c r="E937" s="1"/>
      <c r="F937" s="1"/>
    </row>
    <row r="938" ht="12.75" customHeight="1">
      <c r="A938" s="1"/>
      <c r="C938" s="1"/>
      <c r="D938" s="1"/>
      <c r="E938" s="1"/>
      <c r="F938" s="1"/>
    </row>
    <row r="939" ht="12.75" customHeight="1">
      <c r="A939" s="1"/>
      <c r="C939" s="1"/>
      <c r="D939" s="1"/>
      <c r="E939" s="1"/>
      <c r="F939" s="1"/>
    </row>
    <row r="940" ht="12.75" customHeight="1">
      <c r="A940" s="1"/>
      <c r="C940" s="1"/>
      <c r="D940" s="1"/>
      <c r="E940" s="1"/>
      <c r="F940" s="1"/>
    </row>
    <row r="941" ht="12.75" customHeight="1">
      <c r="A941" s="1"/>
      <c r="C941" s="1"/>
      <c r="D941" s="1"/>
      <c r="E941" s="1"/>
      <c r="F941" s="1"/>
    </row>
    <row r="942" ht="12.75" customHeight="1">
      <c r="A942" s="1"/>
      <c r="C942" s="1"/>
      <c r="D942" s="1"/>
      <c r="E942" s="1"/>
      <c r="F942" s="1"/>
    </row>
    <row r="943" ht="12.75" customHeight="1">
      <c r="A943" s="1"/>
      <c r="C943" s="1"/>
      <c r="D943" s="1"/>
      <c r="E943" s="1"/>
      <c r="F943" s="1"/>
    </row>
    <row r="944" ht="12.75" customHeight="1">
      <c r="A944" s="1"/>
      <c r="C944" s="1"/>
      <c r="D944" s="1"/>
      <c r="E944" s="1"/>
      <c r="F944" s="1"/>
    </row>
    <row r="945" ht="12.75" customHeight="1">
      <c r="A945" s="1"/>
      <c r="C945" s="1"/>
      <c r="D945" s="1"/>
      <c r="E945" s="1"/>
      <c r="F945" s="1"/>
    </row>
    <row r="946" ht="12.75" customHeight="1">
      <c r="A946" s="1"/>
      <c r="C946" s="1"/>
      <c r="D946" s="1"/>
      <c r="E946" s="1"/>
      <c r="F946" s="1"/>
    </row>
    <row r="947" ht="12.75" customHeight="1">
      <c r="A947" s="1"/>
      <c r="C947" s="1"/>
      <c r="D947" s="1"/>
      <c r="E947" s="1"/>
      <c r="F947" s="1"/>
    </row>
    <row r="948" ht="12.75" customHeight="1">
      <c r="A948" s="1"/>
      <c r="C948" s="1"/>
      <c r="D948" s="1"/>
      <c r="E948" s="1"/>
      <c r="F948" s="1"/>
    </row>
    <row r="949" ht="12.75" customHeight="1">
      <c r="A949" s="1"/>
      <c r="C949" s="1"/>
      <c r="D949" s="1"/>
      <c r="E949" s="1"/>
      <c r="F949" s="1"/>
    </row>
    <row r="950" ht="12.75" customHeight="1">
      <c r="A950" s="1"/>
      <c r="C950" s="1"/>
      <c r="D950" s="1"/>
      <c r="E950" s="1"/>
      <c r="F950" s="1"/>
    </row>
    <row r="951" ht="12.75" customHeight="1">
      <c r="A951" s="1"/>
      <c r="C951" s="1"/>
      <c r="D951" s="1"/>
      <c r="E951" s="1"/>
      <c r="F951" s="1"/>
    </row>
    <row r="952" ht="12.75" customHeight="1">
      <c r="A952" s="1"/>
      <c r="C952" s="1"/>
      <c r="D952" s="1"/>
      <c r="E952" s="1"/>
      <c r="F952" s="1"/>
    </row>
    <row r="953" ht="12.75" customHeight="1">
      <c r="A953" s="1"/>
      <c r="C953" s="1"/>
      <c r="D953" s="1"/>
      <c r="E953" s="1"/>
      <c r="F953" s="1"/>
    </row>
    <row r="954" ht="12.75" customHeight="1">
      <c r="A954" s="1"/>
      <c r="C954" s="1"/>
      <c r="D954" s="1"/>
      <c r="E954" s="1"/>
      <c r="F954" s="1"/>
    </row>
    <row r="955" ht="12.75" customHeight="1">
      <c r="A955" s="1"/>
      <c r="C955" s="1"/>
      <c r="D955" s="1"/>
      <c r="E955" s="1"/>
      <c r="F955" s="1"/>
    </row>
    <row r="956" ht="12.75" customHeight="1">
      <c r="A956" s="1"/>
      <c r="C956" s="1"/>
      <c r="D956" s="1"/>
      <c r="E956" s="1"/>
      <c r="F956" s="1"/>
    </row>
    <row r="957" ht="12.75" customHeight="1">
      <c r="A957" s="1"/>
      <c r="C957" s="1"/>
      <c r="D957" s="1"/>
      <c r="E957" s="1"/>
      <c r="F957" s="1"/>
    </row>
    <row r="958" ht="12.75" customHeight="1">
      <c r="A958" s="1"/>
      <c r="C958" s="1"/>
      <c r="D958" s="1"/>
      <c r="E958" s="1"/>
      <c r="F958" s="1"/>
    </row>
    <row r="959" ht="12.75" customHeight="1">
      <c r="A959" s="1"/>
      <c r="C959" s="1"/>
      <c r="D959" s="1"/>
      <c r="E959" s="1"/>
      <c r="F959" s="1"/>
    </row>
    <row r="960" ht="12.75" customHeight="1">
      <c r="A960" s="1"/>
      <c r="C960" s="1"/>
      <c r="D960" s="1"/>
      <c r="E960" s="1"/>
      <c r="F960" s="1"/>
    </row>
    <row r="961" ht="12.75" customHeight="1">
      <c r="A961" s="1"/>
      <c r="C961" s="1"/>
      <c r="D961" s="1"/>
      <c r="E961" s="1"/>
      <c r="F961" s="1"/>
    </row>
    <row r="962" ht="12.75" customHeight="1">
      <c r="A962" s="1"/>
      <c r="C962" s="1"/>
      <c r="D962" s="1"/>
      <c r="E962" s="1"/>
      <c r="F962" s="1"/>
    </row>
    <row r="963" ht="12.75" customHeight="1">
      <c r="A963" s="1"/>
      <c r="C963" s="1"/>
      <c r="D963" s="1"/>
      <c r="E963" s="1"/>
      <c r="F963" s="1"/>
    </row>
    <row r="964" ht="12.75" customHeight="1">
      <c r="A964" s="1"/>
      <c r="C964" s="1"/>
      <c r="D964" s="1"/>
      <c r="E964" s="1"/>
      <c r="F964" s="1"/>
    </row>
    <row r="965" ht="12.75" customHeight="1">
      <c r="A965" s="1"/>
      <c r="C965" s="1"/>
      <c r="D965" s="1"/>
      <c r="E965" s="1"/>
      <c r="F965" s="1"/>
    </row>
    <row r="966" ht="12.75" customHeight="1">
      <c r="A966" s="1"/>
      <c r="C966" s="1"/>
      <c r="D966" s="1"/>
      <c r="E966" s="1"/>
      <c r="F966" s="1"/>
    </row>
    <row r="967" ht="12.75" customHeight="1">
      <c r="A967" s="1"/>
      <c r="C967" s="1"/>
      <c r="D967" s="1"/>
      <c r="E967" s="1"/>
      <c r="F967" s="1"/>
    </row>
    <row r="968" ht="12.75" customHeight="1">
      <c r="A968" s="1"/>
      <c r="C968" s="1"/>
      <c r="D968" s="1"/>
      <c r="E968" s="1"/>
      <c r="F968" s="1"/>
    </row>
    <row r="969" ht="12.75" customHeight="1">
      <c r="A969" s="1"/>
      <c r="C969" s="1"/>
      <c r="D969" s="1"/>
      <c r="E969" s="1"/>
      <c r="F969" s="1"/>
    </row>
    <row r="970" ht="12.75" customHeight="1">
      <c r="A970" s="1"/>
      <c r="C970" s="1"/>
      <c r="D970" s="1"/>
      <c r="E970" s="1"/>
      <c r="F970" s="1"/>
    </row>
    <row r="971" ht="12.75" customHeight="1">
      <c r="A971" s="1"/>
      <c r="C971" s="1"/>
      <c r="D971" s="1"/>
      <c r="E971" s="1"/>
      <c r="F971" s="1"/>
    </row>
    <row r="972" ht="12.75" customHeight="1">
      <c r="A972" s="1"/>
      <c r="C972" s="1"/>
      <c r="D972" s="1"/>
      <c r="E972" s="1"/>
      <c r="F972" s="1"/>
    </row>
    <row r="973" ht="12.75" customHeight="1">
      <c r="A973" s="1"/>
      <c r="C973" s="1"/>
      <c r="D973" s="1"/>
      <c r="E973" s="1"/>
      <c r="F973" s="1"/>
    </row>
    <row r="974" ht="12.75" customHeight="1">
      <c r="A974" s="1"/>
      <c r="C974" s="1"/>
      <c r="D974" s="1"/>
      <c r="E974" s="1"/>
      <c r="F974" s="1"/>
    </row>
    <row r="975" ht="12.75" customHeight="1">
      <c r="A975" s="1"/>
      <c r="C975" s="1"/>
      <c r="D975" s="1"/>
      <c r="E975" s="1"/>
      <c r="F975" s="1"/>
    </row>
    <row r="976" ht="12.75" customHeight="1">
      <c r="A976" s="1"/>
      <c r="C976" s="1"/>
      <c r="D976" s="1"/>
      <c r="E976" s="1"/>
      <c r="F976" s="1"/>
    </row>
    <row r="977" ht="12.75" customHeight="1">
      <c r="A977" s="1"/>
      <c r="C977" s="1"/>
      <c r="D977" s="1"/>
      <c r="E977" s="1"/>
      <c r="F977" s="1"/>
    </row>
    <row r="978" ht="12.75" customHeight="1">
      <c r="A978" s="1"/>
      <c r="C978" s="1"/>
      <c r="D978" s="1"/>
      <c r="E978" s="1"/>
      <c r="F978" s="1"/>
    </row>
    <row r="979" ht="12.75" customHeight="1">
      <c r="A979" s="1"/>
      <c r="C979" s="1"/>
      <c r="D979" s="1"/>
      <c r="E979" s="1"/>
      <c r="F979" s="1"/>
    </row>
    <row r="980" ht="12.75" customHeight="1">
      <c r="A980" s="1"/>
      <c r="C980" s="1"/>
      <c r="D980" s="1"/>
      <c r="E980" s="1"/>
      <c r="F980" s="1"/>
    </row>
    <row r="981" ht="12.75" customHeight="1">
      <c r="A981" s="1"/>
      <c r="C981" s="1"/>
      <c r="D981" s="1"/>
      <c r="E981" s="1"/>
      <c r="F981" s="1"/>
    </row>
    <row r="982" ht="12.75" customHeight="1">
      <c r="A982" s="1"/>
      <c r="C982" s="1"/>
      <c r="D982" s="1"/>
      <c r="E982" s="1"/>
      <c r="F982" s="1"/>
    </row>
    <row r="983" ht="12.75" customHeight="1">
      <c r="A983" s="1"/>
      <c r="C983" s="1"/>
      <c r="D983" s="1"/>
      <c r="E983" s="1"/>
      <c r="F983" s="1"/>
    </row>
    <row r="984" ht="12.75" customHeight="1">
      <c r="A984" s="1"/>
      <c r="C984" s="1"/>
      <c r="D984" s="1"/>
      <c r="E984" s="1"/>
      <c r="F984" s="1"/>
    </row>
    <row r="985" ht="12.75" customHeight="1">
      <c r="A985" s="1"/>
      <c r="C985" s="1"/>
      <c r="D985" s="1"/>
      <c r="E985" s="1"/>
      <c r="F985" s="1"/>
    </row>
    <row r="986" ht="12.75" customHeight="1">
      <c r="A986" s="1"/>
      <c r="C986" s="1"/>
      <c r="D986" s="1"/>
      <c r="E986" s="1"/>
      <c r="F986" s="1"/>
    </row>
    <row r="987" ht="12.75" customHeight="1">
      <c r="A987" s="1"/>
      <c r="C987" s="1"/>
      <c r="D987" s="1"/>
      <c r="E987" s="1"/>
      <c r="F987" s="1"/>
    </row>
    <row r="988" ht="12.75" customHeight="1">
      <c r="A988" s="1"/>
      <c r="C988" s="1"/>
      <c r="D988" s="1"/>
      <c r="E988" s="1"/>
      <c r="F988" s="1"/>
    </row>
    <row r="989" ht="12.75" customHeight="1">
      <c r="A989" s="1"/>
      <c r="C989" s="1"/>
      <c r="D989" s="1"/>
      <c r="E989" s="1"/>
      <c r="F989" s="1"/>
    </row>
    <row r="990" ht="12.75" customHeight="1">
      <c r="A990" s="1"/>
      <c r="C990" s="1"/>
      <c r="D990" s="1"/>
      <c r="E990" s="1"/>
      <c r="F990" s="1"/>
    </row>
    <row r="991" ht="12.75" customHeight="1">
      <c r="A991" s="1"/>
      <c r="C991" s="1"/>
      <c r="D991" s="1"/>
      <c r="E991" s="1"/>
      <c r="F991" s="1"/>
    </row>
    <row r="992" ht="12.75" customHeight="1">
      <c r="A992" s="1"/>
      <c r="C992" s="1"/>
      <c r="D992" s="1"/>
      <c r="E992" s="1"/>
      <c r="F992" s="1"/>
    </row>
    <row r="993" ht="12.75" customHeight="1">
      <c r="A993" s="1"/>
      <c r="C993" s="1"/>
      <c r="D993" s="1"/>
      <c r="E993" s="1"/>
      <c r="F993" s="1"/>
    </row>
    <row r="994" ht="12.75" customHeight="1">
      <c r="A994" s="1"/>
      <c r="C994" s="1"/>
      <c r="D994" s="1"/>
      <c r="E994" s="1"/>
      <c r="F994" s="1"/>
    </row>
    <row r="995" ht="12.75" customHeight="1">
      <c r="A995" s="1"/>
      <c r="C995" s="1"/>
      <c r="D995" s="1"/>
      <c r="E995" s="1"/>
      <c r="F995" s="1"/>
    </row>
    <row r="996" ht="12.75" customHeight="1">
      <c r="A996" s="1"/>
      <c r="C996" s="1"/>
      <c r="D996" s="1"/>
      <c r="E996" s="1"/>
      <c r="F996" s="1"/>
    </row>
    <row r="997" ht="12.75" customHeight="1">
      <c r="A997" s="1"/>
      <c r="C997" s="1"/>
      <c r="D997" s="1"/>
      <c r="E997" s="1"/>
      <c r="F997" s="1"/>
    </row>
    <row r="998" ht="12.75" customHeight="1">
      <c r="A998" s="1"/>
      <c r="C998" s="1"/>
      <c r="D998" s="1"/>
      <c r="E998" s="1"/>
      <c r="F998" s="1"/>
    </row>
    <row r="999" ht="12.75" customHeight="1">
      <c r="A999" s="1"/>
      <c r="C999" s="1"/>
      <c r="D999" s="1"/>
      <c r="E999" s="1"/>
      <c r="F999" s="1"/>
    </row>
    <row r="1000" ht="12.75" customHeight="1">
      <c r="A1000" s="1"/>
      <c r="C1000" s="1"/>
      <c r="D1000" s="1"/>
      <c r="E1000" s="1"/>
      <c r="F1000" s="1"/>
    </row>
  </sheetData>
  <mergeCells count="2">
    <mergeCell ref="D215:F215"/>
    <mergeCell ref="D226:F226"/>
  </mergeCells>
  <conditionalFormatting sqref="B19">
    <cfRule type="expression" dxfId="2" priority="1">
      <formula>(1=1)=TRUE</formula>
    </cfRule>
  </conditionalFormatting>
  <conditionalFormatting sqref="B18">
    <cfRule type="expression" dxfId="3" priority="2">
      <formula>(1=1)=TRUE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11" width="8.0"/>
    <col customWidth="1" min="12" max="12" width="9.86"/>
    <col customWidth="1" min="13" max="26" width="8.0"/>
  </cols>
  <sheetData>
    <row r="1" ht="12.75" customHeight="1">
      <c r="A1" s="1" t="s">
        <v>1286</v>
      </c>
      <c r="L1" s="1"/>
    </row>
    <row r="2" ht="12.75" customHeight="1">
      <c r="A2" s="1"/>
      <c r="L2" s="1"/>
    </row>
    <row r="3" ht="12.75" customHeight="1">
      <c r="A3" s="1" t="s">
        <v>1287</v>
      </c>
      <c r="L3" s="1"/>
    </row>
    <row r="4" ht="12.75" customHeight="1">
      <c r="A4" s="1"/>
      <c r="L4" s="1"/>
    </row>
    <row r="5" ht="12.75" customHeight="1">
      <c r="A5" s="1"/>
      <c r="B5" s="1" t="s">
        <v>1288</v>
      </c>
      <c r="L5" s="1"/>
    </row>
    <row r="6" ht="12.75" customHeight="1">
      <c r="A6" s="1"/>
      <c r="B6" s="1" t="s">
        <v>910</v>
      </c>
      <c r="F6" s="1" t="s">
        <v>1289</v>
      </c>
      <c r="I6" s="1" t="s">
        <v>1290</v>
      </c>
      <c r="K6" s="1" t="s">
        <v>1291</v>
      </c>
      <c r="L6" s="1"/>
      <c r="M6" s="1" t="s">
        <v>1292</v>
      </c>
    </row>
    <row r="7" ht="12.75" customHeight="1">
      <c r="A7" s="1" t="s">
        <v>1293</v>
      </c>
      <c r="B7" s="1" t="s">
        <v>1294</v>
      </c>
      <c r="C7" s="1" t="s">
        <v>1295</v>
      </c>
      <c r="D7" s="1" t="s">
        <v>1296</v>
      </c>
      <c r="E7" s="1" t="s">
        <v>1297</v>
      </c>
      <c r="F7" s="1" t="s">
        <v>1298</v>
      </c>
      <c r="G7" s="1" t="s">
        <v>1299</v>
      </c>
      <c r="H7" s="1" t="s">
        <v>1300</v>
      </c>
      <c r="I7" s="1" t="s">
        <v>1301</v>
      </c>
      <c r="J7" s="1" t="s">
        <v>1302</v>
      </c>
      <c r="K7" s="1" t="s">
        <v>1301</v>
      </c>
      <c r="L7" s="1" t="s">
        <v>1302</v>
      </c>
      <c r="M7" s="1" t="s">
        <v>1301</v>
      </c>
      <c r="N7" s="1" t="s">
        <v>1302</v>
      </c>
    </row>
    <row r="8" ht="15.75" customHeight="1">
      <c r="A8" s="1"/>
      <c r="B8" s="18" t="s">
        <v>1303</v>
      </c>
      <c r="C8" s="18" t="s">
        <v>1304</v>
      </c>
      <c r="D8" s="18" t="s">
        <v>1305</v>
      </c>
      <c r="E8" s="18" t="s">
        <v>1306</v>
      </c>
      <c r="F8" s="18" t="s">
        <v>1305</v>
      </c>
      <c r="G8" s="18" t="s">
        <v>1305</v>
      </c>
      <c r="H8" s="18" t="s">
        <v>1306</v>
      </c>
      <c r="I8" s="18" t="s">
        <v>1307</v>
      </c>
      <c r="J8" s="18" t="s">
        <v>1308</v>
      </c>
      <c r="K8" s="18" t="s">
        <v>1307</v>
      </c>
      <c r="L8" s="18" t="s">
        <v>1309</v>
      </c>
      <c r="M8" s="18" t="s">
        <v>1307</v>
      </c>
      <c r="N8" s="18" t="s">
        <v>1309</v>
      </c>
    </row>
    <row r="9" ht="12.75" customHeight="1">
      <c r="A9" s="1" t="s">
        <v>1310</v>
      </c>
      <c r="B9" s="1">
        <v>1.0</v>
      </c>
      <c r="C9" s="1">
        <v>4.8</v>
      </c>
      <c r="D9" s="1">
        <v>1.8</v>
      </c>
      <c r="E9" s="1">
        <v>870.0</v>
      </c>
      <c r="F9" s="1">
        <v>1.8</v>
      </c>
      <c r="G9" s="1">
        <v>0.5</v>
      </c>
      <c r="H9" s="1">
        <v>120.0</v>
      </c>
      <c r="I9" s="1">
        <v>6.4</v>
      </c>
      <c r="J9" s="1">
        <v>29.5</v>
      </c>
      <c r="K9" s="1">
        <v>5.6</v>
      </c>
      <c r="L9" s="1">
        <v>24.0</v>
      </c>
      <c r="M9" s="1">
        <v>5.6</v>
      </c>
    </row>
    <row r="10" ht="12.75" customHeight="1">
      <c r="A10" s="249" t="s">
        <v>1311</v>
      </c>
      <c r="B10" s="1">
        <v>2.0</v>
      </c>
      <c r="C10" s="1">
        <v>4.1</v>
      </c>
      <c r="D10" s="1">
        <v>1.74</v>
      </c>
      <c r="E10" s="1">
        <v>690.0</v>
      </c>
      <c r="F10" s="1">
        <v>1.8</v>
      </c>
      <c r="G10" s="1">
        <v>0.7</v>
      </c>
      <c r="H10" s="1">
        <v>170.0</v>
      </c>
      <c r="I10" s="1">
        <v>6.4</v>
      </c>
      <c r="J10" s="1">
        <v>23.0</v>
      </c>
      <c r="K10" s="1">
        <v>5.6</v>
      </c>
      <c r="L10" s="1">
        <v>19.0</v>
      </c>
      <c r="M10" s="1">
        <v>5.6</v>
      </c>
      <c r="N10" s="1">
        <v>0.0</v>
      </c>
    </row>
    <row r="11" ht="12.75" customHeight="1">
      <c r="A11" s="74" t="s">
        <v>1312</v>
      </c>
      <c r="B11" s="74">
        <v>3.0</v>
      </c>
      <c r="C11" s="74">
        <v>3.7</v>
      </c>
      <c r="D11" s="74">
        <v>1.6</v>
      </c>
      <c r="E11" s="74">
        <v>530.0</v>
      </c>
      <c r="F11" s="74">
        <v>1.8</v>
      </c>
      <c r="G11" s="74">
        <v>0.8</v>
      </c>
      <c r="H11" s="74">
        <v>200.0</v>
      </c>
      <c r="I11" s="74">
        <v>6.4</v>
      </c>
      <c r="J11" s="74">
        <v>17.5</v>
      </c>
      <c r="K11" s="1">
        <v>5.6</v>
      </c>
      <c r="L11" s="1">
        <v>13.5</v>
      </c>
      <c r="M11" s="74">
        <v>5.6</v>
      </c>
      <c r="N11" s="74">
        <v>1.0</v>
      </c>
    </row>
    <row r="12" ht="12.75" customHeight="1">
      <c r="K12" s="1">
        <v>6.4</v>
      </c>
      <c r="L12" s="1">
        <v>14.0</v>
      </c>
    </row>
    <row r="13" ht="12.75" customHeight="1">
      <c r="A13" s="74" t="s">
        <v>1313</v>
      </c>
      <c r="B13" s="74">
        <v>4.0</v>
      </c>
      <c r="C13" s="74">
        <v>3.4</v>
      </c>
      <c r="D13" s="74">
        <v>1.51</v>
      </c>
      <c r="E13" s="74">
        <v>370.0</v>
      </c>
      <c r="F13" s="74">
        <v>1.8</v>
      </c>
      <c r="G13" s="74">
        <v>0.9</v>
      </c>
      <c r="H13" s="74">
        <v>225.0</v>
      </c>
      <c r="I13" s="74">
        <v>6.4</v>
      </c>
      <c r="J13" s="74">
        <v>11.5</v>
      </c>
      <c r="K13" s="1">
        <v>5.6</v>
      </c>
      <c r="L13" s="1">
        <v>7.2</v>
      </c>
      <c r="M13" s="74">
        <v>5.6</v>
      </c>
      <c r="N13" s="74">
        <v>2.2</v>
      </c>
    </row>
    <row r="14" ht="12.75" customHeight="1">
      <c r="K14" s="1">
        <v>6.4</v>
      </c>
      <c r="L14" s="1">
        <v>8.6</v>
      </c>
    </row>
    <row r="15" ht="12.75" customHeight="1">
      <c r="A15" s="1" t="s">
        <v>1313</v>
      </c>
      <c r="B15" s="1">
        <v>5.0</v>
      </c>
      <c r="C15" s="1">
        <v>3.2</v>
      </c>
      <c r="D15" s="1">
        <v>1.43</v>
      </c>
      <c r="E15" s="1">
        <v>320.0</v>
      </c>
      <c r="F15" s="1">
        <v>1.8</v>
      </c>
      <c r="G15" s="1">
        <v>0.95</v>
      </c>
      <c r="H15" s="1">
        <v>245.0</v>
      </c>
      <c r="I15" s="1">
        <v>6.4</v>
      </c>
      <c r="J15" s="1">
        <v>10.0</v>
      </c>
      <c r="K15" s="1">
        <v>6.4</v>
      </c>
      <c r="L15" s="1">
        <v>6.5</v>
      </c>
      <c r="M15" s="1">
        <v>5.6</v>
      </c>
      <c r="N15" s="1">
        <v>3.0</v>
      </c>
    </row>
    <row r="16" ht="12.75" customHeight="1">
      <c r="A16" s="1" t="s">
        <v>1314</v>
      </c>
      <c r="B16" s="1">
        <v>6.0</v>
      </c>
      <c r="C16" s="1">
        <v>2.9</v>
      </c>
      <c r="D16" s="1">
        <v>1.34</v>
      </c>
      <c r="E16" s="1">
        <v>290.0</v>
      </c>
      <c r="F16" s="1">
        <v>1.8</v>
      </c>
      <c r="G16" s="1">
        <v>1.0</v>
      </c>
      <c r="H16" s="1">
        <v>270.0</v>
      </c>
      <c r="I16" s="1">
        <v>6.4</v>
      </c>
      <c r="J16" s="1">
        <v>9.5</v>
      </c>
      <c r="K16" s="1">
        <v>6.4</v>
      </c>
      <c r="L16" s="1">
        <v>5.0</v>
      </c>
      <c r="M16" s="1">
        <v>5.6</v>
      </c>
      <c r="N16" s="1">
        <v>4.1</v>
      </c>
    </row>
    <row r="17" ht="12.75" customHeight="1">
      <c r="A17" s="1"/>
      <c r="L17" s="1"/>
    </row>
    <row r="18" ht="12.75" customHeight="1">
      <c r="A18" s="1"/>
      <c r="L18" s="1"/>
    </row>
    <row r="19" ht="12.75" customHeight="1">
      <c r="A19" s="1"/>
      <c r="B19" s="1" t="s">
        <v>1315</v>
      </c>
      <c r="L19" s="1"/>
    </row>
    <row r="20" ht="12.75" customHeight="1">
      <c r="A20" s="1"/>
      <c r="B20" s="1" t="s">
        <v>910</v>
      </c>
      <c r="F20" s="1" t="s">
        <v>1289</v>
      </c>
      <c r="I20" s="1" t="s">
        <v>1290</v>
      </c>
      <c r="K20" s="1" t="s">
        <v>1291</v>
      </c>
      <c r="L20" s="1"/>
      <c r="M20" s="1" t="s">
        <v>1292</v>
      </c>
    </row>
    <row r="21" ht="12.75" customHeight="1">
      <c r="A21" s="1" t="s">
        <v>1293</v>
      </c>
      <c r="B21" s="1" t="s">
        <v>1294</v>
      </c>
      <c r="C21" s="1" t="s">
        <v>1295</v>
      </c>
      <c r="D21" s="1" t="s">
        <v>1296</v>
      </c>
      <c r="E21" s="1" t="s">
        <v>1297</v>
      </c>
      <c r="F21" s="1" t="s">
        <v>1298</v>
      </c>
      <c r="G21" s="1" t="s">
        <v>1299</v>
      </c>
      <c r="H21" s="1" t="s">
        <v>1300</v>
      </c>
      <c r="I21" s="1" t="s">
        <v>1301</v>
      </c>
      <c r="J21" s="1" t="s">
        <v>1302</v>
      </c>
      <c r="K21" s="1" t="s">
        <v>1301</v>
      </c>
      <c r="L21" s="1" t="s">
        <v>1302</v>
      </c>
      <c r="M21" s="1" t="s">
        <v>1301</v>
      </c>
      <c r="N21" s="1" t="s">
        <v>1302</v>
      </c>
    </row>
    <row r="22" ht="15.75" customHeight="1">
      <c r="A22" s="1"/>
      <c r="B22" s="18" t="s">
        <v>1303</v>
      </c>
      <c r="C22" s="18" t="s">
        <v>1304</v>
      </c>
      <c r="D22" s="18" t="s">
        <v>1305</v>
      </c>
      <c r="E22" s="18" t="s">
        <v>1306</v>
      </c>
      <c r="F22" s="18" t="s">
        <v>1305</v>
      </c>
      <c r="G22" s="18" t="s">
        <v>1305</v>
      </c>
      <c r="H22" s="18" t="s">
        <v>1306</v>
      </c>
      <c r="I22" s="18" t="s">
        <v>1307</v>
      </c>
      <c r="J22" s="18" t="s">
        <v>1308</v>
      </c>
      <c r="K22" s="18" t="s">
        <v>1307</v>
      </c>
      <c r="L22" s="18" t="s">
        <v>1309</v>
      </c>
      <c r="M22" s="18" t="s">
        <v>1307</v>
      </c>
      <c r="N22" s="18" t="s">
        <v>1309</v>
      </c>
    </row>
    <row r="23" ht="12.75" customHeight="1">
      <c r="A23" s="249" t="s">
        <v>1311</v>
      </c>
      <c r="B23" s="1">
        <v>3.0</v>
      </c>
      <c r="C23" s="1">
        <v>4.0</v>
      </c>
      <c r="D23" s="1">
        <v>1.57</v>
      </c>
      <c r="E23" s="1">
        <v>515.0</v>
      </c>
      <c r="F23" s="1">
        <v>1.8</v>
      </c>
      <c r="G23" s="1">
        <v>0.72</v>
      </c>
      <c r="H23" s="1">
        <v>175.0</v>
      </c>
      <c r="I23" s="1">
        <v>6.4</v>
      </c>
      <c r="J23" s="1">
        <v>16.0</v>
      </c>
      <c r="K23" s="1">
        <v>6.4</v>
      </c>
      <c r="L23" s="1">
        <v>13.4</v>
      </c>
      <c r="M23" s="1">
        <v>5.6</v>
      </c>
      <c r="N23" s="1">
        <v>0.2</v>
      </c>
    </row>
    <row r="24" ht="12.75" customHeight="1">
      <c r="A24" s="249" t="s">
        <v>1311</v>
      </c>
      <c r="B24" s="1">
        <v>4.0</v>
      </c>
      <c r="C24" s="1">
        <v>3.7</v>
      </c>
      <c r="D24" s="1">
        <v>1.48</v>
      </c>
      <c r="E24" s="1">
        <v>360.0</v>
      </c>
      <c r="F24" s="1">
        <v>1.8</v>
      </c>
      <c r="G24" s="1">
        <v>0.8</v>
      </c>
      <c r="H24" s="1">
        <v>200.0</v>
      </c>
      <c r="I24" s="1">
        <v>6.4</v>
      </c>
      <c r="J24" s="1">
        <v>10.5</v>
      </c>
      <c r="K24" s="1">
        <v>6.4</v>
      </c>
      <c r="L24" s="1">
        <v>8.1</v>
      </c>
      <c r="M24" s="1">
        <v>5.6</v>
      </c>
      <c r="N24" s="1">
        <v>1.1</v>
      </c>
    </row>
    <row r="25" ht="12.75" customHeight="1">
      <c r="A25" s="249" t="s">
        <v>1311</v>
      </c>
      <c r="B25" s="1">
        <v>5.0</v>
      </c>
      <c r="C25" s="1">
        <v>3.5</v>
      </c>
      <c r="D25" s="1">
        <v>1.42</v>
      </c>
      <c r="E25" s="1">
        <v>305.0</v>
      </c>
      <c r="F25" s="1">
        <v>1.8</v>
      </c>
      <c r="G25" s="1">
        <v>0.85</v>
      </c>
      <c r="H25" s="1">
        <v>215.0</v>
      </c>
      <c r="I25" s="1">
        <v>6.4</v>
      </c>
      <c r="J25" s="1">
        <v>8.5</v>
      </c>
      <c r="K25" s="1">
        <v>6.4</v>
      </c>
      <c r="L25" s="1">
        <v>5.9</v>
      </c>
      <c r="M25" s="1">
        <v>5.6</v>
      </c>
      <c r="N25" s="1">
        <v>1.7</v>
      </c>
    </row>
    <row r="26" ht="12.75" customHeight="1">
      <c r="A26" s="249" t="s">
        <v>1311</v>
      </c>
      <c r="B26" s="1">
        <v>6.0</v>
      </c>
      <c r="C26" s="1">
        <v>3.2</v>
      </c>
      <c r="D26" s="1">
        <v>1.33</v>
      </c>
      <c r="E26" s="1">
        <v>275.0</v>
      </c>
      <c r="F26" s="1">
        <v>1.8</v>
      </c>
      <c r="G26" s="1">
        <v>0.94</v>
      </c>
      <c r="H26" s="1">
        <v>240.0</v>
      </c>
      <c r="I26" s="1">
        <v>6.4</v>
      </c>
      <c r="J26" s="1">
        <v>8.0</v>
      </c>
      <c r="K26" s="1">
        <v>6.4</v>
      </c>
      <c r="L26" s="1">
        <v>4.5</v>
      </c>
      <c r="M26" s="1">
        <v>5.6</v>
      </c>
      <c r="N26" s="1">
        <v>2.8</v>
      </c>
    </row>
    <row r="27" ht="12.75" customHeight="1">
      <c r="A27" s="1"/>
      <c r="L27" s="1"/>
    </row>
    <row r="28" ht="12.75" customHeight="1">
      <c r="A28" s="1"/>
      <c r="L28" s="1"/>
    </row>
    <row r="29" ht="12.75" customHeight="1">
      <c r="A29" s="1"/>
      <c r="K29" s="1" t="s">
        <v>1316</v>
      </c>
      <c r="L29" s="1"/>
    </row>
    <row r="30" ht="12.75" customHeight="1">
      <c r="A30" s="1"/>
      <c r="L30" s="1"/>
    </row>
    <row r="31" ht="12.75" customHeight="1">
      <c r="A31" s="1"/>
      <c r="K31" s="1" t="s">
        <v>1317</v>
      </c>
      <c r="L31" s="1" t="s">
        <v>1318</v>
      </c>
      <c r="M31" s="1" t="s">
        <v>1319</v>
      </c>
      <c r="N31" s="1" t="s">
        <v>1320</v>
      </c>
      <c r="O31" s="1" t="s">
        <v>1321</v>
      </c>
    </row>
    <row r="32" ht="15.75" customHeight="1">
      <c r="A32" s="1"/>
      <c r="L32" s="1" t="s">
        <v>1322</v>
      </c>
      <c r="M32" s="1" t="s">
        <v>1322</v>
      </c>
      <c r="N32" s="1" t="s">
        <v>1322</v>
      </c>
      <c r="O32" s="1" t="s">
        <v>1322</v>
      </c>
    </row>
    <row r="33" ht="12.75" customHeight="1">
      <c r="A33" s="1"/>
      <c r="K33" s="1" t="str">
        <f t="shared" ref="K33:K35" si="1">B9</f>
        <v>1 </v>
      </c>
      <c r="L33" s="1" t="str">
        <f t="shared" ref="L33:L35" si="2">D9</f>
        <v>1.8 </v>
      </c>
      <c r="N33" s="1" t="str">
        <f t="shared" ref="N33:N35" si="3">G9</f>
        <v>0.5 </v>
      </c>
    </row>
    <row r="34" ht="12.75" customHeight="1">
      <c r="A34" s="1"/>
      <c r="K34" s="1" t="str">
        <f t="shared" si="1"/>
        <v>2 </v>
      </c>
      <c r="L34" s="1" t="str">
        <f t="shared" si="2"/>
        <v>1.74 </v>
      </c>
      <c r="N34" s="1" t="str">
        <f t="shared" si="3"/>
        <v>0.7 </v>
      </c>
    </row>
    <row r="35" ht="12.75" customHeight="1">
      <c r="A35" s="1"/>
      <c r="K35" s="1" t="str">
        <f t="shared" si="1"/>
        <v>3 </v>
      </c>
      <c r="L35" s="1" t="str">
        <f t="shared" si="2"/>
        <v>1.6 </v>
      </c>
      <c r="M35" s="1" t="str">
        <f t="shared" ref="M35:M38" si="4">D23</f>
        <v>1.57 </v>
      </c>
      <c r="N35" s="1" t="str">
        <f t="shared" si="3"/>
        <v>0.8 </v>
      </c>
      <c r="O35" s="1" t="str">
        <f t="shared" ref="O35:O38" si="5">G23</f>
        <v>0.72 </v>
      </c>
    </row>
    <row r="36" ht="12.75" customHeight="1">
      <c r="A36" s="1"/>
      <c r="K36" s="1" t="str">
        <f>B13</f>
        <v>4 </v>
      </c>
      <c r="L36" s="1" t="str">
        <f>D13</f>
        <v>1.51 </v>
      </c>
      <c r="M36" s="1" t="str">
        <f t="shared" si="4"/>
        <v>1.48 </v>
      </c>
      <c r="N36" s="1" t="str">
        <f>G13</f>
        <v>0.9 </v>
      </c>
      <c r="O36" s="1" t="str">
        <f t="shared" si="5"/>
        <v>0.8 </v>
      </c>
    </row>
    <row r="37" ht="12.75" customHeight="1">
      <c r="A37" s="1"/>
      <c r="K37" s="1" t="str">
        <f t="shared" ref="K37:K38" si="6">B15</f>
        <v>5 </v>
      </c>
      <c r="L37" s="1" t="str">
        <f t="shared" ref="L37:L38" si="7">D15</f>
        <v>1.43 </v>
      </c>
      <c r="M37" s="1" t="str">
        <f t="shared" si="4"/>
        <v>1.42 </v>
      </c>
      <c r="N37" s="1" t="str">
        <f t="shared" ref="N37:N38" si="8">G15</f>
        <v>0.95 </v>
      </c>
      <c r="O37" s="1" t="str">
        <f t="shared" si="5"/>
        <v>0.85 </v>
      </c>
    </row>
    <row r="38" ht="12.75" customHeight="1">
      <c r="A38" s="1"/>
      <c r="K38" s="1" t="str">
        <f t="shared" si="6"/>
        <v>6 </v>
      </c>
      <c r="L38" s="1" t="str">
        <f t="shared" si="7"/>
        <v>1.34 </v>
      </c>
      <c r="M38" s="1" t="str">
        <f t="shared" si="4"/>
        <v>1.33 </v>
      </c>
      <c r="N38" s="1" t="str">
        <f t="shared" si="8"/>
        <v>1 </v>
      </c>
      <c r="O38" s="1" t="str">
        <f t="shared" si="5"/>
        <v>0.94 </v>
      </c>
    </row>
    <row r="39" ht="12.75" customHeight="1">
      <c r="A39" s="1"/>
      <c r="L39" s="1"/>
    </row>
    <row r="40" ht="12.75" customHeight="1">
      <c r="A40" s="1"/>
      <c r="L40" s="1"/>
    </row>
    <row r="41" ht="12.75" customHeight="1">
      <c r="A41" s="1"/>
      <c r="L41" s="1"/>
    </row>
    <row r="42" ht="12.75" customHeight="1">
      <c r="A42" s="1"/>
      <c r="L42" s="1"/>
    </row>
    <row r="43" ht="12.75" customHeight="1">
      <c r="A43" s="1"/>
      <c r="L43" s="1"/>
    </row>
    <row r="44" ht="12.75" customHeight="1">
      <c r="A44" s="1"/>
      <c r="L44" s="1"/>
    </row>
    <row r="45" ht="12.75" customHeight="1">
      <c r="A45" s="1"/>
      <c r="L45" s="1"/>
    </row>
    <row r="46" ht="12.75" customHeight="1">
      <c r="A46" s="1"/>
      <c r="L46" s="1"/>
    </row>
    <row r="47" ht="12.75" customHeight="1">
      <c r="A47" s="1"/>
      <c r="L47" s="1"/>
    </row>
    <row r="48" ht="12.75" customHeight="1">
      <c r="A48" s="1"/>
      <c r="L48" s="1"/>
    </row>
    <row r="49" ht="12.75" customHeight="1">
      <c r="A49" s="1"/>
      <c r="L49" s="1"/>
    </row>
    <row r="50" ht="12.75" customHeight="1">
      <c r="A50" s="1"/>
      <c r="L50" s="1"/>
    </row>
    <row r="51" ht="12.75" customHeight="1">
      <c r="A51" s="1"/>
      <c r="L51" s="1"/>
    </row>
    <row r="52" ht="12.75" customHeight="1">
      <c r="A52" s="1"/>
      <c r="L52" s="1"/>
    </row>
    <row r="53" ht="12.75" customHeight="1">
      <c r="A53" s="1"/>
      <c r="L53" s="1"/>
    </row>
    <row r="54" ht="12.75" customHeight="1">
      <c r="A54" s="1"/>
      <c r="L54" s="1"/>
    </row>
    <row r="55" ht="12.75" customHeight="1">
      <c r="A55" s="1"/>
      <c r="L55" s="1"/>
    </row>
    <row r="56" ht="12.75" customHeight="1">
      <c r="A56" s="1"/>
      <c r="L56" s="1"/>
    </row>
    <row r="57" ht="12.75" customHeight="1">
      <c r="A57" s="1"/>
      <c r="L57" s="1"/>
    </row>
    <row r="58" ht="12.75" customHeight="1">
      <c r="A58" s="1" t="s">
        <v>1323</v>
      </c>
      <c r="F58" s="1" t="s">
        <v>1324</v>
      </c>
      <c r="L58" s="1"/>
    </row>
    <row r="59" ht="12.75" customHeight="1">
      <c r="A59" s="1"/>
      <c r="B59" s="1" t="s">
        <v>1288</v>
      </c>
      <c r="L59" s="1"/>
    </row>
    <row r="60" ht="12.75" customHeight="1">
      <c r="A60" s="1"/>
      <c r="B60" s="1" t="s">
        <v>910</v>
      </c>
      <c r="F60" s="1" t="s">
        <v>1289</v>
      </c>
      <c r="L60" s="1"/>
    </row>
    <row r="61" ht="12.75" customHeight="1">
      <c r="A61" s="1" t="s">
        <v>1293</v>
      </c>
      <c r="B61" s="1" t="s">
        <v>1294</v>
      </c>
      <c r="C61" s="1" t="s">
        <v>1295</v>
      </c>
      <c r="D61" s="1" t="s">
        <v>1296</v>
      </c>
      <c r="E61" s="1" t="s">
        <v>1297</v>
      </c>
      <c r="F61" s="1" t="s">
        <v>1298</v>
      </c>
      <c r="G61" s="1" t="s">
        <v>1299</v>
      </c>
      <c r="H61" s="1" t="s">
        <v>1300</v>
      </c>
      <c r="L61" s="1"/>
    </row>
    <row r="62" ht="15.75" customHeight="1">
      <c r="A62" s="1"/>
      <c r="B62" s="18" t="s">
        <v>1303</v>
      </c>
      <c r="C62" s="18" t="s">
        <v>1304</v>
      </c>
      <c r="D62" s="18" t="s">
        <v>1305</v>
      </c>
      <c r="E62" s="18" t="s">
        <v>1306</v>
      </c>
      <c r="F62" s="18" t="s">
        <v>1305</v>
      </c>
      <c r="G62" s="18" t="s">
        <v>1305</v>
      </c>
      <c r="H62" s="18" t="s">
        <v>1306</v>
      </c>
      <c r="L62" s="1"/>
    </row>
    <row r="63" ht="12.75" customHeight="1">
      <c r="A63" s="1" t="str">
        <f t="shared" ref="A63:H63" si="9">A9</f>
        <v>Fort Collins</v>
      </c>
      <c r="B63" s="1" t="str">
        <f t="shared" si="9"/>
        <v>1 </v>
      </c>
      <c r="C63" s="1" t="str">
        <f t="shared" si="9"/>
        <v>4.8 </v>
      </c>
      <c r="D63" s="1" t="str">
        <f t="shared" si="9"/>
        <v>1.8 </v>
      </c>
      <c r="E63" s="1" t="str">
        <f t="shared" si="9"/>
        <v>870 </v>
      </c>
      <c r="F63" s="1" t="str">
        <f t="shared" si="9"/>
        <v>1.8 </v>
      </c>
      <c r="G63" s="1" t="str">
        <f t="shared" si="9"/>
        <v>0.5 </v>
      </c>
      <c r="H63" s="1" t="str">
        <f t="shared" si="9"/>
        <v>120 </v>
      </c>
      <c r="L63" s="1"/>
    </row>
    <row r="64" ht="12.75" customHeight="1">
      <c r="A64" s="1" t="str">
        <f t="shared" ref="A64:H64" si="10">A10</f>
        <v>Simulation</v>
      </c>
      <c r="B64" s="1" t="str">
        <f t="shared" si="10"/>
        <v>2 </v>
      </c>
      <c r="C64" s="1" t="str">
        <f t="shared" si="10"/>
        <v>4.1 </v>
      </c>
      <c r="D64" s="1" t="str">
        <f t="shared" si="10"/>
        <v>1.74 </v>
      </c>
      <c r="E64" s="1" t="str">
        <f t="shared" si="10"/>
        <v>690 </v>
      </c>
      <c r="F64" s="1" t="str">
        <f t="shared" si="10"/>
        <v>1.8 </v>
      </c>
      <c r="G64" s="1" t="str">
        <f t="shared" si="10"/>
        <v>0.7 </v>
      </c>
      <c r="H64" s="1" t="str">
        <f t="shared" si="10"/>
        <v>170 </v>
      </c>
      <c r="L64" s="1"/>
    </row>
    <row r="65" ht="12.75" customHeight="1">
      <c r="A65" s="1" t="str">
        <f t="shared" ref="A65:H65" si="11">A11</f>
        <v>Laegerdorf</v>
      </c>
      <c r="B65" s="1" t="str">
        <f t="shared" si="11"/>
        <v>3 </v>
      </c>
      <c r="C65" s="1" t="str">
        <f t="shared" si="11"/>
        <v>3.7 </v>
      </c>
      <c r="D65" s="1" t="str">
        <f t="shared" si="11"/>
        <v>1.6 </v>
      </c>
      <c r="E65" s="1" t="str">
        <f t="shared" si="11"/>
        <v>530 </v>
      </c>
      <c r="F65" s="1" t="str">
        <f t="shared" si="11"/>
        <v>1.8 </v>
      </c>
      <c r="G65" s="1" t="str">
        <f t="shared" si="11"/>
        <v>0.8 </v>
      </c>
      <c r="H65" s="1" t="str">
        <f t="shared" si="11"/>
        <v>200 </v>
      </c>
      <c r="L65" s="1"/>
    </row>
    <row r="66" ht="12.75" customHeight="1">
      <c r="A66" s="1" t="str">
        <f t="shared" ref="A66:H66" si="12">A13</f>
        <v>H-Gruppe</v>
      </c>
      <c r="B66" s="1" t="str">
        <f t="shared" si="12"/>
        <v>4 </v>
      </c>
      <c r="C66" s="1" t="str">
        <f t="shared" si="12"/>
        <v>3.4 </v>
      </c>
      <c r="D66" s="1" t="str">
        <f t="shared" si="12"/>
        <v>1.51 </v>
      </c>
      <c r="E66" s="1" t="str">
        <f t="shared" si="12"/>
        <v>370 </v>
      </c>
      <c r="F66" s="1" t="str">
        <f t="shared" si="12"/>
        <v>1.8 </v>
      </c>
      <c r="G66" s="1" t="str">
        <f t="shared" si="12"/>
        <v>0.9 </v>
      </c>
      <c r="H66" s="1" t="str">
        <f t="shared" si="12"/>
        <v>225 </v>
      </c>
      <c r="L66" s="1"/>
    </row>
    <row r="67" ht="12.75" customHeight="1">
      <c r="A67" s="1" t="str">
        <f t="shared" ref="A67:H67" si="13">A15</f>
        <v>H-Gruppe</v>
      </c>
      <c r="B67" s="1" t="str">
        <f t="shared" si="13"/>
        <v>5 </v>
      </c>
      <c r="C67" s="1" t="str">
        <f t="shared" si="13"/>
        <v>3.2 </v>
      </c>
      <c r="D67" s="1" t="str">
        <f t="shared" si="13"/>
        <v>1.43 </v>
      </c>
      <c r="E67" s="1" t="str">
        <f t="shared" si="13"/>
        <v>320 </v>
      </c>
      <c r="F67" s="1" t="str">
        <f t="shared" si="13"/>
        <v>1.8 </v>
      </c>
      <c r="G67" s="1" t="str">
        <f t="shared" si="13"/>
        <v>0.95 </v>
      </c>
      <c r="H67" s="1" t="str">
        <f t="shared" si="13"/>
        <v>245 </v>
      </c>
      <c r="L67" s="1"/>
    </row>
    <row r="68" ht="12.75" customHeight="1">
      <c r="A68" s="1" t="str">
        <f t="shared" ref="A68:H68" si="14">A16</f>
        <v>Ramos Arizpe</v>
      </c>
      <c r="B68" s="1" t="str">
        <f t="shared" si="14"/>
        <v>6 </v>
      </c>
      <c r="C68" s="1" t="str">
        <f t="shared" si="14"/>
        <v>2.9 </v>
      </c>
      <c r="D68" s="1" t="str">
        <f t="shared" si="14"/>
        <v>1.34 </v>
      </c>
      <c r="E68" s="1" t="str">
        <f t="shared" si="14"/>
        <v>290 </v>
      </c>
      <c r="F68" s="1" t="str">
        <f t="shared" si="14"/>
        <v>1.8 </v>
      </c>
      <c r="G68" s="1" t="str">
        <f t="shared" si="14"/>
        <v>1 </v>
      </c>
      <c r="H68" s="1" t="str">
        <f t="shared" si="14"/>
        <v>270 </v>
      </c>
      <c r="L68" s="1"/>
    </row>
    <row r="69" ht="12.75" customHeight="1">
      <c r="A69" s="1"/>
      <c r="L69" s="1"/>
    </row>
    <row r="70" ht="12.75" customHeight="1">
      <c r="A70" s="1"/>
      <c r="B70" s="1" t="s">
        <v>1315</v>
      </c>
      <c r="L70" s="1"/>
    </row>
    <row r="71" ht="12.75" customHeight="1">
      <c r="A71" s="1"/>
      <c r="B71" s="1" t="s">
        <v>910</v>
      </c>
      <c r="F71" s="1" t="s">
        <v>1289</v>
      </c>
      <c r="L71" s="1"/>
    </row>
    <row r="72" ht="12.75" customHeight="1">
      <c r="A72" s="1" t="s">
        <v>1293</v>
      </c>
      <c r="B72" s="1" t="s">
        <v>1294</v>
      </c>
      <c r="C72" s="1" t="s">
        <v>1295</v>
      </c>
      <c r="D72" s="1" t="s">
        <v>1296</v>
      </c>
      <c r="E72" s="1" t="s">
        <v>1297</v>
      </c>
      <c r="F72" s="1" t="s">
        <v>1298</v>
      </c>
      <c r="G72" s="1" t="s">
        <v>1299</v>
      </c>
      <c r="H72" s="1" t="s">
        <v>1300</v>
      </c>
      <c r="L72" s="1"/>
    </row>
    <row r="73" ht="15.75" customHeight="1">
      <c r="A73" s="1"/>
      <c r="B73" s="18" t="s">
        <v>1303</v>
      </c>
      <c r="C73" s="18" t="s">
        <v>1304</v>
      </c>
      <c r="D73" s="18" t="s">
        <v>1305</v>
      </c>
      <c r="E73" s="18" t="s">
        <v>1306</v>
      </c>
      <c r="F73" s="18" t="s">
        <v>1305</v>
      </c>
      <c r="G73" s="18" t="s">
        <v>1305</v>
      </c>
      <c r="H73" s="18" t="s">
        <v>1306</v>
      </c>
      <c r="L73" s="1"/>
    </row>
    <row r="74" ht="12.75" customHeight="1">
      <c r="A74" s="1" t="str">
        <f t="shared" ref="A74:H74" si="15">A23</f>
        <v>Simulation</v>
      </c>
      <c r="B74" s="1" t="str">
        <f t="shared" si="15"/>
        <v>3 </v>
      </c>
      <c r="C74" s="1" t="str">
        <f t="shared" si="15"/>
        <v>4 </v>
      </c>
      <c r="D74" s="1" t="str">
        <f t="shared" si="15"/>
        <v>1.57 </v>
      </c>
      <c r="E74" s="1" t="str">
        <f t="shared" si="15"/>
        <v>515 </v>
      </c>
      <c r="F74" s="1" t="str">
        <f t="shared" si="15"/>
        <v>1.8 </v>
      </c>
      <c r="G74" s="1" t="str">
        <f t="shared" si="15"/>
        <v>0.72 </v>
      </c>
      <c r="H74" s="1" t="str">
        <f t="shared" si="15"/>
        <v>175 </v>
      </c>
      <c r="L74" s="1"/>
    </row>
    <row r="75" ht="12.75" customHeight="1">
      <c r="A75" s="1" t="str">
        <f t="shared" ref="A75:H75" si="16">A24</f>
        <v>Simulation</v>
      </c>
      <c r="B75" s="1" t="str">
        <f t="shared" si="16"/>
        <v>4 </v>
      </c>
      <c r="C75" s="1" t="str">
        <f t="shared" si="16"/>
        <v>3.7 </v>
      </c>
      <c r="D75" s="1" t="str">
        <f t="shared" si="16"/>
        <v>1.48 </v>
      </c>
      <c r="E75" s="1" t="str">
        <f t="shared" si="16"/>
        <v>360 </v>
      </c>
      <c r="F75" s="1" t="str">
        <f t="shared" si="16"/>
        <v>1.8 </v>
      </c>
      <c r="G75" s="1" t="str">
        <f t="shared" si="16"/>
        <v>0.8 </v>
      </c>
      <c r="H75" s="1" t="str">
        <f t="shared" si="16"/>
        <v>200 </v>
      </c>
      <c r="L75" s="1"/>
    </row>
    <row r="76" ht="12.75" customHeight="1">
      <c r="A76" s="1" t="str">
        <f t="shared" ref="A76:H76" si="17">A25</f>
        <v>Simulation</v>
      </c>
      <c r="B76" s="1" t="str">
        <f t="shared" si="17"/>
        <v>5 </v>
      </c>
      <c r="C76" s="1" t="str">
        <f t="shared" si="17"/>
        <v>3.5 </v>
      </c>
      <c r="D76" s="1" t="str">
        <f t="shared" si="17"/>
        <v>1.42 </v>
      </c>
      <c r="E76" s="1" t="str">
        <f t="shared" si="17"/>
        <v>305 </v>
      </c>
      <c r="F76" s="1" t="str">
        <f t="shared" si="17"/>
        <v>1.8 </v>
      </c>
      <c r="G76" s="1" t="str">
        <f t="shared" si="17"/>
        <v>0.85 </v>
      </c>
      <c r="H76" s="1" t="str">
        <f t="shared" si="17"/>
        <v>215 </v>
      </c>
      <c r="L76" s="1"/>
    </row>
    <row r="77" ht="12.75" customHeight="1">
      <c r="A77" s="1" t="str">
        <f t="shared" ref="A77:H77" si="18">A26</f>
        <v>Simulation</v>
      </c>
      <c r="B77" s="1" t="str">
        <f t="shared" si="18"/>
        <v>6 </v>
      </c>
      <c r="C77" s="1" t="str">
        <f t="shared" si="18"/>
        <v>3.2 </v>
      </c>
      <c r="D77" s="1" t="str">
        <f t="shared" si="18"/>
        <v>1.33 </v>
      </c>
      <c r="E77" s="1" t="str">
        <f t="shared" si="18"/>
        <v>275 </v>
      </c>
      <c r="F77" s="1" t="str">
        <f t="shared" si="18"/>
        <v>1.8 </v>
      </c>
      <c r="G77" s="1" t="str">
        <f t="shared" si="18"/>
        <v>0.94 </v>
      </c>
      <c r="H77" s="1" t="str">
        <f t="shared" si="18"/>
        <v>240 </v>
      </c>
      <c r="L77" s="1"/>
    </row>
    <row r="78" ht="12.75" customHeight="1">
      <c r="A78" s="1"/>
      <c r="L78" s="1"/>
    </row>
    <row r="79" ht="12.75" customHeight="1">
      <c r="A79" s="1"/>
      <c r="L79" s="1"/>
    </row>
    <row r="80" ht="12.75" customHeight="1">
      <c r="A80" s="1"/>
      <c r="L80" s="1"/>
    </row>
    <row r="81" ht="12.75" customHeight="1">
      <c r="A81" s="1"/>
      <c r="L81" s="1"/>
    </row>
    <row r="82" ht="12.75" customHeight="1">
      <c r="A82" s="1"/>
      <c r="L82" s="1"/>
    </row>
    <row r="83" ht="12.75" customHeight="1">
      <c r="A83" s="1"/>
      <c r="L83" s="1"/>
    </row>
    <row r="84" ht="12.75" customHeight="1">
      <c r="A84" s="1"/>
      <c r="L84" s="1"/>
    </row>
    <row r="85" ht="12.75" customHeight="1">
      <c r="A85" s="1"/>
      <c r="L85" s="1"/>
    </row>
    <row r="86" ht="12.75" customHeight="1">
      <c r="A86" s="1"/>
      <c r="L86" s="1"/>
    </row>
    <row r="87" ht="12.75" customHeight="1">
      <c r="A87" s="1"/>
      <c r="L87" s="1"/>
    </row>
    <row r="88" ht="12.75" customHeight="1">
      <c r="A88" s="1"/>
      <c r="L88" s="1"/>
    </row>
    <row r="89" ht="12.75" customHeight="1">
      <c r="A89" s="1"/>
      <c r="L89" s="1"/>
    </row>
    <row r="90" ht="12.75" customHeight="1">
      <c r="A90" s="1"/>
      <c r="L90" s="1"/>
    </row>
    <row r="91" ht="12.75" customHeight="1">
      <c r="A91" s="1"/>
      <c r="L91" s="1"/>
    </row>
    <row r="92" ht="12.75" customHeight="1">
      <c r="A92" s="1"/>
      <c r="L92" s="1"/>
    </row>
    <row r="93" ht="12.75" customHeight="1">
      <c r="A93" s="1"/>
      <c r="L93" s="1"/>
    </row>
    <row r="94" ht="12.75" customHeight="1">
      <c r="A94" s="1"/>
      <c r="L94" s="1"/>
    </row>
    <row r="95" ht="12.75" customHeight="1">
      <c r="A95" s="1"/>
      <c r="L95" s="1"/>
    </row>
    <row r="96" ht="12.75" customHeight="1">
      <c r="A96" s="1"/>
      <c r="L96" s="1"/>
    </row>
    <row r="97" ht="12.75" customHeight="1">
      <c r="A97" s="1"/>
      <c r="L97" s="1"/>
    </row>
    <row r="98" ht="12.75" customHeight="1">
      <c r="A98" s="1"/>
      <c r="L98" s="1"/>
    </row>
    <row r="99" ht="12.75" customHeight="1">
      <c r="A99" s="1"/>
      <c r="L99" s="1"/>
    </row>
    <row r="100" ht="12.75" customHeight="1">
      <c r="A100" s="1"/>
      <c r="L100" s="1"/>
    </row>
    <row r="101" ht="12.75" customHeight="1">
      <c r="A101" s="1"/>
      <c r="L101" s="1"/>
    </row>
    <row r="102" ht="12.75" customHeight="1">
      <c r="A102" s="1"/>
      <c r="L102" s="1"/>
    </row>
    <row r="103" ht="12.75" customHeight="1">
      <c r="A103" s="1"/>
      <c r="L103" s="1"/>
    </row>
    <row r="104" ht="12.75" customHeight="1">
      <c r="A104" s="1"/>
      <c r="L104" s="1"/>
    </row>
    <row r="105" ht="12.75" customHeight="1">
      <c r="A105" s="1"/>
      <c r="L105" s="1"/>
    </row>
    <row r="106" ht="12.75" customHeight="1">
      <c r="A106" s="1"/>
      <c r="L106" s="1"/>
    </row>
    <row r="107" ht="12.75" customHeight="1">
      <c r="A107" s="1"/>
      <c r="L107" s="1"/>
    </row>
    <row r="108" ht="12.75" customHeight="1">
      <c r="A108" s="1"/>
      <c r="L108" s="1"/>
    </row>
    <row r="109" ht="12.75" customHeight="1">
      <c r="A109" s="1"/>
      <c r="L109" s="1"/>
    </row>
    <row r="110" ht="12.75" customHeight="1">
      <c r="A110" s="1"/>
      <c r="L110" s="1"/>
    </row>
    <row r="111" ht="12.75" customHeight="1">
      <c r="A111" s="1"/>
      <c r="L111" s="1"/>
    </row>
    <row r="112" ht="12.75" customHeight="1">
      <c r="A112" s="1"/>
      <c r="L112" s="1"/>
    </row>
    <row r="113" ht="12.75" customHeight="1">
      <c r="A113" s="1"/>
      <c r="L113" s="1"/>
    </row>
    <row r="114" ht="12.75" customHeight="1">
      <c r="A114" s="1"/>
      <c r="L114" s="1"/>
    </row>
    <row r="115" ht="12.75" customHeight="1">
      <c r="A115" s="1"/>
      <c r="L115" s="1"/>
    </row>
    <row r="116" ht="12.75" customHeight="1">
      <c r="A116" s="1"/>
      <c r="L116" s="1"/>
    </row>
    <row r="117" ht="12.75" customHeight="1">
      <c r="A117" s="1"/>
      <c r="L117" s="1"/>
    </row>
    <row r="118" ht="12.75" customHeight="1">
      <c r="A118" s="1"/>
      <c r="L118" s="1"/>
    </row>
    <row r="119" ht="12.75" customHeight="1">
      <c r="A119" s="1"/>
      <c r="L119" s="1"/>
    </row>
    <row r="120" ht="12.75" customHeight="1">
      <c r="A120" s="1"/>
      <c r="L120" s="1"/>
    </row>
    <row r="121" ht="12.75" customHeight="1">
      <c r="A121" s="1"/>
      <c r="L121" s="1"/>
    </row>
    <row r="122" ht="12.75" customHeight="1">
      <c r="A122" s="1"/>
      <c r="L122" s="1"/>
    </row>
    <row r="123" ht="12.75" customHeight="1">
      <c r="A123" s="1"/>
      <c r="L123" s="1"/>
    </row>
    <row r="124" ht="12.75" customHeight="1">
      <c r="A124" s="1"/>
      <c r="L124" s="1"/>
    </row>
    <row r="125" ht="12.75" customHeight="1">
      <c r="A125" s="1"/>
      <c r="L125" s="1"/>
    </row>
    <row r="126" ht="12.75" customHeight="1">
      <c r="A126" s="1"/>
      <c r="L126" s="1"/>
    </row>
    <row r="127" ht="12.75" customHeight="1">
      <c r="A127" s="1"/>
      <c r="L127" s="1"/>
    </row>
    <row r="128" ht="12.75" customHeight="1">
      <c r="A128" s="1"/>
      <c r="L128" s="1"/>
    </row>
    <row r="129" ht="12.75" customHeight="1">
      <c r="A129" s="1"/>
      <c r="L129" s="1"/>
    </row>
    <row r="130" ht="12.75" customHeight="1">
      <c r="A130" s="1"/>
      <c r="L130" s="1"/>
    </row>
    <row r="131" ht="12.75" customHeight="1">
      <c r="A131" s="1"/>
      <c r="L131" s="1"/>
    </row>
    <row r="132" ht="12.75" customHeight="1">
      <c r="A132" s="1"/>
      <c r="L132" s="1"/>
    </row>
    <row r="133" ht="12.75" customHeight="1">
      <c r="A133" s="1"/>
      <c r="L133" s="1"/>
    </row>
    <row r="134" ht="12.75" customHeight="1">
      <c r="A134" s="1"/>
      <c r="L134" s="1"/>
    </row>
    <row r="135" ht="12.75" customHeight="1">
      <c r="A135" s="1"/>
      <c r="L135" s="1"/>
    </row>
    <row r="136" ht="12.75" customHeight="1">
      <c r="A136" s="1"/>
      <c r="L136" s="1"/>
    </row>
    <row r="137" ht="12.75" customHeight="1">
      <c r="A137" s="1"/>
      <c r="L137" s="1"/>
    </row>
    <row r="138" ht="12.75" customHeight="1">
      <c r="A138" s="1"/>
      <c r="L138" s="1"/>
    </row>
    <row r="139" ht="12.75" customHeight="1">
      <c r="A139" s="1"/>
      <c r="L139" s="1"/>
    </row>
    <row r="140" ht="12.75" customHeight="1">
      <c r="A140" s="1"/>
      <c r="L140" s="1"/>
    </row>
    <row r="141" ht="12.75" customHeight="1">
      <c r="A141" s="1"/>
      <c r="L141" s="1"/>
    </row>
    <row r="142" ht="12.75" customHeight="1">
      <c r="A142" s="1"/>
      <c r="L142" s="1"/>
    </row>
    <row r="143" ht="12.75" customHeight="1">
      <c r="A143" s="1"/>
      <c r="L143" s="1"/>
    </row>
    <row r="144" ht="12.75" customHeight="1">
      <c r="A144" s="1"/>
      <c r="L144" s="1"/>
    </row>
    <row r="145" ht="12.75" customHeight="1">
      <c r="A145" s="1"/>
      <c r="L145" s="1"/>
    </row>
    <row r="146" ht="12.75" customHeight="1">
      <c r="A146" s="1"/>
      <c r="L146" s="1"/>
    </row>
    <row r="147" ht="12.75" customHeight="1">
      <c r="A147" s="1"/>
      <c r="L147" s="1"/>
    </row>
    <row r="148" ht="12.75" customHeight="1">
      <c r="A148" s="1"/>
      <c r="L148" s="1"/>
    </row>
    <row r="149" ht="12.75" customHeight="1">
      <c r="A149" s="1"/>
      <c r="L149" s="1"/>
    </row>
    <row r="150" ht="12.75" customHeight="1">
      <c r="A150" s="1"/>
      <c r="L150" s="1"/>
    </row>
    <row r="151" ht="12.75" customHeight="1">
      <c r="A151" s="1"/>
      <c r="L151" s="1"/>
    </row>
    <row r="152" ht="12.75" customHeight="1">
      <c r="A152" s="1"/>
      <c r="L152" s="1"/>
    </row>
    <row r="153" ht="12.75" customHeight="1">
      <c r="A153" s="1"/>
      <c r="L153" s="1"/>
    </row>
    <row r="154" ht="12.75" customHeight="1">
      <c r="A154" s="1"/>
      <c r="L154" s="1"/>
    </row>
    <row r="155" ht="12.75" customHeight="1">
      <c r="A155" s="1"/>
      <c r="L155" s="1"/>
    </row>
    <row r="156" ht="12.75" customHeight="1">
      <c r="A156" s="1"/>
      <c r="L156" s="1"/>
    </row>
    <row r="157" ht="12.75" customHeight="1">
      <c r="A157" s="1"/>
      <c r="L157" s="1"/>
    </row>
    <row r="158" ht="12.75" customHeight="1">
      <c r="A158" s="1"/>
      <c r="L158" s="1"/>
    </row>
    <row r="159" ht="12.75" customHeight="1">
      <c r="A159" s="1"/>
      <c r="L159" s="1"/>
    </row>
    <row r="160" ht="12.75" customHeight="1">
      <c r="A160" s="1"/>
      <c r="L160" s="1"/>
    </row>
    <row r="161" ht="12.75" customHeight="1">
      <c r="A161" s="1"/>
      <c r="L161" s="1"/>
    </row>
    <row r="162" ht="12.75" customHeight="1">
      <c r="A162" s="1"/>
      <c r="L162" s="1"/>
    </row>
    <row r="163" ht="12.75" customHeight="1">
      <c r="A163" s="1"/>
      <c r="L163" s="1"/>
    </row>
    <row r="164" ht="12.75" customHeight="1">
      <c r="A164" s="1"/>
      <c r="L164" s="1"/>
    </row>
    <row r="165" ht="12.75" customHeight="1">
      <c r="A165" s="1"/>
      <c r="L165" s="1"/>
    </row>
    <row r="166" ht="12.75" customHeight="1">
      <c r="A166" s="1"/>
      <c r="L166" s="1"/>
    </row>
    <row r="167" ht="12.75" customHeight="1">
      <c r="A167" s="1"/>
      <c r="L167" s="1"/>
    </row>
    <row r="168" ht="12.75" customHeight="1">
      <c r="A168" s="1"/>
      <c r="L168" s="1"/>
    </row>
    <row r="169" ht="12.75" customHeight="1">
      <c r="A169" s="1"/>
      <c r="L169" s="1"/>
    </row>
    <row r="170" ht="12.75" customHeight="1">
      <c r="A170" s="1"/>
      <c r="L170" s="1"/>
    </row>
    <row r="171" ht="12.75" customHeight="1">
      <c r="A171" s="1"/>
      <c r="L171" s="1"/>
    </row>
    <row r="172" ht="12.75" customHeight="1">
      <c r="A172" s="1"/>
      <c r="L172" s="1"/>
    </row>
    <row r="173" ht="12.75" customHeight="1">
      <c r="A173" s="1"/>
      <c r="L173" s="1"/>
    </row>
    <row r="174" ht="12.75" customHeight="1">
      <c r="A174" s="1"/>
      <c r="L174" s="1"/>
    </row>
    <row r="175" ht="12.75" customHeight="1">
      <c r="A175" s="1"/>
      <c r="L175" s="1"/>
    </row>
    <row r="176" ht="12.75" customHeight="1">
      <c r="A176" s="1"/>
      <c r="L176" s="1"/>
    </row>
    <row r="177" ht="12.75" customHeight="1">
      <c r="A177" s="1"/>
      <c r="L177" s="1"/>
    </row>
    <row r="178" ht="12.75" customHeight="1">
      <c r="A178" s="1"/>
      <c r="L178" s="1"/>
    </row>
    <row r="179" ht="12.75" customHeight="1">
      <c r="A179" s="1"/>
      <c r="L179" s="1"/>
    </row>
    <row r="180" ht="12.75" customHeight="1">
      <c r="A180" s="1"/>
      <c r="L180" s="1"/>
    </row>
    <row r="181" ht="12.75" customHeight="1">
      <c r="A181" s="1"/>
      <c r="L181" s="1"/>
    </row>
    <row r="182" ht="12.75" customHeight="1">
      <c r="A182" s="1"/>
      <c r="L182" s="1"/>
    </row>
    <row r="183" ht="12.75" customHeight="1">
      <c r="A183" s="1"/>
      <c r="L183" s="1"/>
    </row>
    <row r="184" ht="12.75" customHeight="1">
      <c r="A184" s="1"/>
      <c r="L184" s="1"/>
    </row>
    <row r="185" ht="12.75" customHeight="1">
      <c r="A185" s="1"/>
      <c r="L185" s="1"/>
    </row>
    <row r="186" ht="12.75" customHeight="1">
      <c r="A186" s="1"/>
      <c r="L186" s="1"/>
    </row>
    <row r="187" ht="12.75" customHeight="1">
      <c r="A187" s="1"/>
      <c r="L187" s="1"/>
    </row>
    <row r="188" ht="12.75" customHeight="1">
      <c r="A188" s="1"/>
      <c r="L188" s="1"/>
    </row>
    <row r="189" ht="12.75" customHeight="1">
      <c r="A189" s="1"/>
      <c r="L189" s="1"/>
    </row>
    <row r="190" ht="12.75" customHeight="1">
      <c r="A190" s="1"/>
      <c r="L190" s="1"/>
    </row>
    <row r="191" ht="12.75" customHeight="1">
      <c r="A191" s="1"/>
      <c r="L191" s="1"/>
    </row>
    <row r="192" ht="12.75" customHeight="1">
      <c r="A192" s="1"/>
      <c r="L192" s="1"/>
    </row>
    <row r="193" ht="12.75" customHeight="1">
      <c r="A193" s="1"/>
      <c r="L193" s="1"/>
    </row>
    <row r="194" ht="12.75" customHeight="1">
      <c r="A194" s="1"/>
      <c r="L194" s="1"/>
    </row>
    <row r="195" ht="12.75" customHeight="1">
      <c r="A195" s="1"/>
      <c r="L195" s="1"/>
    </row>
    <row r="196" ht="12.75" customHeight="1">
      <c r="A196" s="1"/>
      <c r="L196" s="1"/>
    </row>
    <row r="197" ht="12.75" customHeight="1">
      <c r="A197" s="1"/>
      <c r="L197" s="1"/>
    </row>
    <row r="198" ht="12.75" customHeight="1">
      <c r="A198" s="1"/>
      <c r="L198" s="1"/>
    </row>
    <row r="199" ht="12.75" customHeight="1">
      <c r="A199" s="1"/>
      <c r="L199" s="1"/>
    </row>
    <row r="200" ht="12.75" customHeight="1">
      <c r="A200" s="1"/>
      <c r="L200" s="1"/>
    </row>
    <row r="201" ht="12.75" customHeight="1">
      <c r="A201" s="1"/>
      <c r="L201" s="1"/>
    </row>
    <row r="202" ht="12.75" customHeight="1">
      <c r="A202" s="1"/>
      <c r="L202" s="1"/>
    </row>
    <row r="203" ht="12.75" customHeight="1">
      <c r="A203" s="1"/>
      <c r="L203" s="1"/>
    </row>
    <row r="204" ht="12.75" customHeight="1">
      <c r="A204" s="1"/>
      <c r="L204" s="1"/>
    </row>
    <row r="205" ht="12.75" customHeight="1">
      <c r="A205" s="1"/>
      <c r="L205" s="1"/>
    </row>
    <row r="206" ht="12.75" customHeight="1">
      <c r="A206" s="1"/>
      <c r="L206" s="1"/>
    </row>
    <row r="207" ht="12.75" customHeight="1">
      <c r="A207" s="1"/>
      <c r="L207" s="1"/>
    </row>
    <row r="208" ht="12.75" customHeight="1">
      <c r="A208" s="1"/>
      <c r="L208" s="1"/>
    </row>
    <row r="209" ht="12.75" customHeight="1">
      <c r="A209" s="1"/>
      <c r="L209" s="1"/>
    </row>
    <row r="210" ht="12.75" customHeight="1">
      <c r="A210" s="1"/>
      <c r="L210" s="1"/>
    </row>
    <row r="211" ht="12.75" customHeight="1">
      <c r="A211" s="1"/>
      <c r="L211" s="1"/>
    </row>
    <row r="212" ht="12.75" customHeight="1">
      <c r="A212" s="1"/>
      <c r="L212" s="1"/>
    </row>
    <row r="213" ht="12.75" customHeight="1">
      <c r="A213" s="1"/>
      <c r="L213" s="1"/>
    </row>
    <row r="214" ht="12.75" customHeight="1">
      <c r="A214" s="1"/>
      <c r="L214" s="1"/>
    </row>
    <row r="215" ht="12.75" customHeight="1">
      <c r="A215" s="1"/>
      <c r="L215" s="1"/>
    </row>
    <row r="216" ht="12.75" customHeight="1">
      <c r="A216" s="1"/>
      <c r="L216" s="1"/>
    </row>
    <row r="217" ht="12.75" customHeight="1">
      <c r="A217" s="1"/>
      <c r="L217" s="1"/>
    </row>
    <row r="218" ht="12.75" customHeight="1">
      <c r="A218" s="1"/>
      <c r="L218" s="1"/>
    </row>
    <row r="219" ht="12.75" customHeight="1">
      <c r="A219" s="1"/>
      <c r="L219" s="1"/>
    </row>
    <row r="220" ht="12.75" customHeight="1">
      <c r="A220" s="1"/>
      <c r="L220" s="1"/>
    </row>
    <row r="221" ht="12.75" customHeight="1">
      <c r="A221" s="1"/>
      <c r="L221" s="1"/>
    </row>
    <row r="222" ht="12.75" customHeight="1">
      <c r="A222" s="1"/>
      <c r="L222" s="1"/>
    </row>
    <row r="223" ht="12.75" customHeight="1">
      <c r="A223" s="1"/>
      <c r="L223" s="1"/>
    </row>
    <row r="224" ht="12.75" customHeight="1">
      <c r="A224" s="1"/>
      <c r="L224" s="1"/>
    </row>
    <row r="225" ht="12.75" customHeight="1">
      <c r="A225" s="1"/>
      <c r="L225" s="1"/>
    </row>
    <row r="226" ht="12.75" customHeight="1">
      <c r="A226" s="1"/>
      <c r="L226" s="1"/>
    </row>
    <row r="227" ht="12.75" customHeight="1">
      <c r="A227" s="1"/>
      <c r="L227" s="1"/>
    </row>
    <row r="228" ht="12.75" customHeight="1">
      <c r="A228" s="1"/>
      <c r="L228" s="1"/>
    </row>
    <row r="229" ht="12.75" customHeight="1">
      <c r="A229" s="1"/>
      <c r="L229" s="1"/>
    </row>
    <row r="230" ht="12.75" customHeight="1">
      <c r="A230" s="1"/>
      <c r="L230" s="1"/>
    </row>
    <row r="231" ht="12.75" customHeight="1">
      <c r="A231" s="1"/>
      <c r="L231" s="1"/>
    </row>
    <row r="232" ht="12.75" customHeight="1">
      <c r="A232" s="1"/>
      <c r="L232" s="1"/>
    </row>
    <row r="233" ht="12.75" customHeight="1">
      <c r="A233" s="1"/>
      <c r="L233" s="1"/>
    </row>
    <row r="234" ht="12.75" customHeight="1">
      <c r="A234" s="1"/>
      <c r="L234" s="1"/>
    </row>
    <row r="235" ht="12.75" customHeight="1">
      <c r="A235" s="1"/>
      <c r="L235" s="1"/>
    </row>
    <row r="236" ht="12.75" customHeight="1">
      <c r="A236" s="1"/>
      <c r="L236" s="1"/>
    </row>
    <row r="237" ht="12.75" customHeight="1">
      <c r="A237" s="1"/>
      <c r="L237" s="1"/>
    </row>
    <row r="238" ht="12.75" customHeight="1">
      <c r="A238" s="1"/>
      <c r="L238" s="1"/>
    </row>
    <row r="239" ht="12.75" customHeight="1">
      <c r="A239" s="1"/>
      <c r="L239" s="1"/>
    </row>
    <row r="240" ht="12.75" customHeight="1">
      <c r="A240" s="1"/>
      <c r="L240" s="1"/>
    </row>
    <row r="241" ht="12.75" customHeight="1">
      <c r="A241" s="1"/>
      <c r="L241" s="1"/>
    </row>
    <row r="242" ht="12.75" customHeight="1">
      <c r="A242" s="1"/>
      <c r="L242" s="1"/>
    </row>
    <row r="243" ht="12.75" customHeight="1">
      <c r="A243" s="1"/>
      <c r="L243" s="1"/>
    </row>
    <row r="244" ht="12.75" customHeight="1">
      <c r="A244" s="1"/>
      <c r="L244" s="1"/>
    </row>
    <row r="245" ht="12.75" customHeight="1">
      <c r="A245" s="1"/>
      <c r="L245" s="1"/>
    </row>
    <row r="246" ht="12.75" customHeight="1">
      <c r="A246" s="1"/>
      <c r="L246" s="1"/>
    </row>
    <row r="247" ht="12.75" customHeight="1">
      <c r="A247" s="1"/>
      <c r="L247" s="1"/>
    </row>
    <row r="248" ht="12.75" customHeight="1">
      <c r="A248" s="1"/>
      <c r="L248" s="1"/>
    </row>
    <row r="249" ht="12.75" customHeight="1">
      <c r="A249" s="1"/>
      <c r="L249" s="1"/>
    </row>
    <row r="250" ht="12.75" customHeight="1">
      <c r="A250" s="1"/>
      <c r="L250" s="1"/>
    </row>
    <row r="251" ht="12.75" customHeight="1">
      <c r="A251" s="1"/>
      <c r="L251" s="1"/>
    </row>
    <row r="252" ht="12.75" customHeight="1">
      <c r="A252" s="1"/>
      <c r="L252" s="1"/>
    </row>
    <row r="253" ht="12.75" customHeight="1">
      <c r="A253" s="1"/>
      <c r="L253" s="1"/>
    </row>
    <row r="254" ht="12.75" customHeight="1">
      <c r="A254" s="1"/>
      <c r="L254" s="1"/>
    </row>
    <row r="255" ht="12.75" customHeight="1">
      <c r="A255" s="1"/>
      <c r="L255" s="1"/>
    </row>
    <row r="256" ht="12.75" customHeight="1">
      <c r="A256" s="1"/>
      <c r="L256" s="1"/>
    </row>
    <row r="257" ht="12.75" customHeight="1">
      <c r="A257" s="1"/>
      <c r="L257" s="1"/>
    </row>
    <row r="258" ht="12.75" customHeight="1">
      <c r="A258" s="1"/>
      <c r="L258" s="1"/>
    </row>
    <row r="259" ht="12.75" customHeight="1">
      <c r="A259" s="1"/>
      <c r="L259" s="1"/>
    </row>
    <row r="260" ht="12.75" customHeight="1">
      <c r="A260" s="1"/>
      <c r="L260" s="1"/>
    </row>
    <row r="261" ht="12.75" customHeight="1">
      <c r="A261" s="1"/>
      <c r="L261" s="1"/>
    </row>
    <row r="262" ht="12.75" customHeight="1">
      <c r="A262" s="1"/>
      <c r="L262" s="1"/>
    </row>
    <row r="263" ht="12.75" customHeight="1">
      <c r="A263" s="1"/>
      <c r="L263" s="1"/>
    </row>
    <row r="264" ht="12.75" customHeight="1">
      <c r="A264" s="1"/>
      <c r="L264" s="1"/>
    </row>
    <row r="265" ht="12.75" customHeight="1">
      <c r="A265" s="1"/>
      <c r="L265" s="1"/>
    </row>
    <row r="266" ht="12.75" customHeight="1">
      <c r="A266" s="1"/>
      <c r="L266" s="1"/>
    </row>
    <row r="267" ht="12.75" customHeight="1">
      <c r="A267" s="1"/>
      <c r="L267" s="1"/>
    </row>
    <row r="268" ht="12.75" customHeight="1">
      <c r="A268" s="1"/>
      <c r="L268" s="1"/>
    </row>
    <row r="269" ht="12.75" customHeight="1">
      <c r="A269" s="1"/>
      <c r="L269" s="1"/>
    </row>
    <row r="270" ht="12.75" customHeight="1">
      <c r="A270" s="1"/>
      <c r="L270" s="1"/>
    </row>
    <row r="271" ht="12.75" customHeight="1">
      <c r="A271" s="1"/>
      <c r="L271" s="1"/>
    </row>
    <row r="272" ht="12.75" customHeight="1">
      <c r="A272" s="1"/>
      <c r="L272" s="1"/>
    </row>
    <row r="273" ht="12.75" customHeight="1">
      <c r="A273" s="1"/>
      <c r="L273" s="1"/>
    </row>
    <row r="274" ht="12.75" customHeight="1">
      <c r="A274" s="1"/>
      <c r="L274" s="1"/>
    </row>
    <row r="275" ht="12.75" customHeight="1">
      <c r="A275" s="1"/>
      <c r="L275" s="1"/>
    </row>
    <row r="276" ht="12.75" customHeight="1">
      <c r="A276" s="1"/>
      <c r="L276" s="1"/>
    </row>
    <row r="277" ht="12.75" customHeight="1">
      <c r="A277" s="1"/>
      <c r="L277" s="1"/>
    </row>
    <row r="278" ht="12.75" customHeight="1">
      <c r="A278" s="1"/>
      <c r="L278" s="1"/>
    </row>
    <row r="279" ht="12.75" customHeight="1">
      <c r="A279" s="1"/>
      <c r="L279" s="1"/>
    </row>
    <row r="280" ht="12.75" customHeight="1">
      <c r="A280" s="1"/>
      <c r="L280" s="1"/>
    </row>
    <row r="281" ht="12.75" customHeight="1">
      <c r="A281" s="1"/>
      <c r="L281" s="1"/>
    </row>
    <row r="282" ht="12.75" customHeight="1">
      <c r="A282" s="1"/>
      <c r="L282" s="1"/>
    </row>
    <row r="283" ht="12.75" customHeight="1">
      <c r="A283" s="1"/>
      <c r="L283" s="1"/>
    </row>
    <row r="284" ht="12.75" customHeight="1">
      <c r="A284" s="1"/>
      <c r="L284" s="1"/>
    </row>
    <row r="285" ht="12.75" customHeight="1">
      <c r="A285" s="1"/>
      <c r="L285" s="1"/>
    </row>
    <row r="286" ht="12.75" customHeight="1">
      <c r="A286" s="1"/>
      <c r="L286" s="1"/>
    </row>
    <row r="287" ht="12.75" customHeight="1">
      <c r="A287" s="1"/>
      <c r="L287" s="1"/>
    </row>
    <row r="288" ht="12.75" customHeight="1">
      <c r="A288" s="1"/>
      <c r="L288" s="1"/>
    </row>
    <row r="289" ht="12.75" customHeight="1">
      <c r="A289" s="1"/>
      <c r="L289" s="1"/>
    </row>
    <row r="290" ht="12.75" customHeight="1">
      <c r="A290" s="1"/>
      <c r="L290" s="1"/>
    </row>
    <row r="291" ht="12.75" customHeight="1">
      <c r="A291" s="1"/>
      <c r="L291" s="1"/>
    </row>
    <row r="292" ht="12.75" customHeight="1">
      <c r="A292" s="1"/>
      <c r="L292" s="1"/>
    </row>
    <row r="293" ht="12.75" customHeight="1">
      <c r="A293" s="1"/>
      <c r="L293" s="1"/>
    </row>
    <row r="294" ht="12.75" customHeight="1">
      <c r="A294" s="1"/>
      <c r="L294" s="1"/>
    </row>
    <row r="295" ht="12.75" customHeight="1">
      <c r="A295" s="1"/>
      <c r="L295" s="1"/>
    </row>
    <row r="296" ht="12.75" customHeight="1">
      <c r="A296" s="1"/>
      <c r="L296" s="1"/>
    </row>
    <row r="297" ht="12.75" customHeight="1">
      <c r="A297" s="1"/>
      <c r="L297" s="1"/>
    </row>
    <row r="298" ht="12.75" customHeight="1">
      <c r="A298" s="1"/>
      <c r="L298" s="1"/>
    </row>
    <row r="299" ht="12.75" customHeight="1">
      <c r="A299" s="1"/>
      <c r="L299" s="1"/>
    </row>
    <row r="300" ht="12.75" customHeight="1">
      <c r="A300" s="1"/>
      <c r="L300" s="1"/>
    </row>
    <row r="301" ht="12.75" customHeight="1">
      <c r="A301" s="1"/>
      <c r="L301" s="1"/>
    </row>
    <row r="302" ht="12.75" customHeight="1">
      <c r="A302" s="1"/>
      <c r="L302" s="1"/>
    </row>
    <row r="303" ht="12.75" customHeight="1">
      <c r="A303" s="1"/>
      <c r="L303" s="1"/>
    </row>
    <row r="304" ht="12.75" customHeight="1">
      <c r="A304" s="1"/>
      <c r="L304" s="1"/>
    </row>
    <row r="305" ht="12.75" customHeight="1">
      <c r="A305" s="1"/>
      <c r="L305" s="1"/>
    </row>
    <row r="306" ht="12.75" customHeight="1">
      <c r="A306" s="1"/>
      <c r="L306" s="1"/>
    </row>
    <row r="307" ht="12.75" customHeight="1">
      <c r="A307" s="1"/>
      <c r="L307" s="1"/>
    </row>
    <row r="308" ht="12.75" customHeight="1">
      <c r="A308" s="1"/>
      <c r="L308" s="1"/>
    </row>
    <row r="309" ht="12.75" customHeight="1">
      <c r="A309" s="1"/>
      <c r="L309" s="1"/>
    </row>
    <row r="310" ht="12.75" customHeight="1">
      <c r="A310" s="1"/>
      <c r="L310" s="1"/>
    </row>
    <row r="311" ht="12.75" customHeight="1">
      <c r="A311" s="1"/>
      <c r="L311" s="1"/>
    </row>
    <row r="312" ht="12.75" customHeight="1">
      <c r="A312" s="1"/>
      <c r="L312" s="1"/>
    </row>
    <row r="313" ht="12.75" customHeight="1">
      <c r="A313" s="1"/>
      <c r="L313" s="1"/>
    </row>
    <row r="314" ht="12.75" customHeight="1">
      <c r="A314" s="1"/>
      <c r="L314" s="1"/>
    </row>
    <row r="315" ht="12.75" customHeight="1">
      <c r="A315" s="1"/>
      <c r="L315" s="1"/>
    </row>
    <row r="316" ht="12.75" customHeight="1">
      <c r="A316" s="1"/>
      <c r="L316" s="1"/>
    </row>
    <row r="317" ht="12.75" customHeight="1">
      <c r="A317" s="1"/>
      <c r="L317" s="1"/>
    </row>
    <row r="318" ht="12.75" customHeight="1">
      <c r="A318" s="1"/>
      <c r="L318" s="1"/>
    </row>
    <row r="319" ht="12.75" customHeight="1">
      <c r="A319" s="1"/>
      <c r="L319" s="1"/>
    </row>
    <row r="320" ht="12.75" customHeight="1">
      <c r="A320" s="1"/>
      <c r="L320" s="1"/>
    </row>
    <row r="321" ht="12.75" customHeight="1">
      <c r="A321" s="1"/>
      <c r="L321" s="1"/>
    </row>
    <row r="322" ht="12.75" customHeight="1">
      <c r="A322" s="1"/>
      <c r="L322" s="1"/>
    </row>
    <row r="323" ht="12.75" customHeight="1">
      <c r="A323" s="1"/>
      <c r="L323" s="1"/>
    </row>
    <row r="324" ht="12.75" customHeight="1">
      <c r="A324" s="1"/>
      <c r="L324" s="1"/>
    </row>
    <row r="325" ht="12.75" customHeight="1">
      <c r="A325" s="1"/>
      <c r="L325" s="1"/>
    </row>
    <row r="326" ht="12.75" customHeight="1">
      <c r="A326" s="1"/>
      <c r="L326" s="1"/>
    </row>
    <row r="327" ht="12.75" customHeight="1">
      <c r="A327" s="1"/>
      <c r="L327" s="1"/>
    </row>
    <row r="328" ht="12.75" customHeight="1">
      <c r="A328" s="1"/>
      <c r="L328" s="1"/>
    </row>
    <row r="329" ht="12.75" customHeight="1">
      <c r="A329" s="1"/>
      <c r="L329" s="1"/>
    </row>
    <row r="330" ht="12.75" customHeight="1">
      <c r="A330" s="1"/>
      <c r="L330" s="1"/>
    </row>
    <row r="331" ht="12.75" customHeight="1">
      <c r="A331" s="1"/>
      <c r="L331" s="1"/>
    </row>
    <row r="332" ht="12.75" customHeight="1">
      <c r="A332" s="1"/>
      <c r="L332" s="1"/>
    </row>
    <row r="333" ht="12.75" customHeight="1">
      <c r="A333" s="1"/>
      <c r="L333" s="1"/>
    </row>
    <row r="334" ht="12.75" customHeight="1">
      <c r="A334" s="1"/>
      <c r="L334" s="1"/>
    </row>
    <row r="335" ht="12.75" customHeight="1">
      <c r="A335" s="1"/>
      <c r="L335" s="1"/>
    </row>
    <row r="336" ht="12.75" customHeight="1">
      <c r="A336" s="1"/>
      <c r="L336" s="1"/>
    </row>
    <row r="337" ht="12.75" customHeight="1">
      <c r="A337" s="1"/>
      <c r="L337" s="1"/>
    </row>
    <row r="338" ht="12.75" customHeight="1">
      <c r="A338" s="1"/>
      <c r="L338" s="1"/>
    </row>
    <row r="339" ht="12.75" customHeight="1">
      <c r="A339" s="1"/>
      <c r="L339" s="1"/>
    </row>
    <row r="340" ht="12.75" customHeight="1">
      <c r="A340" s="1"/>
      <c r="L340" s="1"/>
    </row>
    <row r="341" ht="12.75" customHeight="1">
      <c r="A341" s="1"/>
      <c r="L341" s="1"/>
    </row>
    <row r="342" ht="12.75" customHeight="1">
      <c r="A342" s="1"/>
      <c r="L342" s="1"/>
    </row>
    <row r="343" ht="12.75" customHeight="1">
      <c r="A343" s="1"/>
      <c r="L343" s="1"/>
    </row>
    <row r="344" ht="12.75" customHeight="1">
      <c r="A344" s="1"/>
      <c r="L344" s="1"/>
    </row>
    <row r="345" ht="12.75" customHeight="1">
      <c r="A345" s="1"/>
      <c r="L345" s="1"/>
    </row>
    <row r="346" ht="12.75" customHeight="1">
      <c r="A346" s="1"/>
      <c r="L346" s="1"/>
    </row>
    <row r="347" ht="12.75" customHeight="1">
      <c r="A347" s="1"/>
      <c r="L347" s="1"/>
    </row>
    <row r="348" ht="12.75" customHeight="1">
      <c r="A348" s="1"/>
      <c r="L348" s="1"/>
    </row>
    <row r="349" ht="12.75" customHeight="1">
      <c r="A349" s="1"/>
      <c r="L349" s="1"/>
    </row>
    <row r="350" ht="12.75" customHeight="1">
      <c r="A350" s="1"/>
      <c r="L350" s="1"/>
    </row>
    <row r="351" ht="12.75" customHeight="1">
      <c r="A351" s="1"/>
      <c r="L351" s="1"/>
    </row>
    <row r="352" ht="12.75" customHeight="1">
      <c r="A352" s="1"/>
      <c r="L352" s="1"/>
    </row>
    <row r="353" ht="12.75" customHeight="1">
      <c r="A353" s="1"/>
      <c r="L353" s="1"/>
    </row>
    <row r="354" ht="12.75" customHeight="1">
      <c r="A354" s="1"/>
      <c r="L354" s="1"/>
    </row>
    <row r="355" ht="12.75" customHeight="1">
      <c r="A355" s="1"/>
      <c r="L355" s="1"/>
    </row>
    <row r="356" ht="12.75" customHeight="1">
      <c r="A356" s="1"/>
      <c r="L356" s="1"/>
    </row>
    <row r="357" ht="12.75" customHeight="1">
      <c r="A357" s="1"/>
      <c r="L357" s="1"/>
    </row>
    <row r="358" ht="12.75" customHeight="1">
      <c r="A358" s="1"/>
      <c r="L358" s="1"/>
    </row>
    <row r="359" ht="12.75" customHeight="1">
      <c r="A359" s="1"/>
      <c r="L359" s="1"/>
    </row>
    <row r="360" ht="12.75" customHeight="1">
      <c r="A360" s="1"/>
      <c r="L360" s="1"/>
    </row>
    <row r="361" ht="12.75" customHeight="1">
      <c r="A361" s="1"/>
      <c r="L361" s="1"/>
    </row>
    <row r="362" ht="12.75" customHeight="1">
      <c r="A362" s="1"/>
      <c r="L362" s="1"/>
    </row>
    <row r="363" ht="12.75" customHeight="1">
      <c r="A363" s="1"/>
      <c r="L363" s="1"/>
    </row>
    <row r="364" ht="12.75" customHeight="1">
      <c r="A364" s="1"/>
      <c r="L364" s="1"/>
    </row>
    <row r="365" ht="12.75" customHeight="1">
      <c r="A365" s="1"/>
      <c r="L365" s="1"/>
    </row>
    <row r="366" ht="12.75" customHeight="1">
      <c r="A366" s="1"/>
      <c r="L366" s="1"/>
    </row>
    <row r="367" ht="12.75" customHeight="1">
      <c r="A367" s="1"/>
      <c r="L367" s="1"/>
    </row>
    <row r="368" ht="12.75" customHeight="1">
      <c r="A368" s="1"/>
      <c r="L368" s="1"/>
    </row>
    <row r="369" ht="12.75" customHeight="1">
      <c r="A369" s="1"/>
      <c r="L369" s="1"/>
    </row>
    <row r="370" ht="12.75" customHeight="1">
      <c r="A370" s="1"/>
      <c r="L370" s="1"/>
    </row>
    <row r="371" ht="12.75" customHeight="1">
      <c r="A371" s="1"/>
      <c r="L371" s="1"/>
    </row>
    <row r="372" ht="12.75" customHeight="1">
      <c r="A372" s="1"/>
      <c r="L372" s="1"/>
    </row>
    <row r="373" ht="12.75" customHeight="1">
      <c r="A373" s="1"/>
      <c r="L373" s="1"/>
    </row>
    <row r="374" ht="12.75" customHeight="1">
      <c r="A374" s="1"/>
      <c r="L374" s="1"/>
    </row>
    <row r="375" ht="12.75" customHeight="1">
      <c r="A375" s="1"/>
      <c r="L375" s="1"/>
    </row>
    <row r="376" ht="12.75" customHeight="1">
      <c r="A376" s="1"/>
      <c r="L376" s="1"/>
    </row>
    <row r="377" ht="12.75" customHeight="1">
      <c r="A377" s="1"/>
      <c r="L377" s="1"/>
    </row>
    <row r="378" ht="12.75" customHeight="1">
      <c r="A378" s="1"/>
      <c r="L378" s="1"/>
    </row>
    <row r="379" ht="12.75" customHeight="1">
      <c r="A379" s="1"/>
      <c r="L379" s="1"/>
    </row>
    <row r="380" ht="12.75" customHeight="1">
      <c r="A380" s="1"/>
      <c r="L380" s="1"/>
    </row>
    <row r="381" ht="12.75" customHeight="1">
      <c r="A381" s="1"/>
      <c r="L381" s="1"/>
    </row>
    <row r="382" ht="12.75" customHeight="1">
      <c r="A382" s="1"/>
      <c r="L382" s="1"/>
    </row>
    <row r="383" ht="12.75" customHeight="1">
      <c r="A383" s="1"/>
      <c r="L383" s="1"/>
    </row>
    <row r="384" ht="12.75" customHeight="1">
      <c r="A384" s="1"/>
      <c r="L384" s="1"/>
    </row>
    <row r="385" ht="12.75" customHeight="1">
      <c r="A385" s="1"/>
      <c r="L385" s="1"/>
    </row>
    <row r="386" ht="12.75" customHeight="1">
      <c r="A386" s="1"/>
      <c r="L386" s="1"/>
    </row>
    <row r="387" ht="12.75" customHeight="1">
      <c r="A387" s="1"/>
      <c r="L387" s="1"/>
    </row>
    <row r="388" ht="12.75" customHeight="1">
      <c r="A388" s="1"/>
      <c r="L388" s="1"/>
    </row>
    <row r="389" ht="12.75" customHeight="1">
      <c r="A389" s="1"/>
      <c r="L389" s="1"/>
    </row>
    <row r="390" ht="12.75" customHeight="1">
      <c r="A390" s="1"/>
      <c r="L390" s="1"/>
    </row>
    <row r="391" ht="12.75" customHeight="1">
      <c r="A391" s="1"/>
      <c r="L391" s="1"/>
    </row>
    <row r="392" ht="12.75" customHeight="1">
      <c r="A392" s="1"/>
      <c r="L392" s="1"/>
    </row>
    <row r="393" ht="12.75" customHeight="1">
      <c r="A393" s="1"/>
      <c r="L393" s="1"/>
    </row>
    <row r="394" ht="12.75" customHeight="1">
      <c r="A394" s="1"/>
      <c r="L394" s="1"/>
    </row>
    <row r="395" ht="12.75" customHeight="1">
      <c r="A395" s="1"/>
      <c r="L395" s="1"/>
    </row>
    <row r="396" ht="12.75" customHeight="1">
      <c r="A396" s="1"/>
      <c r="L396" s="1"/>
    </row>
    <row r="397" ht="12.75" customHeight="1">
      <c r="A397" s="1"/>
      <c r="L397" s="1"/>
    </row>
    <row r="398" ht="12.75" customHeight="1">
      <c r="A398" s="1"/>
      <c r="L398" s="1"/>
    </row>
    <row r="399" ht="12.75" customHeight="1">
      <c r="A399" s="1"/>
      <c r="L399" s="1"/>
    </row>
    <row r="400" ht="12.75" customHeight="1">
      <c r="A400" s="1"/>
      <c r="L400" s="1"/>
    </row>
    <row r="401" ht="12.75" customHeight="1">
      <c r="A401" s="1"/>
      <c r="L401" s="1"/>
    </row>
    <row r="402" ht="12.75" customHeight="1">
      <c r="A402" s="1"/>
      <c r="L402" s="1"/>
    </row>
    <row r="403" ht="12.75" customHeight="1">
      <c r="A403" s="1"/>
      <c r="L403" s="1"/>
    </row>
    <row r="404" ht="12.75" customHeight="1">
      <c r="A404" s="1"/>
      <c r="L404" s="1"/>
    </row>
    <row r="405" ht="12.75" customHeight="1">
      <c r="A405" s="1"/>
      <c r="L405" s="1"/>
    </row>
    <row r="406" ht="12.75" customHeight="1">
      <c r="A406" s="1"/>
      <c r="L406" s="1"/>
    </row>
    <row r="407" ht="12.75" customHeight="1">
      <c r="A407" s="1"/>
      <c r="L407" s="1"/>
    </row>
    <row r="408" ht="12.75" customHeight="1">
      <c r="A408" s="1"/>
      <c r="L408" s="1"/>
    </row>
    <row r="409" ht="12.75" customHeight="1">
      <c r="A409" s="1"/>
      <c r="L409" s="1"/>
    </row>
    <row r="410" ht="12.75" customHeight="1">
      <c r="A410" s="1"/>
      <c r="L410" s="1"/>
    </row>
    <row r="411" ht="12.75" customHeight="1">
      <c r="A411" s="1"/>
      <c r="L411" s="1"/>
    </row>
    <row r="412" ht="12.75" customHeight="1">
      <c r="A412" s="1"/>
      <c r="L412" s="1"/>
    </row>
    <row r="413" ht="12.75" customHeight="1">
      <c r="A413" s="1"/>
      <c r="L413" s="1"/>
    </row>
    <row r="414" ht="12.75" customHeight="1">
      <c r="A414" s="1"/>
      <c r="L414" s="1"/>
    </row>
    <row r="415" ht="12.75" customHeight="1">
      <c r="A415" s="1"/>
      <c r="L415" s="1"/>
    </row>
    <row r="416" ht="12.75" customHeight="1">
      <c r="A416" s="1"/>
      <c r="L416" s="1"/>
    </row>
    <row r="417" ht="12.75" customHeight="1">
      <c r="A417" s="1"/>
      <c r="L417" s="1"/>
    </row>
    <row r="418" ht="12.75" customHeight="1">
      <c r="A418" s="1"/>
      <c r="L418" s="1"/>
    </row>
    <row r="419" ht="12.75" customHeight="1">
      <c r="A419" s="1"/>
      <c r="L419" s="1"/>
    </row>
    <row r="420" ht="12.75" customHeight="1">
      <c r="A420" s="1"/>
      <c r="L420" s="1"/>
    </row>
    <row r="421" ht="12.75" customHeight="1">
      <c r="A421" s="1"/>
      <c r="L421" s="1"/>
    </row>
    <row r="422" ht="12.75" customHeight="1">
      <c r="A422" s="1"/>
      <c r="L422" s="1"/>
    </row>
    <row r="423" ht="12.75" customHeight="1">
      <c r="A423" s="1"/>
      <c r="L423" s="1"/>
    </row>
    <row r="424" ht="12.75" customHeight="1">
      <c r="A424" s="1"/>
      <c r="L424" s="1"/>
    </row>
    <row r="425" ht="12.75" customHeight="1">
      <c r="A425" s="1"/>
      <c r="L425" s="1"/>
    </row>
    <row r="426" ht="12.75" customHeight="1">
      <c r="A426" s="1"/>
      <c r="L426" s="1"/>
    </row>
    <row r="427" ht="12.75" customHeight="1">
      <c r="A427" s="1"/>
      <c r="L427" s="1"/>
    </row>
    <row r="428" ht="12.75" customHeight="1">
      <c r="A428" s="1"/>
      <c r="L428" s="1"/>
    </row>
    <row r="429" ht="12.75" customHeight="1">
      <c r="A429" s="1"/>
      <c r="L429" s="1"/>
    </row>
    <row r="430" ht="12.75" customHeight="1">
      <c r="A430" s="1"/>
      <c r="L430" s="1"/>
    </row>
    <row r="431" ht="12.75" customHeight="1">
      <c r="A431" s="1"/>
      <c r="L431" s="1"/>
    </row>
    <row r="432" ht="12.75" customHeight="1">
      <c r="A432" s="1"/>
      <c r="L432" s="1"/>
    </row>
    <row r="433" ht="12.75" customHeight="1">
      <c r="A433" s="1"/>
      <c r="L433" s="1"/>
    </row>
    <row r="434" ht="12.75" customHeight="1">
      <c r="A434" s="1"/>
      <c r="L434" s="1"/>
    </row>
    <row r="435" ht="12.75" customHeight="1">
      <c r="A435" s="1"/>
      <c r="L435" s="1"/>
    </row>
    <row r="436" ht="12.75" customHeight="1">
      <c r="A436" s="1"/>
      <c r="L436" s="1"/>
    </row>
    <row r="437" ht="12.75" customHeight="1">
      <c r="A437" s="1"/>
      <c r="L437" s="1"/>
    </row>
    <row r="438" ht="12.75" customHeight="1">
      <c r="A438" s="1"/>
      <c r="L438" s="1"/>
    </row>
    <row r="439" ht="12.75" customHeight="1">
      <c r="A439" s="1"/>
      <c r="L439" s="1"/>
    </row>
    <row r="440" ht="12.75" customHeight="1">
      <c r="A440" s="1"/>
      <c r="L440" s="1"/>
    </row>
    <row r="441" ht="12.75" customHeight="1">
      <c r="A441" s="1"/>
      <c r="L441" s="1"/>
    </row>
    <row r="442" ht="12.75" customHeight="1">
      <c r="A442" s="1"/>
      <c r="L442" s="1"/>
    </row>
    <row r="443" ht="12.75" customHeight="1">
      <c r="A443" s="1"/>
      <c r="L443" s="1"/>
    </row>
    <row r="444" ht="12.75" customHeight="1">
      <c r="A444" s="1"/>
      <c r="L444" s="1"/>
    </row>
    <row r="445" ht="12.75" customHeight="1">
      <c r="A445" s="1"/>
      <c r="L445" s="1"/>
    </row>
    <row r="446" ht="12.75" customHeight="1">
      <c r="A446" s="1"/>
      <c r="L446" s="1"/>
    </row>
    <row r="447" ht="12.75" customHeight="1">
      <c r="A447" s="1"/>
      <c r="L447" s="1"/>
    </row>
    <row r="448" ht="12.75" customHeight="1">
      <c r="A448" s="1"/>
      <c r="L448" s="1"/>
    </row>
    <row r="449" ht="12.75" customHeight="1">
      <c r="A449" s="1"/>
      <c r="L449" s="1"/>
    </row>
    <row r="450" ht="12.75" customHeight="1">
      <c r="A450" s="1"/>
      <c r="L450" s="1"/>
    </row>
    <row r="451" ht="12.75" customHeight="1">
      <c r="A451" s="1"/>
      <c r="L451" s="1"/>
    </row>
    <row r="452" ht="12.75" customHeight="1">
      <c r="A452" s="1"/>
      <c r="L452" s="1"/>
    </row>
    <row r="453" ht="12.75" customHeight="1">
      <c r="A453" s="1"/>
      <c r="L453" s="1"/>
    </row>
    <row r="454" ht="12.75" customHeight="1">
      <c r="A454" s="1"/>
      <c r="L454" s="1"/>
    </row>
    <row r="455" ht="12.75" customHeight="1">
      <c r="A455" s="1"/>
      <c r="L455" s="1"/>
    </row>
    <row r="456" ht="12.75" customHeight="1">
      <c r="A456" s="1"/>
      <c r="L456" s="1"/>
    </row>
    <row r="457" ht="12.75" customHeight="1">
      <c r="A457" s="1"/>
      <c r="L457" s="1"/>
    </row>
    <row r="458" ht="12.75" customHeight="1">
      <c r="A458" s="1"/>
      <c r="L458" s="1"/>
    </row>
    <row r="459" ht="12.75" customHeight="1">
      <c r="A459" s="1"/>
      <c r="L459" s="1"/>
    </row>
    <row r="460" ht="12.75" customHeight="1">
      <c r="A460" s="1"/>
      <c r="L460" s="1"/>
    </row>
    <row r="461" ht="12.75" customHeight="1">
      <c r="A461" s="1"/>
      <c r="L461" s="1"/>
    </row>
    <row r="462" ht="12.75" customHeight="1">
      <c r="A462" s="1"/>
      <c r="L462" s="1"/>
    </row>
    <row r="463" ht="12.75" customHeight="1">
      <c r="A463" s="1"/>
      <c r="L463" s="1"/>
    </row>
    <row r="464" ht="12.75" customHeight="1">
      <c r="A464" s="1"/>
      <c r="L464" s="1"/>
    </row>
    <row r="465" ht="12.75" customHeight="1">
      <c r="A465" s="1"/>
      <c r="L465" s="1"/>
    </row>
    <row r="466" ht="12.75" customHeight="1">
      <c r="A466" s="1"/>
      <c r="L466" s="1"/>
    </row>
    <row r="467" ht="12.75" customHeight="1">
      <c r="A467" s="1"/>
      <c r="L467" s="1"/>
    </row>
    <row r="468" ht="12.75" customHeight="1">
      <c r="A468" s="1"/>
      <c r="L468" s="1"/>
    </row>
    <row r="469" ht="12.75" customHeight="1">
      <c r="A469" s="1"/>
      <c r="L469" s="1"/>
    </row>
    <row r="470" ht="12.75" customHeight="1">
      <c r="A470" s="1"/>
      <c r="L470" s="1"/>
    </row>
    <row r="471" ht="12.75" customHeight="1">
      <c r="A471" s="1"/>
      <c r="L471" s="1"/>
    </row>
    <row r="472" ht="12.75" customHeight="1">
      <c r="A472" s="1"/>
      <c r="L472" s="1"/>
    </row>
    <row r="473" ht="12.75" customHeight="1">
      <c r="A473" s="1"/>
      <c r="L473" s="1"/>
    </row>
    <row r="474" ht="12.75" customHeight="1">
      <c r="A474" s="1"/>
      <c r="L474" s="1"/>
    </row>
    <row r="475" ht="12.75" customHeight="1">
      <c r="A475" s="1"/>
      <c r="L475" s="1"/>
    </row>
    <row r="476" ht="12.75" customHeight="1">
      <c r="A476" s="1"/>
      <c r="L476" s="1"/>
    </row>
    <row r="477" ht="12.75" customHeight="1">
      <c r="A477" s="1"/>
      <c r="L477" s="1"/>
    </row>
    <row r="478" ht="12.75" customHeight="1">
      <c r="A478" s="1"/>
      <c r="L478" s="1"/>
    </row>
    <row r="479" ht="12.75" customHeight="1">
      <c r="A479" s="1"/>
      <c r="L479" s="1"/>
    </row>
    <row r="480" ht="12.75" customHeight="1">
      <c r="A480" s="1"/>
      <c r="L480" s="1"/>
    </row>
    <row r="481" ht="12.75" customHeight="1">
      <c r="A481" s="1"/>
      <c r="L481" s="1"/>
    </row>
    <row r="482" ht="12.75" customHeight="1">
      <c r="A482" s="1"/>
      <c r="L482" s="1"/>
    </row>
    <row r="483" ht="12.75" customHeight="1">
      <c r="A483" s="1"/>
      <c r="L483" s="1"/>
    </row>
    <row r="484" ht="12.75" customHeight="1">
      <c r="A484" s="1"/>
      <c r="L484" s="1"/>
    </row>
    <row r="485" ht="12.75" customHeight="1">
      <c r="A485" s="1"/>
      <c r="L485" s="1"/>
    </row>
    <row r="486" ht="12.75" customHeight="1">
      <c r="A486" s="1"/>
      <c r="L486" s="1"/>
    </row>
    <row r="487" ht="12.75" customHeight="1">
      <c r="A487" s="1"/>
      <c r="L487" s="1"/>
    </row>
    <row r="488" ht="12.75" customHeight="1">
      <c r="A488" s="1"/>
      <c r="L488" s="1"/>
    </row>
    <row r="489" ht="12.75" customHeight="1">
      <c r="A489" s="1"/>
      <c r="L489" s="1"/>
    </row>
    <row r="490" ht="12.75" customHeight="1">
      <c r="A490" s="1"/>
      <c r="L490" s="1"/>
    </row>
    <row r="491" ht="12.75" customHeight="1">
      <c r="A491" s="1"/>
      <c r="L491" s="1"/>
    </row>
    <row r="492" ht="12.75" customHeight="1">
      <c r="A492" s="1"/>
      <c r="L492" s="1"/>
    </row>
    <row r="493" ht="12.75" customHeight="1">
      <c r="A493" s="1"/>
      <c r="L493" s="1"/>
    </row>
    <row r="494" ht="12.75" customHeight="1">
      <c r="A494" s="1"/>
      <c r="L494" s="1"/>
    </row>
    <row r="495" ht="12.75" customHeight="1">
      <c r="A495" s="1"/>
      <c r="L495" s="1"/>
    </row>
    <row r="496" ht="12.75" customHeight="1">
      <c r="A496" s="1"/>
      <c r="L496" s="1"/>
    </row>
    <row r="497" ht="12.75" customHeight="1">
      <c r="A497" s="1"/>
      <c r="L497" s="1"/>
    </row>
    <row r="498" ht="12.75" customHeight="1">
      <c r="A498" s="1"/>
      <c r="L498" s="1"/>
    </row>
    <row r="499" ht="12.75" customHeight="1">
      <c r="A499" s="1"/>
      <c r="L499" s="1"/>
    </row>
    <row r="500" ht="12.75" customHeight="1">
      <c r="A500" s="1"/>
      <c r="L500" s="1"/>
    </row>
    <row r="501" ht="12.75" customHeight="1">
      <c r="A501" s="1"/>
      <c r="L501" s="1"/>
    </row>
    <row r="502" ht="12.75" customHeight="1">
      <c r="A502" s="1"/>
      <c r="L502" s="1"/>
    </row>
    <row r="503" ht="12.75" customHeight="1">
      <c r="A503" s="1"/>
      <c r="L503" s="1"/>
    </row>
    <row r="504" ht="12.75" customHeight="1">
      <c r="A504" s="1"/>
      <c r="L504" s="1"/>
    </row>
    <row r="505" ht="12.75" customHeight="1">
      <c r="A505" s="1"/>
      <c r="L505" s="1"/>
    </row>
    <row r="506" ht="12.75" customHeight="1">
      <c r="A506" s="1"/>
      <c r="L506" s="1"/>
    </row>
    <row r="507" ht="12.75" customHeight="1">
      <c r="A507" s="1"/>
      <c r="L507" s="1"/>
    </row>
    <row r="508" ht="12.75" customHeight="1">
      <c r="A508" s="1"/>
      <c r="L508" s="1"/>
    </row>
    <row r="509" ht="12.75" customHeight="1">
      <c r="A509" s="1"/>
      <c r="L509" s="1"/>
    </row>
    <row r="510" ht="12.75" customHeight="1">
      <c r="A510" s="1"/>
      <c r="L510" s="1"/>
    </row>
    <row r="511" ht="12.75" customHeight="1">
      <c r="A511" s="1"/>
      <c r="L511" s="1"/>
    </row>
    <row r="512" ht="12.75" customHeight="1">
      <c r="A512" s="1"/>
      <c r="L512" s="1"/>
    </row>
    <row r="513" ht="12.75" customHeight="1">
      <c r="A513" s="1"/>
      <c r="L513" s="1"/>
    </row>
    <row r="514" ht="12.75" customHeight="1">
      <c r="A514" s="1"/>
      <c r="L514" s="1"/>
    </row>
    <row r="515" ht="12.75" customHeight="1">
      <c r="A515" s="1"/>
      <c r="L515" s="1"/>
    </row>
    <row r="516" ht="12.75" customHeight="1">
      <c r="A516" s="1"/>
      <c r="L516" s="1"/>
    </row>
    <row r="517" ht="12.75" customHeight="1">
      <c r="A517" s="1"/>
      <c r="L517" s="1"/>
    </row>
    <row r="518" ht="12.75" customHeight="1">
      <c r="A518" s="1"/>
      <c r="L518" s="1"/>
    </row>
    <row r="519" ht="12.75" customHeight="1">
      <c r="A519" s="1"/>
      <c r="L519" s="1"/>
    </row>
    <row r="520" ht="12.75" customHeight="1">
      <c r="A520" s="1"/>
      <c r="L520" s="1"/>
    </row>
    <row r="521" ht="12.75" customHeight="1">
      <c r="A521" s="1"/>
      <c r="L521" s="1"/>
    </row>
    <row r="522" ht="12.75" customHeight="1">
      <c r="A522" s="1"/>
      <c r="L522" s="1"/>
    </row>
    <row r="523" ht="12.75" customHeight="1">
      <c r="A523" s="1"/>
      <c r="L523" s="1"/>
    </row>
    <row r="524" ht="12.75" customHeight="1">
      <c r="A524" s="1"/>
      <c r="L524" s="1"/>
    </row>
    <row r="525" ht="12.75" customHeight="1">
      <c r="A525" s="1"/>
      <c r="L525" s="1"/>
    </row>
    <row r="526" ht="12.75" customHeight="1">
      <c r="A526" s="1"/>
      <c r="L526" s="1"/>
    </row>
    <row r="527" ht="12.75" customHeight="1">
      <c r="A527" s="1"/>
      <c r="L527" s="1"/>
    </row>
    <row r="528" ht="12.75" customHeight="1">
      <c r="A528" s="1"/>
      <c r="L528" s="1"/>
    </row>
    <row r="529" ht="12.75" customHeight="1">
      <c r="A529" s="1"/>
      <c r="L529" s="1"/>
    </row>
    <row r="530" ht="12.75" customHeight="1">
      <c r="A530" s="1"/>
      <c r="L530" s="1"/>
    </row>
    <row r="531" ht="12.75" customHeight="1">
      <c r="A531" s="1"/>
      <c r="L531" s="1"/>
    </row>
    <row r="532" ht="12.75" customHeight="1">
      <c r="A532" s="1"/>
      <c r="L532" s="1"/>
    </row>
    <row r="533" ht="12.75" customHeight="1">
      <c r="A533" s="1"/>
      <c r="L533" s="1"/>
    </row>
    <row r="534" ht="12.75" customHeight="1">
      <c r="A534" s="1"/>
      <c r="L534" s="1"/>
    </row>
    <row r="535" ht="12.75" customHeight="1">
      <c r="A535" s="1"/>
      <c r="L535" s="1"/>
    </row>
    <row r="536" ht="12.75" customHeight="1">
      <c r="A536" s="1"/>
      <c r="L536" s="1"/>
    </row>
    <row r="537" ht="12.75" customHeight="1">
      <c r="A537" s="1"/>
      <c r="L537" s="1"/>
    </row>
    <row r="538" ht="12.75" customHeight="1">
      <c r="A538" s="1"/>
      <c r="L538" s="1"/>
    </row>
    <row r="539" ht="12.75" customHeight="1">
      <c r="A539" s="1"/>
      <c r="L539" s="1"/>
    </row>
    <row r="540" ht="12.75" customHeight="1">
      <c r="A540" s="1"/>
      <c r="L540" s="1"/>
    </row>
    <row r="541" ht="12.75" customHeight="1">
      <c r="A541" s="1"/>
      <c r="L541" s="1"/>
    </row>
    <row r="542" ht="12.75" customHeight="1">
      <c r="A542" s="1"/>
      <c r="L542" s="1"/>
    </row>
    <row r="543" ht="12.75" customHeight="1">
      <c r="A543" s="1"/>
      <c r="L543" s="1"/>
    </row>
    <row r="544" ht="12.75" customHeight="1">
      <c r="A544" s="1"/>
      <c r="L544" s="1"/>
    </row>
    <row r="545" ht="12.75" customHeight="1">
      <c r="A545" s="1"/>
      <c r="L545" s="1"/>
    </row>
    <row r="546" ht="12.75" customHeight="1">
      <c r="A546" s="1"/>
      <c r="L546" s="1"/>
    </row>
    <row r="547" ht="12.75" customHeight="1">
      <c r="A547" s="1"/>
      <c r="L547" s="1"/>
    </row>
    <row r="548" ht="12.75" customHeight="1">
      <c r="A548" s="1"/>
      <c r="L548" s="1"/>
    </row>
    <row r="549" ht="12.75" customHeight="1">
      <c r="A549" s="1"/>
      <c r="L549" s="1"/>
    </row>
    <row r="550" ht="12.75" customHeight="1">
      <c r="A550" s="1"/>
      <c r="L550" s="1"/>
    </row>
    <row r="551" ht="12.75" customHeight="1">
      <c r="A551" s="1"/>
      <c r="L551" s="1"/>
    </row>
    <row r="552" ht="12.75" customHeight="1">
      <c r="A552" s="1"/>
      <c r="L552" s="1"/>
    </row>
    <row r="553" ht="12.75" customHeight="1">
      <c r="A553" s="1"/>
      <c r="L553" s="1"/>
    </row>
    <row r="554" ht="12.75" customHeight="1">
      <c r="A554" s="1"/>
      <c r="L554" s="1"/>
    </row>
    <row r="555" ht="12.75" customHeight="1">
      <c r="A555" s="1"/>
      <c r="L555" s="1"/>
    </row>
    <row r="556" ht="12.75" customHeight="1">
      <c r="A556" s="1"/>
      <c r="L556" s="1"/>
    </row>
    <row r="557" ht="12.75" customHeight="1">
      <c r="A557" s="1"/>
      <c r="L557" s="1"/>
    </row>
    <row r="558" ht="12.75" customHeight="1">
      <c r="A558" s="1"/>
      <c r="L558" s="1"/>
    </row>
    <row r="559" ht="12.75" customHeight="1">
      <c r="A559" s="1"/>
      <c r="L559" s="1"/>
    </row>
    <row r="560" ht="12.75" customHeight="1">
      <c r="A560" s="1"/>
      <c r="L560" s="1"/>
    </row>
    <row r="561" ht="12.75" customHeight="1">
      <c r="A561" s="1"/>
      <c r="L561" s="1"/>
    </row>
    <row r="562" ht="12.75" customHeight="1">
      <c r="A562" s="1"/>
      <c r="L562" s="1"/>
    </row>
    <row r="563" ht="12.75" customHeight="1">
      <c r="A563" s="1"/>
      <c r="L563" s="1"/>
    </row>
    <row r="564" ht="12.75" customHeight="1">
      <c r="A564" s="1"/>
      <c r="L564" s="1"/>
    </row>
    <row r="565" ht="12.75" customHeight="1">
      <c r="A565" s="1"/>
      <c r="L565" s="1"/>
    </row>
    <row r="566" ht="12.75" customHeight="1">
      <c r="A566" s="1"/>
      <c r="L566" s="1"/>
    </row>
    <row r="567" ht="12.75" customHeight="1">
      <c r="A567" s="1"/>
      <c r="L567" s="1"/>
    </row>
    <row r="568" ht="12.75" customHeight="1">
      <c r="A568" s="1"/>
      <c r="L568" s="1"/>
    </row>
    <row r="569" ht="12.75" customHeight="1">
      <c r="A569" s="1"/>
      <c r="L569" s="1"/>
    </row>
    <row r="570" ht="12.75" customHeight="1">
      <c r="A570" s="1"/>
      <c r="L570" s="1"/>
    </row>
    <row r="571" ht="12.75" customHeight="1">
      <c r="A571" s="1"/>
      <c r="L571" s="1"/>
    </row>
    <row r="572" ht="12.75" customHeight="1">
      <c r="A572" s="1"/>
      <c r="L572" s="1"/>
    </row>
    <row r="573" ht="12.75" customHeight="1">
      <c r="A573" s="1"/>
      <c r="L573" s="1"/>
    </row>
    <row r="574" ht="12.75" customHeight="1">
      <c r="A574" s="1"/>
      <c r="L574" s="1"/>
    </row>
    <row r="575" ht="12.75" customHeight="1">
      <c r="A575" s="1"/>
      <c r="L575" s="1"/>
    </row>
    <row r="576" ht="12.75" customHeight="1">
      <c r="A576" s="1"/>
      <c r="L576" s="1"/>
    </row>
    <row r="577" ht="12.75" customHeight="1">
      <c r="A577" s="1"/>
      <c r="L577" s="1"/>
    </row>
    <row r="578" ht="12.75" customHeight="1">
      <c r="A578" s="1"/>
      <c r="L578" s="1"/>
    </row>
    <row r="579" ht="12.75" customHeight="1">
      <c r="A579" s="1"/>
      <c r="L579" s="1"/>
    </row>
    <row r="580" ht="12.75" customHeight="1">
      <c r="A580" s="1"/>
      <c r="L580" s="1"/>
    </row>
    <row r="581" ht="12.75" customHeight="1">
      <c r="A581" s="1"/>
      <c r="L581" s="1"/>
    </row>
    <row r="582" ht="12.75" customHeight="1">
      <c r="A582" s="1"/>
      <c r="L582" s="1"/>
    </row>
    <row r="583" ht="12.75" customHeight="1">
      <c r="A583" s="1"/>
      <c r="L583" s="1"/>
    </row>
    <row r="584" ht="12.75" customHeight="1">
      <c r="A584" s="1"/>
      <c r="L584" s="1"/>
    </row>
    <row r="585" ht="12.75" customHeight="1">
      <c r="A585" s="1"/>
      <c r="L585" s="1"/>
    </row>
    <row r="586" ht="12.75" customHeight="1">
      <c r="A586" s="1"/>
      <c r="L586" s="1"/>
    </row>
    <row r="587" ht="12.75" customHeight="1">
      <c r="A587" s="1"/>
      <c r="L587" s="1"/>
    </row>
    <row r="588" ht="12.75" customHeight="1">
      <c r="A588" s="1"/>
      <c r="L588" s="1"/>
    </row>
    <row r="589" ht="12.75" customHeight="1">
      <c r="A589" s="1"/>
      <c r="L589" s="1"/>
    </row>
    <row r="590" ht="12.75" customHeight="1">
      <c r="A590" s="1"/>
      <c r="L590" s="1"/>
    </row>
    <row r="591" ht="12.75" customHeight="1">
      <c r="A591" s="1"/>
      <c r="L591" s="1"/>
    </row>
    <row r="592" ht="12.75" customHeight="1">
      <c r="A592" s="1"/>
      <c r="L592" s="1"/>
    </row>
    <row r="593" ht="12.75" customHeight="1">
      <c r="A593" s="1"/>
      <c r="L593" s="1"/>
    </row>
    <row r="594" ht="12.75" customHeight="1">
      <c r="A594" s="1"/>
      <c r="L594" s="1"/>
    </row>
    <row r="595" ht="12.75" customHeight="1">
      <c r="A595" s="1"/>
      <c r="L595" s="1"/>
    </row>
    <row r="596" ht="12.75" customHeight="1">
      <c r="A596" s="1"/>
      <c r="L596" s="1"/>
    </row>
    <row r="597" ht="12.75" customHeight="1">
      <c r="A597" s="1"/>
      <c r="L597" s="1"/>
    </row>
    <row r="598" ht="12.75" customHeight="1">
      <c r="A598" s="1"/>
      <c r="L598" s="1"/>
    </row>
    <row r="599" ht="12.75" customHeight="1">
      <c r="A599" s="1"/>
      <c r="L599" s="1"/>
    </row>
    <row r="600" ht="12.75" customHeight="1">
      <c r="A600" s="1"/>
      <c r="L600" s="1"/>
    </row>
    <row r="601" ht="12.75" customHeight="1">
      <c r="A601" s="1"/>
      <c r="L601" s="1"/>
    </row>
    <row r="602" ht="12.75" customHeight="1">
      <c r="A602" s="1"/>
      <c r="L602" s="1"/>
    </row>
    <row r="603" ht="12.75" customHeight="1">
      <c r="A603" s="1"/>
      <c r="L603" s="1"/>
    </row>
    <row r="604" ht="12.75" customHeight="1">
      <c r="A604" s="1"/>
      <c r="L604" s="1"/>
    </row>
    <row r="605" ht="12.75" customHeight="1">
      <c r="A605" s="1"/>
      <c r="L605" s="1"/>
    </row>
    <row r="606" ht="12.75" customHeight="1">
      <c r="A606" s="1"/>
      <c r="L606" s="1"/>
    </row>
    <row r="607" ht="12.75" customHeight="1">
      <c r="A607" s="1"/>
      <c r="L607" s="1"/>
    </row>
    <row r="608" ht="12.75" customHeight="1">
      <c r="A608" s="1"/>
      <c r="L608" s="1"/>
    </row>
    <row r="609" ht="12.75" customHeight="1">
      <c r="A609" s="1"/>
      <c r="L609" s="1"/>
    </row>
    <row r="610" ht="12.75" customHeight="1">
      <c r="A610" s="1"/>
      <c r="L610" s="1"/>
    </row>
    <row r="611" ht="12.75" customHeight="1">
      <c r="A611" s="1"/>
      <c r="L611" s="1"/>
    </row>
    <row r="612" ht="12.75" customHeight="1">
      <c r="A612" s="1"/>
      <c r="L612" s="1"/>
    </row>
    <row r="613" ht="12.75" customHeight="1">
      <c r="A613" s="1"/>
      <c r="L613" s="1"/>
    </row>
    <row r="614" ht="12.75" customHeight="1">
      <c r="A614" s="1"/>
      <c r="L614" s="1"/>
    </row>
    <row r="615" ht="12.75" customHeight="1">
      <c r="A615" s="1"/>
      <c r="L615" s="1"/>
    </row>
    <row r="616" ht="12.75" customHeight="1">
      <c r="A616" s="1"/>
      <c r="L616" s="1"/>
    </row>
    <row r="617" ht="12.75" customHeight="1">
      <c r="A617" s="1"/>
      <c r="L617" s="1"/>
    </row>
    <row r="618" ht="12.75" customHeight="1">
      <c r="A618" s="1"/>
      <c r="L618" s="1"/>
    </row>
    <row r="619" ht="12.75" customHeight="1">
      <c r="A619" s="1"/>
      <c r="L619" s="1"/>
    </row>
    <row r="620" ht="12.75" customHeight="1">
      <c r="A620" s="1"/>
      <c r="L620" s="1"/>
    </row>
    <row r="621" ht="12.75" customHeight="1">
      <c r="A621" s="1"/>
      <c r="L621" s="1"/>
    </row>
    <row r="622" ht="12.75" customHeight="1">
      <c r="A622" s="1"/>
      <c r="L622" s="1"/>
    </row>
    <row r="623" ht="12.75" customHeight="1">
      <c r="A623" s="1"/>
      <c r="L623" s="1"/>
    </row>
    <row r="624" ht="12.75" customHeight="1">
      <c r="A624" s="1"/>
      <c r="L624" s="1"/>
    </row>
    <row r="625" ht="12.75" customHeight="1">
      <c r="A625" s="1"/>
      <c r="L625" s="1"/>
    </row>
    <row r="626" ht="12.75" customHeight="1">
      <c r="A626" s="1"/>
      <c r="L626" s="1"/>
    </row>
    <row r="627" ht="12.75" customHeight="1">
      <c r="A627" s="1"/>
      <c r="L627" s="1"/>
    </row>
    <row r="628" ht="12.75" customHeight="1">
      <c r="A628" s="1"/>
      <c r="L628" s="1"/>
    </row>
    <row r="629" ht="12.75" customHeight="1">
      <c r="A629" s="1"/>
      <c r="L629" s="1"/>
    </row>
    <row r="630" ht="12.75" customHeight="1">
      <c r="A630" s="1"/>
      <c r="L630" s="1"/>
    </row>
    <row r="631" ht="12.75" customHeight="1">
      <c r="A631" s="1"/>
      <c r="L631" s="1"/>
    </row>
    <row r="632" ht="12.75" customHeight="1">
      <c r="A632" s="1"/>
      <c r="L632" s="1"/>
    </row>
    <row r="633" ht="12.75" customHeight="1">
      <c r="A633" s="1"/>
      <c r="L633" s="1"/>
    </row>
    <row r="634" ht="12.75" customHeight="1">
      <c r="A634" s="1"/>
      <c r="L634" s="1"/>
    </row>
    <row r="635" ht="12.75" customHeight="1">
      <c r="A635" s="1"/>
      <c r="L635" s="1"/>
    </row>
    <row r="636" ht="12.75" customHeight="1">
      <c r="A636" s="1"/>
      <c r="L636" s="1"/>
    </row>
    <row r="637" ht="12.75" customHeight="1">
      <c r="A637" s="1"/>
      <c r="L637" s="1"/>
    </row>
    <row r="638" ht="12.75" customHeight="1">
      <c r="A638" s="1"/>
      <c r="L638" s="1"/>
    </row>
    <row r="639" ht="12.75" customHeight="1">
      <c r="A639" s="1"/>
      <c r="L639" s="1"/>
    </row>
    <row r="640" ht="12.75" customHeight="1">
      <c r="A640" s="1"/>
      <c r="L640" s="1"/>
    </row>
    <row r="641" ht="12.75" customHeight="1">
      <c r="A641" s="1"/>
      <c r="L641" s="1"/>
    </row>
    <row r="642" ht="12.75" customHeight="1">
      <c r="A642" s="1"/>
      <c r="L642" s="1"/>
    </row>
    <row r="643" ht="12.75" customHeight="1">
      <c r="A643" s="1"/>
      <c r="L643" s="1"/>
    </row>
    <row r="644" ht="12.75" customHeight="1">
      <c r="A644" s="1"/>
      <c r="L644" s="1"/>
    </row>
    <row r="645" ht="12.75" customHeight="1">
      <c r="A645" s="1"/>
      <c r="L645" s="1"/>
    </row>
    <row r="646" ht="12.75" customHeight="1">
      <c r="A646" s="1"/>
      <c r="L646" s="1"/>
    </row>
    <row r="647" ht="12.75" customHeight="1">
      <c r="A647" s="1"/>
      <c r="L647" s="1"/>
    </row>
    <row r="648" ht="12.75" customHeight="1">
      <c r="A648" s="1"/>
      <c r="L648" s="1"/>
    </row>
    <row r="649" ht="12.75" customHeight="1">
      <c r="A649" s="1"/>
      <c r="L649" s="1"/>
    </row>
    <row r="650" ht="12.75" customHeight="1">
      <c r="A650" s="1"/>
      <c r="L650" s="1"/>
    </row>
    <row r="651" ht="12.75" customHeight="1">
      <c r="A651" s="1"/>
      <c r="L651" s="1"/>
    </row>
    <row r="652" ht="12.75" customHeight="1">
      <c r="A652" s="1"/>
      <c r="L652" s="1"/>
    </row>
    <row r="653" ht="12.75" customHeight="1">
      <c r="A653" s="1"/>
      <c r="L653" s="1"/>
    </row>
    <row r="654" ht="12.75" customHeight="1">
      <c r="A654" s="1"/>
      <c r="L654" s="1"/>
    </row>
    <row r="655" ht="12.75" customHeight="1">
      <c r="A655" s="1"/>
      <c r="L655" s="1"/>
    </row>
    <row r="656" ht="12.75" customHeight="1">
      <c r="A656" s="1"/>
      <c r="L656" s="1"/>
    </row>
    <row r="657" ht="12.75" customHeight="1">
      <c r="A657" s="1"/>
      <c r="L657" s="1"/>
    </row>
    <row r="658" ht="12.75" customHeight="1">
      <c r="A658" s="1"/>
      <c r="L658" s="1"/>
    </row>
    <row r="659" ht="12.75" customHeight="1">
      <c r="A659" s="1"/>
      <c r="L659" s="1"/>
    </row>
    <row r="660" ht="12.75" customHeight="1">
      <c r="A660" s="1"/>
      <c r="L660" s="1"/>
    </row>
    <row r="661" ht="12.75" customHeight="1">
      <c r="A661" s="1"/>
      <c r="L661" s="1"/>
    </row>
    <row r="662" ht="12.75" customHeight="1">
      <c r="A662" s="1"/>
      <c r="L662" s="1"/>
    </row>
    <row r="663" ht="12.75" customHeight="1">
      <c r="A663" s="1"/>
      <c r="L663" s="1"/>
    </row>
    <row r="664" ht="12.75" customHeight="1">
      <c r="A664" s="1"/>
      <c r="L664" s="1"/>
    </row>
    <row r="665" ht="12.75" customHeight="1">
      <c r="A665" s="1"/>
      <c r="L665" s="1"/>
    </row>
    <row r="666" ht="12.75" customHeight="1">
      <c r="A666" s="1"/>
      <c r="L666" s="1"/>
    </row>
    <row r="667" ht="12.75" customHeight="1">
      <c r="A667" s="1"/>
      <c r="L667" s="1"/>
    </row>
    <row r="668" ht="12.75" customHeight="1">
      <c r="A668" s="1"/>
      <c r="L668" s="1"/>
    </row>
    <row r="669" ht="12.75" customHeight="1">
      <c r="A669" s="1"/>
      <c r="L669" s="1"/>
    </row>
    <row r="670" ht="12.75" customHeight="1">
      <c r="A670" s="1"/>
      <c r="L670" s="1"/>
    </row>
    <row r="671" ht="12.75" customHeight="1">
      <c r="A671" s="1"/>
      <c r="L671" s="1"/>
    </row>
    <row r="672" ht="12.75" customHeight="1">
      <c r="A672" s="1"/>
      <c r="L672" s="1"/>
    </row>
    <row r="673" ht="12.75" customHeight="1">
      <c r="A673" s="1"/>
      <c r="L673" s="1"/>
    </row>
    <row r="674" ht="12.75" customHeight="1">
      <c r="A674" s="1"/>
      <c r="L674" s="1"/>
    </row>
    <row r="675" ht="12.75" customHeight="1">
      <c r="A675" s="1"/>
      <c r="L675" s="1"/>
    </row>
    <row r="676" ht="12.75" customHeight="1">
      <c r="A676" s="1"/>
      <c r="L676" s="1"/>
    </row>
    <row r="677" ht="12.75" customHeight="1">
      <c r="A677" s="1"/>
      <c r="L677" s="1"/>
    </row>
    <row r="678" ht="12.75" customHeight="1">
      <c r="A678" s="1"/>
      <c r="L678" s="1"/>
    </row>
    <row r="679" ht="12.75" customHeight="1">
      <c r="A679" s="1"/>
      <c r="L679" s="1"/>
    </row>
    <row r="680" ht="12.75" customHeight="1">
      <c r="A680" s="1"/>
      <c r="L680" s="1"/>
    </row>
    <row r="681" ht="12.75" customHeight="1">
      <c r="A681" s="1"/>
      <c r="L681" s="1"/>
    </row>
    <row r="682" ht="12.75" customHeight="1">
      <c r="A682" s="1"/>
      <c r="L682" s="1"/>
    </row>
    <row r="683" ht="12.75" customHeight="1">
      <c r="A683" s="1"/>
      <c r="L683" s="1"/>
    </row>
    <row r="684" ht="12.75" customHeight="1">
      <c r="A684" s="1"/>
      <c r="L684" s="1"/>
    </row>
    <row r="685" ht="12.75" customHeight="1">
      <c r="A685" s="1"/>
      <c r="L685" s="1"/>
    </row>
    <row r="686" ht="12.75" customHeight="1">
      <c r="A686" s="1"/>
      <c r="L686" s="1"/>
    </row>
    <row r="687" ht="12.75" customHeight="1">
      <c r="A687" s="1"/>
      <c r="L687" s="1"/>
    </row>
    <row r="688" ht="12.75" customHeight="1">
      <c r="A688" s="1"/>
      <c r="L688" s="1"/>
    </row>
    <row r="689" ht="12.75" customHeight="1">
      <c r="A689" s="1"/>
      <c r="L689" s="1"/>
    </row>
    <row r="690" ht="12.75" customHeight="1">
      <c r="A690" s="1"/>
      <c r="L690" s="1"/>
    </row>
    <row r="691" ht="12.75" customHeight="1">
      <c r="A691" s="1"/>
      <c r="L691" s="1"/>
    </row>
    <row r="692" ht="12.75" customHeight="1">
      <c r="A692" s="1"/>
      <c r="L692" s="1"/>
    </row>
    <row r="693" ht="12.75" customHeight="1">
      <c r="A693" s="1"/>
      <c r="L693" s="1"/>
    </row>
    <row r="694" ht="12.75" customHeight="1">
      <c r="A694" s="1"/>
      <c r="L694" s="1"/>
    </row>
    <row r="695" ht="12.75" customHeight="1">
      <c r="A695" s="1"/>
      <c r="L695" s="1"/>
    </row>
    <row r="696" ht="12.75" customHeight="1">
      <c r="A696" s="1"/>
      <c r="L696" s="1"/>
    </row>
    <row r="697" ht="12.75" customHeight="1">
      <c r="A697" s="1"/>
      <c r="L697" s="1"/>
    </row>
    <row r="698" ht="12.75" customHeight="1">
      <c r="A698" s="1"/>
      <c r="L698" s="1"/>
    </row>
    <row r="699" ht="12.75" customHeight="1">
      <c r="A699" s="1"/>
      <c r="L699" s="1"/>
    </row>
    <row r="700" ht="12.75" customHeight="1">
      <c r="A700" s="1"/>
      <c r="L700" s="1"/>
    </row>
    <row r="701" ht="12.75" customHeight="1">
      <c r="A701" s="1"/>
      <c r="L701" s="1"/>
    </row>
    <row r="702" ht="12.75" customHeight="1">
      <c r="A702" s="1"/>
      <c r="L702" s="1"/>
    </row>
    <row r="703" ht="12.75" customHeight="1">
      <c r="A703" s="1"/>
      <c r="L703" s="1"/>
    </row>
    <row r="704" ht="12.75" customHeight="1">
      <c r="A704" s="1"/>
      <c r="L704" s="1"/>
    </row>
    <row r="705" ht="12.75" customHeight="1">
      <c r="A705" s="1"/>
      <c r="L705" s="1"/>
    </row>
    <row r="706" ht="12.75" customHeight="1">
      <c r="A706" s="1"/>
      <c r="L706" s="1"/>
    </row>
    <row r="707" ht="12.75" customHeight="1">
      <c r="A707" s="1"/>
      <c r="L707" s="1"/>
    </row>
    <row r="708" ht="12.75" customHeight="1">
      <c r="A708" s="1"/>
      <c r="L708" s="1"/>
    </row>
    <row r="709" ht="12.75" customHeight="1">
      <c r="A709" s="1"/>
      <c r="L709" s="1"/>
    </row>
    <row r="710" ht="12.75" customHeight="1">
      <c r="A710" s="1"/>
      <c r="L710" s="1"/>
    </row>
    <row r="711" ht="12.75" customHeight="1">
      <c r="A711" s="1"/>
      <c r="L711" s="1"/>
    </row>
    <row r="712" ht="12.75" customHeight="1">
      <c r="A712" s="1"/>
      <c r="L712" s="1"/>
    </row>
    <row r="713" ht="12.75" customHeight="1">
      <c r="A713" s="1"/>
      <c r="L713" s="1"/>
    </row>
    <row r="714" ht="12.75" customHeight="1">
      <c r="A714" s="1"/>
      <c r="L714" s="1"/>
    </row>
    <row r="715" ht="12.75" customHeight="1">
      <c r="A715" s="1"/>
      <c r="L715" s="1"/>
    </row>
    <row r="716" ht="12.75" customHeight="1">
      <c r="A716" s="1"/>
      <c r="L716" s="1"/>
    </row>
    <row r="717" ht="12.75" customHeight="1">
      <c r="A717" s="1"/>
      <c r="L717" s="1"/>
    </row>
    <row r="718" ht="12.75" customHeight="1">
      <c r="A718" s="1"/>
      <c r="L718" s="1"/>
    </row>
    <row r="719" ht="12.75" customHeight="1">
      <c r="A719" s="1"/>
      <c r="L719" s="1"/>
    </row>
    <row r="720" ht="12.75" customHeight="1">
      <c r="A720" s="1"/>
      <c r="L720" s="1"/>
    </row>
    <row r="721" ht="12.75" customHeight="1">
      <c r="A721" s="1"/>
      <c r="L721" s="1"/>
    </row>
    <row r="722" ht="12.75" customHeight="1">
      <c r="A722" s="1"/>
      <c r="L722" s="1"/>
    </row>
    <row r="723" ht="12.75" customHeight="1">
      <c r="A723" s="1"/>
      <c r="L723" s="1"/>
    </row>
    <row r="724" ht="12.75" customHeight="1">
      <c r="A724" s="1"/>
      <c r="L724" s="1"/>
    </row>
    <row r="725" ht="12.75" customHeight="1">
      <c r="A725" s="1"/>
      <c r="L725" s="1"/>
    </row>
    <row r="726" ht="12.75" customHeight="1">
      <c r="A726" s="1"/>
      <c r="L726" s="1"/>
    </row>
    <row r="727" ht="12.75" customHeight="1">
      <c r="A727" s="1"/>
      <c r="L727" s="1"/>
    </row>
    <row r="728" ht="12.75" customHeight="1">
      <c r="A728" s="1"/>
      <c r="L728" s="1"/>
    </row>
    <row r="729" ht="12.75" customHeight="1">
      <c r="A729" s="1"/>
      <c r="L729" s="1"/>
    </row>
    <row r="730" ht="12.75" customHeight="1">
      <c r="A730" s="1"/>
      <c r="L730" s="1"/>
    </row>
    <row r="731" ht="12.75" customHeight="1">
      <c r="A731" s="1"/>
      <c r="L731" s="1"/>
    </row>
    <row r="732" ht="12.75" customHeight="1">
      <c r="A732" s="1"/>
      <c r="L732" s="1"/>
    </row>
    <row r="733" ht="12.75" customHeight="1">
      <c r="A733" s="1"/>
      <c r="L733" s="1"/>
    </row>
    <row r="734" ht="12.75" customHeight="1">
      <c r="A734" s="1"/>
      <c r="L734" s="1"/>
    </row>
    <row r="735" ht="12.75" customHeight="1">
      <c r="A735" s="1"/>
      <c r="L735" s="1"/>
    </row>
    <row r="736" ht="12.75" customHeight="1">
      <c r="A736" s="1"/>
      <c r="L736" s="1"/>
    </row>
    <row r="737" ht="12.75" customHeight="1">
      <c r="A737" s="1"/>
      <c r="L737" s="1"/>
    </row>
    <row r="738" ht="12.75" customHeight="1">
      <c r="A738" s="1"/>
      <c r="L738" s="1"/>
    </row>
    <row r="739" ht="12.75" customHeight="1">
      <c r="A739" s="1"/>
      <c r="L739" s="1"/>
    </row>
    <row r="740" ht="12.75" customHeight="1">
      <c r="A740" s="1"/>
      <c r="L740" s="1"/>
    </row>
    <row r="741" ht="12.75" customHeight="1">
      <c r="A741" s="1"/>
      <c r="L741" s="1"/>
    </row>
    <row r="742" ht="12.75" customHeight="1">
      <c r="A742" s="1"/>
      <c r="L742" s="1"/>
    </row>
    <row r="743" ht="12.75" customHeight="1">
      <c r="A743" s="1"/>
      <c r="L743" s="1"/>
    </row>
    <row r="744" ht="12.75" customHeight="1">
      <c r="A744" s="1"/>
      <c r="L744" s="1"/>
    </row>
    <row r="745" ht="12.75" customHeight="1">
      <c r="A745" s="1"/>
      <c r="L745" s="1"/>
    </row>
    <row r="746" ht="12.75" customHeight="1">
      <c r="A746" s="1"/>
      <c r="L746" s="1"/>
    </row>
    <row r="747" ht="12.75" customHeight="1">
      <c r="A747" s="1"/>
      <c r="L747" s="1"/>
    </row>
    <row r="748" ht="12.75" customHeight="1">
      <c r="A748" s="1"/>
      <c r="L748" s="1"/>
    </row>
    <row r="749" ht="12.75" customHeight="1">
      <c r="A749" s="1"/>
      <c r="L749" s="1"/>
    </row>
    <row r="750" ht="12.75" customHeight="1">
      <c r="A750" s="1"/>
      <c r="L750" s="1"/>
    </row>
    <row r="751" ht="12.75" customHeight="1">
      <c r="A751" s="1"/>
      <c r="L751" s="1"/>
    </row>
    <row r="752" ht="12.75" customHeight="1">
      <c r="A752" s="1"/>
      <c r="L752" s="1"/>
    </row>
    <row r="753" ht="12.75" customHeight="1">
      <c r="A753" s="1"/>
      <c r="L753" s="1"/>
    </row>
    <row r="754" ht="12.75" customHeight="1">
      <c r="A754" s="1"/>
      <c r="L754" s="1"/>
    </row>
    <row r="755" ht="12.75" customHeight="1">
      <c r="A755" s="1"/>
      <c r="L755" s="1"/>
    </row>
    <row r="756" ht="12.75" customHeight="1">
      <c r="A756" s="1"/>
      <c r="L756" s="1"/>
    </row>
    <row r="757" ht="12.75" customHeight="1">
      <c r="A757" s="1"/>
      <c r="L757" s="1"/>
    </row>
    <row r="758" ht="12.75" customHeight="1">
      <c r="A758" s="1"/>
      <c r="L758" s="1"/>
    </row>
    <row r="759" ht="12.75" customHeight="1">
      <c r="A759" s="1"/>
      <c r="L759" s="1"/>
    </row>
    <row r="760" ht="12.75" customHeight="1">
      <c r="A760" s="1"/>
      <c r="L760" s="1"/>
    </row>
    <row r="761" ht="12.75" customHeight="1">
      <c r="A761" s="1"/>
      <c r="L761" s="1"/>
    </row>
    <row r="762" ht="12.75" customHeight="1">
      <c r="A762" s="1"/>
      <c r="L762" s="1"/>
    </row>
    <row r="763" ht="12.75" customHeight="1">
      <c r="A763" s="1"/>
      <c r="L763" s="1"/>
    </row>
    <row r="764" ht="12.75" customHeight="1">
      <c r="A764" s="1"/>
      <c r="L764" s="1"/>
    </row>
    <row r="765" ht="12.75" customHeight="1">
      <c r="A765" s="1"/>
      <c r="L765" s="1"/>
    </row>
    <row r="766" ht="12.75" customHeight="1">
      <c r="A766" s="1"/>
      <c r="L766" s="1"/>
    </row>
    <row r="767" ht="12.75" customHeight="1">
      <c r="A767" s="1"/>
      <c r="L767" s="1"/>
    </row>
    <row r="768" ht="12.75" customHeight="1">
      <c r="A768" s="1"/>
      <c r="L768" s="1"/>
    </row>
    <row r="769" ht="12.75" customHeight="1">
      <c r="A769" s="1"/>
      <c r="L769" s="1"/>
    </row>
    <row r="770" ht="12.75" customHeight="1">
      <c r="A770" s="1"/>
      <c r="L770" s="1"/>
    </row>
    <row r="771" ht="12.75" customHeight="1">
      <c r="A771" s="1"/>
      <c r="L771" s="1"/>
    </row>
    <row r="772" ht="12.75" customHeight="1">
      <c r="A772" s="1"/>
      <c r="L772" s="1"/>
    </row>
    <row r="773" ht="12.75" customHeight="1">
      <c r="A773" s="1"/>
      <c r="L773" s="1"/>
    </row>
    <row r="774" ht="12.75" customHeight="1">
      <c r="A774" s="1"/>
      <c r="L774" s="1"/>
    </row>
    <row r="775" ht="12.75" customHeight="1">
      <c r="A775" s="1"/>
      <c r="L775" s="1"/>
    </row>
    <row r="776" ht="12.75" customHeight="1">
      <c r="A776" s="1"/>
      <c r="L776" s="1"/>
    </row>
    <row r="777" ht="12.75" customHeight="1">
      <c r="A777" s="1"/>
      <c r="L777" s="1"/>
    </row>
    <row r="778" ht="12.75" customHeight="1">
      <c r="A778" s="1"/>
      <c r="L778" s="1"/>
    </row>
    <row r="779" ht="12.75" customHeight="1">
      <c r="A779" s="1"/>
      <c r="L779" s="1"/>
    </row>
    <row r="780" ht="12.75" customHeight="1">
      <c r="A780" s="1"/>
      <c r="L780" s="1"/>
    </row>
    <row r="781" ht="12.75" customHeight="1">
      <c r="A781" s="1"/>
      <c r="L781" s="1"/>
    </row>
    <row r="782" ht="12.75" customHeight="1">
      <c r="A782" s="1"/>
      <c r="L782" s="1"/>
    </row>
    <row r="783" ht="12.75" customHeight="1">
      <c r="A783" s="1"/>
      <c r="L783" s="1"/>
    </row>
    <row r="784" ht="12.75" customHeight="1">
      <c r="A784" s="1"/>
      <c r="L784" s="1"/>
    </row>
    <row r="785" ht="12.75" customHeight="1">
      <c r="A785" s="1"/>
      <c r="L785" s="1"/>
    </row>
    <row r="786" ht="12.75" customHeight="1">
      <c r="A786" s="1"/>
      <c r="L786" s="1"/>
    </row>
    <row r="787" ht="12.75" customHeight="1">
      <c r="A787" s="1"/>
      <c r="L787" s="1"/>
    </row>
    <row r="788" ht="12.75" customHeight="1">
      <c r="A788" s="1"/>
      <c r="L788" s="1"/>
    </row>
    <row r="789" ht="12.75" customHeight="1">
      <c r="A789" s="1"/>
      <c r="L789" s="1"/>
    </row>
    <row r="790" ht="12.75" customHeight="1">
      <c r="A790" s="1"/>
      <c r="L790" s="1"/>
    </row>
    <row r="791" ht="12.75" customHeight="1">
      <c r="A791" s="1"/>
      <c r="L791" s="1"/>
    </row>
    <row r="792" ht="12.75" customHeight="1">
      <c r="A792" s="1"/>
      <c r="L792" s="1"/>
    </row>
    <row r="793" ht="12.75" customHeight="1">
      <c r="A793" s="1"/>
      <c r="L793" s="1"/>
    </row>
    <row r="794" ht="12.75" customHeight="1">
      <c r="A794" s="1"/>
      <c r="L794" s="1"/>
    </row>
    <row r="795" ht="12.75" customHeight="1">
      <c r="A795" s="1"/>
      <c r="L795" s="1"/>
    </row>
    <row r="796" ht="12.75" customHeight="1">
      <c r="A796" s="1"/>
      <c r="L796" s="1"/>
    </row>
    <row r="797" ht="12.75" customHeight="1">
      <c r="A797" s="1"/>
      <c r="L797" s="1"/>
    </row>
    <row r="798" ht="12.75" customHeight="1">
      <c r="A798" s="1"/>
      <c r="L798" s="1"/>
    </row>
    <row r="799" ht="12.75" customHeight="1">
      <c r="A799" s="1"/>
      <c r="L799" s="1"/>
    </row>
    <row r="800" ht="12.75" customHeight="1">
      <c r="A800" s="1"/>
      <c r="L800" s="1"/>
    </row>
    <row r="801" ht="12.75" customHeight="1">
      <c r="A801" s="1"/>
      <c r="L801" s="1"/>
    </row>
    <row r="802" ht="12.75" customHeight="1">
      <c r="A802" s="1"/>
      <c r="L802" s="1"/>
    </row>
    <row r="803" ht="12.75" customHeight="1">
      <c r="A803" s="1"/>
      <c r="L803" s="1"/>
    </row>
    <row r="804" ht="12.75" customHeight="1">
      <c r="A804" s="1"/>
      <c r="L804" s="1"/>
    </row>
    <row r="805" ht="12.75" customHeight="1">
      <c r="A805" s="1"/>
      <c r="L805" s="1"/>
    </row>
    <row r="806" ht="12.75" customHeight="1">
      <c r="A806" s="1"/>
      <c r="L806" s="1"/>
    </row>
    <row r="807" ht="12.75" customHeight="1">
      <c r="A807" s="1"/>
      <c r="L807" s="1"/>
    </row>
    <row r="808" ht="12.75" customHeight="1">
      <c r="A808" s="1"/>
      <c r="L808" s="1"/>
    </row>
    <row r="809" ht="12.75" customHeight="1">
      <c r="A809" s="1"/>
      <c r="L809" s="1"/>
    </row>
    <row r="810" ht="12.75" customHeight="1">
      <c r="A810" s="1"/>
      <c r="L810" s="1"/>
    </row>
    <row r="811" ht="12.75" customHeight="1">
      <c r="A811" s="1"/>
      <c r="L811" s="1"/>
    </row>
    <row r="812" ht="12.75" customHeight="1">
      <c r="A812" s="1"/>
      <c r="L812" s="1"/>
    </row>
    <row r="813" ht="12.75" customHeight="1">
      <c r="A813" s="1"/>
      <c r="L813" s="1"/>
    </row>
    <row r="814" ht="12.75" customHeight="1">
      <c r="A814" s="1"/>
      <c r="L814" s="1"/>
    </row>
    <row r="815" ht="12.75" customHeight="1">
      <c r="A815" s="1"/>
      <c r="L815" s="1"/>
    </row>
    <row r="816" ht="12.75" customHeight="1">
      <c r="A816" s="1"/>
      <c r="L816" s="1"/>
    </row>
    <row r="817" ht="12.75" customHeight="1">
      <c r="A817" s="1"/>
      <c r="L817" s="1"/>
    </row>
    <row r="818" ht="12.75" customHeight="1">
      <c r="A818" s="1"/>
      <c r="L818" s="1"/>
    </row>
    <row r="819" ht="12.75" customHeight="1">
      <c r="A819" s="1"/>
      <c r="L819" s="1"/>
    </row>
    <row r="820" ht="12.75" customHeight="1">
      <c r="A820" s="1"/>
      <c r="L820" s="1"/>
    </row>
    <row r="821" ht="12.75" customHeight="1">
      <c r="A821" s="1"/>
      <c r="L821" s="1"/>
    </row>
    <row r="822" ht="12.75" customHeight="1">
      <c r="A822" s="1"/>
      <c r="L822" s="1"/>
    </row>
    <row r="823" ht="12.75" customHeight="1">
      <c r="A823" s="1"/>
      <c r="L823" s="1"/>
    </row>
    <row r="824" ht="12.75" customHeight="1">
      <c r="A824" s="1"/>
      <c r="L824" s="1"/>
    </row>
    <row r="825" ht="12.75" customHeight="1">
      <c r="A825" s="1"/>
      <c r="L825" s="1"/>
    </row>
    <row r="826" ht="12.75" customHeight="1">
      <c r="A826" s="1"/>
      <c r="L826" s="1"/>
    </row>
    <row r="827" ht="12.75" customHeight="1">
      <c r="A827" s="1"/>
      <c r="L827" s="1"/>
    </row>
    <row r="828" ht="12.75" customHeight="1">
      <c r="A828" s="1"/>
      <c r="L828" s="1"/>
    </row>
    <row r="829" ht="12.75" customHeight="1">
      <c r="A829" s="1"/>
      <c r="L829" s="1"/>
    </row>
    <row r="830" ht="12.75" customHeight="1">
      <c r="A830" s="1"/>
      <c r="L830" s="1"/>
    </row>
    <row r="831" ht="12.75" customHeight="1">
      <c r="A831" s="1"/>
      <c r="L831" s="1"/>
    </row>
    <row r="832" ht="12.75" customHeight="1">
      <c r="A832" s="1"/>
      <c r="L832" s="1"/>
    </row>
    <row r="833" ht="12.75" customHeight="1">
      <c r="A833" s="1"/>
      <c r="L833" s="1"/>
    </row>
    <row r="834" ht="12.75" customHeight="1">
      <c r="A834" s="1"/>
      <c r="L834" s="1"/>
    </row>
    <row r="835" ht="12.75" customHeight="1">
      <c r="A835" s="1"/>
      <c r="L835" s="1"/>
    </row>
    <row r="836" ht="12.75" customHeight="1">
      <c r="A836" s="1"/>
      <c r="L836" s="1"/>
    </row>
    <row r="837" ht="12.75" customHeight="1">
      <c r="A837" s="1"/>
      <c r="L837" s="1"/>
    </row>
    <row r="838" ht="12.75" customHeight="1">
      <c r="A838" s="1"/>
      <c r="L838" s="1"/>
    </row>
    <row r="839" ht="12.75" customHeight="1">
      <c r="A839" s="1"/>
      <c r="L839" s="1"/>
    </row>
    <row r="840" ht="12.75" customHeight="1">
      <c r="A840" s="1"/>
      <c r="L840" s="1"/>
    </row>
    <row r="841" ht="12.75" customHeight="1">
      <c r="A841" s="1"/>
      <c r="L841" s="1"/>
    </row>
    <row r="842" ht="12.75" customHeight="1">
      <c r="A842" s="1"/>
      <c r="L842" s="1"/>
    </row>
    <row r="843" ht="12.75" customHeight="1">
      <c r="A843" s="1"/>
      <c r="L843" s="1"/>
    </row>
    <row r="844" ht="12.75" customHeight="1">
      <c r="A844" s="1"/>
      <c r="L844" s="1"/>
    </row>
    <row r="845" ht="12.75" customHeight="1">
      <c r="A845" s="1"/>
      <c r="L845" s="1"/>
    </row>
    <row r="846" ht="12.75" customHeight="1">
      <c r="A846" s="1"/>
      <c r="L846" s="1"/>
    </row>
    <row r="847" ht="12.75" customHeight="1">
      <c r="A847" s="1"/>
      <c r="L847" s="1"/>
    </row>
    <row r="848" ht="12.75" customHeight="1">
      <c r="A848" s="1"/>
      <c r="L848" s="1"/>
    </row>
    <row r="849" ht="12.75" customHeight="1">
      <c r="A849" s="1"/>
      <c r="L849" s="1"/>
    </row>
    <row r="850" ht="12.75" customHeight="1">
      <c r="A850" s="1"/>
      <c r="L850" s="1"/>
    </row>
    <row r="851" ht="12.75" customHeight="1">
      <c r="A851" s="1"/>
      <c r="L851" s="1"/>
    </row>
    <row r="852" ht="12.75" customHeight="1">
      <c r="A852" s="1"/>
      <c r="L852" s="1"/>
    </row>
    <row r="853" ht="12.75" customHeight="1">
      <c r="A853" s="1"/>
      <c r="L853" s="1"/>
    </row>
    <row r="854" ht="12.75" customHeight="1">
      <c r="A854" s="1"/>
      <c r="L854" s="1"/>
    </row>
    <row r="855" ht="12.75" customHeight="1">
      <c r="A855" s="1"/>
      <c r="L855" s="1"/>
    </row>
    <row r="856" ht="12.75" customHeight="1">
      <c r="A856" s="1"/>
      <c r="L856" s="1"/>
    </row>
    <row r="857" ht="12.75" customHeight="1">
      <c r="A857" s="1"/>
      <c r="L857" s="1"/>
    </row>
    <row r="858" ht="12.75" customHeight="1">
      <c r="A858" s="1"/>
      <c r="L858" s="1"/>
    </row>
    <row r="859" ht="12.75" customHeight="1">
      <c r="A859" s="1"/>
      <c r="L859" s="1"/>
    </row>
    <row r="860" ht="12.75" customHeight="1">
      <c r="A860" s="1"/>
      <c r="L860" s="1"/>
    </row>
    <row r="861" ht="12.75" customHeight="1">
      <c r="A861" s="1"/>
      <c r="L861" s="1"/>
    </row>
    <row r="862" ht="12.75" customHeight="1">
      <c r="A862" s="1"/>
      <c r="L862" s="1"/>
    </row>
    <row r="863" ht="12.75" customHeight="1">
      <c r="A863" s="1"/>
      <c r="L863" s="1"/>
    </row>
    <row r="864" ht="12.75" customHeight="1">
      <c r="A864" s="1"/>
      <c r="L864" s="1"/>
    </row>
    <row r="865" ht="12.75" customHeight="1">
      <c r="A865" s="1"/>
      <c r="L865" s="1"/>
    </row>
    <row r="866" ht="12.75" customHeight="1">
      <c r="A866" s="1"/>
      <c r="L866" s="1"/>
    </row>
    <row r="867" ht="12.75" customHeight="1">
      <c r="A867" s="1"/>
      <c r="L867" s="1"/>
    </row>
    <row r="868" ht="12.75" customHeight="1">
      <c r="A868" s="1"/>
      <c r="L868" s="1"/>
    </row>
    <row r="869" ht="12.75" customHeight="1">
      <c r="A869" s="1"/>
      <c r="L869" s="1"/>
    </row>
    <row r="870" ht="12.75" customHeight="1">
      <c r="A870" s="1"/>
      <c r="L870" s="1"/>
    </row>
    <row r="871" ht="12.75" customHeight="1">
      <c r="A871" s="1"/>
      <c r="L871" s="1"/>
    </row>
    <row r="872" ht="12.75" customHeight="1">
      <c r="A872" s="1"/>
      <c r="L872" s="1"/>
    </row>
    <row r="873" ht="12.75" customHeight="1">
      <c r="A873" s="1"/>
      <c r="L873" s="1"/>
    </row>
    <row r="874" ht="12.75" customHeight="1">
      <c r="A874" s="1"/>
      <c r="L874" s="1"/>
    </row>
    <row r="875" ht="12.75" customHeight="1">
      <c r="A875" s="1"/>
      <c r="L875" s="1"/>
    </row>
    <row r="876" ht="12.75" customHeight="1">
      <c r="A876" s="1"/>
      <c r="L876" s="1"/>
    </row>
    <row r="877" ht="12.75" customHeight="1">
      <c r="A877" s="1"/>
      <c r="L877" s="1"/>
    </row>
    <row r="878" ht="12.75" customHeight="1">
      <c r="A878" s="1"/>
      <c r="L878" s="1"/>
    </row>
    <row r="879" ht="12.75" customHeight="1">
      <c r="A879" s="1"/>
      <c r="L879" s="1"/>
    </row>
    <row r="880" ht="12.75" customHeight="1">
      <c r="A880" s="1"/>
      <c r="L880" s="1"/>
    </row>
    <row r="881" ht="12.75" customHeight="1">
      <c r="A881" s="1"/>
      <c r="L881" s="1"/>
    </row>
    <row r="882" ht="12.75" customHeight="1">
      <c r="A882" s="1"/>
      <c r="L882" s="1"/>
    </row>
    <row r="883" ht="12.75" customHeight="1">
      <c r="A883" s="1"/>
      <c r="L883" s="1"/>
    </row>
    <row r="884" ht="12.75" customHeight="1">
      <c r="A884" s="1"/>
      <c r="L884" s="1"/>
    </row>
    <row r="885" ht="12.75" customHeight="1">
      <c r="A885" s="1"/>
      <c r="L885" s="1"/>
    </row>
    <row r="886" ht="12.75" customHeight="1">
      <c r="A886" s="1"/>
      <c r="L886" s="1"/>
    </row>
    <row r="887" ht="12.75" customHeight="1">
      <c r="A887" s="1"/>
      <c r="L887" s="1"/>
    </row>
    <row r="888" ht="12.75" customHeight="1">
      <c r="A888" s="1"/>
      <c r="L888" s="1"/>
    </row>
    <row r="889" ht="12.75" customHeight="1">
      <c r="A889" s="1"/>
      <c r="L889" s="1"/>
    </row>
    <row r="890" ht="12.75" customHeight="1">
      <c r="A890" s="1"/>
      <c r="L890" s="1"/>
    </row>
    <row r="891" ht="12.75" customHeight="1">
      <c r="A891" s="1"/>
      <c r="L891" s="1"/>
    </row>
    <row r="892" ht="12.75" customHeight="1">
      <c r="A892" s="1"/>
      <c r="L892" s="1"/>
    </row>
    <row r="893" ht="12.75" customHeight="1">
      <c r="A893" s="1"/>
      <c r="L893" s="1"/>
    </row>
    <row r="894" ht="12.75" customHeight="1">
      <c r="A894" s="1"/>
      <c r="L894" s="1"/>
    </row>
    <row r="895" ht="12.75" customHeight="1">
      <c r="A895" s="1"/>
      <c r="L895" s="1"/>
    </row>
    <row r="896" ht="12.75" customHeight="1">
      <c r="A896" s="1"/>
      <c r="L896" s="1"/>
    </row>
    <row r="897" ht="12.75" customHeight="1">
      <c r="A897" s="1"/>
      <c r="L897" s="1"/>
    </row>
    <row r="898" ht="12.75" customHeight="1">
      <c r="A898" s="1"/>
      <c r="L898" s="1"/>
    </row>
    <row r="899" ht="12.75" customHeight="1">
      <c r="A899" s="1"/>
      <c r="L899" s="1"/>
    </row>
    <row r="900" ht="12.75" customHeight="1">
      <c r="A900" s="1"/>
      <c r="L900" s="1"/>
    </row>
    <row r="901" ht="12.75" customHeight="1">
      <c r="A901" s="1"/>
      <c r="L901" s="1"/>
    </row>
    <row r="902" ht="12.75" customHeight="1">
      <c r="A902" s="1"/>
      <c r="L902" s="1"/>
    </row>
    <row r="903" ht="12.75" customHeight="1">
      <c r="A903" s="1"/>
      <c r="L903" s="1"/>
    </row>
    <row r="904" ht="12.75" customHeight="1">
      <c r="A904" s="1"/>
      <c r="L904" s="1"/>
    </row>
    <row r="905" ht="12.75" customHeight="1">
      <c r="A905" s="1"/>
      <c r="L905" s="1"/>
    </row>
    <row r="906" ht="12.75" customHeight="1">
      <c r="A906" s="1"/>
      <c r="L906" s="1"/>
    </row>
    <row r="907" ht="12.75" customHeight="1">
      <c r="A907" s="1"/>
      <c r="L907" s="1"/>
    </row>
    <row r="908" ht="12.75" customHeight="1">
      <c r="A908" s="1"/>
      <c r="L908" s="1"/>
    </row>
    <row r="909" ht="12.75" customHeight="1">
      <c r="A909" s="1"/>
      <c r="L909" s="1"/>
    </row>
    <row r="910" ht="12.75" customHeight="1">
      <c r="A910" s="1"/>
      <c r="L910" s="1"/>
    </row>
    <row r="911" ht="12.75" customHeight="1">
      <c r="A911" s="1"/>
      <c r="L911" s="1"/>
    </row>
    <row r="912" ht="12.75" customHeight="1">
      <c r="A912" s="1"/>
      <c r="L912" s="1"/>
    </row>
    <row r="913" ht="12.75" customHeight="1">
      <c r="A913" s="1"/>
      <c r="L913" s="1"/>
    </row>
    <row r="914" ht="12.75" customHeight="1">
      <c r="A914" s="1"/>
      <c r="L914" s="1"/>
    </row>
    <row r="915" ht="12.75" customHeight="1">
      <c r="A915" s="1"/>
      <c r="L915" s="1"/>
    </row>
    <row r="916" ht="12.75" customHeight="1">
      <c r="A916" s="1"/>
      <c r="L916" s="1"/>
    </row>
    <row r="917" ht="12.75" customHeight="1">
      <c r="A917" s="1"/>
      <c r="L917" s="1"/>
    </row>
    <row r="918" ht="12.75" customHeight="1">
      <c r="A918" s="1"/>
      <c r="L918" s="1"/>
    </row>
    <row r="919" ht="12.75" customHeight="1">
      <c r="A919" s="1"/>
      <c r="L919" s="1"/>
    </row>
    <row r="920" ht="12.75" customHeight="1">
      <c r="A920" s="1"/>
      <c r="L920" s="1"/>
    </row>
    <row r="921" ht="12.75" customHeight="1">
      <c r="A921" s="1"/>
      <c r="L921" s="1"/>
    </row>
    <row r="922" ht="12.75" customHeight="1">
      <c r="A922" s="1"/>
      <c r="L922" s="1"/>
    </row>
    <row r="923" ht="12.75" customHeight="1">
      <c r="A923" s="1"/>
      <c r="L923" s="1"/>
    </row>
    <row r="924" ht="12.75" customHeight="1">
      <c r="A924" s="1"/>
      <c r="L924" s="1"/>
    </row>
    <row r="925" ht="12.75" customHeight="1">
      <c r="A925" s="1"/>
      <c r="L925" s="1"/>
    </row>
    <row r="926" ht="12.75" customHeight="1">
      <c r="A926" s="1"/>
      <c r="L926" s="1"/>
    </row>
    <row r="927" ht="12.75" customHeight="1">
      <c r="A927" s="1"/>
      <c r="L927" s="1"/>
    </row>
    <row r="928" ht="12.75" customHeight="1">
      <c r="A928" s="1"/>
      <c r="L928" s="1"/>
    </row>
    <row r="929" ht="12.75" customHeight="1">
      <c r="A929" s="1"/>
      <c r="L929" s="1"/>
    </row>
    <row r="930" ht="12.75" customHeight="1">
      <c r="A930" s="1"/>
      <c r="L930" s="1"/>
    </row>
    <row r="931" ht="12.75" customHeight="1">
      <c r="A931" s="1"/>
      <c r="L931" s="1"/>
    </row>
    <row r="932" ht="12.75" customHeight="1">
      <c r="A932" s="1"/>
      <c r="L932" s="1"/>
    </row>
    <row r="933" ht="12.75" customHeight="1">
      <c r="A933" s="1"/>
      <c r="L933" s="1"/>
    </row>
    <row r="934" ht="12.75" customHeight="1">
      <c r="A934" s="1"/>
      <c r="L934" s="1"/>
    </row>
    <row r="935" ht="12.75" customHeight="1">
      <c r="A935" s="1"/>
      <c r="L935" s="1"/>
    </row>
    <row r="936" ht="12.75" customHeight="1">
      <c r="A936" s="1"/>
      <c r="L936" s="1"/>
    </row>
    <row r="937" ht="12.75" customHeight="1">
      <c r="A937" s="1"/>
      <c r="L937" s="1"/>
    </row>
    <row r="938" ht="12.75" customHeight="1">
      <c r="A938" s="1"/>
      <c r="L938" s="1"/>
    </row>
    <row r="939" ht="12.75" customHeight="1">
      <c r="A939" s="1"/>
      <c r="L939" s="1"/>
    </row>
    <row r="940" ht="12.75" customHeight="1">
      <c r="A940" s="1"/>
      <c r="L940" s="1"/>
    </row>
    <row r="941" ht="12.75" customHeight="1">
      <c r="A941" s="1"/>
      <c r="L941" s="1"/>
    </row>
    <row r="942" ht="12.75" customHeight="1">
      <c r="A942" s="1"/>
      <c r="L942" s="1"/>
    </row>
    <row r="943" ht="12.75" customHeight="1">
      <c r="A943" s="1"/>
      <c r="L943" s="1"/>
    </row>
    <row r="944" ht="12.75" customHeight="1">
      <c r="A944" s="1"/>
      <c r="L944" s="1"/>
    </row>
    <row r="945" ht="12.75" customHeight="1">
      <c r="A945" s="1"/>
      <c r="L945" s="1"/>
    </row>
    <row r="946" ht="12.75" customHeight="1">
      <c r="A946" s="1"/>
      <c r="L946" s="1"/>
    </row>
    <row r="947" ht="12.75" customHeight="1">
      <c r="A947" s="1"/>
      <c r="L947" s="1"/>
    </row>
    <row r="948" ht="12.75" customHeight="1">
      <c r="A948" s="1"/>
      <c r="L948" s="1"/>
    </row>
    <row r="949" ht="12.75" customHeight="1">
      <c r="A949" s="1"/>
      <c r="L949" s="1"/>
    </row>
    <row r="950" ht="12.75" customHeight="1">
      <c r="A950" s="1"/>
      <c r="L950" s="1"/>
    </row>
    <row r="951" ht="12.75" customHeight="1">
      <c r="A951" s="1"/>
      <c r="L951" s="1"/>
    </row>
    <row r="952" ht="12.75" customHeight="1">
      <c r="A952" s="1"/>
      <c r="L952" s="1"/>
    </row>
    <row r="953" ht="12.75" customHeight="1">
      <c r="A953" s="1"/>
      <c r="L953" s="1"/>
    </row>
    <row r="954" ht="12.75" customHeight="1">
      <c r="A954" s="1"/>
      <c r="L954" s="1"/>
    </row>
    <row r="955" ht="12.75" customHeight="1">
      <c r="A955" s="1"/>
      <c r="L955" s="1"/>
    </row>
    <row r="956" ht="12.75" customHeight="1">
      <c r="A956" s="1"/>
      <c r="L956" s="1"/>
    </row>
    <row r="957" ht="12.75" customHeight="1">
      <c r="A957" s="1"/>
      <c r="L957" s="1"/>
    </row>
    <row r="958" ht="12.75" customHeight="1">
      <c r="A958" s="1"/>
      <c r="L958" s="1"/>
    </row>
    <row r="959" ht="12.75" customHeight="1">
      <c r="A959" s="1"/>
      <c r="L959" s="1"/>
    </row>
    <row r="960" ht="12.75" customHeight="1">
      <c r="A960" s="1"/>
      <c r="L960" s="1"/>
    </row>
    <row r="961" ht="12.75" customHeight="1">
      <c r="A961" s="1"/>
      <c r="L961" s="1"/>
    </row>
    <row r="962" ht="12.75" customHeight="1">
      <c r="A962" s="1"/>
      <c r="L962" s="1"/>
    </row>
    <row r="963" ht="12.75" customHeight="1">
      <c r="A963" s="1"/>
      <c r="L963" s="1"/>
    </row>
    <row r="964" ht="12.75" customHeight="1">
      <c r="A964" s="1"/>
      <c r="L964" s="1"/>
    </row>
    <row r="965" ht="12.75" customHeight="1">
      <c r="A965" s="1"/>
      <c r="L965" s="1"/>
    </row>
    <row r="966" ht="12.75" customHeight="1">
      <c r="A966" s="1"/>
      <c r="L966" s="1"/>
    </row>
    <row r="967" ht="12.75" customHeight="1">
      <c r="A967" s="1"/>
      <c r="L967" s="1"/>
    </row>
    <row r="968" ht="12.75" customHeight="1">
      <c r="A968" s="1"/>
      <c r="L968" s="1"/>
    </row>
    <row r="969" ht="12.75" customHeight="1">
      <c r="A969" s="1"/>
      <c r="L969" s="1"/>
    </row>
    <row r="970" ht="12.75" customHeight="1">
      <c r="A970" s="1"/>
      <c r="L970" s="1"/>
    </row>
    <row r="971" ht="12.75" customHeight="1">
      <c r="A971" s="1"/>
      <c r="L971" s="1"/>
    </row>
    <row r="972" ht="12.75" customHeight="1">
      <c r="A972" s="1"/>
      <c r="L972" s="1"/>
    </row>
    <row r="973" ht="12.75" customHeight="1">
      <c r="A973" s="1"/>
      <c r="L973" s="1"/>
    </row>
    <row r="974" ht="12.75" customHeight="1">
      <c r="A974" s="1"/>
      <c r="L974" s="1"/>
    </row>
    <row r="975" ht="12.75" customHeight="1">
      <c r="A975" s="1"/>
      <c r="L975" s="1"/>
    </row>
    <row r="976" ht="12.75" customHeight="1">
      <c r="A976" s="1"/>
      <c r="L976" s="1"/>
    </row>
    <row r="977" ht="12.75" customHeight="1">
      <c r="A977" s="1"/>
      <c r="L977" s="1"/>
    </row>
    <row r="978" ht="12.75" customHeight="1">
      <c r="A978" s="1"/>
      <c r="L978" s="1"/>
    </row>
    <row r="979" ht="12.75" customHeight="1">
      <c r="A979" s="1"/>
      <c r="L979" s="1"/>
    </row>
    <row r="980" ht="12.75" customHeight="1">
      <c r="A980" s="1"/>
      <c r="L980" s="1"/>
    </row>
    <row r="981" ht="12.75" customHeight="1">
      <c r="A981" s="1"/>
      <c r="L981" s="1"/>
    </row>
    <row r="982" ht="12.75" customHeight="1">
      <c r="A982" s="1"/>
      <c r="L982" s="1"/>
    </row>
    <row r="983" ht="12.75" customHeight="1">
      <c r="A983" s="1"/>
      <c r="L983" s="1"/>
    </row>
    <row r="984" ht="12.75" customHeight="1">
      <c r="A984" s="1"/>
      <c r="L984" s="1"/>
    </row>
    <row r="985" ht="12.75" customHeight="1">
      <c r="A985" s="1"/>
      <c r="L985" s="1"/>
    </row>
    <row r="986" ht="12.75" customHeight="1">
      <c r="A986" s="1"/>
      <c r="L986" s="1"/>
    </row>
    <row r="987" ht="12.75" customHeight="1">
      <c r="A987" s="1"/>
      <c r="L987" s="1"/>
    </row>
    <row r="988" ht="12.75" customHeight="1">
      <c r="A988" s="1"/>
      <c r="L988" s="1"/>
    </row>
    <row r="989" ht="12.75" customHeight="1">
      <c r="A989" s="1"/>
      <c r="L989" s="1"/>
    </row>
    <row r="990" ht="12.75" customHeight="1">
      <c r="A990" s="1"/>
      <c r="L990" s="1"/>
    </row>
    <row r="991" ht="12.75" customHeight="1">
      <c r="A991" s="1"/>
      <c r="L991" s="1"/>
    </row>
    <row r="992" ht="12.75" customHeight="1">
      <c r="A992" s="1"/>
      <c r="L992" s="1"/>
    </row>
    <row r="993" ht="12.75" customHeight="1">
      <c r="A993" s="1"/>
      <c r="L993" s="1"/>
    </row>
    <row r="994" ht="12.75" customHeight="1">
      <c r="A994" s="1"/>
      <c r="L994" s="1"/>
    </row>
    <row r="995" ht="12.75" customHeight="1">
      <c r="A995" s="1"/>
      <c r="L995" s="1"/>
    </row>
    <row r="996" ht="12.75" customHeight="1">
      <c r="A996" s="1"/>
      <c r="L996" s="1"/>
    </row>
    <row r="997" ht="12.75" customHeight="1">
      <c r="A997" s="1"/>
      <c r="L997" s="1"/>
    </row>
    <row r="998" ht="12.75" customHeight="1">
      <c r="A998" s="1"/>
      <c r="L998" s="1"/>
    </row>
    <row r="999" ht="12.75" customHeight="1">
      <c r="A999" s="1"/>
      <c r="L999" s="1"/>
    </row>
    <row r="1000" ht="12.75" customHeight="1">
      <c r="A1000" s="1"/>
      <c r="L1000" s="1"/>
    </row>
  </sheetData>
  <mergeCells count="24">
    <mergeCell ref="F13:F14"/>
    <mergeCell ref="E13:E14"/>
    <mergeCell ref="M13:M14"/>
    <mergeCell ref="J13:J14"/>
    <mergeCell ref="N13:N14"/>
    <mergeCell ref="G13:G14"/>
    <mergeCell ref="H13:H14"/>
    <mergeCell ref="I13:I14"/>
    <mergeCell ref="G11:G12"/>
    <mergeCell ref="H11:H12"/>
    <mergeCell ref="I11:I12"/>
    <mergeCell ref="D13:D14"/>
    <mergeCell ref="D11:D12"/>
    <mergeCell ref="M11:M12"/>
    <mergeCell ref="J11:J12"/>
    <mergeCell ref="N11:N12"/>
    <mergeCell ref="B13:B14"/>
    <mergeCell ref="B11:B12"/>
    <mergeCell ref="A13:A14"/>
    <mergeCell ref="A11:A12"/>
    <mergeCell ref="C13:C14"/>
    <mergeCell ref="F11:F12"/>
    <mergeCell ref="E11:E12"/>
    <mergeCell ref="C11:C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sheetData/>
  <drawing r:id="rId1"/>
</worksheet>
</file>