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trlProps/ctrlProp4.xml" ContentType="application/vnd.ms-excel.controlproperties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trlProps/ctrlProp5.xml" ContentType="application/vnd.ms-excel.controlproperti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4740" windowWidth="9105" windowHeight="2280"/>
  </bookViews>
  <sheets>
    <sheet name="HBL" sheetId="1" r:id="rId1"/>
    <sheet name="Visualization" sheetId="7" r:id="rId2"/>
    <sheet name="R&amp;C Kiln" sheetId="4" r:id="rId3"/>
    <sheet name="R&amp;C Preheater" sheetId="5" r:id="rId4"/>
    <sheet name="R&amp;C Tertiary Air Duct" sheetId="6" r:id="rId5"/>
    <sheet name="clinker temp" sheetId="8" r:id="rId6"/>
    <sheet name="R&amp;C Planetary Cooler" sheetId="2" r:id="rId7"/>
  </sheets>
  <externalReferences>
    <externalReference r:id="rId8"/>
    <externalReference r:id="rId9"/>
  </externalReferences>
  <definedNames>
    <definedName name="_ETA1">#REF!</definedName>
    <definedName name="_ETA2">#REF!</definedName>
    <definedName name="_PRT1">#REF!</definedName>
    <definedName name="_Scenario_new_change" localSheetId="0" hidden="1">HBL!#REF!</definedName>
    <definedName name="_scenchg_count" localSheetId="0" hidden="1">1</definedName>
    <definedName name="_scenchg1" localSheetId="0" hidden="1">HBL!#REF!</definedName>
    <definedName name="_SiO2">[1]HBL!$G$115</definedName>
    <definedName name="ABSHUM" localSheetId="5">[1]HBL!$E$71</definedName>
    <definedName name="ABSHUM">HBL!$E$72</definedName>
    <definedName name="AIRBAL_ERROR" localSheetId="5">[1]HBL!$C$1008</definedName>
    <definedName name="AIRBAL_ERROR">HBL!$C$994</definedName>
    <definedName name="Al2O3" localSheetId="5">[1]HBL!$I$115</definedName>
    <definedName name="Al2O3">HBL!$I$116</definedName>
    <definedName name="Alk">HBL!$H$243</definedName>
    <definedName name="ALTITUDE" localSheetId="0">HBL!$D$31</definedName>
    <definedName name="ALTITUDE" localSheetId="2">'R&amp;C Kiln'!$K$21</definedName>
    <definedName name="ALTITUDE" localSheetId="6">'R&amp;C Planetary Cooler'!$K$21</definedName>
    <definedName name="ALTITUDE" localSheetId="3">'R&amp;C Preheater'!$K$21</definedName>
    <definedName name="ALTITUDE" localSheetId="4">'R&amp;C Tertiary Air Duct'!$K$21</definedName>
    <definedName name="ALTITUDE">#REF!</definedName>
    <definedName name="Amin_FUEL1" localSheetId="5">[1]HBL!$E$344</definedName>
    <definedName name="Amin_FUEL1">HBL!$E$345</definedName>
    <definedName name="Amin_FUEL2" localSheetId="5">[1]HBL!$F$344</definedName>
    <definedName name="Amin_FUEL2">HBL!$F$345</definedName>
    <definedName name="Amin_FUEL3" localSheetId="5">[1]HBL!$G$344</definedName>
    <definedName name="Amin_FUEL3">HBL!$G$345</definedName>
    <definedName name="Amin_FUEL4" localSheetId="5">[1]HBL!$H$344</definedName>
    <definedName name="Amin_FUEL4">HBL!$H$345</definedName>
    <definedName name="Amin_FUEL5" localSheetId="5">[1]HBL!$I$344</definedName>
    <definedName name="Amin_FUEL5">HBL!$I$345</definedName>
    <definedName name="Amin_FUEL6" localSheetId="5">[1]HBL!$J$344</definedName>
    <definedName name="Amin_FUEL6">HBL!$J$345</definedName>
    <definedName name="AREA">'[2]R&amp;C kiln and preheater'!#REF!</definedName>
    <definedName name="ATOT" localSheetId="2">'R&amp;C Kiln'!$F$26</definedName>
    <definedName name="ATOT" localSheetId="6">'R&amp;C Planetary Cooler'!$F$26</definedName>
    <definedName name="ATOT" localSheetId="4">'R&amp;C Tertiary Air Duct'!$F$26</definedName>
    <definedName name="ATOT">#REF!</definedName>
    <definedName name="BYPASS_PERCENT">HBL!$I$171</definedName>
    <definedName name="BYPRAD" localSheetId="5">[1]HBL!$G$161</definedName>
    <definedName name="BYPRAD">HBL!$G$162</definedName>
    <definedName name="CALCINATION" localSheetId="5">[1]HBL!$I$429</definedName>
    <definedName name="CALCINATION">HBL!$I$430</definedName>
    <definedName name="CaO" localSheetId="5">[1]HBL!$E$115</definedName>
    <definedName name="CaO">HBL!$E$116</definedName>
    <definedName name="CaO_BYPASS" localSheetId="5">[1]HBL!$D$147</definedName>
    <definedName name="CaO_BYPASS">HBL!$D$148</definedName>
    <definedName name="CaO_DUSTFILTER">HBL!$D$96</definedName>
    <definedName name="CaOnc_BYPASS" localSheetId="5">[1]HBL!$G$962</definedName>
    <definedName name="CaOnc_BYPASS">HBL!$G$948</definedName>
    <definedName name="CaOnc_DUSTSMOKE">HBL!$D$948</definedName>
    <definedName name="CL" localSheetId="5">[1]HBL!$C$931</definedName>
    <definedName name="CL">HBL!$C$917</definedName>
    <definedName name="Cl_BYPASS" localSheetId="5">[1]HBL!$I$147</definedName>
    <definedName name="Cl_BYPASS">HBL!$I$148</definedName>
    <definedName name="Cl_HOTMEAL" localSheetId="5">[1]HBL!$J$154</definedName>
    <definedName name="Cl_HOTMEAL">HBL!$J$155</definedName>
    <definedName name="CLI_CORR">[1]HBL!#REF!</definedName>
    <definedName name="CLI_DUST" localSheetId="5">[1]HBL!$I$452</definedName>
    <definedName name="CLI_DUST">HBL!$I$453</definedName>
    <definedName name="CLI_FACTOR" localSheetId="5">[1]HBL!$C$476</definedName>
    <definedName name="CLI_FACTOR">HBL!$C$477</definedName>
    <definedName name="CLINKER_R2">[1]HBL!#REF!</definedName>
    <definedName name="CLINKER_T1">[1]HBL!#REF!</definedName>
    <definedName name="CLINKER_T2">[1]HBL!#REF!</definedName>
    <definedName name="CO_BYPASSEXTRAC" localSheetId="5">[1]HBL!$I$151</definedName>
    <definedName name="CO_BYPASSEXTRAC">HBL!$I$152</definedName>
    <definedName name="CO_EXHAUST" localSheetId="5">[1]HBL!$I$188</definedName>
    <definedName name="CO_EXHAUST">HBL!$I$189</definedName>
    <definedName name="CO_EXHAUSTCALCINER" localSheetId="5">[1]HBL!$I$200</definedName>
    <definedName name="CO_EXHAUSTCALCINER">HBL!$I$201</definedName>
    <definedName name="CO_KILNINLET">HBL!$D$182</definedName>
    <definedName name="CODE">HBL!$AC$1301</definedName>
    <definedName name="Cooler" localSheetId="5">[1]HBL!$F$54</definedName>
    <definedName name="Cooler">HBL!$F$55</definedName>
    <definedName name="COOLHBL_ERROR" localSheetId="5">[1]HBL!$C$558</definedName>
    <definedName name="COOLHBL_ERROR">HBL!$C$551</definedName>
    <definedName name="CP_BYDUSTEXTRAC" localSheetId="5">[1]HBL!$D$151</definedName>
    <definedName name="CP_BYDUSTEXTRAC">HBL!$D$152</definedName>
    <definedName name="CP_BYDUSTQUENCH" localSheetId="5">[1]HBL!$G$160</definedName>
    <definedName name="CP_BYDUSTQUENCH">HBL!$G$161</definedName>
    <definedName name="CP_BYPASSEXTRAC" localSheetId="5">[1]HBL!$D$150</definedName>
    <definedName name="CP_BYPASSEXTRAC">HBL!$D$151</definedName>
    <definedName name="CP_BYPASSQUENCH" localSheetId="5">[1]HBL!$G$159</definedName>
    <definedName name="CP_BYPASSQUENCH">HBL!$G$160</definedName>
    <definedName name="CP_CLI" localSheetId="5">[1]HBL!$D$110</definedName>
    <definedName name="CP_CLI">HBL!$D$111</definedName>
    <definedName name="CP_CLIDUST" localSheetId="5">[1]HBL!$G$1083</definedName>
    <definedName name="CP_CLIDUST">HBL!$G$1069</definedName>
    <definedName name="CP_CLIHOT" localSheetId="5">[1]HBL!$G$1025</definedName>
    <definedName name="CP_CLIHOT">HBL!$G$1011</definedName>
    <definedName name="CP_DUSTEXHAUST" localSheetId="5">[1]HBL!$D$190</definedName>
    <definedName name="CP_DUSTEXHAUST">HBL!$D$191</definedName>
    <definedName name="CP_EXHAUST">HBL!$D$189</definedName>
    <definedName name="CP_EXHAUSTCALCINER" localSheetId="5">[1]HBL!$D$200</definedName>
    <definedName name="CP_EXHAUSTCALCINER">HBL!$D$201</definedName>
    <definedName name="CP_EXHAUSTCALCINERman" localSheetId="5">[1]HBL!$D$201</definedName>
    <definedName name="CP_EXHAUSTCALCINERman">HBL!$D$202</definedName>
    <definedName name="CP_EXHAUSTman" localSheetId="5">[1]HBL!$D$189</definedName>
    <definedName name="CP_EXHAUSTman">HBL!$D$190</definedName>
    <definedName name="CP_FALSEAIR" localSheetId="5">[1]HBL!$G$1050</definedName>
    <definedName name="CP_FALSEAIR">HBL!$G$1036</definedName>
    <definedName name="CP_H2OCOOLER" localSheetId="5">[1]HBL!$I$316</definedName>
    <definedName name="CP_H2OCOOLER">HBL!$I$317</definedName>
    <definedName name="CP_H2Ovap" localSheetId="5">[1]HBL!$G$1079</definedName>
    <definedName name="CP_H2Ovap">HBL!$G$1065</definedName>
    <definedName name="CP_H2OvapTA" localSheetId="5">[1]HBL!$G$1099</definedName>
    <definedName name="CP_H2OvapTA">HBL!$G$1085</definedName>
    <definedName name="CP_MEALDRY" localSheetId="5">[1]HBL!$D$79</definedName>
    <definedName name="CP_MEALDRY">HBL!$D$80</definedName>
    <definedName name="CP_MIDDLE" localSheetId="5">[1]HBL!$I$271</definedName>
    <definedName name="CP_MIDDLE">HBL!$I$272</definedName>
    <definedName name="CP_MIDDLEPITOT">[1]HBL!#REF!</definedName>
    <definedName name="CP_PRIMAIR" localSheetId="5">[1]HBL!$I$237</definedName>
    <definedName name="CP_PRIMAIR">HBL!$I$238</definedName>
    <definedName name="CP_PRIMAIRCAL" localSheetId="5">[1]HBL!$I$259</definedName>
    <definedName name="CP_PRIMAIRCAL">HBL!$I$260</definedName>
    <definedName name="CP_PRIMAIRSECOND">[2]HBL!#REF!</definedName>
    <definedName name="CP_SECONDAIR" localSheetId="5">[1]HBL!$G$1078</definedName>
    <definedName name="CP_SECONDAIR">HBL!$G$1064</definedName>
    <definedName name="CP_TERTAIR" localSheetId="5">[1]HBL!$G$1098</definedName>
    <definedName name="CP_TERTAIR">HBL!$G$1084</definedName>
    <definedName name="CP_WASTE" localSheetId="5">[1]HBL!$I$283</definedName>
    <definedName name="CP_WASTE">HBL!$I$284</definedName>
    <definedName name="CP_WASTEPITOT">[1]HBL!#REF!</definedName>
    <definedName name="CP_WATER" localSheetId="5">[1]HBL!$D$80</definedName>
    <definedName name="CP_WATER">HBL!$D$81</definedName>
    <definedName name="CPH2O_PRIMAIR" localSheetId="5">[1]HBL!$G$734</definedName>
    <definedName name="CPH2O_PRIMAIR">HBL!$G$720</definedName>
    <definedName name="CPH2O_PRIMAIRCAL" localSheetId="5">[1]HBL!$G$744</definedName>
    <definedName name="CPH2O_PRIMAIRCAL">HBL!$G$730</definedName>
    <definedName name="DATE" localSheetId="2">'R&amp;C Kiln'!$F$22</definedName>
    <definedName name="DATE" localSheetId="6">'R&amp;C Planetary Cooler'!$D$75</definedName>
    <definedName name="DATE" localSheetId="3">'R&amp;C Preheater'!$F$22</definedName>
    <definedName name="DATE" localSheetId="4">'R&amp;C Tertiary Air Duct'!$F$22</definedName>
    <definedName name="DATE">#REF!</definedName>
    <definedName name="DATE01" localSheetId="2">'R&amp;C Kiln'!$F$22</definedName>
    <definedName name="DATE01" localSheetId="4">'R&amp;C Tertiary Air Duct'!$F$22</definedName>
    <definedName name="DATE1" localSheetId="5">[1]HBL!$D$32</definedName>
    <definedName name="DATE1">HBL!$D$33</definedName>
    <definedName name="DATE2" localSheetId="5">[1]HBL!$D$33</definedName>
    <definedName name="DATE2">HBL!$D$34</definedName>
    <definedName name="DIAMETER" localSheetId="0">HBL!$I$46</definedName>
    <definedName name="DIAMETER" localSheetId="2">'R&amp;C Kiln'!$F$23</definedName>
    <definedName name="DIAMETER" localSheetId="6">'R&amp;C Planetary Cooler'!$F$23</definedName>
    <definedName name="DIAMETER" localSheetId="3">'R&amp;C Preheater'!$F$22</definedName>
    <definedName name="DIAMETER" localSheetId="4">'R&amp;C Tertiary Air Duct'!$F$23</definedName>
    <definedName name="DIAMETER">#REF!</definedName>
    <definedName name="DUSTBYPASS_CORR">HBL!$I$144</definedName>
    <definedName name="DUSTBYPASS_R1">[1]HBL!#REF!</definedName>
    <definedName name="DUSTBYPASS_R2">HBL!$H$144</definedName>
    <definedName name="DUSTBYPASS_T1">[1]HBL!#REF!</definedName>
    <definedName name="DUSTBYPASS_T2">HBL!$G$144</definedName>
    <definedName name="DUSTFILTER_CORR">HBL!$I$93</definedName>
    <definedName name="DUSTFILTER_R1">HBL!$F$93</definedName>
    <definedName name="DUSTFILTER_R2">HBL!$H$93</definedName>
    <definedName name="DUSTFILTER_T1">[1]HBL!#REF!</definedName>
    <definedName name="DUSTFILTER_T2">HBL!$G$93</definedName>
    <definedName name="ETA_COOLER">[1]HBL!#REF!</definedName>
    <definedName name="ETA1_K" localSheetId="2">'R&amp;C Kiln'!$AB$26</definedName>
    <definedName name="ETA1_P" localSheetId="6">'R&amp;C Planetary Cooler'!$AB$34</definedName>
    <definedName name="ETA1_PH" localSheetId="3">'R&amp;C Preheater'!$AB$31</definedName>
    <definedName name="ETA1_PH">'R&amp;C Preheater'!$AB$31</definedName>
    <definedName name="ETA1_TA" localSheetId="4">'R&amp;C Tertiary Air Duct'!$AB$26</definedName>
    <definedName name="ETA2_K" localSheetId="2">'R&amp;C Kiln'!$AB$27</definedName>
    <definedName name="ETA2_P" localSheetId="6">'R&amp;C Planetary Cooler'!$AB$35</definedName>
    <definedName name="ETA2_PH" localSheetId="3">'R&amp;C Preheater'!$AB$33</definedName>
    <definedName name="ETA2_TA" localSheetId="4">'R&amp;C Tertiary Air Duct'!$AB$27</definedName>
    <definedName name="Fe2O3" localSheetId="5">[1]HBL!$H$115</definedName>
    <definedName name="Fe2O3">HBL!$H$116</definedName>
    <definedName name="FEED_CALCINER" localSheetId="5">[1]HBL!$E$87</definedName>
    <definedName name="FEED_CALCINER">HBL!$E$88</definedName>
    <definedName name="FEED_R1">[1]HBL!#REF!</definedName>
    <definedName name="FEED_R2">HBL!$H$77</definedName>
    <definedName name="FEED_T1">[1]HBL!#REF!</definedName>
    <definedName name="FEED_T2">HBL!$G$77</definedName>
    <definedName name="FUEL1" localSheetId="5">[1]HBL!$E$337</definedName>
    <definedName name="FUEL1">HBL!$E$338</definedName>
    <definedName name="FUEL2">HBL!$F$338</definedName>
    <definedName name="FUEL3" localSheetId="5">[1]HBL!$G$337</definedName>
    <definedName name="FUEL3">HBL!$G$338</definedName>
    <definedName name="FUEL4" localSheetId="5">[1]HBL!$H$337</definedName>
    <definedName name="FUEL4">HBL!$H$338</definedName>
    <definedName name="FUEL5" localSheetId="5">[1]HBL!$I$337</definedName>
    <definedName name="FUEL5">HBL!$I$338</definedName>
    <definedName name="FUEL6" localSheetId="5">[1]HBL!$J$337</definedName>
    <definedName name="FUEL6">HBL!$J$338</definedName>
    <definedName name="FUELBZ1_R1">[1]HBL!#REF!</definedName>
    <definedName name="FUELBZ1_R2" localSheetId="5">[1]HBL!$E$356</definedName>
    <definedName name="FUELBZ1_R2">HBL!$E$357</definedName>
    <definedName name="FUELBZ1_T1">[1]HBL!#REF!</definedName>
    <definedName name="FUELBZ1_T2">[1]HBL!#REF!</definedName>
    <definedName name="FUELBZ2_R1">[1]HBL!#REF!</definedName>
    <definedName name="FUELBZ2_R2" localSheetId="5">[1]HBL!$F$356</definedName>
    <definedName name="FUELBZ2_R2">HBL!$F$357</definedName>
    <definedName name="FUELBZ2_T1">[1]HBL!#REF!</definedName>
    <definedName name="FUELBZ2_T2">[1]HBL!#REF!</definedName>
    <definedName name="FUELBZ3_R1">[1]HBL!#REF!</definedName>
    <definedName name="FUELBZ3_R2" localSheetId="5">[1]HBL!$G$356</definedName>
    <definedName name="FUELBZ3_R2">HBL!$G$357</definedName>
    <definedName name="FUELBZ3_T1">[1]HBL!#REF!</definedName>
    <definedName name="FUELBZ3_T2">[1]HBL!#REF!</definedName>
    <definedName name="FUELBZ4_R1">[1]HBL!#REF!</definedName>
    <definedName name="FUELBZ4_R2" localSheetId="5">[1]HBL!$H$356</definedName>
    <definedName name="FUELBZ4_R2">HBL!$H$357</definedName>
    <definedName name="FUELBZ4_T1">[1]HBL!#REF!</definedName>
    <definedName name="FUELBZ4_T2">[1]HBL!#REF!</definedName>
    <definedName name="FUELBZ5_R1">[1]HBL!#REF!</definedName>
    <definedName name="FUELBZ5_R2" localSheetId="5">[1]HBL!$I$356</definedName>
    <definedName name="FUELBZ5_R2">HBL!$I$357</definedName>
    <definedName name="FUELBZ5_T1">[1]HBL!#REF!</definedName>
    <definedName name="FUELBZ5_T2">[1]HBL!#REF!</definedName>
    <definedName name="FUELBZ6_R1">[1]HBL!#REF!</definedName>
    <definedName name="FUELBZ6_R2" localSheetId="5">[1]HBL!$J$356</definedName>
    <definedName name="FUELBZ6_R2">HBL!$J$357</definedName>
    <definedName name="FUELBZ6_T1">[1]HBL!#REF!</definedName>
    <definedName name="FUELBZ6_T2">[1]HBL!#REF!</definedName>
    <definedName name="FUELCZ1_R1">[1]HBL!#REF!</definedName>
    <definedName name="FUELCZ1_R2" localSheetId="5">[1]HBL!$E$366</definedName>
    <definedName name="FUELCZ1_R2">HBL!$E$367</definedName>
    <definedName name="FUELCZ1_T1">[1]HBL!#REF!</definedName>
    <definedName name="FUELCZ1_T2">[1]HBL!#REF!</definedName>
    <definedName name="FUELCZ2_R1">[1]HBL!#REF!</definedName>
    <definedName name="FUELCZ2_R2" localSheetId="5">[1]HBL!$F$366</definedName>
    <definedName name="FUELCZ2_R2">HBL!$F$367</definedName>
    <definedName name="FUELCZ2_T1">[1]HBL!#REF!</definedName>
    <definedName name="FUELCZ2_T2">[1]HBL!#REF!</definedName>
    <definedName name="FUELCZ3_R1">[1]HBL!#REF!</definedName>
    <definedName name="FUELCZ3_R2" localSheetId="5">[1]HBL!$G$366</definedName>
    <definedName name="FUELCZ3_R2">HBL!$G$367</definedName>
    <definedName name="FUELCZ3_T1">[1]HBL!#REF!</definedName>
    <definedName name="FUELCZ3_T2">[1]HBL!#REF!</definedName>
    <definedName name="FUELCZ4_R1">[1]HBL!#REF!</definedName>
    <definedName name="FUELCZ4_R2" localSheetId="5">[1]HBL!$H$366</definedName>
    <definedName name="FUELCZ4_R2">HBL!$H$367</definedName>
    <definedName name="FUELCZ4_T1">[1]HBL!#REF!</definedName>
    <definedName name="FUELCZ4_T2">[1]HBL!#REF!</definedName>
    <definedName name="FUELCZ5_R1">[1]HBL!#REF!</definedName>
    <definedName name="FUELCZ5_R2" localSheetId="5">[1]HBL!$I$366</definedName>
    <definedName name="FUELCZ5_R2">HBL!$I$367</definedName>
    <definedName name="FUELCZ5_T1">[1]HBL!#REF!</definedName>
    <definedName name="FUELCZ5_T2">[1]HBL!#REF!</definedName>
    <definedName name="FUELCZ6_R1">[1]HBL!#REF!</definedName>
    <definedName name="FUELCZ6_R2" localSheetId="5">[1]HBL!$J$366</definedName>
    <definedName name="FUELCZ6_R2">HBL!$J$367</definedName>
    <definedName name="FUELCZ6_T1">[1]HBL!#REF!</definedName>
    <definedName name="FUELCZ6_T2">[1]HBL!#REF!</definedName>
    <definedName name="FUELSF1_R1">[1]HBL!#REF!</definedName>
    <definedName name="FUELSF1_R2" localSheetId="5">[1]HBL!$E$361</definedName>
    <definedName name="FUELSF1_R2">HBL!$E$362</definedName>
    <definedName name="FUELSF1_T1">[1]HBL!#REF!</definedName>
    <definedName name="FUELSF1_T2">[1]HBL!#REF!</definedName>
    <definedName name="FUELSF2_R1">[1]HBL!#REF!</definedName>
    <definedName name="FUELSF2_R2" localSheetId="5">[1]HBL!$F$361</definedName>
    <definedName name="FUELSF2_R2">HBL!$F$362</definedName>
    <definedName name="FUELSF2_T1">[1]HBL!#REF!</definedName>
    <definedName name="FUELSF2_T2">[1]HBL!#REF!</definedName>
    <definedName name="FUELSF3_R1">[1]HBL!#REF!</definedName>
    <definedName name="FUELSF3_R2" localSheetId="5">[1]HBL!$G$361</definedName>
    <definedName name="FUELSF3_R2">HBL!$G$362</definedName>
    <definedName name="FUELSF3_T1">[1]HBL!#REF!</definedName>
    <definedName name="FUELSF3_T2">[1]HBL!#REF!</definedName>
    <definedName name="FUELSF4_R1">[1]HBL!#REF!</definedName>
    <definedName name="FUELSF4_R2" localSheetId="5">[1]HBL!$H$361</definedName>
    <definedName name="FUELSF4_R2">HBL!$H$362</definedName>
    <definedName name="FUELSF4_T1">[1]HBL!#REF!</definedName>
    <definedName name="FUELSF4_T2">[1]HBL!#REF!</definedName>
    <definedName name="FUELSF5_R1">[1]HBL!#REF!</definedName>
    <definedName name="FUELSF5_R2" localSheetId="5">[1]HBL!$I$361</definedName>
    <definedName name="FUELSF5_R2">HBL!$I$362</definedName>
    <definedName name="FUELSF5_T1">[1]HBL!#REF!</definedName>
    <definedName name="FUELSF5_T2">[1]HBL!#REF!</definedName>
    <definedName name="FUELSF6_R1">[1]HBL!#REF!</definedName>
    <definedName name="FUELSF6_R2" localSheetId="5">[1]HBL!$J$361</definedName>
    <definedName name="FUELSF6_R2">HBL!$J$362</definedName>
    <definedName name="FUELSF6_T1">[1]HBL!#REF!</definedName>
    <definedName name="FUELSF6_T2">[1]HBL!#REF!</definedName>
    <definedName name="FUELSZ1_R1">[1]HBL!#REF!</definedName>
    <definedName name="FUELSZ1_R2">[1]HBL!#REF!</definedName>
    <definedName name="FUELSZ1_T1">[1]HBL!#REF!</definedName>
    <definedName name="FUELSZ1_T2">[1]HBL!#REF!</definedName>
    <definedName name="FUELSZ2_R1">[1]HBL!#REF!</definedName>
    <definedName name="FUELSZ2_R2">[1]HBL!#REF!</definedName>
    <definedName name="FUELSZ2_T1">[1]HBL!#REF!</definedName>
    <definedName name="FUELSZ2_T2">[1]HBL!#REF!</definedName>
    <definedName name="FUELSZ3_R1">[1]HBL!#REF!</definedName>
    <definedName name="FUELSZ3_R2">[1]HBL!#REF!</definedName>
    <definedName name="FUELSZ3_T1">[1]HBL!#REF!</definedName>
    <definedName name="FUELSZ3_T2">[1]HBL!#REF!</definedName>
    <definedName name="FUELSZ4_R1">[1]HBL!#REF!</definedName>
    <definedName name="FUELSZ4_R2">[1]HBL!#REF!</definedName>
    <definedName name="FUELSZ4_T1">[1]HBL!#REF!</definedName>
    <definedName name="FUELSZ4_T2">[1]HBL!#REF!</definedName>
    <definedName name="FUELSZ5_R1">[1]HBL!#REF!</definedName>
    <definedName name="FUELSZ5_R2">[1]HBL!#REF!</definedName>
    <definedName name="FUELSZ5_T1">[1]HBL!#REF!</definedName>
    <definedName name="FUELSZ5_T2">[1]HBL!#REF!</definedName>
    <definedName name="FUELSZ6_R1">[1]HBL!#REF!</definedName>
    <definedName name="FUELSZ6_R2">[1]HBL!#REF!</definedName>
    <definedName name="FUELSZ6_T1">[1]HBL!#REF!</definedName>
    <definedName name="FUELSZ6_T2">[1]HBL!#REF!</definedName>
    <definedName name="H2O_BYPASS" localSheetId="5">[1]HBL!$D$145</definedName>
    <definedName name="H2O_BYPASS">HBL!$D$146</definedName>
    <definedName name="H2O_DRYCOAL" localSheetId="5">[1]HBL!$I$232</definedName>
    <definedName name="H2O_DRYCOAL">HBL!$I$233</definedName>
    <definedName name="H2O_DRYCOALCAL" localSheetId="5">[1]HBL!$I$254</definedName>
    <definedName name="H2O_DRYCOALCAL">HBL!$I$255</definedName>
    <definedName name="H2O_DUSTFILTER" localSheetId="5">[1]HBL!$D$93</definedName>
    <definedName name="H2O_DUSTFILTER">HBL!$D$94</definedName>
    <definedName name="H2O_FEED" localSheetId="5">[1]HBL!$I$78</definedName>
    <definedName name="H2O_FEED">HBL!$I$79</definedName>
    <definedName name="H2O_FUEL1" localSheetId="5">[1]HBL!$E$341</definedName>
    <definedName name="H2O_FUEL1">HBL!$E$342</definedName>
    <definedName name="H2O_FUEL2" localSheetId="5">[1]HBL!$F$341</definedName>
    <definedName name="H2O_FUEL2">HBL!$F$342</definedName>
    <definedName name="H2O_FUEL3" localSheetId="5">[1]HBL!$G$341</definedName>
    <definedName name="H2O_FUEL3">HBL!$G$342</definedName>
    <definedName name="H2O_FUEL4" localSheetId="5">[1]HBL!$H$341</definedName>
    <definedName name="H2O_FUEL4">HBL!$H$342</definedName>
    <definedName name="H2O_FUEL5" localSheetId="5">[1]HBL!$I$341</definedName>
    <definedName name="H2O_FUEL5">HBL!$I$342</definedName>
    <definedName name="H2O_FUEL6" localSheetId="5">[1]HBL!$J$341</definedName>
    <definedName name="H2O_FUEL6">HBL!$J$342</definedName>
    <definedName name="H2O_PREHEATER" localSheetId="5">[1]HBL!$D$206</definedName>
    <definedName name="H2O_PREHEATER">HBL!$D$207</definedName>
    <definedName name="H2O_RAWCOAL" localSheetId="5">[1]HBL!$I$231</definedName>
    <definedName name="H2O_RAWCOAL">HBL!$I$232</definedName>
    <definedName name="H2O_RAWCOALCAL" localSheetId="5">[1]HBL!$I$253</definedName>
    <definedName name="H2O_RAWCOALCAL">HBL!$I$254</definedName>
    <definedName name="H2O_Vmin1" localSheetId="5">[1]HBL!$E$346</definedName>
    <definedName name="H2O_Vmin1">HBL!$E$347</definedName>
    <definedName name="H2O_Vmin2" localSheetId="5">[1]HBL!$F$346</definedName>
    <definedName name="H2O_Vmin2">HBL!$F$347</definedName>
    <definedName name="H2O_Vmin3" localSheetId="5">[1]HBL!$G$346</definedName>
    <definedName name="H2O_Vmin3">HBL!$G$347</definedName>
    <definedName name="H2O_Vmin4" localSheetId="5">[1]HBL!$H$346</definedName>
    <definedName name="H2O_Vmin4">HBL!$H$347</definedName>
    <definedName name="H2O_Vmin5" localSheetId="5">[1]HBL!$I$346</definedName>
    <definedName name="H2O_Vmin5">HBL!$I$347</definedName>
    <definedName name="H2O_Vmin6" localSheetId="5">[1]HBL!$J$346</definedName>
    <definedName name="H2O_Vmin6">HBL!$J$347</definedName>
    <definedName name="H2O_Vminkiln">[1]HBL!#REF!</definedName>
    <definedName name="H2O_VminPC">[1]HBL!#REF!</definedName>
    <definedName name="H2O_VminPH">[1]HBL!#REF!</definedName>
    <definedName name="H2OCOOLER_CORR">[1]HBL!#REF!</definedName>
    <definedName name="H2OCOOLER_R1">HBL!$F$314</definedName>
    <definedName name="H2OCOOLER_R2">HBL!$H$314</definedName>
    <definedName name="H2OCOOLER_T1">[1]HBL!#REF!</definedName>
    <definedName name="H2OCOOLER_T2">HBL!$G$314</definedName>
    <definedName name="H2OVAPOR_COALMILL" localSheetId="5">[1]HBL!$I$234</definedName>
    <definedName name="H2OVAPOR_COALMILL">HBL!$I$235</definedName>
    <definedName name="H2OVAPOR_COALMILLCAL" localSheetId="5">[1]HBL!$I$256</definedName>
    <definedName name="H2OVAPOR_COALMILLCAL">HBL!$I$257</definedName>
    <definedName name="K" localSheetId="5">[1]HBL!$C$933</definedName>
    <definedName name="K">HBL!$C$919</definedName>
    <definedName name="K2O_BYPASS" localSheetId="5">[1]HBL!$I$145</definedName>
    <definedName name="K2O_BYPASS">HBL!$I$146</definedName>
    <definedName name="K2O_CLINKER" localSheetId="5">[1]HBL!$I$110</definedName>
    <definedName name="K2O_CLINKER">HBL!$I$111</definedName>
    <definedName name="K2O_FEED" localSheetId="5">[1]HBL!$I$82</definedName>
    <definedName name="K2O_FEED">HBL!$I$83</definedName>
    <definedName name="K2O_HOTMEAL" localSheetId="5">[1]HBL!$H$154</definedName>
    <definedName name="K2O_HOTMEAL">HBL!$H$155</definedName>
    <definedName name="K2O_KILNDUST" localSheetId="5">[1]HBL!$I$95</definedName>
    <definedName name="K2O_KILNDUST">HBL!$I$96</definedName>
    <definedName name="KILN_NO" localSheetId="5">[1]HBL!$D$29</definedName>
    <definedName name="KILN_NO">HBL!$D$30</definedName>
    <definedName name="KILNHBL_ERROR" localSheetId="5">[1]HBL!$C$630</definedName>
    <definedName name="KILNHBL_ERROR">HBL!$C$618</definedName>
    <definedName name="LAMBDA1" localSheetId="5">#REF!</definedName>
    <definedName name="LAMBDA1" localSheetId="2">'R&amp;C Kiln'!$AA$26</definedName>
    <definedName name="LAMBDA1" localSheetId="6">'R&amp;C Planetary Cooler'!$AA$34</definedName>
    <definedName name="LAMBDA1" localSheetId="3">'R&amp;C Preheater'!$AA$31</definedName>
    <definedName name="LAMBDA1" localSheetId="4">'R&amp;C Tertiary Air Duct'!$AA$26</definedName>
    <definedName name="LAMBDA1">#REF!</definedName>
    <definedName name="LAMBDA2" localSheetId="2">'R&amp;C Kiln'!$AA$27</definedName>
    <definedName name="LAMBDA2" localSheetId="6">'R&amp;C Planetary Cooler'!$AA$35</definedName>
    <definedName name="LAMBDA2" localSheetId="3">'R&amp;C Preheater'!$AA$33</definedName>
    <definedName name="LAMBDA2" localSheetId="4">'R&amp;C Tertiary Air Duct'!$AA$27</definedName>
    <definedName name="LAMBDA2">#REF!</definedName>
    <definedName name="Language" localSheetId="0">HBL!$X$13</definedName>
    <definedName name="Language" localSheetId="2">'R&amp;C Kiln'!$Y$9</definedName>
    <definedName name="Language" localSheetId="6">'R&amp;C Planetary Cooler'!$Y$9</definedName>
    <definedName name="Language" localSheetId="3">'R&amp;C Preheater'!$Y$9</definedName>
    <definedName name="Language" localSheetId="4">'R&amp;C Tertiary Air Duct'!$Y$9</definedName>
    <definedName name="Language">#REF!</definedName>
    <definedName name="LENGTH" localSheetId="0">HBL!$D$45</definedName>
    <definedName name="LENGTH" localSheetId="2">'R&amp;C Kiln'!$F$24</definedName>
    <definedName name="LENGTH" localSheetId="6">'R&amp;C Planetary Cooler'!$F$24</definedName>
    <definedName name="LENGTH" localSheetId="4">'R&amp;C Tertiary Air Duct'!$F$24</definedName>
    <definedName name="LENGTH">#REF!</definedName>
    <definedName name="Lepol">[1]HBL!#REF!</definedName>
    <definedName name="LHV_CO" localSheetId="5">[1]HBL!$G$841</definedName>
    <definedName name="LHV_CO">HBL!$G$827</definedName>
    <definedName name="LHV_FUEL1" localSheetId="5">[1]HBL!$E$340</definedName>
    <definedName name="LHV_FUEL1">HBL!$E$341</definedName>
    <definedName name="LHV_FUEL2" localSheetId="5">[1]HBL!$F$340</definedName>
    <definedName name="LHV_FUEL2">HBL!$F$341</definedName>
    <definedName name="LHV_FUEL3" localSheetId="5">[1]HBL!$G$340</definedName>
    <definedName name="LHV_FUEL3">HBL!$G$341</definedName>
    <definedName name="LHV_FUEL4" localSheetId="5">[1]HBL!$H$340</definedName>
    <definedName name="LHV_FUEL4">HBL!$H$341</definedName>
    <definedName name="LHV_FUEL5" localSheetId="5">[1]HBL!$I$340</definedName>
    <definedName name="LHV_FUEL5">HBL!$I$341</definedName>
    <definedName name="LHV_FUEL6" localSheetId="5">[1]HBL!$J$340</definedName>
    <definedName name="LHV_FUEL6">HBL!$J$341</definedName>
    <definedName name="LHV_ORGMATTER" localSheetId="5">[1]HBL!$E$82</definedName>
    <definedName name="LHV_ORGMATTER">HBL!$E$83</definedName>
    <definedName name="LHV_PYRITE" localSheetId="5">[1]HBL!$D$84</definedName>
    <definedName name="LHV_PYRITE">HBL!$D$85</definedName>
    <definedName name="LOI_BYPASS" localSheetId="5">[1]HBL!$D$146</definedName>
    <definedName name="LOI_BYPASS">HBL!$D$147</definedName>
    <definedName name="LOI_CLI" localSheetId="5">[1]HBL!$D$112</definedName>
    <definedName name="LOI_CLI">HBL!$D$113</definedName>
    <definedName name="LOI_DUSTFILTER" localSheetId="5">[1]HBL!$D$94</definedName>
    <definedName name="LOI_DUSTFILTER">HBL!$D$95</definedName>
    <definedName name="LOI_FEED" localSheetId="5">[1]HBL!$I$79</definedName>
    <definedName name="LOI_FEED">HBL!$I$80</definedName>
    <definedName name="M_BYPASS" localSheetId="5">[1]HBL!$D$143</definedName>
    <definedName name="M_BYPASS">HBL!$D$144</definedName>
    <definedName name="M_CLI" localSheetId="0">HBL!$D$109</definedName>
    <definedName name="M_CLI" localSheetId="2">'R&amp;C Kiln'!$F$25</definedName>
    <definedName name="M_CLI" localSheetId="6">'R&amp;C Planetary Cooler'!$F$25</definedName>
    <definedName name="M_CLI" localSheetId="3">'R&amp;C Preheater'!$F$23</definedName>
    <definedName name="M_CLI" localSheetId="4">'R&amp;C Tertiary Air Duct'!$F$25</definedName>
    <definedName name="M_CLI">#REF!</definedName>
    <definedName name="M_CLI2" localSheetId="2">'R&amp;C Kiln'!$F$25</definedName>
    <definedName name="M_CLI2" localSheetId="3">'R&amp;C Preheater'!$F$23</definedName>
    <definedName name="M_CLI2" localSheetId="4">'R&amp;C Tertiary Air Duct'!$F$25</definedName>
    <definedName name="M_CLI2">#REF!</definedName>
    <definedName name="M_CLIDUST" localSheetId="5">[1]HBL!$G$1082</definedName>
    <definedName name="M_CLIDUST">HBL!$G$1068</definedName>
    <definedName name="M_COALMILL" localSheetId="5">[1]HBL!$I$233</definedName>
    <definedName name="M_COALMILL">HBL!$I$234</definedName>
    <definedName name="M_COALMILLCAL" localSheetId="5">[1]HBL!$I$255</definedName>
    <definedName name="M_COALMILLCAL">HBL!$I$256</definedName>
    <definedName name="M_DUSTFILTER" localSheetId="5">[1]HBL!$D$92</definedName>
    <definedName name="M_DUSTFILTER">HBL!$D$93</definedName>
    <definedName name="M_FEED" localSheetId="5">[1]HBL!$D$76</definedName>
    <definedName name="M_FEED">HBL!$D$77</definedName>
    <definedName name="M_FUEL1" localSheetId="5">[1]HBL!$E$370</definedName>
    <definedName name="M_FUEL1">HBL!$E$371</definedName>
    <definedName name="M_FUEL2" localSheetId="5">[1]HBL!$F$370</definedName>
    <definedName name="M_FUEL2">HBL!$F$371</definedName>
    <definedName name="M_FUEL3" localSheetId="5">[1]HBL!$G$370</definedName>
    <definedName name="M_FUEL3">HBL!$G$371</definedName>
    <definedName name="M_FUEL4" localSheetId="5">[1]HBL!$H$370</definedName>
    <definedName name="M_FUEL4">HBL!$H$371</definedName>
    <definedName name="M_FUEL5" localSheetId="5">[1]HBL!$I$370</definedName>
    <definedName name="M_FUEL5">HBL!$I$371</definedName>
    <definedName name="M_FUEL6" localSheetId="5">[1]HBL!$J$370</definedName>
    <definedName name="M_FUEL6">HBL!$J$371</definedName>
    <definedName name="M_H2OCOOLER" localSheetId="5">[1]HBL!$I$314</definedName>
    <definedName name="M_H2OCOOLER">HBL!$I$315</definedName>
    <definedName name="M_H2OFEED" localSheetId="5">[1]HBL!$I$805</definedName>
    <definedName name="M_H2OFEED">HBL!$I$791</definedName>
    <definedName name="M_H2OFUEL" localSheetId="5">[1]HBL!$E$822</definedName>
    <definedName name="M_H2OFUEL">HBL!$E$808</definedName>
    <definedName name="M_H2OFUELCAL" localSheetId="5">[1]HBL!$E$868</definedName>
    <definedName name="M_H2OFUELCAL">HBL!$E$854</definedName>
    <definedName name="MASBAL_ERROR" localSheetId="5">[1]HBL!$C$489</definedName>
    <definedName name="MASBAL_ERROR">HBL!$C$487</definedName>
    <definedName name="MBZ_FUEL1" localSheetId="5">[1]HBL!$E$358</definedName>
    <definedName name="MBZ_FUEL1">HBL!$E$359</definedName>
    <definedName name="MBZ_FUEL2" localSheetId="5">[1]HBL!$F$358</definedName>
    <definedName name="MBZ_FUEL2">HBL!$F$359</definedName>
    <definedName name="MBZ_FUEL3" localSheetId="5">[1]HBL!$G$358</definedName>
    <definedName name="MBZ_FUEL3">HBL!$G$359</definedName>
    <definedName name="MBZ_FUEL4" localSheetId="5">[1]HBL!$H$358</definedName>
    <definedName name="MBZ_FUEL4">HBL!$H$359</definedName>
    <definedName name="MBZ_FUEL5" localSheetId="5">[1]HBL!$I$358</definedName>
    <definedName name="MBZ_FUEL5">HBL!$I$359</definedName>
    <definedName name="MBZ_FUEL6" localSheetId="5">[1]HBL!$J$358</definedName>
    <definedName name="MBZ_FUEL6">HBL!$J$359</definedName>
    <definedName name="MCZ_FUEL1" localSheetId="5">[1]HBL!$E$368</definedName>
    <definedName name="MCZ_FUEL1">HBL!$E$369</definedName>
    <definedName name="MCZ_FUEL2" localSheetId="5">[1]HBL!$F$368</definedName>
    <definedName name="MCZ_FUEL2">HBL!$F$369</definedName>
    <definedName name="MCZ_FUEL3" localSheetId="5">[1]HBL!$G$368</definedName>
    <definedName name="MCZ_FUEL3">HBL!$G$369</definedName>
    <definedName name="MCZ_FUEL4" localSheetId="5">[1]HBL!$H$368</definedName>
    <definedName name="MCZ_FUEL4">HBL!$H$369</definedName>
    <definedName name="MCZ_FUEL5" localSheetId="5">[1]HBL!$I$368</definedName>
    <definedName name="MCZ_FUEL5">HBL!$I$369</definedName>
    <definedName name="MCZ_FUEL6" localSheetId="5">[1]HBL!$J$368</definedName>
    <definedName name="MCZ_FUEL6">HBL!$J$369</definedName>
    <definedName name="MgO" localSheetId="5">[1]HBL!$F$115</definedName>
    <definedName name="MgO">HBL!$F$116</definedName>
    <definedName name="MSF_FUEL1" localSheetId="5">[1]HBL!$E$363</definedName>
    <definedName name="MSF_FUEL1">HBL!$E$364</definedName>
    <definedName name="MSF_FUEL2" localSheetId="5">[1]HBL!$F$363</definedName>
    <definedName name="MSF_FUEL2">HBL!$F$364</definedName>
    <definedName name="MSF_FUEL3" localSheetId="5">[1]HBL!$G$363</definedName>
    <definedName name="MSF_FUEL3">HBL!$G$364</definedName>
    <definedName name="MSF_FUEL4" localSheetId="5">[1]HBL!$H$363</definedName>
    <definedName name="MSF_FUEL4">HBL!$H$364</definedName>
    <definedName name="MSF_FUEL5" localSheetId="5">[1]HBL!$I$363</definedName>
    <definedName name="MSF_FUEL5">HBL!$I$364</definedName>
    <definedName name="MSF_FUEL6" localSheetId="5">[1]HBL!$J$363</definedName>
    <definedName name="MSF_FUEL6">HBL!$J$364</definedName>
    <definedName name="MSZ_FUEL1">[1]HBL!#REF!</definedName>
    <definedName name="MSZ_FUEL2">[1]HBL!#REF!</definedName>
    <definedName name="MSZ_FUEL3">[1]HBL!#REF!</definedName>
    <definedName name="MSZ_FUEL4">[1]HBL!#REF!</definedName>
    <definedName name="MSZ_FUEL5">[1]HBL!#REF!</definedName>
    <definedName name="MSZ_FUEL6">[1]HBL!#REF!</definedName>
    <definedName name="Na" localSheetId="5">[1]HBL!$C$934</definedName>
    <definedName name="Na">HBL!$C$920</definedName>
    <definedName name="Na2O_BYPASS" localSheetId="5">[1]HBL!$I$146</definedName>
    <definedName name="Na2O_BYPASS">HBL!$I$147</definedName>
    <definedName name="Na2O_CLINKER" localSheetId="5">[1]HBL!$I$109</definedName>
    <definedName name="Na2O_CLINKER">HBL!$I$110</definedName>
    <definedName name="Na2O_FEED" localSheetId="5">[1]HBL!$I$81</definedName>
    <definedName name="Na2O_FEED">HBL!$I$82</definedName>
    <definedName name="Na2O_HOTMEAL" localSheetId="5">[1]HBL!$I$154</definedName>
    <definedName name="Na2O_HOTMEAL">HBL!$I$155</definedName>
    <definedName name="Na2O_KILNDUST" localSheetId="5">[1]HBL!$I$94</definedName>
    <definedName name="Na2O_KILNDUST">HBL!$I$95</definedName>
    <definedName name="NOx_EXHAUST">HBL!$I$190</definedName>
    <definedName name="NOx_KILNINLET">HBL!$D$183</definedName>
    <definedName name="O2_BYPASSEXTRAC" localSheetId="5">[1]HBL!$I$150</definedName>
    <definedName name="O2_BYPASSEXTRAC">HBL!$I$151</definedName>
    <definedName name="O2_BYPASSQUENCH" localSheetId="5">[1]HBL!$G$158</definedName>
    <definedName name="O2_BYPASSQUENCH">HBL!$G$159</definedName>
    <definedName name="O2_EXHAUST" localSheetId="5">[1]HBL!$I$187</definedName>
    <definedName name="O2_EXHAUST">HBL!$I$188</definedName>
    <definedName name="O2_EXHAUSTCALCINER" localSheetId="5">[1]HBL!$I$199</definedName>
    <definedName name="O2_EXHAUSTCALCINER">HBL!$I$200</definedName>
    <definedName name="O2_KILNINLET" localSheetId="5">[1]HBL!$D$180</definedName>
    <definedName name="O2_KILNINLET">HBL!$D$181</definedName>
    <definedName name="O2_PRECALEXIT" localSheetId="5">[1]HBL!$I$430</definedName>
    <definedName name="O2_PRECALEXIT">HBL!$I$431</definedName>
    <definedName name="O2_STACK" localSheetId="5">[1]HBL!$D$192</definedName>
    <definedName name="O2_STACK">HBL!$D$193</definedName>
    <definedName name="ORG_MATTER" localSheetId="5">[1]HBL!$D$81</definedName>
    <definedName name="ORG_MATTER">HBL!$D$82</definedName>
    <definedName name="P_mechconsidered" localSheetId="5">[1]HBL!$F$57</definedName>
    <definedName name="P_mechconsidered">HBL!$F$58</definedName>
    <definedName name="P_START" localSheetId="2">'R&amp;C Kiln'!$C$42</definedName>
    <definedName name="P_START" localSheetId="6">'R&amp;C Planetary Cooler'!$C$42</definedName>
    <definedName name="P_START" localSheetId="3">'R&amp;C Preheater'!#REF!</definedName>
    <definedName name="P_START" localSheetId="4">'R&amp;C Tertiary Air Duct'!$C$42</definedName>
    <definedName name="P_START">#REF!</definedName>
    <definedName name="PAMB" localSheetId="0">HBL!$E$71</definedName>
    <definedName name="PAMB" localSheetId="2">'R&amp;C Kiln'!$K$23</definedName>
    <definedName name="PAMB" localSheetId="6">'R&amp;C Planetary Cooler'!$K$23</definedName>
    <definedName name="PAMB" localSheetId="3">'R&amp;C Preheater'!$K$23</definedName>
    <definedName name="PAMB" localSheetId="4">'R&amp;C Tertiary Air Duct'!$K$23</definedName>
    <definedName name="PAMB">#REF!</definedName>
    <definedName name="PLANT_NAME" localSheetId="0">HBL!$D$29</definedName>
    <definedName name="PLANT_NAME" localSheetId="2">'R&amp;C Kiln'!$E$21</definedName>
    <definedName name="PLANT_NAME" localSheetId="6">'R&amp;C Planetary Cooler'!$E$21</definedName>
    <definedName name="PLANT_NAME" localSheetId="3">'R&amp;C Preheater'!$E$21</definedName>
    <definedName name="PLANT_NAME" localSheetId="4">'R&amp;C Tertiary Air Duct'!$E$21</definedName>
    <definedName name="PLANT_NAME">#REF!</definedName>
    <definedName name="PLANT_NAME1" localSheetId="2">'R&amp;C Kiln'!$E$21</definedName>
    <definedName name="PLANT_NAME1" localSheetId="3">'R&amp;C Preheater'!$E$21</definedName>
    <definedName name="PLANT_NAME1" localSheetId="4">'R&amp;C Tertiary Air Duct'!$E$21</definedName>
    <definedName name="PLANT_NAME1">#REF!</definedName>
    <definedName name="PRECAL" localSheetId="5">[1]HBL!$F$47</definedName>
    <definedName name="PRECAL">HBL!$F$48</definedName>
    <definedName name="_xlnm.Print_Area" localSheetId="0">HBL!$B$466:$K$620</definedName>
    <definedName name="_xlnm.Print_Area" localSheetId="1">Visualization!$A$1:$M$128</definedName>
    <definedName name="PRINT_PAGE1">#REF!</definedName>
    <definedName name="PRINT_PAGE2">#REF!</definedName>
    <definedName name="PYRITE" localSheetId="5">[1]HBL!$D$83</definedName>
    <definedName name="PYRITE">HBL!$D$84</definedName>
    <definedName name="Q_BZ" localSheetId="5">[1]HBL!$F$413</definedName>
    <definedName name="Q_BZ">HBL!$F$414</definedName>
    <definedName name="Q_CONDALK" localSheetId="5">[1]HBL!$I$937</definedName>
    <definedName name="Q_CONDALK">HBL!$I$923</definedName>
    <definedName name="Q_CZ" localSheetId="5">[1]HBL!$F$415</definedName>
    <definedName name="Q_CZ">HBL!$F$416</definedName>
    <definedName name="Q_FUEL" localSheetId="5">[1]HBL!$I$695</definedName>
    <definedName name="Q_FUEL">HBL!$I$681</definedName>
    <definedName name="Q_FUELALT" localSheetId="5">[1]HBL!$G$683</definedName>
    <definedName name="Q_FUELALT">HBL!$G$669</definedName>
    <definedName name="Q_FUELCON" localSheetId="5">[1]HBL!$E$683</definedName>
    <definedName name="Q_FUELCON">HBL!$E$669</definedName>
    <definedName name="Q_ORGMATTER" localSheetId="5">[1]HBL!$I$721</definedName>
    <definedName name="Q_ORGMATTER">HBL!$I$707</definedName>
    <definedName name="Q_SF" localSheetId="5">[1]HBL!$F$414</definedName>
    <definedName name="Q_SF">HBL!$F$415</definedName>
    <definedName name="Q_SZ">[1]HBL!#REF!</definedName>
    <definedName name="QIN_OTHER" localSheetId="5">[1]HBL!$I$789</definedName>
    <definedName name="QIN_OTHER">HBL!$I$775</definedName>
    <definedName name="QIN_OTHERCOOLER" localSheetId="5">[1]HBL!$I$1058</definedName>
    <definedName name="QIN_OTHERCOOLER">HBL!$I$1044</definedName>
    <definedName name="QOUT_CaOBYPASS" localSheetId="5">[1]HBL!$I$964</definedName>
    <definedName name="QOUT_CaOBYPASS">HBL!$I$950</definedName>
    <definedName name="QOUT_CLIFORM" localSheetId="5">[1]HBL!$F$120</definedName>
    <definedName name="QOUT_CLIFORM">HBL!$F$121</definedName>
    <definedName name="QOUT_CO" localSheetId="5">[1]HBL!$I$843</definedName>
    <definedName name="QOUT_CO">HBL!$I$829</definedName>
    <definedName name="QOUT_COBYPASS" localSheetId="5">[1]HBL!$I$950</definedName>
    <definedName name="QOUT_COBYPASS">HBL!$I$936</definedName>
    <definedName name="QOUT_COCALCINER" localSheetId="5">[1]HBL!$I$886</definedName>
    <definedName name="QOUT_COCALCINER">HBL!$I$872</definedName>
    <definedName name="QOUT_COOLRAD" localSheetId="5">[1]HBL!$I$323</definedName>
    <definedName name="QOUT_COOLRAD">HBL!$I$324</definedName>
    <definedName name="QOUT_H2OCOOLER" localSheetId="5">[1]HBL!$I$813</definedName>
    <definedName name="QOUT_H2OCOOLER">HBL!$I$799</definedName>
    <definedName name="QOUT_H2OFEED" localSheetId="5">[1]HBL!$I$807</definedName>
    <definedName name="QOUT_H2OFEED">HBL!$I$793</definedName>
    <definedName name="QOUT_H2OPREHEAT" localSheetId="5">[1]HBL!$I$810</definedName>
    <definedName name="QOUT_H2OPREHEAT">HBL!$I$796</definedName>
    <definedName name="QOUT_KILNRAD" localSheetId="5">[1]HBL!$I$322</definedName>
    <definedName name="QOUT_KILNRAD">HBL!$I$323</definedName>
    <definedName name="QOUT_OTHER" localSheetId="5">[1]HBL!$I$980</definedName>
    <definedName name="QOUT_OTHER">HBL!$I$966</definedName>
    <definedName name="QOUT_OTHERCOOLER" localSheetId="5">[1]HBL!$I$1138</definedName>
    <definedName name="QOUT_OTHERCOOLER">HBL!$I$1124</definedName>
    <definedName name="QOUT_PREHEATER" localSheetId="5">[1]HBL!$I$321</definedName>
    <definedName name="QOUT_PREHEATER">HBL!$I$322</definedName>
    <definedName name="QOUT_SULFUR_ALCALI" localSheetId="5">[1]HBL!$E$128</definedName>
    <definedName name="QOUT_SULFUR_ALCALI">HBL!$E$129</definedName>
    <definedName name="QOUT_TERTIARYDUCT" localSheetId="5">[1]HBL!$I$324</definedName>
    <definedName name="QOUT_TERTIARYDUCT">HBL!$I$325</definedName>
    <definedName name="QP_BZ" localSheetId="5">[1]HBL!$I$413</definedName>
    <definedName name="QP_BZ">HBL!$I$414</definedName>
    <definedName name="QP_CZ">HBL!$I$416</definedName>
    <definedName name="QP_SZ">[1]HBL!#REF!</definedName>
    <definedName name="QRADKLN" localSheetId="2">'R&amp;C Kiln'!$F$29</definedName>
    <definedName name="QRADKLN" localSheetId="6">'R&amp;C Planetary Cooler'!$F$29</definedName>
    <definedName name="QRADKLN" localSheetId="4">'R&amp;C Tertiary Air Duct'!$F$29</definedName>
    <definedName name="QRADKLN">#REF!</definedName>
    <definedName name="QTOT" localSheetId="2">'R&amp;C Kiln'!$F$28</definedName>
    <definedName name="QTOT" localSheetId="6">'R&amp;C Planetary Cooler'!$F$28</definedName>
    <definedName name="QTOT" localSheetId="4">'R&amp;C Tertiary Air Duct'!$F$28</definedName>
    <definedName name="QTOT">#REF!</definedName>
    <definedName name="RAD_MIDDLE">[1]HBL!#REF!</definedName>
    <definedName name="RAD_WASTE">[1]HBL!#REF!</definedName>
    <definedName name="RELHUM" localSheetId="5">[1]HBL!$I$70</definedName>
    <definedName name="RELHUM">HBL!$I$71</definedName>
    <definedName name="RHO_AMB" localSheetId="2">'R&amp;C Kiln'!$K$24</definedName>
    <definedName name="RHO_AMB" localSheetId="6">'R&amp;C Planetary Cooler'!$K$24</definedName>
    <definedName name="RHO_AMB" localSheetId="3">'R&amp;C Preheater'!$K$24</definedName>
    <definedName name="RHO_AMB" localSheetId="4">'R&amp;C Tertiary Air Duct'!$K$24</definedName>
    <definedName name="RHO_AMB">#REF!</definedName>
    <definedName name="RM_A">[1]HBL!#REF!</definedName>
    <definedName name="S" localSheetId="5">[1]HBL!$C$932</definedName>
    <definedName name="S">HBL!$C$918</definedName>
    <definedName name="scen_change" localSheetId="0" hidden="1">HBL!#REF!</definedName>
    <definedName name="SECFIRING">HBL!$D$46</definedName>
    <definedName name="SHIN_CLIHOT" localSheetId="5">[1]HBL!$I$1027</definedName>
    <definedName name="SHIN_CLIHOT">HBL!$I$1013</definedName>
    <definedName name="SHIN_COOLAIR" localSheetId="5">[1]HBL!$I$773</definedName>
    <definedName name="SHIN_COOLAIR">HBL!$I$759</definedName>
    <definedName name="SHIN_FALSEAIR" localSheetId="5">[1]HBL!$I$1052</definedName>
    <definedName name="SHIN_FALSEAIR">HBL!$I$1038</definedName>
    <definedName name="SHIN_FEED" localSheetId="5">[1]HBL!$I$712</definedName>
    <definedName name="SHIN_FEED">HBL!$I$698</definedName>
    <definedName name="SHIN_FEEDWATER">HBL!$I$696</definedName>
    <definedName name="SHIN_FUEL" localSheetId="5">[1]HBL!$I$697</definedName>
    <definedName name="SHIN_FUEL">HBL!$I$683</definedName>
    <definedName name="SHIN_FUELALT">HBL!$G$676</definedName>
    <definedName name="SHIN_FUELCON">HBL!$E$676</definedName>
    <definedName name="SHIN_H2OCOOLER" localSheetId="5">[1]HBL!$I$781</definedName>
    <definedName name="SHIN_H2OCOOLER">HBL!$I$767</definedName>
    <definedName name="SHIN_H2OPREHEAT" localSheetId="5">[1]HBL!$I$757</definedName>
    <definedName name="SHIN_H2OPREHEAT">HBL!$I$743</definedName>
    <definedName name="SHIN_MEALDRY">HBL!$I$693</definedName>
    <definedName name="SHIN_PRIMAIR" localSheetId="5">[1]HBL!$I$747</definedName>
    <definedName name="SHIN_PRIMAIR">HBL!$I$733</definedName>
    <definedName name="SHOUT_BYPASSDUST" localSheetId="5">[1]HBL!$I$957</definedName>
    <definedName name="SHOUT_BYPASSDUST">HBL!$I$943</definedName>
    <definedName name="SHOUT_BYPASSGAS" localSheetId="5">[1]HBL!$I$942</definedName>
    <definedName name="SHOUT_BYPASSGAS">HBL!$I$928</definedName>
    <definedName name="SHOUT_CLINKER" localSheetId="5">[1]HBL!$I$924</definedName>
    <definedName name="SHOUT_CLINKER">HBL!$I$910</definedName>
    <definedName name="SHOUT_DUST" localSheetId="5">[1]HBL!$I$850</definedName>
    <definedName name="SHOUT_DUST">HBL!$I$836</definedName>
    <definedName name="SHOUT_DUSTCALCINER">HBL!$I$879</definedName>
    <definedName name="SHOUT_EXHAUST" localSheetId="5">[1]HBL!$I$835</definedName>
    <definedName name="SHOUT_EXHAUST">HBL!$I$821</definedName>
    <definedName name="SHOUT_EXHAUSTCALCINER" localSheetId="5">[1]HBL!$I$878</definedName>
    <definedName name="SHOUT_EXHAUSTCALCINER">HBL!$I$864</definedName>
    <definedName name="SHOUT_H2OCOOLER">HBL!$I$896</definedName>
    <definedName name="SHOUT_MIDDLE" localSheetId="5">[1]HBL!$I$1114</definedName>
    <definedName name="SHOUT_MIDDLE">HBL!$I$1100</definedName>
    <definedName name="SHOUT_SECONDAIR" localSheetId="5">[1]HBL!$I$1086</definedName>
    <definedName name="SHOUT_SECONDAIR">HBL!$I$1072</definedName>
    <definedName name="SHOUT_TERTAIR" localSheetId="5">[1]HBL!$I$1105</definedName>
    <definedName name="SHOUT_TERTAIR">HBL!$I$1091</definedName>
    <definedName name="SHOUT_WASTE" localSheetId="5">[1]HBL!$I$903</definedName>
    <definedName name="SHOUT_WASTE">HBL!$I$889</definedName>
    <definedName name="SHOUT_WASTEandH2O" localSheetId="5">[1]HBL!$I$1125</definedName>
    <definedName name="SHOUT_WASTEandH2O">HBL!$I$1111</definedName>
    <definedName name="SiO2_CLI">HBL!$G$116</definedName>
    <definedName name="SO2_STACK" localSheetId="5">[1]HBL!$D$193</definedName>
    <definedName name="SO2_STACK">HBL!$D$194</definedName>
    <definedName name="SO3_BYPASS" localSheetId="5">[1]HBL!$I$144</definedName>
    <definedName name="SO3_BYPASS">HBL!$I$145</definedName>
    <definedName name="SO3_CLINKER" localSheetId="5">[1]HBL!$I$108</definedName>
    <definedName name="SO3_CLINKER">HBL!$I$109</definedName>
    <definedName name="SO3_FEED" localSheetId="5">[1]HBL!$I$80</definedName>
    <definedName name="SO3_FEED">HBL!$I$81</definedName>
    <definedName name="SO3_HOTMEAL" localSheetId="5">[1]HBL!$G$154</definedName>
    <definedName name="SO3_HOTMEAL">HBL!$G$155</definedName>
    <definedName name="SO3_KILNDUST" localSheetId="5">[1]HBL!$I$93</definedName>
    <definedName name="SO3_KILNDUST">HBL!$I$94</definedName>
    <definedName name="solver_opt" localSheetId="0" hidden="1">HBL!$D$82</definedName>
    <definedName name="T">[1]HBL!#REF!</definedName>
    <definedName name="T_AMBCOOLERMIDDLEAIR">[1]HBL!#REF!</definedName>
    <definedName name="T_AMBCOOLERWASTEAIR">[1]HBL!#REF!</definedName>
    <definedName name="T_BYPASSEXTRAC" localSheetId="5">[1]HBL!$G$149</definedName>
    <definedName name="T_BYPASSEXTRAC">HBL!$G$150</definedName>
    <definedName name="T_BYPASSQUENCH" localSheetId="5">[1]HBL!$G$157</definedName>
    <definedName name="T_BYPASSQUENCH">HBL!$G$158</definedName>
    <definedName name="T_CENTRALAIR" localSheetId="5">[1]HBL!$I$223</definedName>
    <definedName name="T_CENTRALAIR">HBL!$I$224</definedName>
    <definedName name="T_CLI" localSheetId="5">[1]HBL!$D$109</definedName>
    <definedName name="T_CLI">HBL!$D$110</definedName>
    <definedName name="T_CLIHOT" localSheetId="5">[1]HBL!$I$446</definedName>
    <definedName name="T_CLIHOT">HBL!$I$447</definedName>
    <definedName name="T_EXHAUST" localSheetId="5">[1]HBL!$D$187</definedName>
    <definedName name="T_EXHAUST">HBL!$D$188</definedName>
    <definedName name="T_EXHAUSTCALCINER" localSheetId="5">[1]HBL!$D$199</definedName>
    <definedName name="T_EXHAUSTCALCINER">HBL!$D$200</definedName>
    <definedName name="T_FAN1" localSheetId="5">[1]HBL!$G$292</definedName>
    <definedName name="T_FAN1">HBL!$G$293</definedName>
    <definedName name="T_FAN10" localSheetId="5">[1]HBL!$G$301</definedName>
    <definedName name="T_FAN10">HBL!$G$302</definedName>
    <definedName name="T_FAN11" localSheetId="5">[1]HBL!$G$302</definedName>
    <definedName name="T_FAN11">HBL!$G$303</definedName>
    <definedName name="T_FAN12" localSheetId="5">[1]HBL!$G$303</definedName>
    <definedName name="T_FAN12">HBL!$G$304</definedName>
    <definedName name="T_FAN13" localSheetId="5">[1]HBL!$G$304</definedName>
    <definedName name="T_FAN13">HBL!$G$305</definedName>
    <definedName name="T_FAN2" localSheetId="5">[1]HBL!$G$293</definedName>
    <definedName name="T_FAN2">HBL!$G$294</definedName>
    <definedName name="T_FAN3" localSheetId="5">[1]HBL!$G$294</definedName>
    <definedName name="T_FAN3">HBL!$G$295</definedName>
    <definedName name="T_FAN4" localSheetId="5">[1]HBL!$G$295</definedName>
    <definedName name="T_FAN4">HBL!$G$296</definedName>
    <definedName name="T_FAN5" localSheetId="5">[1]HBL!$G$296</definedName>
    <definedName name="T_FAN5">HBL!$G$297</definedName>
    <definedName name="T_FAN6" localSheetId="5">[1]HBL!$G$297</definedName>
    <definedName name="T_FAN6">HBL!$G$298</definedName>
    <definedName name="T_FAN7" localSheetId="5">[1]HBL!$G$298</definedName>
    <definedName name="T_FAN7">HBL!$G$299</definedName>
    <definedName name="T_FAN8" localSheetId="5">[1]HBL!$G$299</definedName>
    <definedName name="T_FAN8">HBL!$G$300</definedName>
    <definedName name="T_FAN88">[1]HBL!#REF!</definedName>
    <definedName name="T_FAN9" localSheetId="5">[1]HBL!$G$300</definedName>
    <definedName name="T_FAN9">HBL!$G$301</definedName>
    <definedName name="T_FEED" localSheetId="5">[1]HBL!$D$78</definedName>
    <definedName name="T_FEED">HBL!$D$79</definedName>
    <definedName name="T_H2OCOOLER" localSheetId="5">[1]HBL!$I$315</definedName>
    <definedName name="T_H2OCOOLER">HBL!$I$316</definedName>
    <definedName name="T_MIDDLE" localSheetId="5">[1]HBL!$I$270</definedName>
    <definedName name="T_MIDDLE">HBL!$I$271</definedName>
    <definedName name="T_MIDDLEPITOT">[1]HBL!#REF!</definedName>
    <definedName name="T_PRIMAIR" localSheetId="5">[1]HBL!$I$236</definedName>
    <definedName name="T_PRIMAIR">HBL!$I$237</definedName>
    <definedName name="T_PRIMAIRCAL">[1]HBL!#REF!</definedName>
    <definedName name="T_PRIMAIRJET" localSheetId="5">[1]HBL!$I$217</definedName>
    <definedName name="T_PRIMAIRJET">HBL!$I$218</definedName>
    <definedName name="T_PRIMAIRPRECAL" localSheetId="5">[1]HBL!$I$258</definedName>
    <definedName name="T_PRIMAIRPRECAL">HBL!$I$259</definedName>
    <definedName name="T_PRIMAIRSECOND">[1]HBL!#REF!</definedName>
    <definedName name="T_PRIMAIRSWIRL" localSheetId="5">[1]HBL!$I$220</definedName>
    <definedName name="T_PRIMAIRSWIRL">HBL!$I$221</definedName>
    <definedName name="T_PRIMAIRTRANS" localSheetId="5">[1]HBL!$I$226</definedName>
    <definedName name="T_PRIMAIRTRANS">HBL!$I$227</definedName>
    <definedName name="T_QUENCHAIR" localSheetId="5">[1]HBL!$G$163</definedName>
    <definedName name="T_QUENCHAIR">HBL!$G$164</definedName>
    <definedName name="T_SECONDAIR" localSheetId="5">[1]HBL!$I$457</definedName>
    <definedName name="T_SECONDAIR">HBL!$I$458</definedName>
    <definedName name="T_START" localSheetId="2">'R&amp;C Kiln'!$G$42</definedName>
    <definedName name="T_START" localSheetId="6">'R&amp;C Planetary Cooler'!$G$42</definedName>
    <definedName name="T_START" localSheetId="4">'R&amp;C Tertiary Air Duct'!$G$42</definedName>
    <definedName name="T_START">#REF!</definedName>
    <definedName name="T_TERTAIR" localSheetId="5">[1]HBL!$I$456</definedName>
    <definedName name="T_TERTAIR">HBL!$I$457</definedName>
    <definedName name="T_WASTE" localSheetId="5">[1]HBL!$I$282</definedName>
    <definedName name="T_WASTE">HBL!$I$283</definedName>
    <definedName name="T_WASTEPITOT">[1]HBL!#REF!</definedName>
    <definedName name="TAMB" localSheetId="0">HBL!$I$70</definedName>
    <definedName name="TAMB" localSheetId="2">'R&amp;C Kiln'!$K$22</definedName>
    <definedName name="TAMB" localSheetId="6">'R&amp;C Planetary Cooler'!$K$22</definedName>
    <definedName name="TAMB" localSheetId="3">'R&amp;C Preheater'!$K$22</definedName>
    <definedName name="TAMB" localSheetId="4">'R&amp;C Tertiary Air Duct'!$K$22</definedName>
    <definedName name="TAMB">#REF!</definedName>
    <definedName name="Text_hbl">HBL!$AA$1225</definedName>
    <definedName name="Text_prandtl">#REF!</definedName>
    <definedName name="text_rc" localSheetId="2">'R&amp;C Kiln'!$AI$291</definedName>
    <definedName name="text_rc" localSheetId="6">'R&amp;C Planetary Cooler'!$AI$183</definedName>
    <definedName name="text_rc" localSheetId="3">'R&amp;C Preheater'!$AI$201</definedName>
    <definedName name="text_rc" localSheetId="4">'R&amp;C Tertiary Air Duct'!$AI$291</definedName>
    <definedName name="text_rc">#REF!</definedName>
    <definedName name="Text_selection_for_spreadsheet" localSheetId="5">[0]!Text</definedName>
    <definedName name="Text_selection_for_spreadsheet" localSheetId="2">[0]!Text</definedName>
    <definedName name="Text_selection_for_spreadsheet" localSheetId="6">[0]!Text</definedName>
    <definedName name="Text_selection_for_spreadsheet" localSheetId="3">[0]!Text</definedName>
    <definedName name="Text_selection_for_spreadsheet" localSheetId="4">[0]!Text</definedName>
    <definedName name="Text_selection_for_spreadsheet">[0]!Text</definedName>
    <definedName name="TIME">HBL!$I$34</definedName>
    <definedName name="TIME1">HBL!$E$33</definedName>
    <definedName name="TIME2">HBL!$E$34</definedName>
    <definedName name="V_BZTRANSAIR">[1]HBL!#REF!</definedName>
    <definedName name="V_JETAIR">[1]HBL!#REF!</definedName>
    <definedName name="V_PRECALAIR">HBL!$G$248</definedName>
    <definedName name="V_QUENCHAIR">[1]HBL!#REF!</definedName>
    <definedName name="V_SECONDAIR">[1]HBL!#REF!</definedName>
    <definedName name="V_SWIRLAIR">[1]HBL!#REF!</definedName>
    <definedName name="VELOCITY_JETAIR">[1]HBL!#REF!</definedName>
    <definedName name="VELOCITY_SWIRLAIR">[1]HBL!#REF!</definedName>
    <definedName name="Vmin_FUEL1" localSheetId="5">[1]HBL!$E$345</definedName>
    <definedName name="Vmin_FUEL1">HBL!$E$346</definedName>
    <definedName name="Vmin_FUEL2" localSheetId="5">[1]HBL!$F$345</definedName>
    <definedName name="Vmin_FUEL2">HBL!$F$346</definedName>
    <definedName name="Vmin_FUEL3" localSheetId="5">[1]HBL!$G$345</definedName>
    <definedName name="Vmin_FUEL3">HBL!$G$346</definedName>
    <definedName name="Vmin_FUEL4" localSheetId="5">[1]HBL!$H$345</definedName>
    <definedName name="Vmin_FUEL4">HBL!$H$346</definedName>
    <definedName name="Vmin_FUEL5" localSheetId="5">[1]HBL!$I$345</definedName>
    <definedName name="Vmin_FUEL5">HBL!$I$346</definedName>
    <definedName name="Vmin_FUEL6" localSheetId="5">[1]HBL!$J$345</definedName>
    <definedName name="Vmin_FUEL6">HBL!$J$346</definedName>
    <definedName name="VN_AminBZ" localSheetId="5">[1]HBL!$I$422</definedName>
    <definedName name="VN_AminBZ">HBL!$I$423</definedName>
    <definedName name="VN_AminCZ">HBL!$I$432</definedName>
    <definedName name="VN_BYPASS" localSheetId="5">[1]HBL!$G$174</definedName>
    <definedName name="VN_BYPASS">HBL!$G$175</definedName>
    <definedName name="VN_BYPASSBALANCE" localSheetId="5">[1]HBL!$G$167</definedName>
    <definedName name="VN_BYPASSBALANCE">HBL!$G$168</definedName>
    <definedName name="VN_BYPASSO2" localSheetId="5">[1]HBL!$G$170</definedName>
    <definedName name="VN_BYPASSO2">HBL!$G$171</definedName>
    <definedName name="VN_BZTRANSAIR" localSheetId="5">[1]HBL!$I$225</definedName>
    <definedName name="VN_BZTRANSAIR">HBL!$I$226</definedName>
    <definedName name="VN_CENTRALAIR" localSheetId="5">[1]HBL!$I$222</definedName>
    <definedName name="VN_CENTRALAIR">HBL!$I$223</definedName>
    <definedName name="VN_COEXHAUST" localSheetId="5">[1]HBL!$G$840</definedName>
    <definedName name="VN_COEXHAUST">HBL!$G$826</definedName>
    <definedName name="VN_COEXHAUSTCALCINER" localSheetId="5">[1]HBL!$G$883</definedName>
    <definedName name="VN_COEXHAUSTCALCINER">HBL!$G$869</definedName>
    <definedName name="VN_COMBUSTION" localSheetId="5">[1]HBL!$G$819</definedName>
    <definedName name="VN_COMBUSTION">HBL!$G$805</definedName>
    <definedName name="VN_COOLAIR" localSheetId="5">[1]HBL!$E$307</definedName>
    <definedName name="VN_COOLAIR">HBL!$E$308</definedName>
    <definedName name="VN_EXCESS" localSheetId="5">[1]HBL!$G$824</definedName>
    <definedName name="VN_EXCESS">HBL!$G$810</definedName>
    <definedName name="VN_EXCESSINLET" localSheetId="5">[1]HBL!$I$424</definedName>
    <definedName name="VN_EXCESSINLET">HBL!$I$425</definedName>
    <definedName name="VN_EXHAUSTCOMBCO2" localSheetId="5">[1]HBL!$G$831</definedName>
    <definedName name="VN_EXHAUSTCOMBCO2">HBL!$G$817</definedName>
    <definedName name="VN_EXHAUSTCOMBCO2CALCINER" localSheetId="5">[1]HBL!$G$874</definedName>
    <definedName name="VN_EXHAUSTCOMBCO2CALCINER">HBL!$G$860</definedName>
    <definedName name="VN_EXHAUSTDRY" localSheetId="5">[1]HBL!$G$830</definedName>
    <definedName name="VN_EXHAUSTDRY">HBL!$G$816</definedName>
    <definedName name="VN_EXHAUSTDRYCALCINER" localSheetId="5">[1]HBL!$G$873</definedName>
    <definedName name="VN_EXHAUSTDRYCALCINER">HBL!$G$859</definedName>
    <definedName name="VN_EXHAUSTWET" localSheetId="5">[1]HBL!$G$829</definedName>
    <definedName name="VN_EXHAUSTWET">HBL!$G$815</definedName>
    <definedName name="VN_EXHAUSTWETCALCINER" localSheetId="5">[1]HBL!$G$872</definedName>
    <definedName name="VN_EXHAUSTWETCALCINER">HBL!$G$858</definedName>
    <definedName name="VN_FALSECOOLER" localSheetId="5">[1]HBL!$I$436</definedName>
    <definedName name="VN_FALSECOOLER">HBL!$I$437</definedName>
    <definedName name="VN_FALSEKILNHOOD" localSheetId="5">[1]HBL!$I$426</definedName>
    <definedName name="VN_FALSEKILNHOOD">HBL!$I$427</definedName>
    <definedName name="VN_FAN1" localSheetId="5">[1]HBL!$H$292</definedName>
    <definedName name="VN_FAN1">HBL!$H$293</definedName>
    <definedName name="VN_FAN10" localSheetId="5">[1]HBL!$H$301</definedName>
    <definedName name="VN_FAN10">HBL!$H$302</definedName>
    <definedName name="VN_FAN11" localSheetId="5">[1]HBL!$H$302</definedName>
    <definedName name="VN_FAN11">HBL!$H$303</definedName>
    <definedName name="VN_FAN12" localSheetId="5">[1]HBL!$H$303</definedName>
    <definedName name="VN_FAN12">HBL!$H$304</definedName>
    <definedName name="VN_FAN13" localSheetId="5">[1]HBL!$H$304</definedName>
    <definedName name="VN_FAN13">HBL!$H$305</definedName>
    <definedName name="VN_FAN2" localSheetId="5">[1]HBL!$H$293</definedName>
    <definedName name="VN_FAN2">HBL!$H$294</definedName>
    <definedName name="VN_FAN3" localSheetId="5">[1]HBL!$H$294</definedName>
    <definedName name="VN_FAN3">HBL!$H$295</definedName>
    <definedName name="VN_FAN4" localSheetId="5">[1]HBL!$H$295</definedName>
    <definedName name="VN_FAN4">HBL!$H$296</definedName>
    <definedName name="VN_FAN5" localSheetId="5">[1]HBL!$H$296</definedName>
    <definedName name="VN_FAN5">HBL!$H$297</definedName>
    <definedName name="VN_FAN6" localSheetId="5">[1]HBL!$H$297</definedName>
    <definedName name="VN_FAN6">HBL!$H$298</definedName>
    <definedName name="VN_FAN7" localSheetId="5">[1]HBL!$H$298</definedName>
    <definedName name="VN_FAN7">HBL!$H$299</definedName>
    <definedName name="VN_FAN8" localSheetId="5">[1]HBL!$H$299</definedName>
    <definedName name="VN_FAN8">HBL!$H$300</definedName>
    <definedName name="VN_FAN9" localSheetId="5">[1]HBL!$H$300</definedName>
    <definedName name="VN_FAN9">HBL!$H$301</definedName>
    <definedName name="VN_H2OAIR" localSheetId="5">[1]HBL!$G$823</definedName>
    <definedName name="VN_H2OAIR">HBL!$G$809</definedName>
    <definedName name="VN_H2OCOOLER" localSheetId="5">[1]HBL!$G$825</definedName>
    <definedName name="VN_H2OCOOLER">HBL!$G$811</definedName>
    <definedName name="VN_H2OFEED">HBL!$G$807</definedName>
    <definedName name="VN_H2OFUEL">HBL!$G$808</definedName>
    <definedName name="VN_JETAIR" localSheetId="5">[1]HBL!$I$216</definedName>
    <definedName name="VN_JETAIR">HBL!$I$217</definedName>
    <definedName name="VN_MIDDLE" localSheetId="5">[1]HBL!$I$268</definedName>
    <definedName name="VN_MIDDLE">HBL!$I$269</definedName>
    <definedName name="VN_MIDDLEPITOT">[1]HBL!#REF!</definedName>
    <definedName name="VN_PRIMAIR" localSheetId="5">[1]HBL!$I$240</definedName>
    <definedName name="VN_PRIMAIR">HBL!$I$241</definedName>
    <definedName name="VN_PRIMAIRCAL" localSheetId="5">[1]HBL!$I$262</definedName>
    <definedName name="VN_PRIMAIRCAL">HBL!$I$263</definedName>
    <definedName name="VN_PRIMAIRSECOND">[1]HBL!#REF!</definedName>
    <definedName name="VN_PRIMCOMB" localSheetId="5">[1]HBL!$I$241</definedName>
    <definedName name="VN_PRIMCOMB">HBL!$I$242</definedName>
    <definedName name="VN_PRIMCOMBCAL" localSheetId="5">[1]HBL!$I$263</definedName>
    <definedName name="VN_PRIMCOMBCAL">HBL!$I$264</definedName>
    <definedName name="VN_PRIMDIRECT" localSheetId="5">[1]HBL!$I$229</definedName>
    <definedName name="VN_PRIMDIRECT">HBL!$I$230</definedName>
    <definedName name="VN_PRIMDIRECTCAL" localSheetId="5">[1]HBL!$I$251</definedName>
    <definedName name="VN_PRIMDIRECTCAL">HBL!$I$252</definedName>
    <definedName name="VN_PRIMINDIRECTCAL" localSheetId="5">[1]HBL!$I$247</definedName>
    <definedName name="VN_PRIMINDIRECTCAL">HBL!$I$248</definedName>
    <definedName name="VN_QUENCHAIR" localSheetId="5">[1]HBL!$G$162</definedName>
    <definedName name="VN_QUENCHAIR">HBL!$G$163</definedName>
    <definedName name="VN_RAWMEAL">HBL!$G$806</definedName>
    <definedName name="VN_SECONDAIR" localSheetId="5">[1]HBL!$I$439</definedName>
    <definedName name="VN_SECONDAIR">HBL!$I$440</definedName>
    <definedName name="VN_SWIRLAIR" localSheetId="5">[1]HBL!$I$219</definedName>
    <definedName name="VN_SWIRLAIR">HBL!$I$220</definedName>
    <definedName name="VN_TERTAIR" localSheetId="5">[1]HBL!$I$441</definedName>
    <definedName name="VN_TERTAIR">HBL!$I$442</definedName>
    <definedName name="VN_WASTE" localSheetId="5">[1]HBL!$I$280</definedName>
    <definedName name="VN_WASTE">HBL!$I$281</definedName>
    <definedName name="VN_WASTECALC">HBL!$I$277</definedName>
    <definedName name="VN_WASTEPITOT">[1]HBL!#REF!</definedName>
    <definedName name="VNCO_BYPASS" localSheetId="5">[1]HBL!$G$947</definedName>
    <definedName name="VNCO_BYPASS">HBL!$G$933</definedName>
    <definedName name="VNSP_COOLAIR" localSheetId="5">[1]HBL!$E$308</definedName>
    <definedName name="VNSP_COOLAIR">HBL!$E$309</definedName>
    <definedName name="VNSP_EXCESSINLET">HBL!$I$976</definedName>
    <definedName name="VNSP_EXHAUSTDRY">HBL!$I$825</definedName>
    <definedName name="VNSP_EXHAUSTWET" localSheetId="5">[1]HBL!$I$829</definedName>
    <definedName name="VNSP_EXHAUSTWET">HBL!$I$815</definedName>
    <definedName name="VNSP_EXHAUSTWETCALCINER" localSheetId="5">[1]HBL!$I$872</definedName>
    <definedName name="VNSP_EXHAUSTWETCALCINER">HBL!$I$858</definedName>
    <definedName name="VNSP_FALSECOOLER" localSheetId="5">[1]HBL!$F$436</definedName>
    <definedName name="VNSP_FALSECOOLER">HBL!$F$437</definedName>
    <definedName name="VNSP_INLET" localSheetId="5">[1]HBL!$G$165</definedName>
    <definedName name="VNSP_INLET">HBL!$G$166</definedName>
    <definedName name="VNSP_MIDDLE" localSheetId="5">[1]HBL!$I$269</definedName>
    <definedName name="VNSP_MIDDLE">HBL!$I$270</definedName>
    <definedName name="VNSP_OUTLETSEAL">HBL!$F$427</definedName>
    <definedName name="VNSP_PRIMCOMB">HBL!$I$973</definedName>
    <definedName name="VNSP_SECONDAIR" localSheetId="5">[1]HBL!$F$439</definedName>
    <definedName name="VNSP_SECONDAIR">HBL!$F$440</definedName>
    <definedName name="VNSP_TERTAIR" localSheetId="5">[1]HBL!$F$441</definedName>
    <definedName name="VNSP_TERTAIR">HBL!$F$442</definedName>
    <definedName name="VNSP_WASTE" localSheetId="5">[1]HBL!$I$281</definedName>
    <definedName name="VNSP_WASTE">HBL!$I$282</definedName>
  </definedNames>
  <calcPr calcId="145621" iterate="1" iterateCount="1000"/>
</workbook>
</file>

<file path=xl/calcChain.xml><?xml version="1.0" encoding="utf-8"?>
<calcChain xmlns="http://schemas.openxmlformats.org/spreadsheetml/2006/main">
  <c r="G30" i="8" l="1"/>
  <c r="F30" i="8"/>
  <c r="E30" i="8"/>
  <c r="F43" i="2" l="1"/>
  <c r="F44" i="2"/>
  <c r="F45" i="2"/>
  <c r="F46" i="2"/>
  <c r="J46" i="2"/>
  <c r="K46" i="2"/>
  <c r="F47" i="2"/>
  <c r="J47" i="2" s="1"/>
  <c r="F48" i="2"/>
  <c r="J48" i="2" s="1"/>
  <c r="F49" i="2"/>
  <c r="J49" i="2"/>
  <c r="K49" i="2"/>
  <c r="F50" i="2"/>
  <c r="J50" i="2"/>
  <c r="K50" i="2"/>
  <c r="F51" i="2"/>
  <c r="J51" i="2" s="1"/>
  <c r="F52" i="2"/>
  <c r="J52" i="2" s="1"/>
  <c r="F53" i="2"/>
  <c r="J53" i="2"/>
  <c r="K53" i="2"/>
  <c r="F54" i="2"/>
  <c r="J54" i="2"/>
  <c r="K54" i="2"/>
  <c r="F55" i="2"/>
  <c r="J55" i="2" s="1"/>
  <c r="F56" i="2"/>
  <c r="J56" i="2" s="1"/>
  <c r="F57" i="2"/>
  <c r="J57" i="2"/>
  <c r="K57" i="2"/>
  <c r="F58" i="2"/>
  <c r="J58" i="2"/>
  <c r="K58" i="2"/>
  <c r="F59" i="2"/>
  <c r="J59" i="2" s="1"/>
  <c r="F60" i="2"/>
  <c r="J60" i="2" s="1"/>
  <c r="F61" i="2"/>
  <c r="J61" i="2"/>
  <c r="K61" i="2"/>
  <c r="F62" i="2"/>
  <c r="J62" i="2"/>
  <c r="K62" i="2"/>
  <c r="F63" i="2"/>
  <c r="J63" i="2" s="1"/>
  <c r="F64" i="2"/>
  <c r="J64" i="2" s="1"/>
  <c r="F65" i="2"/>
  <c r="J65" i="2"/>
  <c r="K65" i="2"/>
  <c r="F66" i="2"/>
  <c r="J66" i="2"/>
  <c r="K66" i="2"/>
  <c r="F67" i="2"/>
  <c r="J67" i="2" s="1"/>
  <c r="F68" i="2"/>
  <c r="J68" i="2" s="1"/>
  <c r="F69" i="2"/>
  <c r="J69" i="2"/>
  <c r="K69" i="2"/>
  <c r="F70" i="2"/>
  <c r="J70" i="2"/>
  <c r="K70" i="2"/>
  <c r="X55" i="2"/>
  <c r="Y55" i="2"/>
  <c r="AF55" i="2" s="1"/>
  <c r="X56" i="2"/>
  <c r="Y56" i="2"/>
  <c r="X57" i="2"/>
  <c r="Y57" i="2"/>
  <c r="AF57" i="2" s="1"/>
  <c r="X58" i="2"/>
  <c r="Y58" i="2"/>
  <c r="AF58" i="2" s="1"/>
  <c r="X59" i="2"/>
  <c r="Y59" i="2"/>
  <c r="AF59" i="2" s="1"/>
  <c r="X60" i="2"/>
  <c r="Y60" i="2"/>
  <c r="X61" i="2"/>
  <c r="Y61" i="2"/>
  <c r="AF61" i="2" s="1"/>
  <c r="X62" i="2"/>
  <c r="Y62" i="2"/>
  <c r="AF62" i="2" s="1"/>
  <c r="X63" i="2"/>
  <c r="Y63" i="2"/>
  <c r="AF63" i="2" s="1"/>
  <c r="X64" i="2"/>
  <c r="Y64" i="2"/>
  <c r="X65" i="2"/>
  <c r="Y65" i="2"/>
  <c r="AF65" i="2" s="1"/>
  <c r="X66" i="2"/>
  <c r="Y66" i="2"/>
  <c r="AF66" i="2" s="1"/>
  <c r="X67" i="2"/>
  <c r="Y67" i="2"/>
  <c r="AF67" i="2" s="1"/>
  <c r="X68" i="2"/>
  <c r="Y68" i="2"/>
  <c r="X69" i="2"/>
  <c r="Y69" i="2"/>
  <c r="AF69" i="2" s="1"/>
  <c r="X70" i="2"/>
  <c r="Y70" i="2"/>
  <c r="AF70" i="2" s="1"/>
  <c r="E431" i="1"/>
  <c r="K67" i="2" l="1"/>
  <c r="K63" i="2"/>
  <c r="K59" i="2"/>
  <c r="K55" i="2"/>
  <c r="K51" i="2"/>
  <c r="K47" i="2"/>
  <c r="K68" i="2"/>
  <c r="K64" i="2"/>
  <c r="K60" i="2"/>
  <c r="K56" i="2"/>
  <c r="K52" i="2"/>
  <c r="K48" i="2"/>
  <c r="Z56" i="2"/>
  <c r="AF56" i="2"/>
  <c r="Z68" i="2"/>
  <c r="AE68" i="2"/>
  <c r="Z64" i="2"/>
  <c r="AE64" i="2"/>
  <c r="Z60" i="2"/>
  <c r="AE60" i="2"/>
  <c r="Z70" i="2"/>
  <c r="AE70" i="2"/>
  <c r="AF68" i="2"/>
  <c r="Z66" i="2"/>
  <c r="AE66" i="2"/>
  <c r="AF64" i="2"/>
  <c r="Z62" i="2"/>
  <c r="AE62" i="2"/>
  <c r="AF60" i="2"/>
  <c r="Z58" i="2"/>
  <c r="Z69" i="2"/>
  <c r="AE69" i="2"/>
  <c r="Z67" i="2"/>
  <c r="AE67" i="2"/>
  <c r="Z65" i="2"/>
  <c r="AE65" i="2"/>
  <c r="Z63" i="2"/>
  <c r="AE63" i="2"/>
  <c r="Z61" i="2"/>
  <c r="AE61" i="2"/>
  <c r="Z59" i="2"/>
  <c r="AE59" i="2"/>
  <c r="Z57" i="2"/>
  <c r="Z55" i="2"/>
  <c r="AE58" i="2"/>
  <c r="AE57" i="2"/>
  <c r="AE56" i="2"/>
  <c r="AE55" i="2"/>
  <c r="L25" i="7"/>
  <c r="L24" i="7"/>
  <c r="L21" i="7"/>
  <c r="L11" i="7"/>
  <c r="L10" i="7"/>
  <c r="L9" i="7"/>
  <c r="G9" i="7"/>
  <c r="D4" i="7"/>
  <c r="I270" i="1"/>
  <c r="G97" i="7" s="1"/>
  <c r="J91" i="7"/>
  <c r="M92" i="7"/>
  <c r="J3" i="7"/>
  <c r="J90" i="7" s="1"/>
  <c r="L3" i="7"/>
  <c r="L90" i="7" s="1"/>
  <c r="K3" i="7"/>
  <c r="K90" i="7" s="1"/>
  <c r="G14" i="7"/>
  <c r="L110" i="7" l="1"/>
  <c r="H110" i="7"/>
  <c r="M4" i="7"/>
  <c r="M91" i="7" s="1"/>
  <c r="M5" i="7"/>
  <c r="G813" i="1" l="1"/>
  <c r="F673" i="1" l="1"/>
  <c r="E369" i="1"/>
  <c r="E397" i="1" s="1"/>
  <c r="F369" i="1"/>
  <c r="F409" i="1" s="1"/>
  <c r="G369" i="1"/>
  <c r="G403" i="1" s="1"/>
  <c r="H369" i="1"/>
  <c r="H409" i="1" s="1"/>
  <c r="I369" i="1"/>
  <c r="J369" i="1"/>
  <c r="E666" i="1"/>
  <c r="F666" i="1"/>
  <c r="G666" i="1"/>
  <c r="H666" i="1"/>
  <c r="H667" i="1" s="1"/>
  <c r="I666" i="1"/>
  <c r="I667" i="1" s="1"/>
  <c r="J666" i="1"/>
  <c r="J667" i="1" s="1"/>
  <c r="E359" i="1"/>
  <c r="E401" i="1" s="1"/>
  <c r="F359" i="1"/>
  <c r="F395" i="1" s="1"/>
  <c r="G359" i="1"/>
  <c r="H359" i="1"/>
  <c r="H395" i="1" s="1"/>
  <c r="I359" i="1"/>
  <c r="I401" i="1" s="1"/>
  <c r="J359" i="1"/>
  <c r="J395" i="1" s="1"/>
  <c r="I263" i="1"/>
  <c r="I434" i="1" s="1"/>
  <c r="AA1349" i="1"/>
  <c r="B441" i="1" s="1"/>
  <c r="H304" i="1"/>
  <c r="H305" i="1"/>
  <c r="G755" i="1" s="1"/>
  <c r="G756" i="1" s="1"/>
  <c r="I317" i="1"/>
  <c r="I1044" i="1"/>
  <c r="I537" i="1" s="1"/>
  <c r="J537" i="1" s="1"/>
  <c r="B538" i="1"/>
  <c r="I538" i="1" s="1"/>
  <c r="J538" i="1" s="1"/>
  <c r="H64" i="1"/>
  <c r="H63" i="1"/>
  <c r="AA1509" i="1"/>
  <c r="E1130" i="1" s="1"/>
  <c r="G1011" i="1"/>
  <c r="G1013" i="1" s="1"/>
  <c r="I1013" i="1" s="1"/>
  <c r="I533" i="1" s="1"/>
  <c r="G1074" i="1"/>
  <c r="AA1302" i="1"/>
  <c r="B1085" i="1" s="1"/>
  <c r="I315" i="1"/>
  <c r="E811" i="1" s="1"/>
  <c r="AA1294" i="1"/>
  <c r="B1087" i="1" s="1"/>
  <c r="AA1435" i="1"/>
  <c r="B1074" i="1" s="1"/>
  <c r="E364" i="1"/>
  <c r="E406" i="1" s="1"/>
  <c r="F364" i="1"/>
  <c r="G364" i="1"/>
  <c r="G396" i="1" s="1"/>
  <c r="H364" i="1"/>
  <c r="I364" i="1"/>
  <c r="J364" i="1"/>
  <c r="J407" i="1" s="1"/>
  <c r="I241" i="1"/>
  <c r="D209" i="1"/>
  <c r="G743" i="1" s="1"/>
  <c r="I743" i="1" s="1"/>
  <c r="I589" i="1" s="1"/>
  <c r="J589" i="1" s="1"/>
  <c r="I590" i="1"/>
  <c r="J590" i="1" s="1"/>
  <c r="B591" i="1"/>
  <c r="I591" i="1" s="1"/>
  <c r="J591" i="1" s="1"/>
  <c r="B590" i="1"/>
  <c r="G1064" i="1"/>
  <c r="G542" i="1" s="1"/>
  <c r="D191" i="1"/>
  <c r="G842" i="1" s="1"/>
  <c r="G1010" i="1"/>
  <c r="D189" i="1"/>
  <c r="G877" i="1"/>
  <c r="I259" i="1"/>
  <c r="I237" i="1"/>
  <c r="G102" i="7" s="1"/>
  <c r="G161" i="1"/>
  <c r="D152" i="1"/>
  <c r="G1084" i="1"/>
  <c r="G1036" i="1"/>
  <c r="G1038" i="1" s="1"/>
  <c r="I1038" i="1" s="1"/>
  <c r="I535" i="1" s="1"/>
  <c r="J535" i="1" s="1"/>
  <c r="AA1656" i="1"/>
  <c r="B796" i="1" s="1"/>
  <c r="AA1655" i="1"/>
  <c r="B795" i="1" s="1"/>
  <c r="I272" i="1"/>
  <c r="G901" i="1" s="1"/>
  <c r="I284" i="1"/>
  <c r="D111" i="1"/>
  <c r="G908" i="1" s="1"/>
  <c r="D80" i="1"/>
  <c r="G584" i="1" s="1"/>
  <c r="K24" i="2"/>
  <c r="Y118" i="4"/>
  <c r="AE118" i="4" s="1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AF54" i="4" s="1"/>
  <c r="Y53" i="4"/>
  <c r="Y52" i="4"/>
  <c r="Y51" i="4"/>
  <c r="Y50" i="4"/>
  <c r="Y49" i="4"/>
  <c r="Y48" i="4"/>
  <c r="Y47" i="4"/>
  <c r="Y46" i="4"/>
  <c r="AF46" i="4" s="1"/>
  <c r="Y45" i="4"/>
  <c r="Y44" i="4"/>
  <c r="Y43" i="4"/>
  <c r="Y42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AF42" i="4"/>
  <c r="F604" i="1"/>
  <c r="G841" i="1"/>
  <c r="I604" i="1"/>
  <c r="J604" i="1" s="1"/>
  <c r="H604" i="1"/>
  <c r="H601" i="1"/>
  <c r="H401" i="1"/>
  <c r="G860" i="1"/>
  <c r="G856" i="1" s="1"/>
  <c r="E89" i="1"/>
  <c r="D604" i="1"/>
  <c r="C604" i="1"/>
  <c r="G840" i="1"/>
  <c r="AA1287" i="1"/>
  <c r="D600" i="1" s="1"/>
  <c r="D603" i="1"/>
  <c r="E293" i="1"/>
  <c r="E294" i="1"/>
  <c r="H294" i="1" s="1"/>
  <c r="E295" i="1"/>
  <c r="H295" i="1" s="1"/>
  <c r="E751" i="1" s="1"/>
  <c r="E752" i="1" s="1"/>
  <c r="E296" i="1"/>
  <c r="E297" i="1"/>
  <c r="E298" i="1"/>
  <c r="E299" i="1"/>
  <c r="H299" i="1" s="1"/>
  <c r="I751" i="1" s="1"/>
  <c r="I752" i="1" s="1"/>
  <c r="E300" i="1"/>
  <c r="E301" i="1"/>
  <c r="E302" i="1"/>
  <c r="E303" i="1"/>
  <c r="H303" i="1" s="1"/>
  <c r="E755" i="1" s="1"/>
  <c r="E756" i="1" s="1"/>
  <c r="E304" i="1"/>
  <c r="E305" i="1"/>
  <c r="I31" i="1"/>
  <c r="I813" i="1"/>
  <c r="E480" i="1"/>
  <c r="F480" i="1"/>
  <c r="G484" i="1"/>
  <c r="I257" i="1"/>
  <c r="G731" i="1" s="1"/>
  <c r="I731" i="1" s="1"/>
  <c r="F135" i="1"/>
  <c r="C135" i="1"/>
  <c r="E135" i="1"/>
  <c r="E137" i="1"/>
  <c r="E136" i="1"/>
  <c r="C137" i="1"/>
  <c r="C136" i="1"/>
  <c r="F137" i="1"/>
  <c r="F136" i="1"/>
  <c r="AA1388" i="1"/>
  <c r="B666" i="1" s="1"/>
  <c r="AA1245" i="1"/>
  <c r="B277" i="1" s="1"/>
  <c r="I616" i="1"/>
  <c r="AA1304" i="1"/>
  <c r="B278" i="1" s="1"/>
  <c r="I235" i="1"/>
  <c r="G720" i="1" s="1"/>
  <c r="H558" i="1"/>
  <c r="I34" i="1"/>
  <c r="L29" i="7" s="1"/>
  <c r="AA1501" i="1"/>
  <c r="B88" i="1" s="1"/>
  <c r="H135" i="1"/>
  <c r="G137" i="1"/>
  <c r="G136" i="1"/>
  <c r="G135" i="1"/>
  <c r="AA1400" i="1"/>
  <c r="B324" i="1" s="1"/>
  <c r="AA1487" i="1"/>
  <c r="B323" i="1" s="1"/>
  <c r="AA1573" i="1"/>
  <c r="D616" i="1" s="1"/>
  <c r="AA1629" i="1"/>
  <c r="AA1406" i="1"/>
  <c r="B282" i="1" s="1"/>
  <c r="AA1411" i="1"/>
  <c r="B992" i="1" s="1"/>
  <c r="AA1297" i="1"/>
  <c r="AA1432" i="1"/>
  <c r="B594" i="1" s="1"/>
  <c r="AA1258" i="1"/>
  <c r="B394" i="1" s="1"/>
  <c r="D98" i="1"/>
  <c r="D100" i="1" s="1"/>
  <c r="G10" i="7" s="1"/>
  <c r="E854" i="1"/>
  <c r="G854" i="1" s="1"/>
  <c r="I854" i="1" s="1"/>
  <c r="E812" i="1"/>
  <c r="G812" i="1" s="1"/>
  <c r="I812" i="1" s="1"/>
  <c r="G796" i="1"/>
  <c r="G795" i="1"/>
  <c r="G739" i="1"/>
  <c r="F597" i="1"/>
  <c r="F589" i="1"/>
  <c r="AA1390" i="1"/>
  <c r="AA1454" i="1"/>
  <c r="AA1455" i="1"/>
  <c r="B473" i="1" s="1"/>
  <c r="F435" i="1"/>
  <c r="AA1267" i="1"/>
  <c r="B359" i="1" s="1"/>
  <c r="AA1269" i="1"/>
  <c r="B367" i="1" s="1"/>
  <c r="AA1645" i="1"/>
  <c r="B536" i="1" s="1"/>
  <c r="AA1459" i="1"/>
  <c r="AA1565" i="1"/>
  <c r="AA1450" i="1"/>
  <c r="G289" i="1" s="1"/>
  <c r="AA1564" i="1"/>
  <c r="B1035" i="1" s="1"/>
  <c r="AA1279" i="1"/>
  <c r="B486" i="1" s="1"/>
  <c r="AA1424" i="1"/>
  <c r="AA1549" i="1"/>
  <c r="B939" i="1" s="1"/>
  <c r="AA1482" i="1"/>
  <c r="B584" i="1" s="1"/>
  <c r="AA1530" i="1"/>
  <c r="AA1529" i="1"/>
  <c r="E674" i="1"/>
  <c r="E673" i="1"/>
  <c r="F674" i="1"/>
  <c r="G674" i="1"/>
  <c r="G673" i="1"/>
  <c r="H674" i="1"/>
  <c r="H673" i="1"/>
  <c r="I674" i="1"/>
  <c r="I673" i="1"/>
  <c r="G693" i="1"/>
  <c r="I693" i="1" s="1"/>
  <c r="D81" i="1"/>
  <c r="G695" i="1" s="1"/>
  <c r="G696" i="1"/>
  <c r="I696" i="1" s="1"/>
  <c r="G806" i="1"/>
  <c r="I806" i="1" s="1"/>
  <c r="I791" i="1"/>
  <c r="G793" i="1" s="1"/>
  <c r="I793" i="1" s="1"/>
  <c r="I596" i="1" s="1"/>
  <c r="J596" i="1" s="1"/>
  <c r="I796" i="1"/>
  <c r="I597" i="1" s="1"/>
  <c r="J597" i="1" s="1"/>
  <c r="G832" i="1"/>
  <c r="G852" i="1"/>
  <c r="I852" i="1" s="1"/>
  <c r="G853" i="1"/>
  <c r="I853" i="1" s="1"/>
  <c r="G889" i="1"/>
  <c r="I889" i="1" s="1"/>
  <c r="I605" i="1" s="1"/>
  <c r="J605" i="1" s="1"/>
  <c r="G1100" i="1"/>
  <c r="I1100" i="1" s="1"/>
  <c r="I607" i="1"/>
  <c r="J607" i="1" s="1"/>
  <c r="D151" i="1"/>
  <c r="G609" i="1" s="1"/>
  <c r="G928" i="1"/>
  <c r="I928" i="1" s="1"/>
  <c r="I609" i="1" s="1"/>
  <c r="J609" i="1" s="1"/>
  <c r="G933" i="1"/>
  <c r="G936" i="1"/>
  <c r="I936" i="1" s="1"/>
  <c r="I610" i="1" s="1"/>
  <c r="J610" i="1" s="1"/>
  <c r="G943" i="1"/>
  <c r="I943" i="1" s="1"/>
  <c r="I611" i="1" s="1"/>
  <c r="J611" i="1" s="1"/>
  <c r="G947" i="1"/>
  <c r="G948" i="1" s="1"/>
  <c r="I613" i="1"/>
  <c r="I614" i="1"/>
  <c r="I615" i="1"/>
  <c r="I966" i="1"/>
  <c r="I617" i="1" s="1"/>
  <c r="J617" i="1" s="1"/>
  <c r="I594" i="1"/>
  <c r="J594" i="1" s="1"/>
  <c r="AA1414" i="1"/>
  <c r="AA1511" i="1"/>
  <c r="AA1510" i="1"/>
  <c r="F533" i="1"/>
  <c r="AA1312" i="1"/>
  <c r="D661" i="1" s="1"/>
  <c r="AA1634" i="1"/>
  <c r="B205" i="1" s="1"/>
  <c r="G740" i="1"/>
  <c r="AA1619" i="1"/>
  <c r="B743" i="1" s="1"/>
  <c r="AA1542" i="1"/>
  <c r="B741" i="1" s="1"/>
  <c r="AA1601" i="1"/>
  <c r="B763" i="1" s="1"/>
  <c r="AA1341" i="1"/>
  <c r="B737" i="1" s="1"/>
  <c r="H589" i="1"/>
  <c r="AA1327" i="1"/>
  <c r="D589" i="1"/>
  <c r="G597" i="1"/>
  <c r="AA1345" i="1"/>
  <c r="AA1661" i="1"/>
  <c r="AA1662" i="1"/>
  <c r="AA1442" i="1"/>
  <c r="AA1495" i="1"/>
  <c r="B212" i="1" s="1"/>
  <c r="AA1556" i="1"/>
  <c r="H290" i="1" s="1"/>
  <c r="AA1577" i="1"/>
  <c r="C411" i="1" s="1"/>
  <c r="AA1443" i="1"/>
  <c r="B358" i="1" s="1"/>
  <c r="AA1262" i="1"/>
  <c r="C34" i="1" s="1"/>
  <c r="AA1607" i="1"/>
  <c r="C33" i="1" s="1"/>
  <c r="AA1522" i="1"/>
  <c r="B361" i="1" s="1"/>
  <c r="I282" i="1"/>
  <c r="H993" i="1" s="1"/>
  <c r="I175" i="1"/>
  <c r="G171" i="1"/>
  <c r="I171" i="1" s="1"/>
  <c r="G160" i="1"/>
  <c r="C919" i="1"/>
  <c r="C917" i="1"/>
  <c r="C920" i="1"/>
  <c r="C918" i="1"/>
  <c r="G168" i="1"/>
  <c r="I168" i="1" s="1"/>
  <c r="G507" i="1"/>
  <c r="AA1490" i="1"/>
  <c r="B498" i="1" s="1"/>
  <c r="I278" i="1"/>
  <c r="E853" i="1"/>
  <c r="AA1646" i="1"/>
  <c r="B399" i="1" s="1"/>
  <c r="AA1647" i="1"/>
  <c r="B400" i="1" s="1"/>
  <c r="AA1368" i="1"/>
  <c r="B262" i="1" s="1"/>
  <c r="D576" i="1"/>
  <c r="G1105" i="1"/>
  <c r="G993" i="1"/>
  <c r="D526" i="1"/>
  <c r="AA1404" i="1"/>
  <c r="B1103" i="1" s="1"/>
  <c r="AA1338" i="1"/>
  <c r="B891" i="1" s="1"/>
  <c r="L893" i="1"/>
  <c r="AA1690" i="1"/>
  <c r="AA1691" i="1"/>
  <c r="AA1687" i="1"/>
  <c r="AA1441" i="1"/>
  <c r="B155" i="1" s="1"/>
  <c r="AA1228" i="1"/>
  <c r="AA1463" i="1"/>
  <c r="G932" i="1"/>
  <c r="AA1397" i="1"/>
  <c r="B165" i="1" s="1"/>
  <c r="AA1398" i="1"/>
  <c r="B882" i="1" s="1"/>
  <c r="AA1371" i="1"/>
  <c r="F923" i="1" s="1"/>
  <c r="AA1259" i="1"/>
  <c r="B916" i="1" s="1"/>
  <c r="AA1281" i="1"/>
  <c r="B932" i="1" s="1"/>
  <c r="AA1578" i="1"/>
  <c r="B817" i="1" s="1"/>
  <c r="AA1254" i="1"/>
  <c r="B859" i="1" s="1"/>
  <c r="AA1235" i="1"/>
  <c r="AA1382" i="1"/>
  <c r="B347" i="1" s="1"/>
  <c r="AA1234" i="1"/>
  <c r="AA1236" i="1"/>
  <c r="AA1383" i="1"/>
  <c r="AA1475" i="1"/>
  <c r="AA1298" i="1"/>
  <c r="E856" i="1"/>
  <c r="E855" i="1"/>
  <c r="AA1381" i="1"/>
  <c r="B809" i="1" s="1"/>
  <c r="AA1229" i="1"/>
  <c r="B72" i="1" s="1"/>
  <c r="AA1518" i="1"/>
  <c r="G71" i="1" s="1"/>
  <c r="AA1584" i="1"/>
  <c r="B71" i="1" s="1"/>
  <c r="E70" i="1"/>
  <c r="AA1246" i="1"/>
  <c r="AA1384" i="1"/>
  <c r="AA1317" i="1"/>
  <c r="B430" i="1" s="1"/>
  <c r="G585" i="1"/>
  <c r="G704" i="1"/>
  <c r="G703" i="1"/>
  <c r="AA1507" i="1"/>
  <c r="B703" i="1" s="1"/>
  <c r="AA1506" i="1"/>
  <c r="B84" i="1" s="1"/>
  <c r="AA1251" i="1"/>
  <c r="I955" i="1"/>
  <c r="G501" i="1"/>
  <c r="G506" i="1"/>
  <c r="E201" i="1"/>
  <c r="AA1447" i="1"/>
  <c r="B200" i="1" s="1"/>
  <c r="AA1257" i="1"/>
  <c r="B168" i="1" s="1"/>
  <c r="AA1644" i="1"/>
  <c r="B811" i="1" s="1"/>
  <c r="AA1418" i="1"/>
  <c r="AA1344" i="1"/>
  <c r="AA1648" i="1"/>
  <c r="B798" i="1" s="1"/>
  <c r="AA1641" i="1"/>
  <c r="B1123" i="1" s="1"/>
  <c r="AA1606" i="1"/>
  <c r="B1106" i="1" s="1"/>
  <c r="AA1605" i="1"/>
  <c r="B868" i="1" s="1"/>
  <c r="AA1524" i="1"/>
  <c r="B1059" i="1" s="1"/>
  <c r="AA1421" i="1"/>
  <c r="B848" i="1" s="1"/>
  <c r="AA1343" i="1"/>
  <c r="B864" i="1" s="1"/>
  <c r="AA1534" i="1"/>
  <c r="B543" i="1" s="1"/>
  <c r="AA1469" i="1"/>
  <c r="AA1633" i="1"/>
  <c r="B312" i="1" s="1"/>
  <c r="AA1597" i="1"/>
  <c r="B401" i="1" s="1"/>
  <c r="AA1598" i="1"/>
  <c r="B403" i="1" s="1"/>
  <c r="AA1599" i="1"/>
  <c r="B404" i="1" s="1"/>
  <c r="AA1600" i="1"/>
  <c r="B408" i="1" s="1"/>
  <c r="AA1581" i="1"/>
  <c r="B425" i="1" s="1"/>
  <c r="AA1582" i="1"/>
  <c r="B433" i="1" s="1"/>
  <c r="AA1551" i="1"/>
  <c r="AA1474" i="1"/>
  <c r="B431" i="1" s="1"/>
  <c r="AA1499" i="1"/>
  <c r="AA1460" i="1"/>
  <c r="B423" i="1" s="1"/>
  <c r="AA1461" i="1"/>
  <c r="B432" i="1" s="1"/>
  <c r="AA1419" i="1"/>
  <c r="B48" i="1" s="1"/>
  <c r="AA1420" i="1"/>
  <c r="B49" i="1" s="1"/>
  <c r="AA1296" i="1"/>
  <c r="AA1560" i="1"/>
  <c r="B502" i="1" s="1"/>
  <c r="AA1688" i="1"/>
  <c r="H55" i="1" s="1"/>
  <c r="AA1689" i="1"/>
  <c r="H56" i="1" s="1"/>
  <c r="AA1686" i="1"/>
  <c r="H53" i="1" s="1"/>
  <c r="F601" i="1"/>
  <c r="G873" i="1"/>
  <c r="D201" i="1"/>
  <c r="G862" i="1" s="1"/>
  <c r="G602" i="1"/>
  <c r="G875" i="1"/>
  <c r="G879" i="1" s="1"/>
  <c r="I879" i="1" s="1"/>
  <c r="G876" i="1"/>
  <c r="F603" i="1"/>
  <c r="G603" i="1" s="1"/>
  <c r="H602" i="1"/>
  <c r="G867" i="1"/>
  <c r="G861" i="1"/>
  <c r="AA1444" i="1"/>
  <c r="B55" i="1" s="1"/>
  <c r="AA1630" i="1"/>
  <c r="C606" i="1" s="1"/>
  <c r="H536" i="1"/>
  <c r="AA1548" i="1"/>
  <c r="C601" i="1" s="1"/>
  <c r="H588" i="1"/>
  <c r="AA1328" i="1"/>
  <c r="D587" i="1" s="1"/>
  <c r="AA1340" i="1"/>
  <c r="B747" i="1" s="1"/>
  <c r="G764" i="1"/>
  <c r="I549" i="1"/>
  <c r="I545" i="1"/>
  <c r="J545" i="1" s="1"/>
  <c r="I550" i="1"/>
  <c r="AA1685" i="1"/>
  <c r="H52" i="1" s="1"/>
  <c r="AA1684" i="1"/>
  <c r="H51" i="1" s="1"/>
  <c r="AA1683" i="1"/>
  <c r="H50" i="1" s="1"/>
  <c r="AA1682" i="1"/>
  <c r="H49" i="1" s="1"/>
  <c r="AA1681" i="1"/>
  <c r="H48" i="1" s="1"/>
  <c r="AA1680" i="1"/>
  <c r="B856" i="1" s="1"/>
  <c r="AA1679" i="1"/>
  <c r="B976" i="1" s="1"/>
  <c r="AA1678" i="1"/>
  <c r="AA1677" i="1"/>
  <c r="F976" i="1" s="1"/>
  <c r="AA1676" i="1"/>
  <c r="E241" i="1" s="1"/>
  <c r="AA1675" i="1"/>
  <c r="J171" i="1" s="1"/>
  <c r="AA1674" i="1"/>
  <c r="G309" i="1" s="1"/>
  <c r="AA1673" i="1"/>
  <c r="AA1672" i="1"/>
  <c r="AA1671" i="1"/>
  <c r="AA1670" i="1"/>
  <c r="H477" i="1" s="1"/>
  <c r="AA1667" i="1"/>
  <c r="AA1666" i="1"/>
  <c r="AA1665" i="1"/>
  <c r="AA1664" i="1"/>
  <c r="B470" i="1" s="1"/>
  <c r="AA1663" i="1"/>
  <c r="B466" i="1" s="1"/>
  <c r="AA1660" i="1"/>
  <c r="B355" i="1" s="1"/>
  <c r="AA1654" i="1"/>
  <c r="I570" i="1" s="1"/>
  <c r="AA1653" i="1"/>
  <c r="B537" i="1" s="1"/>
  <c r="AA1652" i="1"/>
  <c r="B770" i="1" s="1"/>
  <c r="AA1651" i="1"/>
  <c r="B550" i="1" s="1"/>
  <c r="AA1650" i="1"/>
  <c r="B961" i="1" s="1"/>
  <c r="AA1649" i="1"/>
  <c r="B788" i="1" s="1"/>
  <c r="AA1643" i="1"/>
  <c r="B728" i="1" s="1"/>
  <c r="AA1642" i="1"/>
  <c r="B235" i="1" s="1"/>
  <c r="AA1640" i="1"/>
  <c r="B1116" i="1" s="1"/>
  <c r="AA1639" i="1"/>
  <c r="B872" i="1" s="1"/>
  <c r="AA1638" i="1"/>
  <c r="AA1637" i="1"/>
  <c r="B945" i="1" s="1"/>
  <c r="AA1636" i="1"/>
  <c r="B950" i="1" s="1"/>
  <c r="AA1635" i="1"/>
  <c r="B930" i="1" s="1"/>
  <c r="AA1632" i="1"/>
  <c r="B596" i="1" s="1"/>
  <c r="AA1631" i="1"/>
  <c r="B793" i="1" s="1"/>
  <c r="AA1628" i="1"/>
  <c r="B485" i="1" s="1"/>
  <c r="AA1627" i="1"/>
  <c r="D613" i="1" s="1"/>
  <c r="AA1626" i="1"/>
  <c r="B693" i="1" s="1"/>
  <c r="AA1625" i="1"/>
  <c r="B698" i="1" s="1"/>
  <c r="AA1624" i="1"/>
  <c r="AA1623" i="1"/>
  <c r="B667" i="1" s="1"/>
  <c r="AA1622" i="1"/>
  <c r="B707" i="1" s="1"/>
  <c r="AA1621" i="1"/>
  <c r="B696" i="1" s="1"/>
  <c r="AA1620" i="1"/>
  <c r="B733" i="1" s="1"/>
  <c r="AA1618" i="1"/>
  <c r="B1029" i="1" s="1"/>
  <c r="AA1617" i="1"/>
  <c r="B1013" i="1" s="1"/>
  <c r="AA1616" i="1"/>
  <c r="B653" i="1" s="1"/>
  <c r="AA1615" i="1"/>
  <c r="B679" i="1" s="1"/>
  <c r="AA1614" i="1"/>
  <c r="AA1613" i="1"/>
  <c r="AA1612" i="1"/>
  <c r="AA1611" i="1"/>
  <c r="B650" i="1" s="1"/>
  <c r="AA1610" i="1"/>
  <c r="B780" i="1" s="1"/>
  <c r="AA1609" i="1"/>
  <c r="B26" i="1" s="1"/>
  <c r="AA1604" i="1"/>
  <c r="AA1603" i="1"/>
  <c r="B924" i="1" s="1"/>
  <c r="AA1602" i="1"/>
  <c r="B1082" i="1" s="1"/>
  <c r="AA1596" i="1"/>
  <c r="B975" i="1" s="1"/>
  <c r="AA1595" i="1"/>
  <c r="B805" i="1" s="1"/>
  <c r="AA1594" i="1"/>
  <c r="B668" i="1" s="1"/>
  <c r="AA1593" i="1"/>
  <c r="AA1592" i="1"/>
  <c r="G29" i="1" s="1"/>
  <c r="AA1591" i="1"/>
  <c r="B1019" i="1" s="1"/>
  <c r="AA1589" i="1"/>
  <c r="B870" i="1" s="1"/>
  <c r="AA1588" i="1"/>
  <c r="B702" i="1" s="1"/>
  <c r="AA1587" i="1"/>
  <c r="AA1586" i="1"/>
  <c r="AA1585" i="1"/>
  <c r="G70" i="1" s="1"/>
  <c r="AA1583" i="1"/>
  <c r="B70" i="1" s="1"/>
  <c r="AA1580" i="1"/>
  <c r="J44" i="1" s="1"/>
  <c r="AA1576" i="1"/>
  <c r="B226" i="1" s="1"/>
  <c r="AA1575" i="1"/>
  <c r="AA1574" i="1"/>
  <c r="B457" i="1" s="1"/>
  <c r="AA1572" i="1"/>
  <c r="B505" i="1" s="1"/>
  <c r="AA1571" i="1"/>
  <c r="B1080" i="1" s="1"/>
  <c r="AA1570" i="1"/>
  <c r="AA1569" i="1"/>
  <c r="AA1568" i="1"/>
  <c r="AA1567" i="1"/>
  <c r="B150" i="1" s="1"/>
  <c r="AA1566" i="1"/>
  <c r="B283" i="1" s="1"/>
  <c r="AA1563" i="1"/>
  <c r="B673" i="1" s="1"/>
  <c r="AA1562" i="1"/>
  <c r="J30" i="1" s="1"/>
  <c r="AA1559" i="1"/>
  <c r="B620" i="1" s="1"/>
  <c r="AA1558" i="1"/>
  <c r="B549" i="1" s="1"/>
  <c r="AA1557" i="1"/>
  <c r="B613" i="1" s="1"/>
  <c r="AA1555" i="1"/>
  <c r="AA1554" i="1"/>
  <c r="B1114" i="1" s="1"/>
  <c r="AA1553" i="1"/>
  <c r="AA1552" i="1"/>
  <c r="B91" i="1" s="1"/>
  <c r="AA1550" i="1"/>
  <c r="B98" i="1" s="1"/>
  <c r="AA1547" i="1"/>
  <c r="AA1546" i="1"/>
  <c r="AA1545" i="1"/>
  <c r="AA1543" i="1"/>
  <c r="AA1541" i="1"/>
  <c r="B530" i="1" s="1"/>
  <c r="AA1540" i="1"/>
  <c r="B669" i="1" s="1"/>
  <c r="AA1539" i="1"/>
  <c r="AA1538" i="1"/>
  <c r="AA1536" i="1"/>
  <c r="B458" i="1" s="1"/>
  <c r="AA1535" i="1"/>
  <c r="B990" i="1" s="1"/>
  <c r="AA1533" i="1"/>
  <c r="B542" i="1" s="1"/>
  <c r="AA1532" i="1"/>
  <c r="AA1531" i="1"/>
  <c r="B348" i="1" s="1"/>
  <c r="AA1527" i="1"/>
  <c r="G94" i="1" s="1"/>
  <c r="AA1526" i="1"/>
  <c r="G109" i="1" s="1"/>
  <c r="AA1525" i="1"/>
  <c r="G81" i="1" s="1"/>
  <c r="AA1523" i="1"/>
  <c r="AA1520" i="1"/>
  <c r="B421" i="1" s="1"/>
  <c r="AA1519" i="1"/>
  <c r="B705" i="1" s="1"/>
  <c r="AA1517" i="1"/>
  <c r="B487" i="1" s="1"/>
  <c r="AA1516" i="1"/>
  <c r="AA1515" i="1"/>
  <c r="B220" i="1" s="1"/>
  <c r="AA1513" i="1"/>
  <c r="AA1512" i="1"/>
  <c r="AA1505" i="1"/>
  <c r="B526" i="1" s="1"/>
  <c r="AA1504" i="1"/>
  <c r="AA1503" i="1"/>
  <c r="AA1502" i="1"/>
  <c r="B245" i="1" s="1"/>
  <c r="AA1500" i="1"/>
  <c r="B434" i="1" s="1"/>
  <c r="AA1498" i="1"/>
  <c r="B973" i="1" s="1"/>
  <c r="AA1497" i="1"/>
  <c r="B214" i="1" s="1"/>
  <c r="AA1496" i="1"/>
  <c r="B586" i="1" s="1"/>
  <c r="AA1494" i="1"/>
  <c r="AA1492" i="1"/>
  <c r="B701" i="1" s="1"/>
  <c r="AA1491" i="1"/>
  <c r="B82" i="1" s="1"/>
  <c r="AA1489" i="1"/>
  <c r="B44" i="1" s="1"/>
  <c r="AA1488" i="1"/>
  <c r="AA1486" i="1"/>
  <c r="AA1485" i="1"/>
  <c r="F44" i="1" s="1"/>
  <c r="AA1484" i="1"/>
  <c r="B42" i="1" s="1"/>
  <c r="AA1483" i="1"/>
  <c r="B686" i="1" s="1"/>
  <c r="AA1481" i="1"/>
  <c r="B599" i="1" s="1"/>
  <c r="AA1480" i="1"/>
  <c r="B802" i="1" s="1"/>
  <c r="AA1479" i="1"/>
  <c r="B825" i="1" s="1"/>
  <c r="AA1478" i="1"/>
  <c r="I571" i="1" s="1"/>
  <c r="AA1477" i="1"/>
  <c r="D614" i="1" s="1"/>
  <c r="AA1476" i="1"/>
  <c r="AA1473" i="1"/>
  <c r="B528" i="1" s="1"/>
  <c r="AA1472" i="1"/>
  <c r="B181" i="1" s="1"/>
  <c r="AA1470" i="1"/>
  <c r="AA1468" i="1"/>
  <c r="G95" i="1" s="1"/>
  <c r="AA1467" i="1"/>
  <c r="G110" i="1" s="1"/>
  <c r="AA1466" i="1"/>
  <c r="G82" i="1" s="1"/>
  <c r="AA1464" i="1"/>
  <c r="AA1462" i="1"/>
  <c r="C607" i="1" s="1"/>
  <c r="AA1458" i="1"/>
  <c r="F45" i="1" s="1"/>
  <c r="AA1457" i="1"/>
  <c r="B906" i="1" s="1"/>
  <c r="AA1456" i="1"/>
  <c r="J476" i="1" s="1"/>
  <c r="AA1452" i="1"/>
  <c r="AA1451" i="1"/>
  <c r="B971" i="1" s="1"/>
  <c r="AA1449" i="1"/>
  <c r="B977" i="1" s="1"/>
  <c r="AA1448" i="1"/>
  <c r="D42" i="1" s="1"/>
  <c r="AA1446" i="1"/>
  <c r="B45" i="1" s="1"/>
  <c r="AA1440" i="1"/>
  <c r="E679" i="1" s="1"/>
  <c r="AA1439" i="1"/>
  <c r="AA1438" i="1"/>
  <c r="D581" i="1" s="1"/>
  <c r="AA1437" i="1"/>
  <c r="B614" i="1" s="1"/>
  <c r="AA1436" i="1"/>
  <c r="AA1434" i="1"/>
  <c r="B1052" i="1" s="1"/>
  <c r="AA1433" i="1"/>
  <c r="B783" i="1" s="1"/>
  <c r="AA1431" i="1"/>
  <c r="B1053" i="1" s="1"/>
  <c r="AA1430" i="1"/>
  <c r="AA1429" i="1"/>
  <c r="B1010" i="1" s="1"/>
  <c r="AA1428" i="1"/>
  <c r="B107" i="1" s="1"/>
  <c r="AA1427" i="1"/>
  <c r="C608" i="1" s="1"/>
  <c r="AA1426" i="1"/>
  <c r="B533" i="1" s="1"/>
  <c r="AA1425" i="1"/>
  <c r="AA1423" i="1"/>
  <c r="AA1422" i="1"/>
  <c r="AA1417" i="1"/>
  <c r="B397" i="1" s="1"/>
  <c r="AA1416" i="1"/>
  <c r="B366" i="1" s="1"/>
  <c r="AA1415" i="1"/>
  <c r="AA1413" i="1"/>
  <c r="B1126" i="1" s="1"/>
  <c r="AA1412" i="1"/>
  <c r="B287" i="1" s="1"/>
  <c r="AA1410" i="1"/>
  <c r="B267" i="1" s="1"/>
  <c r="AA1409" i="1"/>
  <c r="B497" i="1" s="1"/>
  <c r="AA1408" i="1"/>
  <c r="B534" i="1" s="1"/>
  <c r="AA1407" i="1"/>
  <c r="B1016" i="1" s="1"/>
  <c r="AA1405" i="1"/>
  <c r="B546" i="1" s="1"/>
  <c r="AA1403" i="1"/>
  <c r="B275" i="1" s="1"/>
  <c r="AA1402" i="1"/>
  <c r="B520" i="1" s="1"/>
  <c r="AA1401" i="1"/>
  <c r="D615" i="1" s="1"/>
  <c r="AA1399" i="1"/>
  <c r="B605" i="1" s="1"/>
  <c r="AA1396" i="1"/>
  <c r="G96" i="1" s="1"/>
  <c r="AA1395" i="1"/>
  <c r="G111" i="1" s="1"/>
  <c r="AA1394" i="1"/>
  <c r="G83" i="1" s="1"/>
  <c r="AA1391" i="1"/>
  <c r="B216" i="1" s="1"/>
  <c r="AA1387" i="1"/>
  <c r="G577" i="1" s="1"/>
  <c r="AA1386" i="1"/>
  <c r="B395" i="1" s="1"/>
  <c r="AA1385" i="1"/>
  <c r="B356" i="1" s="1"/>
  <c r="AA1380" i="1"/>
  <c r="B807" i="1" s="1"/>
  <c r="AA1379" i="1"/>
  <c r="AA1378" i="1"/>
  <c r="B31" i="1" s="1"/>
  <c r="AA1376" i="1"/>
  <c r="B947" i="1" s="1"/>
  <c r="AA1375" i="1"/>
  <c r="H476" i="1" s="1"/>
  <c r="AA1374" i="1"/>
  <c r="B95" i="1" s="1"/>
  <c r="AA1373" i="1"/>
  <c r="AA1372" i="1"/>
  <c r="AA1370" i="1"/>
  <c r="B681" i="1" s="1"/>
  <c r="AA1369" i="1"/>
  <c r="B414" i="1" s="1"/>
  <c r="AA1367" i="1"/>
  <c r="B240" i="1" s="1"/>
  <c r="AA1366" i="1"/>
  <c r="B984" i="1" s="1"/>
  <c r="AA1365" i="1"/>
  <c r="I477" i="1" s="1"/>
  <c r="AA1364" i="1"/>
  <c r="B852" i="1" s="1"/>
  <c r="AA1363" i="1"/>
  <c r="B186" i="1" s="1"/>
  <c r="AA1362" i="1"/>
  <c r="B179" i="1" s="1"/>
  <c r="AA1360" i="1"/>
  <c r="J477" i="1" s="1"/>
  <c r="AA1359" i="1"/>
  <c r="AA1358" i="1"/>
  <c r="B233" i="1" s="1"/>
  <c r="AA1357" i="1"/>
  <c r="B146" i="1" s="1"/>
  <c r="AA1356" i="1"/>
  <c r="E477" i="1" s="1"/>
  <c r="AA1355" i="1"/>
  <c r="F418" i="1" s="1"/>
  <c r="AA1354" i="1"/>
  <c r="G85" i="1" s="1"/>
  <c r="AA1353" i="1"/>
  <c r="F445" i="1" s="1"/>
  <c r="AA1352" i="1"/>
  <c r="F421" i="1" s="1"/>
  <c r="AA1351" i="1"/>
  <c r="AA1350" i="1"/>
  <c r="B435" i="1" s="1"/>
  <c r="AA1348" i="1"/>
  <c r="B535" i="1" s="1"/>
  <c r="AA1347" i="1"/>
  <c r="B985" i="1" s="1"/>
  <c r="AA1346" i="1"/>
  <c r="B1032" i="1" s="1"/>
  <c r="AA1342" i="1"/>
  <c r="B821" i="1" s="1"/>
  <c r="AA1339" i="1"/>
  <c r="B804" i="1" s="1"/>
  <c r="AA1337" i="1"/>
  <c r="B903" i="1" s="1"/>
  <c r="AA1336" i="1"/>
  <c r="B898" i="1" s="1"/>
  <c r="AA1335" i="1"/>
  <c r="B896" i="1" s="1"/>
  <c r="AA1334" i="1"/>
  <c r="B884" i="1" s="1"/>
  <c r="AA1333" i="1"/>
  <c r="AA1332" i="1"/>
  <c r="B1091" i="1" s="1"/>
  <c r="AA1331" i="1"/>
  <c r="B1038" i="1" s="1"/>
  <c r="AA1330" i="1"/>
  <c r="B836" i="1" s="1"/>
  <c r="AA1329" i="1"/>
  <c r="B938" i="1" s="1"/>
  <c r="AA1326" i="1"/>
  <c r="B1072" i="1" s="1"/>
  <c r="AA1325" i="1"/>
  <c r="AA1324" i="1"/>
  <c r="B905" i="1" s="1"/>
  <c r="AA1323" i="1"/>
  <c r="B915" i="1" s="1"/>
  <c r="AA1322" i="1"/>
  <c r="B928" i="1" s="1"/>
  <c r="AA1321" i="1"/>
  <c r="B683" i="1" s="1"/>
  <c r="AA1320" i="1"/>
  <c r="D583" i="1" s="1"/>
  <c r="AA1319" i="1"/>
  <c r="B672" i="1" s="1"/>
  <c r="AA1316" i="1"/>
  <c r="AA1315" i="1"/>
  <c r="AA1314" i="1"/>
  <c r="B499" i="1" s="1"/>
  <c r="AA1313" i="1"/>
  <c r="AA1311" i="1"/>
  <c r="B75" i="1" s="1"/>
  <c r="AA1309" i="1"/>
  <c r="F46" i="1" s="1"/>
  <c r="AA1308" i="1"/>
  <c r="AA1307" i="1"/>
  <c r="AA1306" i="1"/>
  <c r="AA1305" i="1"/>
  <c r="I523" i="1" s="1"/>
  <c r="AA1301" i="1"/>
  <c r="B695" i="1" s="1"/>
  <c r="AA1300" i="1"/>
  <c r="B191" i="1" s="1"/>
  <c r="AA1299" i="1"/>
  <c r="AA1295" i="1"/>
  <c r="B819" i="1" s="1"/>
  <c r="AA1293" i="1"/>
  <c r="B908" i="1" s="1"/>
  <c r="AA1292" i="1"/>
  <c r="B674" i="1" s="1"/>
  <c r="AA1291" i="1"/>
  <c r="AA1290" i="1"/>
  <c r="B824" i="1" s="1"/>
  <c r="AA1289" i="1"/>
  <c r="B931" i="1" s="1"/>
  <c r="AA1288" i="1"/>
  <c r="AA1286" i="1"/>
  <c r="B351" i="1" s="1"/>
  <c r="AA1285" i="1"/>
  <c r="B946" i="1" s="1"/>
  <c r="AA1284" i="1"/>
  <c r="AA1283" i="1"/>
  <c r="B948" i="1" s="1"/>
  <c r="AA1280" i="1"/>
  <c r="AA1278" i="1"/>
  <c r="AA1277" i="1"/>
  <c r="AA1276" i="1"/>
  <c r="B913" i="1" s="1"/>
  <c r="AA1275" i="1"/>
  <c r="B664" i="1" s="1"/>
  <c r="AA1274" i="1"/>
  <c r="B665" i="1" s="1"/>
  <c r="AA1273" i="1"/>
  <c r="B371" i="1" s="1"/>
  <c r="AA1272" i="1"/>
  <c r="B656" i="1" s="1"/>
  <c r="AA1271" i="1"/>
  <c r="B331" i="1" s="1"/>
  <c r="AA1270" i="1"/>
  <c r="AA1268" i="1"/>
  <c r="B527" i="1" s="1"/>
  <c r="AA1266" i="1"/>
  <c r="B581" i="1" s="1"/>
  <c r="AA1265" i="1"/>
  <c r="AA1264" i="1"/>
  <c r="D585" i="1" s="1"/>
  <c r="AA1263" i="1"/>
  <c r="B700" i="1" s="1"/>
  <c r="AA1261" i="1"/>
  <c r="B994" i="1" s="1"/>
  <c r="AA1260" i="1"/>
  <c r="AA1256" i="1"/>
  <c r="B171" i="1" s="1"/>
  <c r="AA1255" i="1"/>
  <c r="AA1253" i="1"/>
  <c r="B815" i="1" s="1"/>
  <c r="AA1252" i="1"/>
  <c r="AA1250" i="1"/>
  <c r="B36" i="1" s="1"/>
  <c r="AA1249" i="1"/>
  <c r="AA1243" i="1"/>
  <c r="B234" i="1" s="1"/>
  <c r="AA1244" i="1"/>
  <c r="B989" i="1" s="1"/>
  <c r="AA1247" i="1"/>
  <c r="B217" i="1" s="1"/>
  <c r="AA1230" i="1"/>
  <c r="G31" i="1" s="1"/>
  <c r="AA1231" i="1"/>
  <c r="G659" i="1" s="1"/>
  <c r="AA1232" i="1"/>
  <c r="D582" i="1" s="1"/>
  <c r="AA1233" i="1"/>
  <c r="E680" i="1" s="1"/>
  <c r="AA1237" i="1"/>
  <c r="B481" i="1" s="1"/>
  <c r="AA1238" i="1"/>
  <c r="I476" i="1" s="1"/>
  <c r="AA1239" i="1"/>
  <c r="B352" i="1" s="1"/>
  <c r="AA1240" i="1"/>
  <c r="AA1241" i="1"/>
  <c r="G476" i="1" s="1"/>
  <c r="AA1242" i="1"/>
  <c r="AA1227" i="1"/>
  <c r="C605" i="1" s="1"/>
  <c r="J523" i="1"/>
  <c r="J572" i="1"/>
  <c r="G1024" i="1"/>
  <c r="F1024" i="1"/>
  <c r="E1024" i="1"/>
  <c r="D1024" i="1"/>
  <c r="C1024" i="1"/>
  <c r="J1020" i="1"/>
  <c r="I1020" i="1"/>
  <c r="H1020" i="1"/>
  <c r="G1020" i="1"/>
  <c r="F1020" i="1"/>
  <c r="E1020" i="1"/>
  <c r="D1020" i="1"/>
  <c r="C1020" i="1"/>
  <c r="G974" i="1"/>
  <c r="I974" i="1" s="1"/>
  <c r="F437" i="1"/>
  <c r="H985" i="1" s="1"/>
  <c r="G992" i="1"/>
  <c r="F433" i="1"/>
  <c r="F425" i="1"/>
  <c r="F427" i="1"/>
  <c r="L106" i="7" s="1"/>
  <c r="J116" i="1"/>
  <c r="F119" i="1" s="1"/>
  <c r="H480" i="1"/>
  <c r="H484" i="1"/>
  <c r="G485" i="1"/>
  <c r="H485" i="1"/>
  <c r="G486" i="1"/>
  <c r="H486" i="1"/>
  <c r="J486" i="1"/>
  <c r="J674" i="1"/>
  <c r="J673" i="1"/>
  <c r="J570" i="1"/>
  <c r="J571" i="1"/>
  <c r="D573" i="1"/>
  <c r="D574" i="1"/>
  <c r="F584" i="1"/>
  <c r="H584" i="1"/>
  <c r="F596" i="1"/>
  <c r="G596" i="1"/>
  <c r="H599" i="1"/>
  <c r="F600" i="1"/>
  <c r="H605" i="1"/>
  <c r="C17" i="7" s="1"/>
  <c r="F607" i="1"/>
  <c r="G607" i="1"/>
  <c r="H607" i="1"/>
  <c r="F608" i="1"/>
  <c r="H608" i="1"/>
  <c r="H609" i="1"/>
  <c r="F610" i="1"/>
  <c r="G610" i="1" s="1"/>
  <c r="F611" i="1"/>
  <c r="G611" i="1" s="1"/>
  <c r="J521" i="1"/>
  <c r="J522" i="1"/>
  <c r="D523" i="1"/>
  <c r="D524" i="1"/>
  <c r="D528" i="1"/>
  <c r="H533" i="1"/>
  <c r="H109" i="7" s="1"/>
  <c r="F541" i="1"/>
  <c r="C114" i="7" s="1"/>
  <c r="H541" i="1"/>
  <c r="C25" i="7" s="1"/>
  <c r="H542" i="1"/>
  <c r="G24" i="7" s="1"/>
  <c r="F545" i="1"/>
  <c r="G545" i="1"/>
  <c r="H545" i="1"/>
  <c r="G98" i="7" s="1"/>
  <c r="H546" i="1"/>
  <c r="C101" i="7" s="1"/>
  <c r="H506" i="1"/>
  <c r="E485" i="1"/>
  <c r="F485" i="1"/>
  <c r="E486" i="1"/>
  <c r="F486" i="1"/>
  <c r="E661" i="1"/>
  <c r="F661" i="1"/>
  <c r="G661" i="1"/>
  <c r="H661" i="1"/>
  <c r="I661" i="1"/>
  <c r="J661" i="1"/>
  <c r="E662" i="1"/>
  <c r="F662" i="1"/>
  <c r="G662" i="1"/>
  <c r="H662" i="1"/>
  <c r="I662" i="1"/>
  <c r="J662" i="1"/>
  <c r="G689" i="1"/>
  <c r="G690" i="1"/>
  <c r="G691" i="1"/>
  <c r="G701" i="1"/>
  <c r="G702" i="1"/>
  <c r="C750" i="1"/>
  <c r="D750" i="1"/>
  <c r="E750" i="1"/>
  <c r="F750" i="1"/>
  <c r="G750" i="1"/>
  <c r="H750" i="1"/>
  <c r="I750" i="1"/>
  <c r="J750" i="1"/>
  <c r="C754" i="1"/>
  <c r="D754" i="1"/>
  <c r="E754" i="1"/>
  <c r="F754" i="1"/>
  <c r="G754" i="1"/>
  <c r="G785" i="1"/>
  <c r="I785" i="1"/>
  <c r="G790" i="1"/>
  <c r="G791" i="1"/>
  <c r="E810" i="1"/>
  <c r="G818" i="1"/>
  <c r="G824" i="1"/>
  <c r="G833" i="1"/>
  <c r="G885" i="1"/>
  <c r="G886" i="1"/>
  <c r="G899" i="1"/>
  <c r="G900" i="1"/>
  <c r="G903" i="1"/>
  <c r="I903" i="1" s="1"/>
  <c r="G906" i="1"/>
  <c r="G907" i="1"/>
  <c r="G939" i="1"/>
  <c r="G940" i="1"/>
  <c r="G946" i="1"/>
  <c r="G957" i="1"/>
  <c r="I957" i="1"/>
  <c r="E976" i="1"/>
  <c r="H992" i="1"/>
  <c r="G1008" i="1"/>
  <c r="G1009" i="1"/>
  <c r="G1034" i="1"/>
  <c r="G1035" i="1"/>
  <c r="G1052" i="1"/>
  <c r="G1053" i="1"/>
  <c r="G1056" i="1"/>
  <c r="I1056" i="1" s="1"/>
  <c r="G1063" i="1"/>
  <c r="G1083" i="1"/>
  <c r="G1096" i="1"/>
  <c r="G1097" i="1"/>
  <c r="G1107" i="1"/>
  <c r="G1116" i="1"/>
  <c r="I1116" i="1"/>
  <c r="G955" i="1"/>
  <c r="G958" i="1"/>
  <c r="I958" i="1"/>
  <c r="I956" i="1"/>
  <c r="G956" i="1"/>
  <c r="D602" i="1"/>
  <c r="B602" i="1"/>
  <c r="B609" i="1"/>
  <c r="D609" i="1"/>
  <c r="F609" i="1"/>
  <c r="D610" i="1"/>
  <c r="C611" i="1"/>
  <c r="D611" i="1"/>
  <c r="D612" i="1"/>
  <c r="G924" i="1"/>
  <c r="G926" i="1" s="1"/>
  <c r="G931" i="1"/>
  <c r="G934" i="1"/>
  <c r="B201" i="1"/>
  <c r="C201" i="1"/>
  <c r="D110" i="4"/>
  <c r="F110" i="4" s="1"/>
  <c r="D111" i="4"/>
  <c r="F111" i="4"/>
  <c r="D112" i="4"/>
  <c r="F112" i="4"/>
  <c r="D113" i="4"/>
  <c r="F113" i="4" s="1"/>
  <c r="K113" i="4"/>
  <c r="D114" i="4"/>
  <c r="F114" i="4" s="1"/>
  <c r="D115" i="4"/>
  <c r="F115" i="4" s="1"/>
  <c r="D116" i="4"/>
  <c r="F116" i="4" s="1"/>
  <c r="K116" i="4"/>
  <c r="D117" i="4"/>
  <c r="F117" i="4"/>
  <c r="D118" i="4"/>
  <c r="F118" i="4" s="1"/>
  <c r="B42" i="4"/>
  <c r="D42" i="4" s="1"/>
  <c r="F42" i="4" s="1"/>
  <c r="K23" i="4"/>
  <c r="K24" i="4" s="1"/>
  <c r="AE43" i="4"/>
  <c r="Z43" i="4"/>
  <c r="B43" i="4"/>
  <c r="D43" i="4" s="1"/>
  <c r="F43" i="4" s="1"/>
  <c r="AE44" i="4"/>
  <c r="AF44" i="4"/>
  <c r="Z44" i="4"/>
  <c r="B44" i="4"/>
  <c r="D44" i="4" s="1"/>
  <c r="F44" i="4" s="1"/>
  <c r="AE45" i="4"/>
  <c r="AF45" i="4"/>
  <c r="Z45" i="4"/>
  <c r="B45" i="4"/>
  <c r="D45" i="4" s="1"/>
  <c r="F45" i="4" s="1"/>
  <c r="AE46" i="4"/>
  <c r="Z46" i="4"/>
  <c r="B46" i="4"/>
  <c r="D46" i="4" s="1"/>
  <c r="F46" i="4" s="1"/>
  <c r="Z47" i="4"/>
  <c r="B47" i="4"/>
  <c r="D47" i="4" s="1"/>
  <c r="F47" i="4" s="1"/>
  <c r="AE48" i="4"/>
  <c r="AF48" i="4"/>
  <c r="Z48" i="4"/>
  <c r="B48" i="4"/>
  <c r="D48" i="4" s="1"/>
  <c r="F48" i="4" s="1"/>
  <c r="AE49" i="4"/>
  <c r="AF49" i="4"/>
  <c r="Z49" i="4"/>
  <c r="B50" i="4"/>
  <c r="D50" i="4" s="1"/>
  <c r="F50" i="4" s="1"/>
  <c r="AF51" i="4"/>
  <c r="AE52" i="4"/>
  <c r="AF52" i="4"/>
  <c r="Z52" i="4"/>
  <c r="AE53" i="4"/>
  <c r="AF53" i="4"/>
  <c r="Z53" i="4"/>
  <c r="AE54" i="4"/>
  <c r="Z54" i="4"/>
  <c r="AF55" i="4"/>
  <c r="AE56" i="4"/>
  <c r="AF56" i="4"/>
  <c r="Z56" i="4"/>
  <c r="AE57" i="4"/>
  <c r="AF57" i="4"/>
  <c r="Z57" i="4"/>
  <c r="AF58" i="4"/>
  <c r="AE59" i="4"/>
  <c r="Z59" i="4"/>
  <c r="AE60" i="4"/>
  <c r="AF60" i="4"/>
  <c r="AE61" i="4"/>
  <c r="AF61" i="4"/>
  <c r="Z61" i="4"/>
  <c r="AF62" i="4"/>
  <c r="AE64" i="4"/>
  <c r="AF64" i="4"/>
  <c r="AE65" i="4"/>
  <c r="AF65" i="4"/>
  <c r="Z65" i="4"/>
  <c r="AE66" i="4"/>
  <c r="AF67" i="4"/>
  <c r="AE68" i="4"/>
  <c r="AF68" i="4"/>
  <c r="Z68" i="4"/>
  <c r="AE69" i="4"/>
  <c r="AF69" i="4"/>
  <c r="Z69" i="4"/>
  <c r="Z70" i="4"/>
  <c r="AF71" i="4"/>
  <c r="AE72" i="4"/>
  <c r="AF72" i="4"/>
  <c r="Z72" i="4"/>
  <c r="AE73" i="4"/>
  <c r="AF73" i="4"/>
  <c r="Z73" i="4"/>
  <c r="AF74" i="4"/>
  <c r="AE75" i="4"/>
  <c r="Z75" i="4"/>
  <c r="AE76" i="4"/>
  <c r="AF76" i="4"/>
  <c r="AE77" i="4"/>
  <c r="AF77" i="4"/>
  <c r="Z77" i="4"/>
  <c r="AF78" i="4"/>
  <c r="AE80" i="4"/>
  <c r="AF80" i="4"/>
  <c r="AE81" i="4"/>
  <c r="AF81" i="4"/>
  <c r="Z81" i="4"/>
  <c r="AE84" i="4"/>
  <c r="AF84" i="4"/>
  <c r="Z84" i="4"/>
  <c r="AE85" i="4"/>
  <c r="AF85" i="4"/>
  <c r="Z85" i="4"/>
  <c r="AE86" i="4"/>
  <c r="AF87" i="4"/>
  <c r="AE88" i="4"/>
  <c r="AF88" i="4"/>
  <c r="Z88" i="4"/>
  <c r="AE89" i="4"/>
  <c r="AF89" i="4"/>
  <c r="Z89" i="4"/>
  <c r="AF90" i="4"/>
  <c r="AE91" i="4"/>
  <c r="Z91" i="4"/>
  <c r="AE92" i="4"/>
  <c r="AF92" i="4"/>
  <c r="AE93" i="4"/>
  <c r="AF93" i="4"/>
  <c r="Z93" i="4"/>
  <c r="AF94" i="4"/>
  <c r="AE96" i="4"/>
  <c r="AF96" i="4"/>
  <c r="AE97" i="4"/>
  <c r="AF97" i="4"/>
  <c r="Z97" i="4"/>
  <c r="AE98" i="4"/>
  <c r="AF99" i="4"/>
  <c r="AE100" i="4"/>
  <c r="AF100" i="4"/>
  <c r="Z100" i="4"/>
  <c r="AE101" i="4"/>
  <c r="AF101" i="4"/>
  <c r="Z101" i="4"/>
  <c r="AE102" i="4"/>
  <c r="AF102" i="4"/>
  <c r="AE103" i="4"/>
  <c r="AF103" i="4"/>
  <c r="Z103" i="4"/>
  <c r="AE104" i="4"/>
  <c r="AF104" i="4"/>
  <c r="Z104" i="4"/>
  <c r="AE105" i="4"/>
  <c r="AF105" i="4"/>
  <c r="Z105" i="4"/>
  <c r="AE106" i="4"/>
  <c r="AF106" i="4"/>
  <c r="Z106" i="4"/>
  <c r="AE107" i="4"/>
  <c r="AF107" i="4"/>
  <c r="Z107" i="4"/>
  <c r="AE108" i="4"/>
  <c r="AF108" i="4"/>
  <c r="Z108" i="4"/>
  <c r="AE109" i="4"/>
  <c r="AF109" i="4"/>
  <c r="Z109" i="4"/>
  <c r="AE110" i="4"/>
  <c r="AF110" i="4"/>
  <c r="Z110" i="4"/>
  <c r="AE112" i="4"/>
  <c r="AF112" i="4"/>
  <c r="AE113" i="4"/>
  <c r="AF113" i="4"/>
  <c r="Z113" i="4"/>
  <c r="J113" i="4"/>
  <c r="AE115" i="4"/>
  <c r="AF115" i="4"/>
  <c r="Z115" i="4"/>
  <c r="AE116" i="4"/>
  <c r="AF116" i="4"/>
  <c r="Z116" i="4"/>
  <c r="J116" i="4"/>
  <c r="AE117" i="4"/>
  <c r="AF117" i="4"/>
  <c r="Z117" i="4"/>
  <c r="AF118" i="4"/>
  <c r="Z118" i="4"/>
  <c r="AI357" i="4"/>
  <c r="AI298" i="4"/>
  <c r="AI307" i="4"/>
  <c r="AI342" i="4"/>
  <c r="AI314" i="4"/>
  <c r="B25" i="4" s="1"/>
  <c r="AI351" i="4"/>
  <c r="AI350" i="4"/>
  <c r="AI349" i="4"/>
  <c r="AI348" i="4"/>
  <c r="AI335" i="4"/>
  <c r="AI313" i="4"/>
  <c r="AI297" i="4"/>
  <c r="AI321" i="4"/>
  <c r="AI305" i="4"/>
  <c r="AI315" i="4"/>
  <c r="AI365" i="4"/>
  <c r="AI362" i="4"/>
  <c r="AI363" i="4"/>
  <c r="AI324" i="4"/>
  <c r="F38" i="4" s="1"/>
  <c r="AI347" i="4"/>
  <c r="J38" i="4" s="1"/>
  <c r="AI338" i="4"/>
  <c r="I38" i="4" s="1"/>
  <c r="AI358" i="4"/>
  <c r="AI302" i="4"/>
  <c r="H37" i="4" s="1"/>
  <c r="AI343" i="4"/>
  <c r="AI364" i="4"/>
  <c r="B91" i="4"/>
  <c r="D91" i="4" s="1"/>
  <c r="F91" i="4" s="1"/>
  <c r="AI354" i="4"/>
  <c r="H22" i="4" s="1"/>
  <c r="AI353" i="4"/>
  <c r="H23" i="4" s="1"/>
  <c r="AI346" i="4"/>
  <c r="AI345" i="4"/>
  <c r="G25" i="4" s="1"/>
  <c r="AI340" i="4"/>
  <c r="AI332" i="4"/>
  <c r="B38" i="4" s="1"/>
  <c r="AI330" i="4"/>
  <c r="B37" i="4" s="1"/>
  <c r="AI329" i="4"/>
  <c r="AI328" i="4"/>
  <c r="AI327" i="4"/>
  <c r="AI326" i="4"/>
  <c r="AI325" i="4"/>
  <c r="AI319" i="4"/>
  <c r="H24" i="4" s="1"/>
  <c r="AI318" i="4"/>
  <c r="B24" i="4" s="1"/>
  <c r="AI317" i="4"/>
  <c r="D38" i="4" s="1"/>
  <c r="AI309" i="4"/>
  <c r="H21" i="4" s="1"/>
  <c r="AI306" i="4"/>
  <c r="B28" i="4" s="1"/>
  <c r="AI299" i="4"/>
  <c r="E38" i="4" s="1"/>
  <c r="AI294" i="4"/>
  <c r="L38" i="4" s="1"/>
  <c r="I37" i="4"/>
  <c r="B23" i="4"/>
  <c r="B49" i="4"/>
  <c r="D49" i="4" s="1"/>
  <c r="F49" i="4" s="1"/>
  <c r="B51" i="4"/>
  <c r="D51" i="4" s="1"/>
  <c r="F51" i="4" s="1"/>
  <c r="B52" i="4"/>
  <c r="D52" i="4" s="1"/>
  <c r="F52" i="4" s="1"/>
  <c r="B53" i="4"/>
  <c r="D53" i="4" s="1"/>
  <c r="F53" i="4" s="1"/>
  <c r="B54" i="4"/>
  <c r="D54" i="4" s="1"/>
  <c r="F54" i="4" s="1"/>
  <c r="B55" i="4"/>
  <c r="D55" i="4" s="1"/>
  <c r="F55" i="4" s="1"/>
  <c r="B56" i="4"/>
  <c r="D56" i="4" s="1"/>
  <c r="F56" i="4" s="1"/>
  <c r="B57" i="4"/>
  <c r="D57" i="4" s="1"/>
  <c r="F57" i="4" s="1"/>
  <c r="B58" i="4"/>
  <c r="D58" i="4" s="1"/>
  <c r="F58" i="4" s="1"/>
  <c r="B59" i="4"/>
  <c r="D59" i="4" s="1"/>
  <c r="F59" i="4" s="1"/>
  <c r="B60" i="4"/>
  <c r="D60" i="4" s="1"/>
  <c r="F60" i="4" s="1"/>
  <c r="B61" i="4"/>
  <c r="D61" i="4" s="1"/>
  <c r="F61" i="4" s="1"/>
  <c r="B62" i="4"/>
  <c r="D62" i="4" s="1"/>
  <c r="F62" i="4" s="1"/>
  <c r="B63" i="4"/>
  <c r="D63" i="4" s="1"/>
  <c r="F63" i="4" s="1"/>
  <c r="B64" i="4"/>
  <c r="D64" i="4" s="1"/>
  <c r="F64" i="4" s="1"/>
  <c r="B65" i="4"/>
  <c r="D65" i="4" s="1"/>
  <c r="F65" i="4" s="1"/>
  <c r="B66" i="4"/>
  <c r="D66" i="4" s="1"/>
  <c r="F66" i="4" s="1"/>
  <c r="B67" i="4"/>
  <c r="D67" i="4" s="1"/>
  <c r="F67" i="4" s="1"/>
  <c r="B68" i="4"/>
  <c r="D68" i="4" s="1"/>
  <c r="F68" i="4" s="1"/>
  <c r="B69" i="4"/>
  <c r="D69" i="4" s="1"/>
  <c r="F69" i="4" s="1"/>
  <c r="B70" i="4"/>
  <c r="D70" i="4" s="1"/>
  <c r="F70" i="4" s="1"/>
  <c r="B71" i="4"/>
  <c r="D71" i="4" s="1"/>
  <c r="F71" i="4" s="1"/>
  <c r="B72" i="4"/>
  <c r="D72" i="4" s="1"/>
  <c r="F72" i="4" s="1"/>
  <c r="B73" i="4"/>
  <c r="D73" i="4" s="1"/>
  <c r="F73" i="4" s="1"/>
  <c r="B74" i="4"/>
  <c r="D74" i="4" s="1"/>
  <c r="F74" i="4" s="1"/>
  <c r="B75" i="4"/>
  <c r="D75" i="4" s="1"/>
  <c r="F75" i="4" s="1"/>
  <c r="B76" i="4"/>
  <c r="D76" i="4" s="1"/>
  <c r="F76" i="4" s="1"/>
  <c r="B77" i="4"/>
  <c r="D77" i="4" s="1"/>
  <c r="F77" i="4" s="1"/>
  <c r="B78" i="4"/>
  <c r="D78" i="4" s="1"/>
  <c r="F78" i="4" s="1"/>
  <c r="B79" i="4"/>
  <c r="D79" i="4" s="1"/>
  <c r="F79" i="4" s="1"/>
  <c r="B80" i="4"/>
  <c r="D80" i="4" s="1"/>
  <c r="F80" i="4" s="1"/>
  <c r="B81" i="4"/>
  <c r="D81" i="4" s="1"/>
  <c r="F81" i="4" s="1"/>
  <c r="B82" i="4"/>
  <c r="D82" i="4" s="1"/>
  <c r="F82" i="4" s="1"/>
  <c r="B83" i="4"/>
  <c r="D83" i="4" s="1"/>
  <c r="F83" i="4" s="1"/>
  <c r="B84" i="4"/>
  <c r="D84" i="4" s="1"/>
  <c r="F84" i="4" s="1"/>
  <c r="B85" i="4"/>
  <c r="D85" i="4" s="1"/>
  <c r="F85" i="4" s="1"/>
  <c r="B86" i="4"/>
  <c r="D86" i="4" s="1"/>
  <c r="F86" i="4" s="1"/>
  <c r="B87" i="4"/>
  <c r="D87" i="4" s="1"/>
  <c r="F87" i="4" s="1"/>
  <c r="B88" i="4"/>
  <c r="D88" i="4" s="1"/>
  <c r="F88" i="4" s="1"/>
  <c r="B89" i="4"/>
  <c r="D89" i="4" s="1"/>
  <c r="F89" i="4" s="1"/>
  <c r="B90" i="4"/>
  <c r="D90" i="4" s="1"/>
  <c r="F90" i="4" s="1"/>
  <c r="B92" i="4"/>
  <c r="D92" i="4" s="1"/>
  <c r="F92" i="4" s="1"/>
  <c r="B93" i="4"/>
  <c r="D93" i="4" s="1"/>
  <c r="F93" i="4" s="1"/>
  <c r="B94" i="4"/>
  <c r="D94" i="4" s="1"/>
  <c r="F94" i="4" s="1"/>
  <c r="B95" i="4"/>
  <c r="D95" i="4" s="1"/>
  <c r="F95" i="4" s="1"/>
  <c r="B96" i="4"/>
  <c r="D96" i="4" s="1"/>
  <c r="F96" i="4" s="1"/>
  <c r="B97" i="4"/>
  <c r="D97" i="4" s="1"/>
  <c r="F97" i="4" s="1"/>
  <c r="B98" i="4"/>
  <c r="D98" i="4" s="1"/>
  <c r="F98" i="4" s="1"/>
  <c r="B99" i="4"/>
  <c r="D99" i="4" s="1"/>
  <c r="F99" i="4" s="1"/>
  <c r="B100" i="4"/>
  <c r="D100" i="4" s="1"/>
  <c r="F100" i="4" s="1"/>
  <c r="B101" i="4"/>
  <c r="D101" i="4" s="1"/>
  <c r="F101" i="4" s="1"/>
  <c r="B102" i="4"/>
  <c r="D102" i="4" s="1"/>
  <c r="F102" i="4" s="1"/>
  <c r="B103" i="4"/>
  <c r="D103" i="4" s="1"/>
  <c r="F103" i="4" s="1"/>
  <c r="B104" i="4"/>
  <c r="D104" i="4" s="1"/>
  <c r="F104" i="4" s="1"/>
  <c r="B105" i="4"/>
  <c r="D105" i="4" s="1"/>
  <c r="F105" i="4" s="1"/>
  <c r="B106" i="4"/>
  <c r="D106" i="4" s="1"/>
  <c r="F106" i="4" s="1"/>
  <c r="B107" i="4"/>
  <c r="D107" i="4" s="1"/>
  <c r="F107" i="4" s="1"/>
  <c r="B108" i="4"/>
  <c r="D108" i="4" s="1"/>
  <c r="F108" i="4" s="1"/>
  <c r="B109" i="4"/>
  <c r="D109" i="4" s="1"/>
  <c r="F109" i="4" s="1"/>
  <c r="B110" i="4"/>
  <c r="B111" i="4"/>
  <c r="B112" i="4"/>
  <c r="B113" i="4"/>
  <c r="B114" i="4"/>
  <c r="B115" i="4"/>
  <c r="B116" i="4"/>
  <c r="B117" i="4"/>
  <c r="B118" i="4"/>
  <c r="B26" i="4"/>
  <c r="B21" i="4"/>
  <c r="F42" i="2"/>
  <c r="K23" i="2"/>
  <c r="Y42" i="2"/>
  <c r="AE42" i="2" s="1"/>
  <c r="X42" i="2"/>
  <c r="Y43" i="2"/>
  <c r="X43" i="2"/>
  <c r="Y44" i="2"/>
  <c r="X44" i="2"/>
  <c r="Y45" i="2"/>
  <c r="AF45" i="2" s="1"/>
  <c r="X45" i="2"/>
  <c r="Y46" i="2"/>
  <c r="X46" i="2"/>
  <c r="Y47" i="2"/>
  <c r="AF47" i="2" s="1"/>
  <c r="X47" i="2"/>
  <c r="Y48" i="2"/>
  <c r="AE48" i="2" s="1"/>
  <c r="X48" i="2"/>
  <c r="Y49" i="2"/>
  <c r="AF49" i="2" s="1"/>
  <c r="X49" i="2"/>
  <c r="Y50" i="2"/>
  <c r="AE50" i="2" s="1"/>
  <c r="X50" i="2"/>
  <c r="Y51" i="2"/>
  <c r="AF51" i="2" s="1"/>
  <c r="X51" i="2"/>
  <c r="Y52" i="2"/>
  <c r="AE52" i="2" s="1"/>
  <c r="X52" i="2"/>
  <c r="Y53" i="2"/>
  <c r="AF53" i="2" s="1"/>
  <c r="X53" i="2"/>
  <c r="Y54" i="2"/>
  <c r="AF54" i="2" s="1"/>
  <c r="X54" i="2"/>
  <c r="AI237" i="2"/>
  <c r="I37" i="2" s="1"/>
  <c r="AI236" i="2"/>
  <c r="B21" i="2" s="1"/>
  <c r="AI233" i="2"/>
  <c r="H22" i="2" s="1"/>
  <c r="AI232" i="2"/>
  <c r="H23" i="2" s="1"/>
  <c r="AI230" i="2"/>
  <c r="AI229" i="2"/>
  <c r="AI228" i="2"/>
  <c r="G25" i="2" s="1"/>
  <c r="AI226" i="2"/>
  <c r="AI224" i="2"/>
  <c r="AI222" i="2"/>
  <c r="AI217" i="2"/>
  <c r="AI215" i="2"/>
  <c r="B37" i="2" s="1"/>
  <c r="AI214" i="2"/>
  <c r="B26" i="2" s="1"/>
  <c r="AI213" i="2"/>
  <c r="AI212" i="2"/>
  <c r="AI211" i="2"/>
  <c r="AI210" i="2"/>
  <c r="B23" i="2" s="1"/>
  <c r="AI209" i="2"/>
  <c r="F38" i="2" s="1"/>
  <c r="AI205" i="2"/>
  <c r="H24" i="2" s="1"/>
  <c r="AI204" i="2"/>
  <c r="B24" i="2" s="1"/>
  <c r="AI203" i="2"/>
  <c r="D38" i="2" s="1"/>
  <c r="AI201" i="2"/>
  <c r="B25" i="2" s="1"/>
  <c r="AI197" i="2"/>
  <c r="H21" i="2" s="1"/>
  <c r="AI195" i="2"/>
  <c r="B28" i="2" s="1"/>
  <c r="AI192" i="2"/>
  <c r="H37" i="2" s="1"/>
  <c r="AI190" i="2"/>
  <c r="E38" i="2" s="1"/>
  <c r="AI189" i="2"/>
  <c r="AI186" i="2"/>
  <c r="J38" i="2"/>
  <c r="I38" i="2"/>
  <c r="Y41" i="5"/>
  <c r="AE41" i="5"/>
  <c r="K23" i="5"/>
  <c r="K24" i="5" s="1"/>
  <c r="Y84" i="5"/>
  <c r="AF84" i="5" s="1"/>
  <c r="X84" i="5"/>
  <c r="AE84" i="5"/>
  <c r="L85" i="5"/>
  <c r="L87" i="5"/>
  <c r="Y70" i="5"/>
  <c r="X70" i="5"/>
  <c r="Z70" i="5" s="1"/>
  <c r="Y71" i="5"/>
  <c r="AE71" i="5" s="1"/>
  <c r="X71" i="5"/>
  <c r="Y72" i="5"/>
  <c r="AF72" i="5" s="1"/>
  <c r="X72" i="5"/>
  <c r="AE72" i="5"/>
  <c r="Y73" i="5"/>
  <c r="AE73" i="5" s="1"/>
  <c r="X73" i="5"/>
  <c r="Y74" i="5"/>
  <c r="X74" i="5"/>
  <c r="Z74" i="5"/>
  <c r="Y63" i="5"/>
  <c r="X63" i="5"/>
  <c r="Y64" i="5"/>
  <c r="AF64" i="5" s="1"/>
  <c r="X64" i="5"/>
  <c r="Y65" i="5"/>
  <c r="AF65" i="5" s="1"/>
  <c r="X65" i="5"/>
  <c r="Y66" i="5"/>
  <c r="AE66" i="5" s="1"/>
  <c r="X66" i="5"/>
  <c r="Y67" i="5"/>
  <c r="X67" i="5"/>
  <c r="Y56" i="5"/>
  <c r="X56" i="5"/>
  <c r="Y57" i="5"/>
  <c r="AE57" i="5" s="1"/>
  <c r="X57" i="5"/>
  <c r="Y58" i="5"/>
  <c r="AF58" i="5" s="1"/>
  <c r="X58" i="5"/>
  <c r="Y59" i="5"/>
  <c r="X59" i="5"/>
  <c r="AE59" i="5"/>
  <c r="AF59" i="5"/>
  <c r="Y60" i="5"/>
  <c r="AF60" i="5" s="1"/>
  <c r="X60" i="5"/>
  <c r="Z60" i="5" s="1"/>
  <c r="Y43" i="5"/>
  <c r="AF43" i="5" s="1"/>
  <c r="X43" i="5"/>
  <c r="Y44" i="5"/>
  <c r="AF44" i="5" s="1"/>
  <c r="X44" i="5"/>
  <c r="AE44" i="5"/>
  <c r="Y45" i="5"/>
  <c r="AF45" i="5" s="1"/>
  <c r="X45" i="5"/>
  <c r="Z45" i="5" s="1"/>
  <c r="Y46" i="5"/>
  <c r="AF46" i="5" s="1"/>
  <c r="X46" i="5"/>
  <c r="AE46" i="5"/>
  <c r="Y47" i="5"/>
  <c r="AF47" i="5" s="1"/>
  <c r="X47" i="5"/>
  <c r="Y49" i="5"/>
  <c r="AF49" i="5" s="1"/>
  <c r="X49" i="5"/>
  <c r="AE49" i="5"/>
  <c r="Y50" i="5"/>
  <c r="AF50" i="5" s="1"/>
  <c r="X50" i="5"/>
  <c r="Z50" i="5" s="1"/>
  <c r="Y51" i="5"/>
  <c r="AF51" i="5" s="1"/>
  <c r="X51" i="5"/>
  <c r="AE51" i="5"/>
  <c r="Y52" i="5"/>
  <c r="AE52" i="5" s="1"/>
  <c r="X52" i="5"/>
  <c r="AF52" i="5"/>
  <c r="Y53" i="5"/>
  <c r="AF53" i="5" s="1"/>
  <c r="X53" i="5"/>
  <c r="AE53" i="5"/>
  <c r="Y77" i="5"/>
  <c r="AE77" i="5" s="1"/>
  <c r="X77" i="5"/>
  <c r="Y78" i="5"/>
  <c r="AF78" i="5" s="1"/>
  <c r="X78" i="5"/>
  <c r="Y79" i="5"/>
  <c r="AE79" i="5" s="1"/>
  <c r="X79" i="5"/>
  <c r="Y80" i="5"/>
  <c r="X80" i="5"/>
  <c r="Y81" i="5"/>
  <c r="AE81" i="5" s="1"/>
  <c r="X81" i="5"/>
  <c r="Z81" i="5"/>
  <c r="AI272" i="5"/>
  <c r="B75" i="5" s="1"/>
  <c r="B54" i="5"/>
  <c r="AI235" i="5"/>
  <c r="AI228" i="5"/>
  <c r="AI224" i="5"/>
  <c r="B23" i="5"/>
  <c r="AI239" i="5"/>
  <c r="AI238" i="5"/>
  <c r="AI267" i="5"/>
  <c r="B21" i="5"/>
  <c r="AI219" i="5"/>
  <c r="H21" i="5" s="1"/>
  <c r="AI264" i="5"/>
  <c r="H22" i="5" s="1"/>
  <c r="AI263" i="5"/>
  <c r="H23" i="5" s="1"/>
  <c r="AI255" i="5"/>
  <c r="G23" i="5" s="1"/>
  <c r="AI229" i="5"/>
  <c r="H24" i="5" s="1"/>
  <c r="AI216" i="5"/>
  <c r="AI250" i="5"/>
  <c r="AI204" i="5"/>
  <c r="B32" i="5" s="1"/>
  <c r="AI217" i="5"/>
  <c r="AI252" i="5"/>
  <c r="AI261" i="5"/>
  <c r="B89" i="5" s="1"/>
  <c r="AI260" i="5"/>
  <c r="B88" i="5" s="1"/>
  <c r="AI259" i="5"/>
  <c r="B87" i="5" s="1"/>
  <c r="AI258" i="5"/>
  <c r="B86" i="5"/>
  <c r="AI245" i="5"/>
  <c r="E84" i="5" s="1"/>
  <c r="AI223" i="5"/>
  <c r="B84" i="5" s="1"/>
  <c r="AI207" i="5"/>
  <c r="E74" i="5" s="1"/>
  <c r="AI231" i="5"/>
  <c r="E73" i="5" s="1"/>
  <c r="AI215" i="5"/>
  <c r="E58" i="5" s="1"/>
  <c r="AI225" i="5"/>
  <c r="E78" i="5" s="1"/>
  <c r="AI275" i="5"/>
  <c r="E70" i="5" s="1"/>
  <c r="E66" i="5"/>
  <c r="E60" i="5"/>
  <c r="E59" i="5"/>
  <c r="E57" i="5"/>
  <c r="E52" i="5"/>
  <c r="E45" i="5"/>
  <c r="E44" i="5"/>
  <c r="B82" i="5"/>
  <c r="B77" i="5"/>
  <c r="B70" i="5"/>
  <c r="B68" i="5"/>
  <c r="B63" i="5"/>
  <c r="B56" i="5"/>
  <c r="AI273" i="5"/>
  <c r="B49" i="5"/>
  <c r="AI208" i="5"/>
  <c r="AI234" i="5"/>
  <c r="AI257" i="5"/>
  <c r="K38" i="5" s="1"/>
  <c r="AI248" i="5"/>
  <c r="J38" i="5"/>
  <c r="AI268" i="5"/>
  <c r="J37" i="5" s="1"/>
  <c r="AI212" i="5"/>
  <c r="I37" i="5" s="1"/>
  <c r="G37" i="5"/>
  <c r="AI253" i="5"/>
  <c r="AI274" i="5"/>
  <c r="G75" i="5"/>
  <c r="G68" i="5"/>
  <c r="G61" i="5"/>
  <c r="G54" i="5"/>
  <c r="G82" i="5"/>
  <c r="Y89" i="5"/>
  <c r="AE89" i="5"/>
  <c r="X89" i="5"/>
  <c r="Y88" i="5"/>
  <c r="AE88" i="5" s="1"/>
  <c r="X88" i="5"/>
  <c r="Y87" i="5"/>
  <c r="X87" i="5"/>
  <c r="K87" i="5"/>
  <c r="Y86" i="5"/>
  <c r="AE86" i="5" s="1"/>
  <c r="X86" i="5"/>
  <c r="Y85" i="5"/>
  <c r="AE85" i="5" s="1"/>
  <c r="X85" i="5"/>
  <c r="Z85" i="5" s="1"/>
  <c r="K85" i="5"/>
  <c r="X41" i="5"/>
  <c r="Z41" i="5" s="1"/>
  <c r="L41" i="5"/>
  <c r="K41" i="5"/>
  <c r="AI256" i="5"/>
  <c r="AI242" i="5"/>
  <c r="AI240" i="5"/>
  <c r="AI237" i="5"/>
  <c r="AI236" i="5"/>
  <c r="AI227" i="5"/>
  <c r="AI209" i="5"/>
  <c r="AI338" i="6"/>
  <c r="I38" i="6" s="1"/>
  <c r="B42" i="6"/>
  <c r="D42" i="6" s="1"/>
  <c r="F42" i="6" s="1"/>
  <c r="K23" i="6"/>
  <c r="K24" i="6" s="1"/>
  <c r="Y42" i="6"/>
  <c r="AF42" i="6" s="1"/>
  <c r="X42" i="6"/>
  <c r="Z42" i="6"/>
  <c r="Y43" i="6"/>
  <c r="X43" i="6"/>
  <c r="Z43" i="6" s="1"/>
  <c r="AE43" i="6"/>
  <c r="AF43" i="6"/>
  <c r="B43" i="6"/>
  <c r="D43" i="6"/>
  <c r="F43" i="6" s="1"/>
  <c r="Y44" i="6"/>
  <c r="AF44" i="6" s="1"/>
  <c r="X44" i="6"/>
  <c r="B44" i="6"/>
  <c r="D44" i="6"/>
  <c r="F44" i="6" s="1"/>
  <c r="Y45" i="6"/>
  <c r="X45" i="6"/>
  <c r="B45" i="6"/>
  <c r="D45" i="6"/>
  <c r="F45" i="6" s="1"/>
  <c r="Y46" i="6"/>
  <c r="AE46" i="6" s="1"/>
  <c r="X46" i="6"/>
  <c r="B46" i="6"/>
  <c r="D46" i="6"/>
  <c r="F46" i="6"/>
  <c r="K46" i="6" s="1"/>
  <c r="Y47" i="6"/>
  <c r="AF47" i="6" s="1"/>
  <c r="X47" i="6"/>
  <c r="AE47" i="6"/>
  <c r="Z47" i="6"/>
  <c r="B47" i="6"/>
  <c r="D47" i="6"/>
  <c r="F47" i="6" s="1"/>
  <c r="Y48" i="6"/>
  <c r="X48" i="6"/>
  <c r="AE48" i="6"/>
  <c r="AF48" i="6"/>
  <c r="B48" i="6"/>
  <c r="D48" i="6"/>
  <c r="F48" i="6" s="1"/>
  <c r="Y49" i="6"/>
  <c r="X49" i="6"/>
  <c r="B49" i="6"/>
  <c r="D49" i="6"/>
  <c r="F49" i="6" s="1"/>
  <c r="K49" i="6" s="1"/>
  <c r="Y50" i="6"/>
  <c r="AE50" i="6" s="1"/>
  <c r="X50" i="6"/>
  <c r="B50" i="6"/>
  <c r="D50" i="6"/>
  <c r="F50" i="6" s="1"/>
  <c r="Y51" i="6"/>
  <c r="AE51" i="6" s="1"/>
  <c r="X51" i="6"/>
  <c r="Z51" i="6" s="1"/>
  <c r="AF51" i="6"/>
  <c r="B51" i="6"/>
  <c r="D51" i="6"/>
  <c r="F51" i="6" s="1"/>
  <c r="Y52" i="6"/>
  <c r="AF52" i="6" s="1"/>
  <c r="X52" i="6"/>
  <c r="AE52" i="6"/>
  <c r="B52" i="6"/>
  <c r="D52" i="6"/>
  <c r="F52" i="6" s="1"/>
  <c r="Y53" i="6"/>
  <c r="X53" i="6"/>
  <c r="B53" i="6"/>
  <c r="D53" i="6"/>
  <c r="F53" i="6"/>
  <c r="K53" i="6" s="1"/>
  <c r="Y54" i="6"/>
  <c r="AE54" i="6" s="1"/>
  <c r="X54" i="6"/>
  <c r="B54" i="6"/>
  <c r="D54" i="6"/>
  <c r="F54" i="6" s="1"/>
  <c r="Y55" i="6"/>
  <c r="AE55" i="6" s="1"/>
  <c r="X55" i="6"/>
  <c r="AF55" i="6"/>
  <c r="B55" i="6"/>
  <c r="D55" i="6"/>
  <c r="F55" i="6" s="1"/>
  <c r="Y56" i="6"/>
  <c r="AF56" i="6" s="1"/>
  <c r="X56" i="6"/>
  <c r="AE56" i="6"/>
  <c r="B56" i="6"/>
  <c r="D56" i="6"/>
  <c r="F56" i="6" s="1"/>
  <c r="D57" i="6"/>
  <c r="F57" i="6" s="1"/>
  <c r="D58" i="6"/>
  <c r="F58" i="6"/>
  <c r="J58" i="6" s="1"/>
  <c r="D59" i="6"/>
  <c r="F59" i="6"/>
  <c r="K59" i="6" s="1"/>
  <c r="D60" i="6"/>
  <c r="F60" i="6" s="1"/>
  <c r="D61" i="6"/>
  <c r="F61" i="6" s="1"/>
  <c r="D62" i="6"/>
  <c r="F62" i="6" s="1"/>
  <c r="J62" i="6" s="1"/>
  <c r="D63" i="6"/>
  <c r="F63" i="6" s="1"/>
  <c r="D64" i="6"/>
  <c r="F64" i="6" s="1"/>
  <c r="D65" i="6"/>
  <c r="F65" i="6" s="1"/>
  <c r="D66" i="6"/>
  <c r="F66" i="6"/>
  <c r="J66" i="6" s="1"/>
  <c r="D67" i="6"/>
  <c r="F67" i="6"/>
  <c r="K67" i="6" s="1"/>
  <c r="D68" i="6"/>
  <c r="F68" i="6" s="1"/>
  <c r="D69" i="6"/>
  <c r="F69" i="6" s="1"/>
  <c r="D70" i="6"/>
  <c r="F70" i="6" s="1"/>
  <c r="J70" i="6" s="1"/>
  <c r="D71" i="6"/>
  <c r="F71" i="6" s="1"/>
  <c r="D72" i="6"/>
  <c r="F72" i="6" s="1"/>
  <c r="D73" i="6"/>
  <c r="F73" i="6" s="1"/>
  <c r="D74" i="6"/>
  <c r="F74" i="6"/>
  <c r="J74" i="6" s="1"/>
  <c r="D75" i="6"/>
  <c r="F75" i="6"/>
  <c r="K75" i="6" s="1"/>
  <c r="D76" i="6"/>
  <c r="F76" i="6" s="1"/>
  <c r="D77" i="6"/>
  <c r="F77" i="6" s="1"/>
  <c r="D78" i="6"/>
  <c r="F78" i="6" s="1"/>
  <c r="J78" i="6" s="1"/>
  <c r="D79" i="6"/>
  <c r="F79" i="6" s="1"/>
  <c r="D80" i="6"/>
  <c r="F80" i="6" s="1"/>
  <c r="D81" i="6"/>
  <c r="F81" i="6" s="1"/>
  <c r="D82" i="6"/>
  <c r="F82" i="6"/>
  <c r="J82" i="6" s="1"/>
  <c r="D83" i="6"/>
  <c r="F83" i="6"/>
  <c r="K83" i="6" s="1"/>
  <c r="D84" i="6"/>
  <c r="F84" i="6" s="1"/>
  <c r="D85" i="6"/>
  <c r="F85" i="6" s="1"/>
  <c r="D86" i="6"/>
  <c r="F86" i="6" s="1"/>
  <c r="J86" i="6" s="1"/>
  <c r="D87" i="6"/>
  <c r="F87" i="6" s="1"/>
  <c r="D88" i="6"/>
  <c r="F88" i="6" s="1"/>
  <c r="D89" i="6"/>
  <c r="F89" i="6" s="1"/>
  <c r="D90" i="6"/>
  <c r="F90" i="6"/>
  <c r="J90" i="6" s="1"/>
  <c r="D91" i="6"/>
  <c r="F91" i="6"/>
  <c r="K91" i="6" s="1"/>
  <c r="D92" i="6"/>
  <c r="F92" i="6" s="1"/>
  <c r="D93" i="6"/>
  <c r="F93" i="6" s="1"/>
  <c r="D94" i="6"/>
  <c r="F94" i="6" s="1"/>
  <c r="J94" i="6" s="1"/>
  <c r="D95" i="6"/>
  <c r="F95" i="6" s="1"/>
  <c r="D96" i="6"/>
  <c r="F96" i="6" s="1"/>
  <c r="D97" i="6"/>
  <c r="F97" i="6" s="1"/>
  <c r="D98" i="6"/>
  <c r="F98" i="6"/>
  <c r="J98" i="6" s="1"/>
  <c r="D99" i="6"/>
  <c r="F99" i="6"/>
  <c r="K99" i="6" s="1"/>
  <c r="D100" i="6"/>
  <c r="F100" i="6" s="1"/>
  <c r="D101" i="6"/>
  <c r="F101" i="6" s="1"/>
  <c r="D102" i="6"/>
  <c r="F102" i="6" s="1"/>
  <c r="J102" i="6" s="1"/>
  <c r="D103" i="6"/>
  <c r="F103" i="6" s="1"/>
  <c r="D104" i="6"/>
  <c r="F104" i="6" s="1"/>
  <c r="D105" i="6"/>
  <c r="F105" i="6" s="1"/>
  <c r="D106" i="6"/>
  <c r="F106" i="6"/>
  <c r="J106" i="6" s="1"/>
  <c r="D107" i="6"/>
  <c r="F107" i="6"/>
  <c r="K107" i="6" s="1"/>
  <c r="D108" i="6"/>
  <c r="F108" i="6" s="1"/>
  <c r="D109" i="6"/>
  <c r="F109" i="6" s="1"/>
  <c r="D110" i="6"/>
  <c r="F110" i="6" s="1"/>
  <c r="J110" i="6" s="1"/>
  <c r="D111" i="6"/>
  <c r="F111" i="6" s="1"/>
  <c r="D112" i="6"/>
  <c r="F112" i="6" s="1"/>
  <c r="D113" i="6"/>
  <c r="F113" i="6" s="1"/>
  <c r="D114" i="6"/>
  <c r="F114" i="6"/>
  <c r="J114" i="6" s="1"/>
  <c r="D115" i="6"/>
  <c r="F115" i="6"/>
  <c r="K115" i="6" s="1"/>
  <c r="D116" i="6"/>
  <c r="F116" i="6" s="1"/>
  <c r="D117" i="6"/>
  <c r="F117" i="6" s="1"/>
  <c r="D118" i="6"/>
  <c r="F118" i="6" s="1"/>
  <c r="J118" i="6" s="1"/>
  <c r="AI357" i="6"/>
  <c r="B21" i="6" s="1"/>
  <c r="AI298" i="6"/>
  <c r="AI307" i="6"/>
  <c r="AI342" i="6"/>
  <c r="AI314" i="6"/>
  <c r="B25" i="6" s="1"/>
  <c r="AI351" i="6"/>
  <c r="AI350" i="6"/>
  <c r="AI349" i="6"/>
  <c r="AI348" i="6"/>
  <c r="AI335" i="6"/>
  <c r="AI313" i="6"/>
  <c r="AI297" i="6"/>
  <c r="AI321" i="6"/>
  <c r="AI305" i="6"/>
  <c r="AI315" i="6"/>
  <c r="AI365" i="6"/>
  <c r="AI362" i="6"/>
  <c r="AI363" i="6"/>
  <c r="AI324" i="6"/>
  <c r="F38" i="6" s="1"/>
  <c r="AI347" i="6"/>
  <c r="AI358" i="6"/>
  <c r="I37" i="6" s="1"/>
  <c r="AI302" i="6"/>
  <c r="AI343" i="6"/>
  <c r="AI364" i="6"/>
  <c r="B91" i="6"/>
  <c r="Y77" i="6"/>
  <c r="AF77" i="6" s="1"/>
  <c r="AE77" i="6"/>
  <c r="AI354" i="6"/>
  <c r="AI353" i="6"/>
  <c r="H23" i="6" s="1"/>
  <c r="AI346" i="6"/>
  <c r="AI345" i="6"/>
  <c r="AI340" i="6"/>
  <c r="AI332" i="6"/>
  <c r="AI330" i="6"/>
  <c r="AI329" i="6"/>
  <c r="AI328" i="6"/>
  <c r="AI327" i="6"/>
  <c r="AI326" i="6"/>
  <c r="AI325" i="6"/>
  <c r="AI319" i="6"/>
  <c r="H24" i="6" s="1"/>
  <c r="AI318" i="6"/>
  <c r="AI317" i="6"/>
  <c r="AI309" i="6"/>
  <c r="H21" i="6" s="1"/>
  <c r="AI306" i="6"/>
  <c r="AI299" i="6"/>
  <c r="E38" i="6" s="1"/>
  <c r="AI294" i="6"/>
  <c r="H37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Y57" i="6"/>
  <c r="AF57" i="6" s="1"/>
  <c r="X57" i="6"/>
  <c r="AE57" i="6"/>
  <c r="Y58" i="6"/>
  <c r="AE58" i="6" s="1"/>
  <c r="X58" i="6"/>
  <c r="AF58" i="6"/>
  <c r="Y59" i="6"/>
  <c r="X59" i="6"/>
  <c r="AF59" i="6"/>
  <c r="J59" i="6"/>
  <c r="Y60" i="6"/>
  <c r="X60" i="6"/>
  <c r="Z60" i="6" s="1"/>
  <c r="AE60" i="6"/>
  <c r="AF60" i="6"/>
  <c r="Y61" i="6"/>
  <c r="AE61" i="6" s="1"/>
  <c r="X61" i="6"/>
  <c r="Z61" i="6" s="1"/>
  <c r="AF61" i="6"/>
  <c r="Y62" i="6"/>
  <c r="AF62" i="6" s="1"/>
  <c r="X62" i="6"/>
  <c r="Y63" i="6"/>
  <c r="X63" i="6"/>
  <c r="AF63" i="6"/>
  <c r="Y64" i="6"/>
  <c r="AE64" i="6" s="1"/>
  <c r="X64" i="6"/>
  <c r="Z64" i="6"/>
  <c r="Y65" i="6"/>
  <c r="Z65" i="6" s="1"/>
  <c r="X65" i="6"/>
  <c r="AE65" i="6"/>
  <c r="Y66" i="6"/>
  <c r="AE66" i="6" s="1"/>
  <c r="X66" i="6"/>
  <c r="Y67" i="6"/>
  <c r="AF67" i="6" s="1"/>
  <c r="X67" i="6"/>
  <c r="J67" i="6"/>
  <c r="Y68" i="6"/>
  <c r="X68" i="6"/>
  <c r="AE68" i="6"/>
  <c r="AF68" i="6"/>
  <c r="Y69" i="6"/>
  <c r="AE69" i="6" s="1"/>
  <c r="X69" i="6"/>
  <c r="AF69" i="6"/>
  <c r="Y70" i="6"/>
  <c r="X70" i="6"/>
  <c r="AF70" i="6"/>
  <c r="Y71" i="6"/>
  <c r="X71" i="6"/>
  <c r="Y72" i="6"/>
  <c r="AE72" i="6" s="1"/>
  <c r="X72" i="6"/>
  <c r="AF72" i="6"/>
  <c r="Y73" i="6"/>
  <c r="AF73" i="6" s="1"/>
  <c r="X73" i="6"/>
  <c r="AE73" i="6"/>
  <c r="Y74" i="6"/>
  <c r="X74" i="6"/>
  <c r="AF74" i="6"/>
  <c r="Y75" i="6"/>
  <c r="X75" i="6"/>
  <c r="AF75" i="6"/>
  <c r="J75" i="6"/>
  <c r="Y76" i="6"/>
  <c r="X76" i="6"/>
  <c r="Z76" i="6" s="1"/>
  <c r="AE76" i="6"/>
  <c r="AF76" i="6"/>
  <c r="X77" i="6"/>
  <c r="Y78" i="6"/>
  <c r="AF78" i="6" s="1"/>
  <c r="X78" i="6"/>
  <c r="Y79" i="6"/>
  <c r="Z79" i="6" s="1"/>
  <c r="X79" i="6"/>
  <c r="Y80" i="6"/>
  <c r="AF80" i="6" s="1"/>
  <c r="X80" i="6"/>
  <c r="AE80" i="6"/>
  <c r="Y81" i="6"/>
  <c r="AE81" i="6" s="1"/>
  <c r="X81" i="6"/>
  <c r="Z81" i="6"/>
  <c r="Y82" i="6"/>
  <c r="AE82" i="6" s="1"/>
  <c r="X82" i="6"/>
  <c r="Y83" i="6"/>
  <c r="Z83" i="6" s="1"/>
  <c r="X83" i="6"/>
  <c r="AF83" i="6"/>
  <c r="Y84" i="6"/>
  <c r="AE84" i="6" s="1"/>
  <c r="X84" i="6"/>
  <c r="Z84" i="6" s="1"/>
  <c r="AF84" i="6"/>
  <c r="Y85" i="6"/>
  <c r="X85" i="6"/>
  <c r="AE85" i="6"/>
  <c r="AF85" i="6"/>
  <c r="Y86" i="6"/>
  <c r="AF86" i="6" s="1"/>
  <c r="X86" i="6"/>
  <c r="Y87" i="6"/>
  <c r="AF87" i="6" s="1"/>
  <c r="X87" i="6"/>
  <c r="Y88" i="6"/>
  <c r="X88" i="6"/>
  <c r="AE88" i="6"/>
  <c r="AF88" i="6"/>
  <c r="Y89" i="6"/>
  <c r="AE89" i="6" s="1"/>
  <c r="X89" i="6"/>
  <c r="AF89" i="6"/>
  <c r="Y90" i="6"/>
  <c r="X90" i="6"/>
  <c r="AF90" i="6"/>
  <c r="Y91" i="6"/>
  <c r="X91" i="6"/>
  <c r="Y92" i="6"/>
  <c r="X92" i="6"/>
  <c r="AE92" i="6"/>
  <c r="AF92" i="6"/>
  <c r="Y93" i="6"/>
  <c r="AE93" i="6" s="1"/>
  <c r="X93" i="6"/>
  <c r="AF93" i="6"/>
  <c r="Y94" i="6"/>
  <c r="X94" i="6"/>
  <c r="AF94" i="6"/>
  <c r="Y95" i="6"/>
  <c r="X95" i="6"/>
  <c r="Y96" i="6"/>
  <c r="AE96" i="6" s="1"/>
  <c r="X96" i="6"/>
  <c r="AF96" i="6"/>
  <c r="Y97" i="6"/>
  <c r="AF97" i="6" s="1"/>
  <c r="X97" i="6"/>
  <c r="AE97" i="6"/>
  <c r="Y98" i="6"/>
  <c r="X98" i="6"/>
  <c r="AF98" i="6"/>
  <c r="Y99" i="6"/>
  <c r="X99" i="6"/>
  <c r="AF99" i="6"/>
  <c r="J99" i="6"/>
  <c r="Y100" i="6"/>
  <c r="X100" i="6"/>
  <c r="Z100" i="6" s="1"/>
  <c r="AE100" i="6"/>
  <c r="AF100" i="6"/>
  <c r="Y101" i="6"/>
  <c r="AE101" i="6" s="1"/>
  <c r="X101" i="6"/>
  <c r="Z101" i="6" s="1"/>
  <c r="AF101" i="6"/>
  <c r="Y102" i="6"/>
  <c r="AF102" i="6" s="1"/>
  <c r="X102" i="6"/>
  <c r="Y103" i="6"/>
  <c r="X103" i="6"/>
  <c r="AF103" i="6"/>
  <c r="Y104" i="6"/>
  <c r="AE104" i="6" s="1"/>
  <c r="X104" i="6"/>
  <c r="Y105" i="6"/>
  <c r="Z105" i="6" s="1"/>
  <c r="X105" i="6"/>
  <c r="AE105" i="6"/>
  <c r="Y106" i="6"/>
  <c r="AF106" i="6" s="1"/>
  <c r="X106" i="6"/>
  <c r="Y107" i="6"/>
  <c r="AF107" i="6" s="1"/>
  <c r="X107" i="6"/>
  <c r="Y108" i="6"/>
  <c r="Z108" i="6" s="1"/>
  <c r="X108" i="6"/>
  <c r="AE108" i="6"/>
  <c r="Y109" i="6"/>
  <c r="AE109" i="6" s="1"/>
  <c r="X109" i="6"/>
  <c r="AF109" i="6"/>
  <c r="Y110" i="6"/>
  <c r="X110" i="6"/>
  <c r="AF110" i="6"/>
  <c r="Y111" i="6"/>
  <c r="Z111" i="6" s="1"/>
  <c r="X111" i="6"/>
  <c r="Y112" i="6"/>
  <c r="AE112" i="6" s="1"/>
  <c r="X112" i="6"/>
  <c r="AF112" i="6"/>
  <c r="Y113" i="6"/>
  <c r="X113" i="6"/>
  <c r="Z113" i="6" s="1"/>
  <c r="AE113" i="6"/>
  <c r="AF113" i="6"/>
  <c r="Y114" i="6"/>
  <c r="X114" i="6"/>
  <c r="AF114" i="6"/>
  <c r="Y115" i="6"/>
  <c r="X115" i="6"/>
  <c r="AF115" i="6"/>
  <c r="J115" i="6"/>
  <c r="Y116" i="6"/>
  <c r="AF116" i="6" s="1"/>
  <c r="X116" i="6"/>
  <c r="AE116" i="6"/>
  <c r="Y117" i="6"/>
  <c r="AF117" i="6" s="1"/>
  <c r="X117" i="6"/>
  <c r="AE117" i="6"/>
  <c r="Y118" i="6"/>
  <c r="X118" i="6"/>
  <c r="AF118" i="6"/>
  <c r="H22" i="6"/>
  <c r="G25" i="6"/>
  <c r="B28" i="6"/>
  <c r="L38" i="6"/>
  <c r="B32" i="6"/>
  <c r="D38" i="6"/>
  <c r="AD53" i="4" l="1"/>
  <c r="AA54" i="4"/>
  <c r="AD69" i="4"/>
  <c r="AA78" i="4"/>
  <c r="AA58" i="4"/>
  <c r="AA62" i="4"/>
  <c r="AA68" i="4"/>
  <c r="AA74" i="4"/>
  <c r="AD65" i="4"/>
  <c r="E46" i="5"/>
  <c r="E72" i="5"/>
  <c r="E80" i="5"/>
  <c r="AA42" i="4"/>
  <c r="AA44" i="4"/>
  <c r="AA48" i="4"/>
  <c r="AA52" i="4"/>
  <c r="AA94" i="4"/>
  <c r="AA100" i="4"/>
  <c r="AA102" i="4"/>
  <c r="AA116" i="4"/>
  <c r="AA118" i="4"/>
  <c r="AD49" i="4"/>
  <c r="AD81" i="4"/>
  <c r="AD85" i="4"/>
  <c r="AD89" i="4"/>
  <c r="AD101" i="4"/>
  <c r="AD103" i="4"/>
  <c r="AD105" i="4"/>
  <c r="AD107" i="4"/>
  <c r="AD109" i="4"/>
  <c r="AD113" i="4"/>
  <c r="AB113" i="4" s="1"/>
  <c r="Z116" i="6"/>
  <c r="AF108" i="6"/>
  <c r="AF105" i="6"/>
  <c r="AF104" i="6"/>
  <c r="Z103" i="6"/>
  <c r="Z97" i="6"/>
  <c r="Z95" i="6"/>
  <c r="Z92" i="6"/>
  <c r="Z91" i="6"/>
  <c r="Z88" i="6"/>
  <c r="Z85" i="6"/>
  <c r="AF81" i="6"/>
  <c r="Z80" i="6"/>
  <c r="Z73" i="6"/>
  <c r="Z71" i="6"/>
  <c r="Z68" i="6"/>
  <c r="AF65" i="6"/>
  <c r="AF64" i="6"/>
  <c r="Z63" i="6"/>
  <c r="Z57" i="6"/>
  <c r="Z55" i="6"/>
  <c r="Z54" i="6"/>
  <c r="Z53" i="6"/>
  <c r="Z104" i="6"/>
  <c r="F26" i="5"/>
  <c r="Z66" i="5"/>
  <c r="Z59" i="5"/>
  <c r="Z51" i="5"/>
  <c r="AF85" i="5"/>
  <c r="Z77" i="5"/>
  <c r="Z52" i="5"/>
  <c r="Z49" i="5"/>
  <c r="Z47" i="5"/>
  <c r="Z46" i="5"/>
  <c r="Z44" i="5"/>
  <c r="Z43" i="5"/>
  <c r="Z56" i="5"/>
  <c r="Z67" i="5"/>
  <c r="Z73" i="5"/>
  <c r="Z84" i="5"/>
  <c r="AB105" i="4"/>
  <c r="AB89" i="4"/>
  <c r="AD117" i="4"/>
  <c r="AA84" i="4"/>
  <c r="AA86" i="4"/>
  <c r="AA88" i="4"/>
  <c r="AA90" i="4"/>
  <c r="AA104" i="4"/>
  <c r="AA106" i="4"/>
  <c r="AA108" i="4"/>
  <c r="AA110" i="4"/>
  <c r="AD45" i="4"/>
  <c r="AD57" i="4"/>
  <c r="AD61" i="4"/>
  <c r="AD73" i="4"/>
  <c r="AD77" i="4"/>
  <c r="AD93" i="4"/>
  <c r="AD97" i="4"/>
  <c r="AD115" i="4"/>
  <c r="Z102" i="4"/>
  <c r="AA46" i="4"/>
  <c r="AA56" i="4"/>
  <c r="AA72" i="4"/>
  <c r="Z48" i="2"/>
  <c r="AD57" i="2"/>
  <c r="AB57" i="2" s="1"/>
  <c r="AD58" i="2"/>
  <c r="AB58" i="2" s="1"/>
  <c r="AA59" i="2"/>
  <c r="AA61" i="2"/>
  <c r="AA63" i="2"/>
  <c r="AA65" i="2"/>
  <c r="AA67" i="2"/>
  <c r="AA69" i="2"/>
  <c r="AD59" i="2"/>
  <c r="AB59" i="2" s="1"/>
  <c r="AD60" i="2"/>
  <c r="AB60" i="2" s="1"/>
  <c r="AD61" i="2"/>
  <c r="AB61" i="2" s="1"/>
  <c r="AD63" i="2"/>
  <c r="AB63" i="2" s="1"/>
  <c r="AD64" i="2"/>
  <c r="AB64" i="2" s="1"/>
  <c r="AD65" i="2"/>
  <c r="AB65" i="2" s="1"/>
  <c r="AD67" i="2"/>
  <c r="AB67" i="2" s="1"/>
  <c r="AD68" i="2"/>
  <c r="AB68" i="2" s="1"/>
  <c r="AD69" i="2"/>
  <c r="AB69" i="2" s="1"/>
  <c r="AA55" i="2"/>
  <c r="AD55" i="2"/>
  <c r="AB55" i="2" s="1"/>
  <c r="AD56" i="2"/>
  <c r="AB56" i="2" s="1"/>
  <c r="AA57" i="2"/>
  <c r="AA58" i="2"/>
  <c r="AD70" i="2"/>
  <c r="AB70" i="2" s="1"/>
  <c r="AA60" i="2"/>
  <c r="AA70" i="2"/>
  <c r="AA66" i="2"/>
  <c r="AA62" i="2"/>
  <c r="AD66" i="2"/>
  <c r="AB66" i="2" s="1"/>
  <c r="AA64" i="2"/>
  <c r="AA56" i="2"/>
  <c r="AD62" i="2"/>
  <c r="AB62" i="2" s="1"/>
  <c r="AA68" i="2"/>
  <c r="AE49" i="2"/>
  <c r="AE54" i="2"/>
  <c r="Z52" i="2"/>
  <c r="AF42" i="2"/>
  <c r="AE45" i="2"/>
  <c r="E72" i="1"/>
  <c r="G819" i="1"/>
  <c r="J484" i="1"/>
  <c r="G910" i="1"/>
  <c r="I910" i="1" s="1"/>
  <c r="I608" i="1" s="1"/>
  <c r="J608" i="1" s="1"/>
  <c r="F371" i="1"/>
  <c r="F411" i="1" s="1"/>
  <c r="D525" i="1"/>
  <c r="C27" i="7"/>
  <c r="L112" i="7" s="1"/>
  <c r="C26" i="7"/>
  <c r="E127" i="1"/>
  <c r="E129" i="1" s="1"/>
  <c r="I595" i="1" s="1"/>
  <c r="J595" i="1" s="1"/>
  <c r="E128" i="1"/>
  <c r="D575" i="1"/>
  <c r="H300" i="1"/>
  <c r="J1021" i="1" s="1"/>
  <c r="H296" i="1"/>
  <c r="F751" i="1" s="1"/>
  <c r="F752" i="1" s="1"/>
  <c r="H298" i="1"/>
  <c r="H751" i="1" s="1"/>
  <c r="H752" i="1" s="1"/>
  <c r="H301" i="1"/>
  <c r="C755" i="1" s="1"/>
  <c r="C756" i="1" s="1"/>
  <c r="H297" i="1"/>
  <c r="G751" i="1" s="1"/>
  <c r="G752" i="1" s="1"/>
  <c r="H293" i="1"/>
  <c r="C751" i="1" s="1"/>
  <c r="C752" i="1" s="1"/>
  <c r="H302" i="1"/>
  <c r="D755" i="1" s="1"/>
  <c r="D756" i="1" s="1"/>
  <c r="L101" i="7"/>
  <c r="F535" i="1"/>
  <c r="G535" i="1" s="1"/>
  <c r="J616" i="1"/>
  <c r="C11" i="7"/>
  <c r="J549" i="1"/>
  <c r="C96" i="7"/>
  <c r="J615" i="1"/>
  <c r="C9" i="7"/>
  <c r="J614" i="1"/>
  <c r="C10" i="7"/>
  <c r="J613" i="1"/>
  <c r="C12" i="7"/>
  <c r="G844" i="1"/>
  <c r="I844" i="1" s="1"/>
  <c r="G836" i="1"/>
  <c r="I836" i="1" s="1"/>
  <c r="I601" i="1" s="1"/>
  <c r="J601" i="1" s="1"/>
  <c r="C115" i="7"/>
  <c r="J485" i="1"/>
  <c r="G480" i="1"/>
  <c r="I100" i="1"/>
  <c r="G698" i="1"/>
  <c r="I698" i="1" s="1"/>
  <c r="I584" i="1" s="1"/>
  <c r="J584" i="1" s="1"/>
  <c r="D588" i="1"/>
  <c r="L892" i="1"/>
  <c r="F406" i="1"/>
  <c r="H408" i="1"/>
  <c r="H400" i="1"/>
  <c r="I856" i="1"/>
  <c r="G855" i="1"/>
  <c r="I855" i="1" s="1"/>
  <c r="B730" i="1"/>
  <c r="J111" i="6"/>
  <c r="K111" i="6"/>
  <c r="J95" i="6"/>
  <c r="K95" i="6"/>
  <c r="K79" i="6"/>
  <c r="J79" i="6"/>
  <c r="K63" i="6"/>
  <c r="J63" i="6"/>
  <c r="J103" i="6"/>
  <c r="K103" i="6"/>
  <c r="K87" i="6"/>
  <c r="J87" i="6"/>
  <c r="J71" i="6"/>
  <c r="K71" i="6"/>
  <c r="K50" i="6"/>
  <c r="J50" i="6"/>
  <c r="K54" i="6"/>
  <c r="J54" i="6"/>
  <c r="Z112" i="6"/>
  <c r="AF111" i="6"/>
  <c r="Z109" i="6"/>
  <c r="J107" i="6"/>
  <c r="Z96" i="6"/>
  <c r="AF95" i="6"/>
  <c r="Z93" i="6"/>
  <c r="J91" i="6"/>
  <c r="Z89" i="6"/>
  <c r="Z72" i="6"/>
  <c r="AF71" i="6"/>
  <c r="Z69" i="6"/>
  <c r="AF66" i="6"/>
  <c r="Z50" i="6"/>
  <c r="AE44" i="6"/>
  <c r="AE42" i="6"/>
  <c r="Z79" i="5"/>
  <c r="AE58" i="5"/>
  <c r="AA80" i="4"/>
  <c r="Z80" i="4"/>
  <c r="AD47" i="4"/>
  <c r="AF47" i="4"/>
  <c r="AE47" i="4"/>
  <c r="AB47" i="4" s="1"/>
  <c r="AE50" i="4"/>
  <c r="Z50" i="4"/>
  <c r="AA50" i="4"/>
  <c r="AF50" i="4"/>
  <c r="AD63" i="4"/>
  <c r="AF63" i="4"/>
  <c r="Z63" i="4"/>
  <c r="AE63" i="4"/>
  <c r="AF66" i="4"/>
  <c r="AA66" i="4"/>
  <c r="Z66" i="4"/>
  <c r="AD79" i="4"/>
  <c r="AF79" i="4"/>
  <c r="AE79" i="4"/>
  <c r="AF82" i="4"/>
  <c r="AA82" i="4"/>
  <c r="AE82" i="4"/>
  <c r="AD95" i="4"/>
  <c r="AF95" i="4"/>
  <c r="Z95" i="4"/>
  <c r="AF98" i="4"/>
  <c r="AA98" i="4"/>
  <c r="Z98" i="4"/>
  <c r="AD111" i="4"/>
  <c r="Z111" i="4"/>
  <c r="AE111" i="4"/>
  <c r="AA114" i="4"/>
  <c r="Z114" i="4"/>
  <c r="AE114" i="4"/>
  <c r="D751" i="1"/>
  <c r="D752" i="1" s="1"/>
  <c r="D1021" i="1"/>
  <c r="G399" i="1"/>
  <c r="G405" i="1"/>
  <c r="Z115" i="6"/>
  <c r="Z99" i="6"/>
  <c r="J83" i="6"/>
  <c r="AF82" i="6"/>
  <c r="Z75" i="6"/>
  <c r="Z59" i="6"/>
  <c r="J46" i="6"/>
  <c r="Z46" i="6"/>
  <c r="Z86" i="5"/>
  <c r="B43" i="5"/>
  <c r="B61" i="5"/>
  <c r="E56" i="5"/>
  <c r="E64" i="5"/>
  <c r="AE80" i="5"/>
  <c r="Z80" i="5"/>
  <c r="Z53" i="5"/>
  <c r="AE60" i="5"/>
  <c r="AE53" i="2"/>
  <c r="Z53" i="2"/>
  <c r="B32" i="4"/>
  <c r="Z79" i="4"/>
  <c r="F26" i="4"/>
  <c r="AA60" i="4"/>
  <c r="Z60" i="4"/>
  <c r="K117" i="4"/>
  <c r="J117" i="4"/>
  <c r="K112" i="4"/>
  <c r="J112" i="4"/>
  <c r="AA92" i="4"/>
  <c r="Z92" i="4"/>
  <c r="AA112" i="4"/>
  <c r="Z112" i="4"/>
  <c r="Z107" i="6"/>
  <c r="Z87" i="6"/>
  <c r="Z67" i="6"/>
  <c r="Z49" i="6"/>
  <c r="AF86" i="5"/>
  <c r="E50" i="5"/>
  <c r="E71" i="5"/>
  <c r="L38" i="2"/>
  <c r="B32" i="2"/>
  <c r="F26" i="2"/>
  <c r="Z44" i="2"/>
  <c r="AF114" i="4"/>
  <c r="AF111" i="4"/>
  <c r="AE95" i="4"/>
  <c r="Z82" i="4"/>
  <c r="AB57" i="4"/>
  <c r="Z78" i="5"/>
  <c r="Z65" i="5"/>
  <c r="Z64" i="5"/>
  <c r="Z72" i="5"/>
  <c r="Z71" i="5"/>
  <c r="Z45" i="2"/>
  <c r="AB97" i="4"/>
  <c r="AB73" i="4"/>
  <c r="Z64" i="4"/>
  <c r="AA64" i="4"/>
  <c r="AE51" i="4"/>
  <c r="AD51" i="4"/>
  <c r="Z51" i="4"/>
  <c r="AB61" i="4"/>
  <c r="Z67" i="4"/>
  <c r="AD67" i="4"/>
  <c r="AE67" i="4"/>
  <c r="AF70" i="4"/>
  <c r="AE70" i="4"/>
  <c r="AB77" i="4"/>
  <c r="AE83" i="4"/>
  <c r="AD83" i="4"/>
  <c r="Z83" i="4"/>
  <c r="AF83" i="4"/>
  <c r="AF86" i="4"/>
  <c r="Z86" i="4"/>
  <c r="AB93" i="4"/>
  <c r="Z99" i="4"/>
  <c r="AD99" i="4"/>
  <c r="AE99" i="4"/>
  <c r="AB109" i="4"/>
  <c r="AE50" i="5"/>
  <c r="AE47" i="5"/>
  <c r="AE45" i="5"/>
  <c r="AE43" i="5"/>
  <c r="AF66" i="5"/>
  <c r="Z47" i="2"/>
  <c r="AD43" i="2"/>
  <c r="AD42" i="2"/>
  <c r="AB42" i="2" s="1"/>
  <c r="AB115" i="4"/>
  <c r="AA70" i="4"/>
  <c r="AA76" i="4"/>
  <c r="Z76" i="4"/>
  <c r="Z96" i="4"/>
  <c r="AA96" i="4"/>
  <c r="B79" i="1"/>
  <c r="B729" i="1"/>
  <c r="AE42" i="4"/>
  <c r="Z42" i="4"/>
  <c r="AD55" i="4"/>
  <c r="Z55" i="4"/>
  <c r="AE55" i="4"/>
  <c r="Z58" i="4"/>
  <c r="AE58" i="4"/>
  <c r="AD71" i="4"/>
  <c r="AE71" i="4"/>
  <c r="Z71" i="4"/>
  <c r="AE74" i="4"/>
  <c r="Z74" i="4"/>
  <c r="AB81" i="4"/>
  <c r="AD87" i="4"/>
  <c r="Z87" i="4"/>
  <c r="AE87" i="4"/>
  <c r="AB87" i="4" s="1"/>
  <c r="Z90" i="4"/>
  <c r="AE90" i="4"/>
  <c r="I407" i="1"/>
  <c r="I406" i="1"/>
  <c r="F755" i="1"/>
  <c r="F756" i="1" s="1"/>
  <c r="F1025" i="1"/>
  <c r="F1026" i="1" s="1"/>
  <c r="I408" i="1"/>
  <c r="I397" i="1"/>
  <c r="Z51" i="2"/>
  <c r="Z49" i="2"/>
  <c r="Z43" i="2"/>
  <c r="Z42" i="2"/>
  <c r="AB65" i="4"/>
  <c r="AD43" i="4"/>
  <c r="AF43" i="4"/>
  <c r="AB53" i="4"/>
  <c r="AD59" i="4"/>
  <c r="AF59" i="4"/>
  <c r="AE62" i="4"/>
  <c r="Z62" i="4"/>
  <c r="AB69" i="4"/>
  <c r="AF75" i="4"/>
  <c r="AD75" i="4"/>
  <c r="Z78" i="4"/>
  <c r="AE78" i="4"/>
  <c r="AB85" i="4"/>
  <c r="AD91" i="4"/>
  <c r="AF91" i="4"/>
  <c r="AE94" i="4"/>
  <c r="Z94" i="4"/>
  <c r="AB101" i="4"/>
  <c r="AB117" i="4"/>
  <c r="AB45" i="4"/>
  <c r="AB49" i="4"/>
  <c r="B569" i="1"/>
  <c r="B442" i="1"/>
  <c r="B398" i="1"/>
  <c r="B1069" i="1"/>
  <c r="B161" i="1"/>
  <c r="B1119" i="1"/>
  <c r="I522" i="1"/>
  <c r="B437" i="1"/>
  <c r="F856" i="1"/>
  <c r="B718" i="1"/>
  <c r="D605" i="1"/>
  <c r="B991" i="1"/>
  <c r="B281" i="1"/>
  <c r="B85" i="1"/>
  <c r="B829" i="1"/>
  <c r="B704" i="1"/>
  <c r="B289" i="1"/>
  <c r="B1047" i="1"/>
  <c r="B957" i="1"/>
  <c r="B343" i="1"/>
  <c r="B547" i="1"/>
  <c r="B529" i="1"/>
  <c r="B722" i="1"/>
  <c r="B886" i="1"/>
  <c r="D534" i="1"/>
  <c r="D596" i="1"/>
  <c r="D533" i="1"/>
  <c r="G941" i="1"/>
  <c r="G608" i="1"/>
  <c r="G598" i="1"/>
  <c r="D536" i="1"/>
  <c r="J45" i="1"/>
  <c r="D545" i="1"/>
  <c r="B907" i="1"/>
  <c r="G763" i="1"/>
  <c r="F588" i="1"/>
  <c r="G798" i="1"/>
  <c r="G741" i="1"/>
  <c r="F399" i="1"/>
  <c r="C405" i="1"/>
  <c r="B1062" i="1"/>
  <c r="B713" i="1"/>
  <c r="B936" i="1"/>
  <c r="B723" i="1"/>
  <c r="G1054" i="1"/>
  <c r="G541" i="1"/>
  <c r="G1106" i="1"/>
  <c r="G1109" i="1" s="1"/>
  <c r="G1111" i="1" s="1"/>
  <c r="I1111" i="1" s="1"/>
  <c r="I546" i="1" s="1"/>
  <c r="J546" i="1" s="1"/>
  <c r="J402" i="1"/>
  <c r="B263" i="1"/>
  <c r="B850" i="1"/>
  <c r="B877" i="1"/>
  <c r="H289" i="1"/>
  <c r="B255" i="1"/>
  <c r="B862" i="1"/>
  <c r="B151" i="1"/>
  <c r="B759" i="1"/>
  <c r="G1123" i="1"/>
  <c r="I1123" i="1" s="1"/>
  <c r="J399" i="1"/>
  <c r="B855" i="1"/>
  <c r="B271" i="1"/>
  <c r="B501" i="1"/>
  <c r="B943" i="1"/>
  <c r="H611" i="1"/>
  <c r="G402" i="1"/>
  <c r="G406" i="1"/>
  <c r="J168" i="1"/>
  <c r="B676" i="1"/>
  <c r="B574" i="1"/>
  <c r="G201" i="1"/>
  <c r="B504" i="1"/>
  <c r="G1098" i="1"/>
  <c r="G404" i="1"/>
  <c r="B712" i="1"/>
  <c r="B256" i="1"/>
  <c r="D414" i="1"/>
  <c r="B867" i="1"/>
  <c r="B1061" i="1"/>
  <c r="B1003" i="1"/>
  <c r="G548" i="1"/>
  <c r="G1121" i="1"/>
  <c r="G729" i="1"/>
  <c r="J396" i="1"/>
  <c r="F407" i="1"/>
  <c r="F400" i="1"/>
  <c r="F401" i="1"/>
  <c r="E263" i="1"/>
  <c r="B892" i="1"/>
  <c r="B1121" i="1"/>
  <c r="C217" i="1"/>
  <c r="B500" i="1"/>
  <c r="B1105" i="1"/>
  <c r="F536" i="1"/>
  <c r="G589" i="1"/>
  <c r="H399" i="1"/>
  <c r="J401" i="1"/>
  <c r="B257" i="1"/>
  <c r="D598" i="1"/>
  <c r="B1065" i="1"/>
  <c r="B745" i="1"/>
  <c r="B30" i="1"/>
  <c r="B987" i="1"/>
  <c r="B1094" i="1"/>
  <c r="B577" i="1"/>
  <c r="B344" i="1"/>
  <c r="B688" i="1"/>
  <c r="I405" i="1"/>
  <c r="B1100" i="1"/>
  <c r="B482" i="1"/>
  <c r="G336" i="1"/>
  <c r="I404" i="1"/>
  <c r="E405" i="1"/>
  <c r="B1109" i="1"/>
  <c r="B858" i="1"/>
  <c r="B720" i="1"/>
  <c r="B592" i="1"/>
  <c r="B810" i="1"/>
  <c r="B1008" i="1"/>
  <c r="B369" i="1"/>
  <c r="G188" i="1"/>
  <c r="B247" i="1"/>
  <c r="D607" i="1"/>
  <c r="B853" i="1"/>
  <c r="B587" i="1"/>
  <c r="E791" i="1"/>
  <c r="D546" i="1"/>
  <c r="B81" i="1"/>
  <c r="B532" i="1"/>
  <c r="B576" i="1"/>
  <c r="B447" i="1"/>
  <c r="B479" i="1"/>
  <c r="G151" i="1"/>
  <c r="B539" i="1"/>
  <c r="B983" i="1"/>
  <c r="G692" i="1"/>
  <c r="E404" i="1"/>
  <c r="I396" i="1"/>
  <c r="I402" i="1"/>
  <c r="D606" i="1"/>
  <c r="B816" i="1"/>
  <c r="J175" i="1"/>
  <c r="B767" i="1"/>
  <c r="B440" i="1"/>
  <c r="B548" i="1"/>
  <c r="B1097" i="1"/>
  <c r="D586" i="1"/>
  <c r="B806" i="1"/>
  <c r="J31" i="1"/>
  <c r="B506" i="1"/>
  <c r="E476" i="1"/>
  <c r="D584" i="1"/>
  <c r="B29" i="1"/>
  <c r="B675" i="1"/>
  <c r="B1068" i="1"/>
  <c r="B524" i="1"/>
  <c r="G723" i="1"/>
  <c r="B617" i="1"/>
  <c r="F402" i="1"/>
  <c r="F404" i="1"/>
  <c r="J404" i="1"/>
  <c r="J406" i="1"/>
  <c r="E399" i="1"/>
  <c r="I399" i="1"/>
  <c r="J405" i="1"/>
  <c r="F405" i="1"/>
  <c r="G401" i="1"/>
  <c r="E1021" i="1"/>
  <c r="E1022" i="1" s="1"/>
  <c r="I1021" i="1"/>
  <c r="I1022" i="1" s="1"/>
  <c r="E1025" i="1"/>
  <c r="E1026" i="1" s="1"/>
  <c r="I395" i="1"/>
  <c r="G395" i="1"/>
  <c r="E395" i="1"/>
  <c r="B799" i="1"/>
  <c r="B544" i="1"/>
  <c r="B426" i="1"/>
  <c r="B879" i="1"/>
  <c r="D416" i="1"/>
  <c r="D599" i="1"/>
  <c r="E576" i="1"/>
  <c r="I521" i="1"/>
  <c r="B1041" i="1"/>
  <c r="B580" i="1"/>
  <c r="F919" i="1"/>
  <c r="I919" i="1" s="1"/>
  <c r="F396" i="1"/>
  <c r="G397" i="1"/>
  <c r="H404" i="1"/>
  <c r="H405" i="1"/>
  <c r="G1025" i="1"/>
  <c r="G1026" i="1" s="1"/>
  <c r="B541" i="1"/>
  <c r="B484" i="1"/>
  <c r="B1098" i="1"/>
  <c r="B901" i="1"/>
  <c r="B1108" i="1"/>
  <c r="B1064" i="1"/>
  <c r="H371" i="1"/>
  <c r="H406" i="1"/>
  <c r="H402" i="1"/>
  <c r="H396" i="1"/>
  <c r="B893" i="1"/>
  <c r="B202" i="1"/>
  <c r="B876" i="1"/>
  <c r="B710" i="1"/>
  <c r="B926" i="1"/>
  <c r="B160" i="1"/>
  <c r="I572" i="1"/>
  <c r="B33" i="1"/>
  <c r="B910" i="1"/>
  <c r="B1056" i="1"/>
  <c r="F575" i="1"/>
  <c r="F527" i="1"/>
  <c r="B578" i="1"/>
  <c r="B531" i="1"/>
  <c r="B1096" i="1"/>
  <c r="C220" i="1"/>
  <c r="B885" i="1"/>
  <c r="B899" i="1"/>
  <c r="B1034" i="1"/>
  <c r="C226" i="1"/>
  <c r="B445" i="1"/>
  <c r="B1000" i="1"/>
  <c r="B823" i="1"/>
  <c r="B866" i="1"/>
  <c r="G730" i="1"/>
  <c r="I264" i="1"/>
  <c r="G728" i="1"/>
  <c r="H407" i="1"/>
  <c r="I238" i="1"/>
  <c r="G715" i="1" s="1"/>
  <c r="H586" i="1"/>
  <c r="G714" i="1"/>
  <c r="G371" i="1"/>
  <c r="G407" i="1"/>
  <c r="B480" i="1"/>
  <c r="B790" i="1"/>
  <c r="B900" i="1"/>
  <c r="B714" i="1"/>
  <c r="B110" i="1"/>
  <c r="B188" i="1"/>
  <c r="B861" i="1"/>
  <c r="B1063" i="1"/>
  <c r="B1083" i="1"/>
  <c r="B764" i="1"/>
  <c r="G887" i="1"/>
  <c r="G1108" i="1"/>
  <c r="I260" i="1"/>
  <c r="G724" i="1"/>
  <c r="B761" i="1"/>
  <c r="B719" i="1"/>
  <c r="B925" i="1"/>
  <c r="B940" i="1"/>
  <c r="B182" i="1"/>
  <c r="G189" i="1"/>
  <c r="G152" i="1"/>
  <c r="B834" i="1"/>
  <c r="B941" i="1"/>
  <c r="B152" i="1"/>
  <c r="B831" i="1"/>
  <c r="B874" i="1"/>
  <c r="B993" i="1"/>
  <c r="B507" i="1"/>
  <c r="B1050" i="1"/>
  <c r="B1006" i="1"/>
  <c r="E336" i="1"/>
  <c r="E659" i="1"/>
  <c r="B689" i="1"/>
  <c r="E790" i="1"/>
  <c r="B523" i="1"/>
  <c r="B573" i="1"/>
  <c r="B553" i="1"/>
  <c r="B996" i="1"/>
  <c r="B510" i="1"/>
  <c r="B489" i="1"/>
  <c r="B749" i="1"/>
  <c r="B1023" i="1"/>
  <c r="B753" i="1"/>
  <c r="B851" i="1"/>
  <c r="B410" i="1"/>
  <c r="G950" i="1"/>
  <c r="I950" i="1" s="1"/>
  <c r="I612" i="1" s="1"/>
  <c r="J612" i="1" s="1"/>
  <c r="F612" i="1"/>
  <c r="G612" i="1" s="1"/>
  <c r="G859" i="1"/>
  <c r="G868" i="1" s="1"/>
  <c r="G1130" i="1"/>
  <c r="G1075" i="1"/>
  <c r="G533" i="1"/>
  <c r="H403" i="1"/>
  <c r="H397" i="1"/>
  <c r="G408" i="1"/>
  <c r="G409" i="1"/>
  <c r="G400" i="1"/>
  <c r="G604" i="1"/>
  <c r="B322" i="1"/>
  <c r="B955" i="1"/>
  <c r="I242" i="1"/>
  <c r="G973" i="1"/>
  <c r="I973" i="1" s="1"/>
  <c r="J403" i="1"/>
  <c r="J397" i="1"/>
  <c r="J408" i="1"/>
  <c r="B894" i="1"/>
  <c r="B860" i="1"/>
  <c r="G200" i="1"/>
  <c r="B765" i="1"/>
  <c r="B875" i="1"/>
  <c r="B832" i="1"/>
  <c r="B148" i="1"/>
  <c r="B96" i="1"/>
  <c r="B111" i="1"/>
  <c r="B1054" i="1"/>
  <c r="B1011" i="1"/>
  <c r="D601" i="1"/>
  <c r="D541" i="1"/>
  <c r="D535" i="1"/>
  <c r="D542" i="1"/>
  <c r="D544" i="1"/>
  <c r="D608" i="1"/>
  <c r="B690" i="1"/>
  <c r="G79" i="1"/>
  <c r="B94" i="1"/>
  <c r="B508" i="1"/>
  <c r="J115" i="1"/>
  <c r="B551" i="1"/>
  <c r="B618" i="1"/>
  <c r="B320" i="1"/>
  <c r="B953" i="1"/>
  <c r="F810" i="1"/>
  <c r="G425" i="1"/>
  <c r="G433" i="1"/>
  <c r="H507" i="1"/>
  <c r="C100" i="7" s="1"/>
  <c r="F546" i="1"/>
  <c r="F605" i="1"/>
  <c r="C16" i="7" s="1"/>
  <c r="B363" i="1"/>
  <c r="B368" i="1"/>
  <c r="B739" i="1"/>
  <c r="B241" i="1"/>
  <c r="B958" i="1"/>
  <c r="B325" i="1"/>
  <c r="G721" i="1"/>
  <c r="I721" i="1" s="1"/>
  <c r="G719" i="1"/>
  <c r="J409" i="1"/>
  <c r="I426" i="1"/>
  <c r="B1075" i="1"/>
  <c r="F410" i="1"/>
  <c r="G588" i="1"/>
  <c r="G765" i="1"/>
  <c r="G536" i="1"/>
  <c r="I403" i="1"/>
  <c r="I400" i="1"/>
  <c r="I409" i="1"/>
  <c r="F403" i="1"/>
  <c r="F397" i="1"/>
  <c r="F408" i="1"/>
  <c r="G985" i="1"/>
  <c r="H501" i="1"/>
  <c r="L107" i="7" s="1"/>
  <c r="G477" i="1"/>
  <c r="C407" i="1"/>
  <c r="B357" i="1"/>
  <c r="B269" i="1"/>
  <c r="B270" i="1"/>
  <c r="B545" i="1"/>
  <c r="E371" i="1"/>
  <c r="E407" i="1"/>
  <c r="E402" i="1"/>
  <c r="E396" i="1"/>
  <c r="E400" i="1"/>
  <c r="E403" i="1"/>
  <c r="E408" i="1"/>
  <c r="C409" i="1"/>
  <c r="G925" i="1"/>
  <c r="B956" i="1"/>
  <c r="B934" i="1"/>
  <c r="B827" i="1"/>
  <c r="E409" i="1"/>
  <c r="J400" i="1"/>
  <c r="G601" i="1"/>
  <c r="G834" i="1"/>
  <c r="B1009" i="1"/>
  <c r="B1086" i="1"/>
  <c r="B453" i="1"/>
  <c r="J371" i="1"/>
  <c r="I371" i="1"/>
  <c r="K73" i="6"/>
  <c r="J73" i="6"/>
  <c r="K57" i="6"/>
  <c r="J57" i="6"/>
  <c r="K104" i="6"/>
  <c r="J104" i="6"/>
  <c r="K93" i="6"/>
  <c r="J93" i="6"/>
  <c r="K88" i="6"/>
  <c r="J88" i="6"/>
  <c r="K72" i="6"/>
  <c r="J72" i="6"/>
  <c r="J52" i="6"/>
  <c r="K52" i="6"/>
  <c r="K113" i="6"/>
  <c r="J113" i="6"/>
  <c r="K108" i="6"/>
  <c r="J108" i="6"/>
  <c r="K97" i="6"/>
  <c r="J97" i="6"/>
  <c r="K81" i="6"/>
  <c r="J81" i="6"/>
  <c r="K76" i="6"/>
  <c r="J76" i="6"/>
  <c r="K65" i="6"/>
  <c r="J65" i="6"/>
  <c r="J48" i="6"/>
  <c r="K48" i="6"/>
  <c r="K117" i="6"/>
  <c r="J117" i="6"/>
  <c r="K112" i="6"/>
  <c r="J112" i="6"/>
  <c r="K101" i="6"/>
  <c r="J101" i="6"/>
  <c r="K96" i="6"/>
  <c r="J96" i="6"/>
  <c r="K85" i="6"/>
  <c r="J85" i="6"/>
  <c r="J80" i="6"/>
  <c r="K80" i="6"/>
  <c r="K69" i="6"/>
  <c r="J69" i="6"/>
  <c r="J64" i="6"/>
  <c r="K64" i="6"/>
  <c r="K55" i="6"/>
  <c r="J55" i="6"/>
  <c r="J51" i="6"/>
  <c r="K51" i="6"/>
  <c r="K116" i="6"/>
  <c r="J116" i="6"/>
  <c r="K100" i="6"/>
  <c r="J100" i="6"/>
  <c r="K84" i="6"/>
  <c r="J84" i="6"/>
  <c r="K109" i="6"/>
  <c r="J109" i="6"/>
  <c r="K77" i="6"/>
  <c r="J77" i="6"/>
  <c r="J56" i="6"/>
  <c r="K56" i="6"/>
  <c r="K105" i="6"/>
  <c r="J105" i="6"/>
  <c r="K89" i="6"/>
  <c r="J89" i="6"/>
  <c r="K68" i="6"/>
  <c r="J68" i="6"/>
  <c r="J47" i="6"/>
  <c r="K47" i="6"/>
  <c r="K61" i="6"/>
  <c r="J61" i="6"/>
  <c r="K92" i="6"/>
  <c r="J92" i="6"/>
  <c r="K60" i="6"/>
  <c r="J60" i="6"/>
  <c r="AD102" i="6"/>
  <c r="AA102" i="6"/>
  <c r="AA90" i="6"/>
  <c r="AD90" i="6"/>
  <c r="AD78" i="6"/>
  <c r="AA78" i="6"/>
  <c r="AD70" i="6"/>
  <c r="AA70" i="6"/>
  <c r="AA45" i="6"/>
  <c r="AD45" i="6"/>
  <c r="AD87" i="5"/>
  <c r="AA87" i="5"/>
  <c r="AD63" i="5"/>
  <c r="AE63" i="5"/>
  <c r="AA117" i="6"/>
  <c r="AD117" i="6"/>
  <c r="AB117" i="6" s="1"/>
  <c r="AA113" i="6"/>
  <c r="AD113" i="6"/>
  <c r="AB113" i="6" s="1"/>
  <c r="AA109" i="6"/>
  <c r="AD109" i="6"/>
  <c r="AB109" i="6" s="1"/>
  <c r="AA105" i="6"/>
  <c r="AD105" i="6"/>
  <c r="AB105" i="6" s="1"/>
  <c r="AA101" i="6"/>
  <c r="AD101" i="6"/>
  <c r="AB101" i="6" s="1"/>
  <c r="AA97" i="6"/>
  <c r="AD97" i="6"/>
  <c r="AB97" i="6" s="1"/>
  <c r="AA93" i="6"/>
  <c r="AD93" i="6"/>
  <c r="AB93" i="6" s="1"/>
  <c r="AA89" i="6"/>
  <c r="AD89" i="6"/>
  <c r="AB89" i="6" s="1"/>
  <c r="AA85" i="6"/>
  <c r="AD85" i="6"/>
  <c r="AB85" i="6" s="1"/>
  <c r="AA81" i="6"/>
  <c r="AD81" i="6"/>
  <c r="AB81" i="6" s="1"/>
  <c r="AA73" i="6"/>
  <c r="AD73" i="6"/>
  <c r="AB73" i="6" s="1"/>
  <c r="AA69" i="6"/>
  <c r="AD69" i="6"/>
  <c r="AB69" i="6" s="1"/>
  <c r="AA65" i="6"/>
  <c r="AD65" i="6"/>
  <c r="AB65" i="6" s="1"/>
  <c r="AA61" i="6"/>
  <c r="AD61" i="6"/>
  <c r="AB61" i="6" s="1"/>
  <c r="AA57" i="6"/>
  <c r="AD57" i="6"/>
  <c r="AB57" i="6" s="1"/>
  <c r="F26" i="6"/>
  <c r="K118" i="6"/>
  <c r="K114" i="6"/>
  <c r="K110" i="6"/>
  <c r="K106" i="6"/>
  <c r="K102" i="6"/>
  <c r="K98" i="6"/>
  <c r="K94" i="6"/>
  <c r="K90" i="6"/>
  <c r="K86" i="6"/>
  <c r="K82" i="6"/>
  <c r="K78" i="6"/>
  <c r="K74" i="6"/>
  <c r="K70" i="6"/>
  <c r="K66" i="6"/>
  <c r="K62" i="6"/>
  <c r="K58" i="6"/>
  <c r="AD56" i="6"/>
  <c r="AB56" i="6" s="1"/>
  <c r="AA56" i="6"/>
  <c r="J53" i="6"/>
  <c r="AA52" i="6"/>
  <c r="AD52" i="6"/>
  <c r="AB52" i="6" s="1"/>
  <c r="J49" i="6"/>
  <c r="AD48" i="6"/>
  <c r="AB48" i="6" s="1"/>
  <c r="AA48" i="6"/>
  <c r="Z45" i="6"/>
  <c r="AA44" i="6"/>
  <c r="AD44" i="6"/>
  <c r="Z87" i="5"/>
  <c r="AF87" i="5"/>
  <c r="Z88" i="5"/>
  <c r="AF88" i="5"/>
  <c r="AA89" i="5"/>
  <c r="AD89" i="5"/>
  <c r="E49" i="5"/>
  <c r="E53" i="5"/>
  <c r="E65" i="5"/>
  <c r="E77" i="5"/>
  <c r="E79" i="5"/>
  <c r="E81" i="5"/>
  <c r="AE78" i="5"/>
  <c r="AA59" i="5"/>
  <c r="AD59" i="5"/>
  <c r="AB59" i="5" s="1"/>
  <c r="AD73" i="5"/>
  <c r="AA73" i="5"/>
  <c r="AF73" i="5"/>
  <c r="AA44" i="2"/>
  <c r="AD44" i="2"/>
  <c r="AF44" i="2"/>
  <c r="AE44" i="2"/>
  <c r="AD118" i="6"/>
  <c r="AA118" i="6"/>
  <c r="AA114" i="6"/>
  <c r="AD114" i="6"/>
  <c r="AD110" i="6"/>
  <c r="AA110" i="6"/>
  <c r="AA106" i="6"/>
  <c r="AD106" i="6"/>
  <c r="AA98" i="6"/>
  <c r="AD98" i="6"/>
  <c r="AD94" i="6"/>
  <c r="AA94" i="6"/>
  <c r="AD86" i="6"/>
  <c r="AA86" i="6"/>
  <c r="AA74" i="6"/>
  <c r="AD74" i="6"/>
  <c r="AD62" i="6"/>
  <c r="AA62" i="6"/>
  <c r="AA53" i="6"/>
  <c r="AD53" i="6"/>
  <c r="AA49" i="6"/>
  <c r="AD49" i="6"/>
  <c r="Z117" i="6"/>
  <c r="AE114" i="6"/>
  <c r="AB114" i="6" s="1"/>
  <c r="AE110" i="6"/>
  <c r="AE106" i="6"/>
  <c r="AB106" i="6" s="1"/>
  <c r="AE102" i="6"/>
  <c r="AB102" i="6" s="1"/>
  <c r="AE98" i="6"/>
  <c r="AB98" i="6" s="1"/>
  <c r="AE94" i="6"/>
  <c r="AA91" i="6"/>
  <c r="AD91" i="6"/>
  <c r="AE90" i="6"/>
  <c r="AE86" i="6"/>
  <c r="AA79" i="6"/>
  <c r="AD79" i="6"/>
  <c r="AE74" i="6"/>
  <c r="AB74" i="6" s="1"/>
  <c r="AE70" i="6"/>
  <c r="AB70" i="6" s="1"/>
  <c r="AE62" i="6"/>
  <c r="AA77" i="6"/>
  <c r="AD77" i="6"/>
  <c r="AB77" i="6" s="1"/>
  <c r="AD54" i="6"/>
  <c r="AA54" i="6"/>
  <c r="AF53" i="6"/>
  <c r="AA50" i="6"/>
  <c r="AD50" i="6"/>
  <c r="AF49" i="6"/>
  <c r="AD46" i="6"/>
  <c r="AA46" i="6"/>
  <c r="AF45" i="6"/>
  <c r="AA86" i="5"/>
  <c r="AD86" i="5"/>
  <c r="E51" i="5"/>
  <c r="E63" i="5"/>
  <c r="E67" i="5"/>
  <c r="AA81" i="5"/>
  <c r="AD81" i="5"/>
  <c r="AA80" i="5"/>
  <c r="AD80" i="5"/>
  <c r="AA79" i="5"/>
  <c r="AD79" i="5"/>
  <c r="AD77" i="5"/>
  <c r="AA77" i="5"/>
  <c r="AA57" i="5"/>
  <c r="AD57" i="5"/>
  <c r="Z57" i="5"/>
  <c r="AF56" i="5"/>
  <c r="AA64" i="5"/>
  <c r="AD64" i="5"/>
  <c r="AE64" i="5"/>
  <c r="AA71" i="5"/>
  <c r="AD71" i="5"/>
  <c r="AF71" i="5"/>
  <c r="AD41" i="5"/>
  <c r="AF41" i="5"/>
  <c r="AA82" i="6"/>
  <c r="AD82" i="6"/>
  <c r="AB82" i="6" s="1"/>
  <c r="AA66" i="6"/>
  <c r="AD66" i="6"/>
  <c r="AB66" i="6" s="1"/>
  <c r="AA58" i="6"/>
  <c r="AD58" i="6"/>
  <c r="AB58" i="6" s="1"/>
  <c r="AA67" i="5"/>
  <c r="AD67" i="5"/>
  <c r="AE67" i="5"/>
  <c r="Z63" i="5"/>
  <c r="AA74" i="5"/>
  <c r="AD74" i="5"/>
  <c r="AF74" i="5"/>
  <c r="AA70" i="5"/>
  <c r="AD70" i="5"/>
  <c r="AF70" i="5"/>
  <c r="AE118" i="6"/>
  <c r="AA115" i="6"/>
  <c r="AD115" i="6"/>
  <c r="AA111" i="6"/>
  <c r="AD111" i="6"/>
  <c r="AA107" i="6"/>
  <c r="AD107" i="6"/>
  <c r="AA103" i="6"/>
  <c r="AD103" i="6"/>
  <c r="AA99" i="6"/>
  <c r="AD99" i="6"/>
  <c r="AA95" i="6"/>
  <c r="AD95" i="6"/>
  <c r="AF91" i="6"/>
  <c r="AA87" i="6"/>
  <c r="AD87" i="6"/>
  <c r="AA83" i="6"/>
  <c r="AD83" i="6"/>
  <c r="AF79" i="6"/>
  <c r="AE78" i="6"/>
  <c r="AB78" i="6" s="1"/>
  <c r="AA75" i="6"/>
  <c r="AD75" i="6"/>
  <c r="AA71" i="6"/>
  <c r="AD71" i="6"/>
  <c r="AA67" i="6"/>
  <c r="AD67" i="6"/>
  <c r="AA63" i="6"/>
  <c r="AD63" i="6"/>
  <c r="AA59" i="6"/>
  <c r="AD59" i="6"/>
  <c r="Z118" i="6"/>
  <c r="AA116" i="6"/>
  <c r="AD116" i="6"/>
  <c r="AB116" i="6" s="1"/>
  <c r="AE115" i="6"/>
  <c r="AB115" i="6" s="1"/>
  <c r="Z114" i="6"/>
  <c r="AD112" i="6"/>
  <c r="AB112" i="6" s="1"/>
  <c r="AA112" i="6"/>
  <c r="AE111" i="6"/>
  <c r="AB111" i="6" s="1"/>
  <c r="Z110" i="6"/>
  <c r="AA108" i="6"/>
  <c r="AD108" i="6"/>
  <c r="AB108" i="6" s="1"/>
  <c r="AE107" i="6"/>
  <c r="AB107" i="6" s="1"/>
  <c r="Z106" i="6"/>
  <c r="AD104" i="6"/>
  <c r="AB104" i="6" s="1"/>
  <c r="AA104" i="6"/>
  <c r="AE103" i="6"/>
  <c r="AB103" i="6" s="1"/>
  <c r="Z102" i="6"/>
  <c r="AA100" i="6"/>
  <c r="AD100" i="6"/>
  <c r="AB100" i="6" s="1"/>
  <c r="AE99" i="6"/>
  <c r="AB99" i="6" s="1"/>
  <c r="Z98" i="6"/>
  <c r="AD96" i="6"/>
  <c r="AB96" i="6" s="1"/>
  <c r="AA96" i="6"/>
  <c r="AE95" i="6"/>
  <c r="AB95" i="6" s="1"/>
  <c r="Z94" i="6"/>
  <c r="AA92" i="6"/>
  <c r="AD92" i="6"/>
  <c r="AB92" i="6" s="1"/>
  <c r="AE91" i="6"/>
  <c r="AB91" i="6" s="1"/>
  <c r="Z90" i="6"/>
  <c r="AD88" i="6"/>
  <c r="AB88" i="6" s="1"/>
  <c r="AA88" i="6"/>
  <c r="AE87" i="6"/>
  <c r="AB87" i="6" s="1"/>
  <c r="Z86" i="6"/>
  <c r="AA84" i="6"/>
  <c r="AD84" i="6"/>
  <c r="AB84" i="6" s="1"/>
  <c r="AE83" i="6"/>
  <c r="AB83" i="6" s="1"/>
  <c r="Z82" i="6"/>
  <c r="AD80" i="6"/>
  <c r="AB80" i="6" s="1"/>
  <c r="AA80" i="6"/>
  <c r="AE79" i="6"/>
  <c r="AB79" i="6" s="1"/>
  <c r="Z78" i="6"/>
  <c r="Z77" i="6"/>
  <c r="AA76" i="6"/>
  <c r="AD76" i="6"/>
  <c r="AB76" i="6" s="1"/>
  <c r="AE75" i="6"/>
  <c r="Z74" i="6"/>
  <c r="AD72" i="6"/>
  <c r="AB72" i="6" s="1"/>
  <c r="AA72" i="6"/>
  <c r="AE71" i="6"/>
  <c r="Z70" i="6"/>
  <c r="AA68" i="6"/>
  <c r="AD68" i="6"/>
  <c r="AB68" i="6" s="1"/>
  <c r="AE67" i="6"/>
  <c r="Z66" i="6"/>
  <c r="AD64" i="6"/>
  <c r="AB64" i="6" s="1"/>
  <c r="AA64" i="6"/>
  <c r="AE63" i="6"/>
  <c r="Z62" i="6"/>
  <c r="AA60" i="6"/>
  <c r="AD60" i="6"/>
  <c r="AB60" i="6" s="1"/>
  <c r="AE59" i="6"/>
  <c r="Z58" i="6"/>
  <c r="Z56" i="6"/>
  <c r="AA55" i="6"/>
  <c r="AD55" i="6"/>
  <c r="AB55" i="6" s="1"/>
  <c r="AF54" i="6"/>
  <c r="AE53" i="6"/>
  <c r="Z52" i="6"/>
  <c r="AA51" i="6"/>
  <c r="AD51" i="6"/>
  <c r="AB51" i="6" s="1"/>
  <c r="AF50" i="6"/>
  <c r="AE49" i="6"/>
  <c r="AB49" i="6" s="1"/>
  <c r="Z48" i="6"/>
  <c r="AA47" i="6"/>
  <c r="AD47" i="6"/>
  <c r="AB47" i="6" s="1"/>
  <c r="AF46" i="6"/>
  <c r="AE45" i="6"/>
  <c r="Z44" i="6"/>
  <c r="AA43" i="6"/>
  <c r="AD43" i="6"/>
  <c r="AB43" i="6" s="1"/>
  <c r="AA42" i="6"/>
  <c r="AD42" i="6"/>
  <c r="AD85" i="5"/>
  <c r="AB85" i="5" s="1"/>
  <c r="AA85" i="5"/>
  <c r="AE87" i="5"/>
  <c r="Z89" i="5"/>
  <c r="AF89" i="5"/>
  <c r="E43" i="5"/>
  <c r="E47" i="5"/>
  <c r="AF81" i="5"/>
  <c r="AF80" i="5"/>
  <c r="AF79" i="5"/>
  <c r="AF77" i="5"/>
  <c r="AD53" i="5"/>
  <c r="AB53" i="5" s="1"/>
  <c r="AA53" i="5"/>
  <c r="AA52" i="5"/>
  <c r="AD52" i="5"/>
  <c r="AB52" i="5" s="1"/>
  <c r="AD51" i="5"/>
  <c r="AB51" i="5" s="1"/>
  <c r="AA51" i="5"/>
  <c r="AA49" i="5"/>
  <c r="AD49" i="5"/>
  <c r="AB49" i="5" s="1"/>
  <c r="AA47" i="5"/>
  <c r="AD47" i="5"/>
  <c r="AB47" i="5" s="1"/>
  <c r="AA46" i="5"/>
  <c r="AD46" i="5"/>
  <c r="AB46" i="5" s="1"/>
  <c r="AD44" i="5"/>
  <c r="AB44" i="5" s="1"/>
  <c r="AA44" i="5"/>
  <c r="AA43" i="5"/>
  <c r="AD43" i="5"/>
  <c r="AB43" i="5" s="1"/>
  <c r="AA58" i="5"/>
  <c r="AD58" i="5"/>
  <c r="AB58" i="5" s="1"/>
  <c r="Z58" i="5"/>
  <c r="AF57" i="5"/>
  <c r="AE56" i="5"/>
  <c r="AF67" i="5"/>
  <c r="AD65" i="5"/>
  <c r="AA65" i="5"/>
  <c r="AE65" i="5"/>
  <c r="AF63" i="5"/>
  <c r="AE74" i="5"/>
  <c r="AB74" i="5" s="1"/>
  <c r="AE70" i="5"/>
  <c r="AA46" i="2"/>
  <c r="AD46" i="2"/>
  <c r="Z46" i="2"/>
  <c r="AE46" i="2"/>
  <c r="AF46" i="2"/>
  <c r="K110" i="4"/>
  <c r="J110" i="4"/>
  <c r="AA63" i="5"/>
  <c r="AA51" i="2"/>
  <c r="AD51" i="2"/>
  <c r="AE51" i="2"/>
  <c r="AF43" i="2"/>
  <c r="AB107" i="4"/>
  <c r="AB103" i="4"/>
  <c r="AB71" i="4"/>
  <c r="K114" i="4"/>
  <c r="J114" i="4"/>
  <c r="G529" i="1"/>
  <c r="AA50" i="2"/>
  <c r="AD50" i="2"/>
  <c r="Z50" i="2"/>
  <c r="AA48" i="2"/>
  <c r="AD48" i="2"/>
  <c r="AF48" i="2"/>
  <c r="AA43" i="2"/>
  <c r="AE43" i="2"/>
  <c r="AB91" i="4"/>
  <c r="AB55" i="4"/>
  <c r="J115" i="4"/>
  <c r="K115" i="4"/>
  <c r="B238" i="1"/>
  <c r="B260" i="1"/>
  <c r="B725" i="1"/>
  <c r="B1084" i="1"/>
  <c r="B715" i="1"/>
  <c r="B1036" i="1"/>
  <c r="B887" i="1"/>
  <c r="AA54" i="2"/>
  <c r="AD54" i="2"/>
  <c r="Z54" i="2"/>
  <c r="AA52" i="2"/>
  <c r="AD52" i="2"/>
  <c r="AF52" i="2"/>
  <c r="AF50" i="2"/>
  <c r="AA47" i="2"/>
  <c r="AD47" i="2"/>
  <c r="AE47" i="2"/>
  <c r="AB99" i="4"/>
  <c r="AB63" i="4"/>
  <c r="K118" i="4"/>
  <c r="J118" i="4"/>
  <c r="J111" i="4"/>
  <c r="K111" i="4"/>
  <c r="B540" i="1"/>
  <c r="B593" i="1"/>
  <c r="B483" i="1"/>
  <c r="B503" i="1"/>
  <c r="E660" i="1"/>
  <c r="E337" i="1"/>
  <c r="B813" i="1"/>
  <c r="B175" i="1"/>
  <c r="B933" i="1"/>
  <c r="B826" i="1"/>
  <c r="B869" i="1"/>
  <c r="B692" i="1"/>
  <c r="B80" i="1"/>
  <c r="I527" i="1"/>
  <c r="I575" i="1"/>
  <c r="B974" i="1"/>
  <c r="B427" i="1"/>
  <c r="B254" i="1"/>
  <c r="B232" i="1"/>
  <c r="B147" i="1"/>
  <c r="G80" i="1"/>
  <c r="B113" i="1"/>
  <c r="B808" i="1"/>
  <c r="B854" i="1"/>
  <c r="B183" i="1"/>
  <c r="G190" i="1"/>
  <c r="AA53" i="2"/>
  <c r="AD53" i="2"/>
  <c r="AA49" i="2"/>
  <c r="AA45" i="2"/>
  <c r="AD45" i="2"/>
  <c r="AB45" i="2" s="1"/>
  <c r="J45" i="2" s="1"/>
  <c r="K45" i="2" s="1"/>
  <c r="B889" i="1"/>
  <c r="B1111" i="1"/>
  <c r="F918" i="1"/>
  <c r="AD118" i="4"/>
  <c r="AB118" i="4" s="1"/>
  <c r="AD116" i="4"/>
  <c r="AB116" i="4" s="1"/>
  <c r="AD114" i="4"/>
  <c r="AD112" i="4"/>
  <c r="AB112" i="4" s="1"/>
  <c r="AD110" i="4"/>
  <c r="AB110" i="4" s="1"/>
  <c r="AD108" i="4"/>
  <c r="AB108" i="4" s="1"/>
  <c r="J108" i="4" s="1"/>
  <c r="K108" i="4" s="1"/>
  <c r="AD106" i="4"/>
  <c r="AB106" i="4" s="1"/>
  <c r="J106" i="4" s="1"/>
  <c r="K106" i="4" s="1"/>
  <c r="AD104" i="4"/>
  <c r="AB104" i="4" s="1"/>
  <c r="J104" i="4" s="1"/>
  <c r="K104" i="4" s="1"/>
  <c r="AD102" i="4"/>
  <c r="AB102" i="4" s="1"/>
  <c r="J102" i="4" s="1"/>
  <c r="K102" i="4" s="1"/>
  <c r="AD100" i="4"/>
  <c r="AB100" i="4" s="1"/>
  <c r="J100" i="4" s="1"/>
  <c r="K100" i="4" s="1"/>
  <c r="AD98" i="4"/>
  <c r="AB98" i="4" s="1"/>
  <c r="J98" i="4" s="1"/>
  <c r="K98" i="4" s="1"/>
  <c r="AD96" i="4"/>
  <c r="AB96" i="4" s="1"/>
  <c r="J96" i="4" s="1"/>
  <c r="K96" i="4" s="1"/>
  <c r="AD94" i="4"/>
  <c r="AB94" i="4" s="1"/>
  <c r="J94" i="4" s="1"/>
  <c r="K94" i="4" s="1"/>
  <c r="AD92" i="4"/>
  <c r="AB92" i="4" s="1"/>
  <c r="J92" i="4" s="1"/>
  <c r="K92" i="4" s="1"/>
  <c r="AD90" i="4"/>
  <c r="AD88" i="4"/>
  <c r="AB88" i="4" s="1"/>
  <c r="J88" i="4" s="1"/>
  <c r="K88" i="4" s="1"/>
  <c r="AD86" i="4"/>
  <c r="AD84" i="4"/>
  <c r="AB84" i="4" s="1"/>
  <c r="J84" i="4" s="1"/>
  <c r="K84" i="4" s="1"/>
  <c r="AD82" i="4"/>
  <c r="AB82" i="4" s="1"/>
  <c r="J82" i="4" s="1"/>
  <c r="K82" i="4" s="1"/>
  <c r="AD80" i="4"/>
  <c r="AB80" i="4" s="1"/>
  <c r="J80" i="4" s="1"/>
  <c r="K80" i="4" s="1"/>
  <c r="AD78" i="4"/>
  <c r="AB78" i="4" s="1"/>
  <c r="J78" i="4" s="1"/>
  <c r="K78" i="4" s="1"/>
  <c r="AD76" i="4"/>
  <c r="AB76" i="4" s="1"/>
  <c r="J76" i="4" s="1"/>
  <c r="K76" i="4" s="1"/>
  <c r="AD74" i="4"/>
  <c r="AB74" i="4" s="1"/>
  <c r="J74" i="4" s="1"/>
  <c r="K74" i="4" s="1"/>
  <c r="AD72" i="4"/>
  <c r="AB72" i="4" s="1"/>
  <c r="J72" i="4" s="1"/>
  <c r="K72" i="4" s="1"/>
  <c r="AD70" i="4"/>
  <c r="AD68" i="4"/>
  <c r="AB68" i="4" s="1"/>
  <c r="J68" i="4" s="1"/>
  <c r="K68" i="4" s="1"/>
  <c r="AD66" i="4"/>
  <c r="AB66" i="4" s="1"/>
  <c r="J66" i="4" s="1"/>
  <c r="K66" i="4" s="1"/>
  <c r="AD64" i="4"/>
  <c r="AB64" i="4" s="1"/>
  <c r="J64" i="4" s="1"/>
  <c r="K64" i="4" s="1"/>
  <c r="AD62" i="4"/>
  <c r="AB62" i="4" s="1"/>
  <c r="J62" i="4" s="1"/>
  <c r="K62" i="4" s="1"/>
  <c r="AD60" i="4"/>
  <c r="AB60" i="4" s="1"/>
  <c r="J60" i="4" s="1"/>
  <c r="K60" i="4" s="1"/>
  <c r="AD58" i="4"/>
  <c r="AB58" i="4" s="1"/>
  <c r="J58" i="4" s="1"/>
  <c r="K58" i="4" s="1"/>
  <c r="AD56" i="4"/>
  <c r="AB56" i="4" s="1"/>
  <c r="J56" i="4" s="1"/>
  <c r="K56" i="4" s="1"/>
  <c r="AD54" i="4"/>
  <c r="AB54" i="4" s="1"/>
  <c r="J54" i="4" s="1"/>
  <c r="K54" i="4" s="1"/>
  <c r="AD52" i="4"/>
  <c r="AB52" i="4" s="1"/>
  <c r="J52" i="4" s="1"/>
  <c r="K52" i="4" s="1"/>
  <c r="AD50" i="4"/>
  <c r="AD48" i="4"/>
  <c r="AB48" i="4" s="1"/>
  <c r="J48" i="4" s="1"/>
  <c r="K48" i="4" s="1"/>
  <c r="AD46" i="4"/>
  <c r="AB46" i="4" s="1"/>
  <c r="J46" i="4" s="1"/>
  <c r="K46" i="4" s="1"/>
  <c r="AD44" i="4"/>
  <c r="AB44" i="4" s="1"/>
  <c r="J44" i="4" s="1"/>
  <c r="K44" i="4" s="1"/>
  <c r="AD42" i="4"/>
  <c r="AB42" i="4" s="1"/>
  <c r="J42" i="4" s="1"/>
  <c r="K42" i="4" s="1"/>
  <c r="AA117" i="4"/>
  <c r="AA115" i="4"/>
  <c r="AA113" i="4"/>
  <c r="AA111" i="4"/>
  <c r="AA109" i="4"/>
  <c r="AA107" i="4"/>
  <c r="AA105" i="4"/>
  <c r="J105" i="4" s="1"/>
  <c r="K105" i="4" s="1"/>
  <c r="AA103" i="4"/>
  <c r="AA101" i="4"/>
  <c r="AA99" i="4"/>
  <c r="AA97" i="4"/>
  <c r="AA95" i="4"/>
  <c r="AA93" i="4"/>
  <c r="AA91" i="4"/>
  <c r="AA89" i="4"/>
  <c r="J89" i="4" s="1"/>
  <c r="K89" i="4" s="1"/>
  <c r="AA87" i="4"/>
  <c r="J87" i="4" s="1"/>
  <c r="K87" i="4" s="1"/>
  <c r="AA85" i="4"/>
  <c r="AA83" i="4"/>
  <c r="AA81" i="4"/>
  <c r="AA79" i="4"/>
  <c r="AA77" i="4"/>
  <c r="AA75" i="4"/>
  <c r="AA73" i="4"/>
  <c r="AA71" i="4"/>
  <c r="AA69" i="4"/>
  <c r="AA67" i="4"/>
  <c r="AA65" i="4"/>
  <c r="AA63" i="4"/>
  <c r="J63" i="4" s="1"/>
  <c r="K63" i="4" s="1"/>
  <c r="AA61" i="4"/>
  <c r="J61" i="4" s="1"/>
  <c r="K61" i="4" s="1"/>
  <c r="AA59" i="4"/>
  <c r="AA57" i="4"/>
  <c r="AA55" i="4"/>
  <c r="AA53" i="4"/>
  <c r="AA51" i="4"/>
  <c r="AA49" i="4"/>
  <c r="AA47" i="4"/>
  <c r="J47" i="4" s="1"/>
  <c r="K47" i="4" s="1"/>
  <c r="AA45" i="4"/>
  <c r="AA43" i="4"/>
  <c r="AA42" i="2"/>
  <c r="J533" i="1"/>
  <c r="AD49" i="2"/>
  <c r="AB49" i="2" s="1"/>
  <c r="F917" i="1"/>
  <c r="I917" i="1" s="1"/>
  <c r="G807" i="1"/>
  <c r="I807" i="1" s="1"/>
  <c r="E807" i="1"/>
  <c r="C218" i="1"/>
  <c r="B724" i="1"/>
  <c r="B833" i="1"/>
  <c r="B818" i="1"/>
  <c r="C227" i="1"/>
  <c r="B740" i="1"/>
  <c r="B208" i="1"/>
  <c r="C221" i="1"/>
  <c r="B1107" i="1"/>
  <c r="B691" i="1"/>
  <c r="B121" i="1"/>
  <c r="B785" i="1"/>
  <c r="AA88" i="5"/>
  <c r="G546" i="1"/>
  <c r="G605" i="1"/>
  <c r="B119" i="1"/>
  <c r="D854" i="1"/>
  <c r="G718" i="1"/>
  <c r="AA41" i="5"/>
  <c r="AD45" i="5"/>
  <c r="AB45" i="5" s="1"/>
  <c r="AD50" i="5"/>
  <c r="AB50" i="5" s="1"/>
  <c r="AD56" i="5"/>
  <c r="AD60" i="5"/>
  <c r="AB60" i="5" s="1"/>
  <c r="AD66" i="5"/>
  <c r="AD72" i="5"/>
  <c r="AB72" i="5" s="1"/>
  <c r="AD78" i="5"/>
  <c r="AD84" i="5"/>
  <c r="AB84" i="5" s="1"/>
  <c r="AD88" i="5"/>
  <c r="AA45" i="5"/>
  <c r="K45" i="5" s="1"/>
  <c r="L45" i="5" s="1"/>
  <c r="AA50" i="5"/>
  <c r="AA56" i="5"/>
  <c r="AA60" i="5"/>
  <c r="AA66" i="5"/>
  <c r="AA72" i="5"/>
  <c r="AA78" i="5"/>
  <c r="AA84" i="5"/>
  <c r="G767" i="1"/>
  <c r="I767" i="1" s="1"/>
  <c r="G892" i="1"/>
  <c r="F548" i="1"/>
  <c r="G811" i="1"/>
  <c r="G893" i="1"/>
  <c r="F598" i="1"/>
  <c r="G799" i="1"/>
  <c r="I799" i="1" s="1"/>
  <c r="K58" i="5" l="1"/>
  <c r="L58" i="5" s="1"/>
  <c r="AB62" i="6"/>
  <c r="AB75" i="4"/>
  <c r="J75" i="4" s="1"/>
  <c r="K75" i="4" s="1"/>
  <c r="AB59" i="4"/>
  <c r="K60" i="5"/>
  <c r="L60" i="5" s="1"/>
  <c r="K50" i="5"/>
  <c r="L50" i="5" s="1"/>
  <c r="J59" i="4"/>
  <c r="K59" i="4" s="1"/>
  <c r="K74" i="5"/>
  <c r="L74" i="5" s="1"/>
  <c r="AB42" i="6"/>
  <c r="J42" i="6" s="1"/>
  <c r="K42" i="6" s="1"/>
  <c r="J43" i="6"/>
  <c r="K43" i="6" s="1"/>
  <c r="AB50" i="6"/>
  <c r="J42" i="2"/>
  <c r="K42" i="2" s="1"/>
  <c r="K84" i="5"/>
  <c r="L84" i="5" s="1"/>
  <c r="K72" i="5"/>
  <c r="L72" i="5" s="1"/>
  <c r="K59" i="5"/>
  <c r="L59" i="5" s="1"/>
  <c r="K53" i="5"/>
  <c r="L53" i="5" s="1"/>
  <c r="K44" i="5"/>
  <c r="L44" i="5" s="1"/>
  <c r="K47" i="5"/>
  <c r="L47" i="5" s="1"/>
  <c r="K52" i="5"/>
  <c r="L52" i="5" s="1"/>
  <c r="K43" i="5"/>
  <c r="L43" i="5" s="1"/>
  <c r="K46" i="5"/>
  <c r="L46" i="5" s="1"/>
  <c r="K49" i="5"/>
  <c r="L49" i="5" s="1"/>
  <c r="K51" i="5"/>
  <c r="L51" i="5" s="1"/>
  <c r="AB77" i="5"/>
  <c r="K77" i="5" s="1"/>
  <c r="L77" i="5" s="1"/>
  <c r="AB57" i="5"/>
  <c r="K57" i="5" s="1"/>
  <c r="L57" i="5" s="1"/>
  <c r="AB80" i="5"/>
  <c r="K80" i="5" s="1"/>
  <c r="L80" i="5" s="1"/>
  <c r="AB41" i="5"/>
  <c r="AB43" i="4"/>
  <c r="J43" i="4" s="1"/>
  <c r="K43" i="4" s="1"/>
  <c r="AB83" i="4"/>
  <c r="J83" i="4" s="1"/>
  <c r="K83" i="4" s="1"/>
  <c r="AB67" i="4"/>
  <c r="J67" i="4" s="1"/>
  <c r="K67" i="4" s="1"/>
  <c r="AB51" i="4"/>
  <c r="J51" i="4" s="1"/>
  <c r="K51" i="4" s="1"/>
  <c r="J55" i="4"/>
  <c r="K55" i="4" s="1"/>
  <c r="J103" i="4"/>
  <c r="K103" i="4" s="1"/>
  <c r="J45" i="4"/>
  <c r="K45" i="4" s="1"/>
  <c r="J101" i="4"/>
  <c r="K101" i="4" s="1"/>
  <c r="J69" i="4"/>
  <c r="K69" i="4" s="1"/>
  <c r="J65" i="4"/>
  <c r="K65" i="4" s="1"/>
  <c r="J81" i="4"/>
  <c r="K81" i="4" s="1"/>
  <c r="J77" i="4"/>
  <c r="K77" i="4" s="1"/>
  <c r="J73" i="4"/>
  <c r="K73" i="4" s="1"/>
  <c r="AB95" i="4"/>
  <c r="J95" i="4" s="1"/>
  <c r="K95" i="4" s="1"/>
  <c r="J99" i="4"/>
  <c r="K99" i="4" s="1"/>
  <c r="J91" i="4"/>
  <c r="K91" i="4" s="1"/>
  <c r="J71" i="4"/>
  <c r="K71" i="4" s="1"/>
  <c r="J107" i="4"/>
  <c r="K107" i="4" s="1"/>
  <c r="J49" i="4"/>
  <c r="K49" i="4" s="1"/>
  <c r="J85" i="4"/>
  <c r="K85" i="4" s="1"/>
  <c r="J53" i="4"/>
  <c r="K53" i="4" s="1"/>
  <c r="J109" i="4"/>
  <c r="K109" i="4" s="1"/>
  <c r="J93" i="4"/>
  <c r="K93" i="4" s="1"/>
  <c r="J97" i="4"/>
  <c r="K97" i="4" s="1"/>
  <c r="J57" i="4"/>
  <c r="K57" i="4" s="1"/>
  <c r="AB51" i="2"/>
  <c r="AB54" i="2"/>
  <c r="AB52" i="2"/>
  <c r="AB53" i="2"/>
  <c r="AB48" i="2"/>
  <c r="AB43" i="2"/>
  <c r="J43" i="2" s="1"/>
  <c r="K43" i="2" s="1"/>
  <c r="I424" i="1"/>
  <c r="G1021" i="1"/>
  <c r="G1022" i="1" s="1"/>
  <c r="J751" i="1"/>
  <c r="J752" i="1" s="1"/>
  <c r="J1022" i="1" s="1"/>
  <c r="G599" i="1"/>
  <c r="I541" i="1"/>
  <c r="J541" i="1" s="1"/>
  <c r="H535" i="1"/>
  <c r="F665" i="1"/>
  <c r="F415" i="1"/>
  <c r="F398" i="1"/>
  <c r="D1025" i="1"/>
  <c r="D1026" i="1" s="1"/>
  <c r="H1021" i="1"/>
  <c r="H1022" i="1" s="1"/>
  <c r="E308" i="1"/>
  <c r="E309" i="1" s="1"/>
  <c r="H500" i="1" s="1"/>
  <c r="J480" i="1"/>
  <c r="C477" i="1"/>
  <c r="C1025" i="1"/>
  <c r="C1026" i="1" s="1"/>
  <c r="C1021" i="1"/>
  <c r="C1022" i="1" s="1"/>
  <c r="F1021" i="1"/>
  <c r="F1022" i="1" s="1"/>
  <c r="D135" i="1"/>
  <c r="I135" i="1" s="1"/>
  <c r="D136" i="1"/>
  <c r="D137" i="1"/>
  <c r="I137" i="1" s="1"/>
  <c r="E808" i="1"/>
  <c r="G808" i="1" s="1"/>
  <c r="I808" i="1" s="1"/>
  <c r="F416" i="1"/>
  <c r="D1022" i="1"/>
  <c r="I432" i="1"/>
  <c r="F434" i="1" s="1"/>
  <c r="AB50" i="2"/>
  <c r="AB79" i="5"/>
  <c r="K79" i="5" s="1"/>
  <c r="L79" i="5" s="1"/>
  <c r="AB81" i="5"/>
  <c r="K81" i="5" s="1"/>
  <c r="L81" i="5" s="1"/>
  <c r="AB88" i="5"/>
  <c r="K88" i="5" s="1"/>
  <c r="L88" i="5" s="1"/>
  <c r="X91" i="5" s="1"/>
  <c r="AB66" i="5"/>
  <c r="K66" i="5" s="1"/>
  <c r="L66" i="5" s="1"/>
  <c r="AB70" i="4"/>
  <c r="J70" i="4" s="1"/>
  <c r="K70" i="4" s="1"/>
  <c r="AB86" i="4"/>
  <c r="J86" i="4" s="1"/>
  <c r="K86" i="4" s="1"/>
  <c r="AB87" i="5"/>
  <c r="AB45" i="6"/>
  <c r="J45" i="6" s="1"/>
  <c r="K45" i="6" s="1"/>
  <c r="AB63" i="6"/>
  <c r="AB71" i="6"/>
  <c r="AB71" i="5"/>
  <c r="K71" i="5" s="1"/>
  <c r="L71" i="5" s="1"/>
  <c r="AB86" i="5"/>
  <c r="K86" i="5" s="1"/>
  <c r="L86" i="5" s="1"/>
  <c r="AB46" i="6"/>
  <c r="AB44" i="6"/>
  <c r="J44" i="6" s="1"/>
  <c r="K44" i="6" s="1"/>
  <c r="F28" i="6" s="1"/>
  <c r="F29" i="6" s="1"/>
  <c r="F30" i="6" s="1"/>
  <c r="AB111" i="4"/>
  <c r="AB79" i="4"/>
  <c r="J79" i="4" s="1"/>
  <c r="K79" i="4" s="1"/>
  <c r="AB50" i="4"/>
  <c r="J50" i="4" s="1"/>
  <c r="K50" i="4" s="1"/>
  <c r="AB90" i="4"/>
  <c r="J90" i="4" s="1"/>
  <c r="K90" i="4" s="1"/>
  <c r="AB114" i="4"/>
  <c r="AB47" i="2"/>
  <c r="AB118" i="6"/>
  <c r="AB54" i="6"/>
  <c r="AB86" i="6"/>
  <c r="AB110" i="6"/>
  <c r="AB44" i="2"/>
  <c r="J44" i="2" s="1"/>
  <c r="K44" i="2" s="1"/>
  <c r="I423" i="1"/>
  <c r="G975" i="1" s="1"/>
  <c r="I975" i="1" s="1"/>
  <c r="D808" i="1"/>
  <c r="G586" i="1"/>
  <c r="F414" i="1"/>
  <c r="I425" i="1" s="1"/>
  <c r="G869" i="1"/>
  <c r="G872" i="1" s="1"/>
  <c r="I872" i="1" s="1"/>
  <c r="I603" i="1" s="1"/>
  <c r="J603" i="1" s="1"/>
  <c r="I868" i="1"/>
  <c r="G665" i="1"/>
  <c r="G410" i="1"/>
  <c r="G411" i="1"/>
  <c r="G398" i="1"/>
  <c r="H398" i="1"/>
  <c r="H411" i="1"/>
  <c r="H665" i="1"/>
  <c r="H675" i="1" s="1"/>
  <c r="H410" i="1"/>
  <c r="D263" i="1"/>
  <c r="G725" i="1"/>
  <c r="G726" i="1"/>
  <c r="I726" i="1" s="1"/>
  <c r="J410" i="1"/>
  <c r="J411" i="1"/>
  <c r="J398" i="1"/>
  <c r="J665" i="1"/>
  <c r="J675" i="1" s="1"/>
  <c r="G851" i="1"/>
  <c r="F586" i="1"/>
  <c r="G101" i="7" s="1"/>
  <c r="G713" i="1"/>
  <c r="G716" i="1"/>
  <c r="I716" i="1" s="1"/>
  <c r="D241" i="1"/>
  <c r="D529" i="1"/>
  <c r="I398" i="1"/>
  <c r="I411" i="1"/>
  <c r="I410" i="1"/>
  <c r="I665" i="1"/>
  <c r="I675" i="1" s="1"/>
  <c r="E665" i="1"/>
  <c r="E398" i="1"/>
  <c r="E411" i="1"/>
  <c r="E410" i="1"/>
  <c r="G894" i="1"/>
  <c r="H606" i="1"/>
  <c r="F606" i="1"/>
  <c r="AB46" i="2"/>
  <c r="AB70" i="5"/>
  <c r="K70" i="5" s="1"/>
  <c r="L70" i="5" s="1"/>
  <c r="AB59" i="6"/>
  <c r="AB67" i="6"/>
  <c r="AB75" i="6"/>
  <c r="AB90" i="6"/>
  <c r="AB73" i="5"/>
  <c r="K73" i="5" s="1"/>
  <c r="L73" i="5" s="1"/>
  <c r="AB53" i="6"/>
  <c r="AB89" i="5"/>
  <c r="K89" i="5" s="1"/>
  <c r="L89" i="5" s="1"/>
  <c r="I588" i="1"/>
  <c r="J588" i="1" s="1"/>
  <c r="I536" i="1"/>
  <c r="J536" i="1" s="1"/>
  <c r="I548" i="1"/>
  <c r="J548" i="1" s="1"/>
  <c r="I598" i="1"/>
  <c r="J598" i="1" s="1"/>
  <c r="G1085" i="1"/>
  <c r="G1065" i="1"/>
  <c r="I811" i="1"/>
  <c r="G1062" i="1"/>
  <c r="I918" i="1"/>
  <c r="F920" i="1"/>
  <c r="AB65" i="5"/>
  <c r="K65" i="5" s="1"/>
  <c r="L65" i="5" s="1"/>
  <c r="AB56" i="5"/>
  <c r="K56" i="5" s="1"/>
  <c r="L56" i="5" s="1"/>
  <c r="AB67" i="5"/>
  <c r="K67" i="5" s="1"/>
  <c r="L67" i="5" s="1"/>
  <c r="AB64" i="5"/>
  <c r="K64" i="5" s="1"/>
  <c r="L64" i="5" s="1"/>
  <c r="AB94" i="6"/>
  <c r="AB78" i="5"/>
  <c r="K78" i="5" s="1"/>
  <c r="L78" i="5" s="1"/>
  <c r="AB63" i="5"/>
  <c r="K63" i="5" s="1"/>
  <c r="L63" i="5" s="1"/>
  <c r="F28" i="4" l="1"/>
  <c r="F29" i="4" s="1"/>
  <c r="F30" i="4" s="1"/>
  <c r="L75" i="5"/>
  <c r="F28" i="2"/>
  <c r="F29" i="2" s="1"/>
  <c r="F30" i="2" s="1"/>
  <c r="L82" i="5"/>
  <c r="L68" i="5"/>
  <c r="L61" i="5"/>
  <c r="L54" i="5"/>
  <c r="G675" i="1"/>
  <c r="G667" i="1"/>
  <c r="G668" i="1" s="1"/>
  <c r="G669" i="1" s="1"/>
  <c r="F675" i="1"/>
  <c r="F667" i="1"/>
  <c r="I415" i="1"/>
  <c r="G16" i="7" s="1"/>
  <c r="G759" i="1"/>
  <c r="I759" i="1" s="1"/>
  <c r="I587" i="1" s="1"/>
  <c r="F587" i="1"/>
  <c r="F534" i="1"/>
  <c r="H114" i="7" s="1"/>
  <c r="G500" i="1"/>
  <c r="G502" i="1" s="1"/>
  <c r="H502" i="1" s="1"/>
  <c r="H510" i="1" s="1"/>
  <c r="H984" i="1"/>
  <c r="G984" i="1"/>
  <c r="G987" i="1" s="1"/>
  <c r="G996" i="1" s="1"/>
  <c r="F585" i="1"/>
  <c r="G707" i="1"/>
  <c r="I707" i="1" s="1"/>
  <c r="I585" i="1" s="1"/>
  <c r="J585" i="1" s="1"/>
  <c r="G705" i="1"/>
  <c r="I416" i="1"/>
  <c r="G17" i="7" s="1"/>
  <c r="C139" i="1"/>
  <c r="I136" i="1"/>
  <c r="E675" i="1"/>
  <c r="E676" i="1" s="1"/>
  <c r="E667" i="1"/>
  <c r="E668" i="1" s="1"/>
  <c r="E669" i="1" s="1"/>
  <c r="G166" i="1"/>
  <c r="L26" i="7" s="1"/>
  <c r="I440" i="1"/>
  <c r="G1061" i="1" s="1"/>
  <c r="G896" i="1"/>
  <c r="I896" i="1" s="1"/>
  <c r="I606" i="1" s="1"/>
  <c r="J606" i="1" s="1"/>
  <c r="G606" i="1"/>
  <c r="G733" i="1"/>
  <c r="I733" i="1" s="1"/>
  <c r="I586" i="1" s="1"/>
  <c r="J586" i="1" s="1"/>
  <c r="G805" i="1"/>
  <c r="I805" i="1" s="1"/>
  <c r="I414" i="1"/>
  <c r="G15" i="7" s="1"/>
  <c r="F426" i="1"/>
  <c r="G870" i="1"/>
  <c r="G676" i="1"/>
  <c r="J481" i="1"/>
  <c r="J482" i="1" s="1"/>
  <c r="J489" i="1" s="1"/>
  <c r="I851" i="1"/>
  <c r="G858" i="1"/>
  <c r="D976" i="1"/>
  <c r="G976" i="1"/>
  <c r="I976" i="1" s="1"/>
  <c r="I920" i="1"/>
  <c r="F922" i="1"/>
  <c r="I922" i="1" s="1"/>
  <c r="F921" i="1"/>
  <c r="I921" i="1" s="1"/>
  <c r="H534" i="1"/>
  <c r="H115" i="7" s="1"/>
  <c r="F28" i="5" l="1"/>
  <c r="F29" i="5" s="1"/>
  <c r="F30" i="5" s="1"/>
  <c r="G670" i="1"/>
  <c r="G680" i="1" s="1"/>
  <c r="I680" i="1"/>
  <c r="I582" i="1"/>
  <c r="J582" i="1" s="1"/>
  <c r="G1029" i="1"/>
  <c r="I1029" i="1" s="1"/>
  <c r="G587" i="1"/>
  <c r="G534" i="1"/>
  <c r="I534" i="1"/>
  <c r="J534" i="1" s="1"/>
  <c r="G510" i="1"/>
  <c r="H587" i="1"/>
  <c r="H987" i="1"/>
  <c r="G817" i="1"/>
  <c r="I433" i="1" s="1"/>
  <c r="I442" i="1" s="1"/>
  <c r="I277" i="1" s="1"/>
  <c r="C22" i="7"/>
  <c r="G990" i="1"/>
  <c r="I683" i="1"/>
  <c r="I583" i="1" s="1"/>
  <c r="J583" i="1" s="1"/>
  <c r="F440" i="1"/>
  <c r="H504" i="1" s="1"/>
  <c r="G23" i="7" s="1"/>
  <c r="I581" i="1"/>
  <c r="J581" i="1" s="1"/>
  <c r="I679" i="1"/>
  <c r="I681" i="1" s="1"/>
  <c r="D530" i="1" s="1"/>
  <c r="E670" i="1"/>
  <c r="G679" i="1" s="1"/>
  <c r="H990" i="1"/>
  <c r="G504" i="1"/>
  <c r="D527" i="1"/>
  <c r="J487" i="1"/>
  <c r="C487" i="1" s="1"/>
  <c r="I85" i="1" s="1"/>
  <c r="I923" i="1"/>
  <c r="G165" i="1" s="1"/>
  <c r="G864" i="1"/>
  <c r="I864" i="1" s="1"/>
  <c r="I602" i="1" s="1"/>
  <c r="J602" i="1" s="1"/>
  <c r="I858" i="1"/>
  <c r="F602" i="1" s="1"/>
  <c r="H996" i="1"/>
  <c r="J587" i="1"/>
  <c r="G1066" i="1" l="1"/>
  <c r="I817" i="1"/>
  <c r="I539" i="1"/>
  <c r="I553" i="1" s="1"/>
  <c r="G13" i="7"/>
  <c r="L111" i="7" s="1"/>
  <c r="D577" i="1"/>
  <c r="G810" i="1"/>
  <c r="G816" i="1" s="1"/>
  <c r="I825" i="1" s="1"/>
  <c r="F542" i="1"/>
  <c r="I592" i="1"/>
  <c r="I620" i="1" s="1"/>
  <c r="G1086" i="1"/>
  <c r="G1068" i="1"/>
  <c r="G1082" i="1"/>
  <c r="H544" i="1"/>
  <c r="G22" i="7" s="1"/>
  <c r="G544" i="1"/>
  <c r="F442" i="1"/>
  <c r="F544" i="1" s="1"/>
  <c r="L95" i="7" s="1"/>
  <c r="G505" i="1"/>
  <c r="G508" i="1" s="1"/>
  <c r="H991" i="1"/>
  <c r="G991" i="1"/>
  <c r="G994" i="1" s="1"/>
  <c r="C994" i="1" l="1"/>
  <c r="I421" i="1" s="1"/>
  <c r="H994" i="1"/>
  <c r="J539" i="1"/>
  <c r="I810" i="1"/>
  <c r="H508" i="1"/>
  <c r="C508" i="1"/>
  <c r="G809" i="1"/>
  <c r="G815" i="1" s="1"/>
  <c r="G821" i="1" s="1"/>
  <c r="I821" i="1" s="1"/>
  <c r="I599" i="1" s="1"/>
  <c r="J599" i="1" s="1"/>
  <c r="H505" i="1"/>
  <c r="G21" i="7" s="1"/>
  <c r="L100" i="7"/>
  <c r="G453" i="1"/>
  <c r="J592" i="1"/>
  <c r="G1069" i="1"/>
  <c r="G1070" i="1" s="1"/>
  <c r="G1072" i="1" s="1"/>
  <c r="I1072" i="1" s="1"/>
  <c r="I542" i="1" s="1"/>
  <c r="J542" i="1" s="1"/>
  <c r="G1087" i="1"/>
  <c r="G1088" i="1" s="1"/>
  <c r="G1091" i="1" s="1"/>
  <c r="I1091" i="1" s="1"/>
  <c r="I544" i="1" s="1"/>
  <c r="J544" i="1" s="1"/>
  <c r="G1076" i="1"/>
  <c r="L96" i="7"/>
  <c r="G825" i="1"/>
  <c r="I816" i="1"/>
  <c r="G826" i="1"/>
  <c r="G827" i="1" s="1"/>
  <c r="G600" i="1" s="1"/>
  <c r="J620" i="1"/>
  <c r="J553" i="1"/>
  <c r="I815" i="1" l="1"/>
  <c r="F599" i="1" s="1"/>
  <c r="L12" i="7" s="1"/>
  <c r="I809" i="1"/>
  <c r="E809" i="1"/>
  <c r="G1078" i="1"/>
  <c r="I1078" i="1" s="1"/>
  <c r="I551" i="1"/>
  <c r="J551" i="1" s="1"/>
  <c r="G829" i="1"/>
  <c r="I829" i="1" s="1"/>
  <c r="I600" i="1" s="1"/>
  <c r="E1128" i="1"/>
  <c r="G1128" i="1"/>
  <c r="I1129" i="1" s="1"/>
  <c r="C551" i="1" l="1"/>
  <c r="I445" i="1" s="1"/>
  <c r="J600" i="1"/>
  <c r="I618" i="1"/>
  <c r="H559" i="1"/>
  <c r="I461" i="1"/>
  <c r="J618" i="1" l="1"/>
  <c r="C618" i="1"/>
  <c r="I418" i="1" s="1"/>
  <c r="H560" i="1"/>
  <c r="C19" i="7" s="1"/>
  <c r="G105" i="7"/>
  <c r="G106" i="7" l="1"/>
</calcChain>
</file>

<file path=xl/comments1.xml><?xml version="1.0" encoding="utf-8"?>
<comments xmlns="http://schemas.openxmlformats.org/spreadsheetml/2006/main">
  <authors>
    <author>A satisfied Microsoft Office user</author>
    <author>Christian Engmann</author>
    <author>Thomas Richner</author>
    <author>Stephan Senn</author>
  </authors>
  <commentList>
    <comment ref="C15" authorId="0">
      <text>
        <r>
          <rPr>
            <sz val="8"/>
            <color indexed="81"/>
            <rFont val="Tahoma"/>
            <family val="2"/>
          </rPr>
          <t>Example of a note</t>
        </r>
      </text>
    </comment>
    <comment ref="H50" authorId="0">
      <text>
        <r>
          <rPr>
            <sz val="8"/>
            <color indexed="81"/>
            <rFont val="Tahoma"/>
            <family val="2"/>
          </rPr>
          <t>Example:  
Polysius:   Prepol-AT
FLS:         ILC-E</t>
        </r>
      </text>
    </comment>
    <comment ref="H51" authorId="0">
      <text>
        <r>
          <rPr>
            <sz val="8"/>
            <color indexed="81"/>
            <rFont val="Tahoma"/>
            <family val="2"/>
          </rPr>
          <t>Examples:
Polysius:   Prepol-AS
FLS:         ILC
KHD:        Pyroclon
All Low-NOx precalciners</t>
        </r>
      </text>
    </comment>
    <comment ref="H52" authorId="0">
      <text>
        <r>
          <rPr>
            <sz val="8"/>
            <color indexed="81"/>
            <rFont val="Tahoma"/>
            <family val="2"/>
          </rPr>
          <t>Examples:
Polysius:  CC-Calciner
FLS:        SLC-S, SLC-D
RSP calciner</t>
        </r>
      </text>
    </comment>
    <comment ref="H53" authorId="0">
      <text>
        <r>
          <rPr>
            <sz val="8"/>
            <color indexed="81"/>
            <rFont val="Tahoma"/>
            <family val="2"/>
          </rPr>
          <t>Example:
FLS:       SLC</t>
        </r>
      </text>
    </comment>
    <comment ref="E83" authorId="0">
      <text>
        <r>
          <rPr>
            <sz val="8"/>
            <color indexed="81"/>
            <rFont val="Tahoma"/>
            <family val="2"/>
          </rPr>
          <t xml:space="preserve">Use 33000 kJ/kg if unknown
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Do only fill in if:
- mass balance of circulating elements has small errors;
- the average heat of reaction is more  than 1% of the total input;
- the signs (- / +) of the upper and lower boundery are the same.
This heat output shall not exceed - or + 60 kJ/kg cli</t>
        </r>
      </text>
    </comment>
    <comment ref="G166" authorId="1">
      <text>
        <r>
          <rPr>
            <sz val="9"/>
            <color indexed="81"/>
            <rFont val="Tahoma"/>
            <family val="2"/>
          </rPr>
          <t>Seondary firing now included</t>
        </r>
      </text>
    </comment>
    <comment ref="D181" authorId="2">
      <text>
        <r>
          <rPr>
            <sz val="8"/>
            <color indexed="81"/>
            <rFont val="Tahoma"/>
            <family val="2"/>
          </rPr>
          <t>If this O2 content includes false air at kiln inlet, then the value for false air at kiln inlet (section 16) has to be set to 0.</t>
        </r>
      </text>
    </comment>
    <comment ref="D341" authorId="0">
      <text>
        <r>
          <rPr>
            <sz val="8"/>
            <color indexed="81"/>
            <rFont val="Tahoma"/>
            <family val="2"/>
          </rPr>
          <t>[kJ/kg] or [kJ/Nm3] depending on the fuel type</t>
        </r>
      </text>
    </comment>
    <comment ref="D342" authorId="3">
      <text>
        <r>
          <rPr>
            <sz val="8"/>
            <color indexed="81"/>
            <rFont val="Tahoma"/>
            <family val="2"/>
          </rPr>
          <t xml:space="preserve">Water content shall be &gt;0 only if the water content of the fuel is not considered in the Vmin- value.
</t>
        </r>
      </text>
    </comment>
    <comment ref="D357" authorId="1">
      <text>
        <r>
          <rPr>
            <sz val="8"/>
            <color indexed="81"/>
            <rFont val="Tahoma"/>
            <family val="2"/>
          </rPr>
          <t>[t/h] or [kNm3/h] (1000 Nm3/h)</t>
        </r>
      </text>
    </comment>
    <comment ref="D362" authorId="1">
      <text>
        <r>
          <rPr>
            <sz val="8"/>
            <color indexed="81"/>
            <rFont val="Tahoma"/>
            <family val="2"/>
          </rPr>
          <t>[t/h] or [kNm3/h] (1000 Nm3/h)</t>
        </r>
      </text>
    </comment>
    <comment ref="I425" authorId="1">
      <text>
        <r>
          <rPr>
            <sz val="9"/>
            <color indexed="81"/>
            <rFont val="Tahoma"/>
            <family val="2"/>
          </rPr>
          <t>Secondary firing Amin also considered</t>
        </r>
      </text>
    </comment>
    <comment ref="I440" authorId="1">
      <text>
        <r>
          <rPr>
            <sz val="9"/>
            <color indexed="81"/>
            <rFont val="Tahoma"/>
            <family val="2"/>
          </rPr>
          <t>Secondary firing Amin also considered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D12" authorId="0">
      <text>
        <r>
          <rPr>
            <sz val="8"/>
            <color indexed="81"/>
            <rFont val="Tahoma"/>
            <family val="2"/>
          </rPr>
          <t>Example of a note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D12" authorId="0">
      <text>
        <r>
          <rPr>
            <sz val="8"/>
            <color indexed="81"/>
            <rFont val="Tahoma"/>
            <family val="2"/>
          </rPr>
          <t>Example of a note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D12" authorId="0">
      <text>
        <r>
          <rPr>
            <sz val="8"/>
            <color indexed="81"/>
            <rFont val="Tahoma"/>
            <family val="2"/>
          </rPr>
          <t>Example of a note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  <author>Christian Engmann</author>
  </authors>
  <commentList>
    <comment ref="D12" authorId="0">
      <text>
        <r>
          <rPr>
            <sz val="8"/>
            <color indexed="81"/>
            <rFont val="Tahoma"/>
            <family val="2"/>
          </rPr>
          <t>Example of a note</t>
        </r>
      </text>
    </comment>
    <comment ref="G28" authorId="1">
      <text>
        <r>
          <rPr>
            <sz val="9"/>
            <color indexed="81"/>
            <rFont val="Tahoma"/>
            <family val="2"/>
          </rPr>
          <t xml:space="preserve">Use this sheet only for planetary coolers as it contains the empirical factor 1.6!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38" authorId="1">
      <text>
        <r>
          <rPr>
            <sz val="9"/>
            <color indexed="81"/>
            <rFont val="Tahoma"/>
            <family val="2"/>
          </rPr>
          <t xml:space="preserve">Of envelope around all cooler tubes
</t>
        </r>
      </text>
    </comment>
  </commentList>
</comments>
</file>

<file path=xl/sharedStrings.xml><?xml version="1.0" encoding="utf-8"?>
<sst xmlns="http://schemas.openxmlformats.org/spreadsheetml/2006/main" count="3978" uniqueCount="2264">
  <si>
    <t>Heat input</t>
  </si>
  <si>
    <t>Entrée de chaleur</t>
  </si>
  <si>
    <t>Entrada de calor</t>
  </si>
  <si>
    <t>WÄRMEEINTRAG</t>
  </si>
  <si>
    <t>HEAT INPUT</t>
  </si>
  <si>
    <t>ENTREE DE CHALEUR</t>
  </si>
  <si>
    <t>ENTRADA DE CALOR</t>
  </si>
  <si>
    <t>Wärmeeintrag des heissen Klinkers</t>
  </si>
  <si>
    <t>Heat input from hot clinker</t>
  </si>
  <si>
    <t>Entrée de chaleur par clinker chaud</t>
  </si>
  <si>
    <t>Entrada de calor por clinker caliente</t>
  </si>
  <si>
    <t>Wärmeeintrag durch fühlbare Wärme Kühlluft</t>
  </si>
  <si>
    <t>Heat input from cooling air</t>
  </si>
  <si>
    <t>Chaleur sensible de l'air du refroidisseur</t>
  </si>
  <si>
    <t>Calor sensible del aire del enfriador</t>
  </si>
  <si>
    <t>Wärmeeintrag durch eingespritztes Wasser</t>
  </si>
  <si>
    <t>Heat input from injected water</t>
  </si>
  <si>
    <t>Entrada de calor por el agua inyectada</t>
  </si>
  <si>
    <t>Wärmeeintrag durch fühlbare Wärme Primärluft</t>
  </si>
  <si>
    <t>Heat input from primary air</t>
  </si>
  <si>
    <t>Chaleur sensible de l'air primaire</t>
  </si>
  <si>
    <t>Calor sensible aire primario</t>
  </si>
  <si>
    <t>Wärmeeintrag durch Feuchte in Rohmehl</t>
  </si>
  <si>
    <t xml:space="preserve">CEN </t>
  </si>
  <si>
    <t>Dust from SLC string added to outputs in kiln heat balance</t>
  </si>
  <si>
    <t>Heat input from moisture content in raw meal</t>
  </si>
  <si>
    <t>Chaleur sensible de l'humidité dans la farine crue</t>
  </si>
  <si>
    <t>Calor sensible del humedad en el crudo</t>
  </si>
  <si>
    <t>Wärmeeintrag durch organische Bestandteile in der Ofenaufgabe</t>
  </si>
  <si>
    <t>LHV as fired (incl. H2O)</t>
  </si>
  <si>
    <t>Heat input from combustible matter in kiln feed</t>
  </si>
  <si>
    <t>Chaleur de la fraction organique dans l'alimentation du four</t>
  </si>
  <si>
    <t>Calor resultando de la fracción orgánica en el crudo</t>
  </si>
  <si>
    <t>Wärmeeintrag durch</t>
  </si>
  <si>
    <t>Heat input from</t>
  </si>
  <si>
    <t>Chaleur résultant de la</t>
  </si>
  <si>
    <t>Calor resultando de la</t>
  </si>
  <si>
    <t>WÄRMEEINTRAG KLINKER</t>
  </si>
  <si>
    <t>HEAT FROM CLINKER</t>
  </si>
  <si>
    <t>ENTREE DE CHALEUR PAR CLINKER</t>
  </si>
  <si>
    <t>ENTRADA DE CALOR DEL CLINKER</t>
  </si>
  <si>
    <t>Wärmeeintrag Ofenaufgabe</t>
  </si>
  <si>
    <t>Heat input via kiln feed</t>
  </si>
  <si>
    <t>Chaleur sensible alimentation du four</t>
  </si>
  <si>
    <t>Calor sensible alimentación al horno</t>
  </si>
  <si>
    <t>0.01-0.03</t>
  </si>
  <si>
    <t>0.02-0.05</t>
  </si>
  <si>
    <t>(Note that only English is fully supported)</t>
  </si>
  <si>
    <t>Wärmeeintrag Rohmehl trocken</t>
  </si>
  <si>
    <t>Heat input raw meal dry</t>
  </si>
  <si>
    <t>Chaleur sensible farine crue sèche</t>
  </si>
  <si>
    <t>Calor sensible harina seca</t>
  </si>
  <si>
    <t>Wärmetauscher</t>
  </si>
  <si>
    <t>Preheater tower</t>
  </si>
  <si>
    <t>Echangeur de chaleur</t>
  </si>
  <si>
    <t>Torre de precalentador</t>
  </si>
  <si>
    <t>Wärmetauscherstaubverluste</t>
  </si>
  <si>
    <t>Preheater exhaust gas dust loss</t>
  </si>
  <si>
    <t>Perte de poussière par gaz d'échape</t>
  </si>
  <si>
    <t>Pérdida de polvo torre de precal.</t>
  </si>
  <si>
    <t>Wärmetauscherturm inkl. Kalzinator</t>
  </si>
  <si>
    <t>Preheater tower incl. Calciner</t>
  </si>
  <si>
    <t>Echangeur de chaleur et précalcinateur</t>
  </si>
  <si>
    <t>Torre de precalentador y calcinador</t>
  </si>
  <si>
    <t>Wasserdampf</t>
  </si>
  <si>
    <t>Water vapor</t>
  </si>
  <si>
    <t>Vapeur de l'eau</t>
  </si>
  <si>
    <t>Vapor de agua</t>
  </si>
  <si>
    <t>Wärmeverbrauch Wasserverdunstung Ofenaufgabe</t>
  </si>
  <si>
    <t>Heat output from kiln feed water evaporation</t>
  </si>
  <si>
    <t/>
  </si>
  <si>
    <t>Remark: Error should be smaller than 5%</t>
  </si>
  <si>
    <t>Remark: Error should be smaller than 3%</t>
  </si>
  <si>
    <t>Chaleur d'evaporation de l'eau de l'alimentation au four</t>
  </si>
  <si>
    <t>Pérdida de calor por evaporación de agua del alimentación</t>
  </si>
  <si>
    <t>Wasserverdampfung</t>
  </si>
  <si>
    <t>Water evaporation</t>
  </si>
  <si>
    <t>Evaporation de l'eau</t>
  </si>
  <si>
    <t>Evaporación de agua</t>
  </si>
  <si>
    <t>WASSEREINSPRITZUNG IN KÜHLER</t>
  </si>
  <si>
    <t>WATERINJECTION INTO COOLER</t>
  </si>
  <si>
    <t>INJECTION D'EAU DANS LE REFROIDISSEUR</t>
  </si>
  <si>
    <t>INYECCION DE AGUA AL ENFRIADOR</t>
  </si>
  <si>
    <t>WÄRMEVERLUST ALS FOLGE UNVOLLSTÄNDIGER VERBRENNUNG</t>
  </si>
  <si>
    <t>HEAT LOSS DUE TO INCOMPLETE COMBUSTION</t>
  </si>
  <si>
    <t>PERTE DE CHALEUR A CAUSE D'UNE COMBUSTION INCOMPLETE</t>
  </si>
  <si>
    <t>PERDIDA DE CALOR POR COMBUSTION INCOMPLETA</t>
  </si>
  <si>
    <t>Wärmeverlust CaO im Bypassstaub</t>
  </si>
  <si>
    <t>Heat loss from CaO (non carbonatic) in bypass dust</t>
  </si>
  <si>
    <t>Perte de chaleur par CaO (no carbonatique)</t>
  </si>
  <si>
    <t>Pérdida de calor para CaO (oxido de calcio)</t>
  </si>
  <si>
    <t>WÄRMEVERLUST DURCH CaO IM BYPASSSTAUB</t>
  </si>
  <si>
    <t>HEAT OUTPUT FROM CaO (NON CARBONATIC) IN BYPASS DUST</t>
  </si>
  <si>
    <t>PERTE DE CHALEUR DE LA POUSSIERE BYPASS PAR CaO</t>
  </si>
  <si>
    <t>PERDIDA DE CALOR DE CaO (OXIDO DE CALCIO) EN EL POLVO DE BYPASS</t>
  </si>
  <si>
    <t>WÄRMEVERLUST DURCH STRAHLUNG &amp; CONVEKTION</t>
  </si>
  <si>
    <t>HEAT LOSS FROM RADIATION &amp; CONVECTION</t>
  </si>
  <si>
    <t>PERTE DE CHALEUR PAR RADIATION &amp; CONVECTION</t>
  </si>
  <si>
    <t>PERDIDA DE CALOR POR RADIACIÓN Y CONVECCIÓN</t>
  </si>
  <si>
    <t>Wärmeverlust durch unvollständige Verbrennung</t>
  </si>
  <si>
    <t>HEAT BALANCE PROGRAM</t>
  </si>
  <si>
    <t>Cyclones</t>
  </si>
  <si>
    <t xml:space="preserve">KILN SHELL RADIATION &amp; CONVECTION HEAT LOSSES </t>
  </si>
  <si>
    <t>This auxiliary spreadsheet helps the user to calculate the kiln shell radiation &amp; convection heat losses</t>
  </si>
  <si>
    <t>This auxiliary spreadsheet helps the user to calculate the preheater/precalciner radiation &amp; convection heat losses</t>
  </si>
  <si>
    <t>Heat loss from incomplete combustion</t>
  </si>
  <si>
    <t>Perte de chaleur à cause d'une combustion incomplete</t>
  </si>
  <si>
    <t>Pérdida de calor por combustion incompleta</t>
  </si>
  <si>
    <t>Wärmeverlust durch Strahlung</t>
  </si>
  <si>
    <t>Heat loss from radiation</t>
  </si>
  <si>
    <t>LHV comb. matter (not kiln feed)</t>
  </si>
  <si>
    <t xml:space="preserve">      Good value: &lt;100°C + ambient temperature / New coolers: 80°C + ambient temperature</t>
  </si>
  <si>
    <t xml:space="preserve">      Typical value for planetary coolers: 200-350 kJ/kg cli</t>
  </si>
  <si>
    <t>Perte de chaleur par radiation</t>
  </si>
  <si>
    <t>Pérdida de calor por radiación</t>
  </si>
  <si>
    <t>Wärmeverlust durch Wasserverdampfung im Kühler</t>
  </si>
  <si>
    <t>Zyklon</t>
  </si>
  <si>
    <t>Cyclone</t>
  </si>
  <si>
    <t>Ciclon</t>
  </si>
  <si>
    <t>Zyklone</t>
  </si>
  <si>
    <t>cyclones</t>
  </si>
  <si>
    <t>ciclones</t>
  </si>
  <si>
    <t>JK</t>
  </si>
  <si>
    <t>Correction E57</t>
  </si>
  <si>
    <t>Cylindrical part</t>
  </si>
  <si>
    <t>Material duct</t>
  </si>
  <si>
    <t>Roof</t>
  </si>
  <si>
    <t>Transition chamber</t>
  </si>
  <si>
    <t>Copied radiation_and_convection-example-TE.xls/A136..X204 to this sheet at A136</t>
  </si>
  <si>
    <t>Zusammenfassung</t>
  </si>
  <si>
    <t>Corretion I 431</t>
  </si>
  <si>
    <t>Summary</t>
  </si>
  <si>
    <t>Strahlungs- &amp; Konvektion des Preheaters, Precalciners</t>
  </si>
  <si>
    <t>Radiation &amp; Convection of Preheater, Precalciner</t>
  </si>
  <si>
    <t>Heat loss from water evaporation in cooler</t>
  </si>
  <si>
    <t>Pérdida de calor por evaporación de agua en el enfriador</t>
  </si>
  <si>
    <t>Wasserdampf aus Kohlenmühle (Teil der Primärluftmenge)</t>
  </si>
  <si>
    <t>Water vapor from coal mill (part of primary air)</t>
  </si>
  <si>
    <t>Vapeur d'eau du broyeur de charbon (part de l'air primaire)</t>
  </si>
  <si>
    <t>Vapor de agua del molino de carbón (parte del aire primario)</t>
  </si>
  <si>
    <t>Wasserdampf Volumenstrom</t>
  </si>
  <si>
    <t>Water vapor flowrate</t>
  </si>
  <si>
    <t>Débit de vapour de l'eau</t>
  </si>
  <si>
    <t>Flujo de vapor agua</t>
  </si>
  <si>
    <t>Wasserdampf aus Kühler</t>
  </si>
  <si>
    <t>Water vapor from cooler</t>
  </si>
  <si>
    <t>Vapeur d'eau du refroidisseur</t>
  </si>
  <si>
    <t>Vapor de agua del enfriador</t>
  </si>
  <si>
    <t>Wassereintrag</t>
  </si>
  <si>
    <t>Water input</t>
  </si>
  <si>
    <t>Entrée de l'eau</t>
  </si>
  <si>
    <t>Entrada de agua</t>
  </si>
  <si>
    <t>Wassereintrag Ofen</t>
  </si>
  <si>
    <t>Water input kiln</t>
  </si>
  <si>
    <t>Entrée de l'eau four</t>
  </si>
  <si>
    <t>Entrada de agua horno</t>
  </si>
  <si>
    <t>Wassereintrag Kalzinator</t>
  </si>
  <si>
    <t>Water input calciner</t>
  </si>
  <si>
    <t>Entrée de l'eau calcinateur</t>
  </si>
  <si>
    <t>Entrada de agua calcinador</t>
  </si>
  <si>
    <t>Wassereinspritzung in Kühler</t>
  </si>
  <si>
    <t>Water injection into cooler</t>
  </si>
  <si>
    <t>Injection d'eau dans le refroidisseur</t>
  </si>
  <si>
    <t>Inyección de agua al enfriador</t>
  </si>
  <si>
    <t>WASSERVERDAMPFUNG</t>
  </si>
  <si>
    <t>WATER EVAPORATION</t>
  </si>
  <si>
    <t>EVAPORATION DE L'EAU</t>
  </si>
  <si>
    <t>EVAPORACION DE AGUA</t>
  </si>
  <si>
    <t>WEITERER WÄRMEAUSTRAG</t>
  </si>
  <si>
    <t>OTHER HEAT OUTPUT</t>
  </si>
  <si>
    <t>AUTRE SORTIE DE CHALEUR</t>
  </si>
  <si>
    <t>OTRA SALIDA DE CALOR</t>
  </si>
  <si>
    <t>Weiterer Wärmeaustrag</t>
  </si>
  <si>
    <t>Other heat output</t>
  </si>
  <si>
    <t>Autre sortie de chaleur</t>
  </si>
  <si>
    <t>Otra salida de calor</t>
  </si>
  <si>
    <t>WEITERER WÄRMEEINTRAG</t>
  </si>
  <si>
    <t>OTHER HEAT INPUT</t>
  </si>
  <si>
    <t>AUTRE ENTREE DE CHALEUR</t>
  </si>
  <si>
    <t>OTRA ENTRADA DE CALOR</t>
  </si>
  <si>
    <t>Weiterer Wärmeeintrag</t>
  </si>
  <si>
    <t>Other heat input</t>
  </si>
  <si>
    <t>Autre entrée de chaleur</t>
  </si>
  <si>
    <t>Otra entrada de calor</t>
  </si>
  <si>
    <t>Werk</t>
  </si>
  <si>
    <t>Plant</t>
  </si>
  <si>
    <t>Usine</t>
  </si>
  <si>
    <t>Planta</t>
  </si>
  <si>
    <t>X</t>
  </si>
  <si>
    <t>Y</t>
  </si>
  <si>
    <t>Z</t>
  </si>
  <si>
    <t>ZÄHLERABLESUNG</t>
  </si>
  <si>
    <t>COUNTER READING</t>
  </si>
  <si>
    <t>COMPTEURS</t>
  </si>
  <si>
    <t>CONTADORES</t>
  </si>
  <si>
    <t>Zählerstand</t>
  </si>
  <si>
    <t>Reading</t>
  </si>
  <si>
    <t>Compteur</t>
  </si>
  <si>
    <t>Contador</t>
  </si>
  <si>
    <t>Zeit</t>
  </si>
  <si>
    <t>Time</t>
  </si>
  <si>
    <t>Temps</t>
  </si>
  <si>
    <t>Hora</t>
  </si>
  <si>
    <t>ZUSAMMENFASSUNGEN</t>
  </si>
  <si>
    <t>SUMMARIES</t>
  </si>
  <si>
    <t>RESUMEES</t>
  </si>
  <si>
    <t>RESUMENES</t>
  </si>
  <si>
    <t>ZUSAMMENFASSUNG MASSENBILANZ</t>
  </si>
  <si>
    <t>SUMMARY MASS BALANCE</t>
  </si>
  <si>
    <t>RESUMEE BILAN DES MATIERES SYSTEME DU FOUR</t>
  </si>
  <si>
    <t>RESUMEN BALANCE DE MATERIAL DEL SISTEMA DEL HORNO</t>
  </si>
  <si>
    <t>ZUSAMMENFASSUNG WÄRMEBILANZ KÜHLER</t>
  </si>
  <si>
    <t>SUMMARY COOLER HEAT BALANCE</t>
  </si>
  <si>
    <t>RESUMEE BILAN TERMIQUE DU REFROIDISSEUR</t>
  </si>
  <si>
    <t>RESUMEN BALANCE TERMICO DEL ENFRIADOR</t>
  </si>
  <si>
    <t>SUMMARY KILN HEAT BALANCE</t>
  </si>
  <si>
    <t>RESUMEE BILAN TERMIQUE DU FOUR</t>
  </si>
  <si>
    <t>RESUMEN BALANCE TERMICO DEL HORNO</t>
  </si>
  <si>
    <t>ZYKLONVORWÄRMER</t>
  </si>
  <si>
    <t>PREHEATER KILN</t>
  </si>
  <si>
    <t>CYCLONES</t>
  </si>
  <si>
    <t>DE PRECALENTADOR</t>
  </si>
  <si>
    <t>au feu</t>
  </si>
  <si>
    <t>ignición</t>
  </si>
  <si>
    <t>*) Bemerkungen</t>
  </si>
  <si>
    <t>Primary air flow rate (result from heat balance over coal mill)</t>
  </si>
  <si>
    <t>* Remark: Calculated value is only for information and not further used.</t>
  </si>
  <si>
    <t>Water input (mass flow rate)</t>
  </si>
  <si>
    <t>Water input (volumetric flow rate)</t>
  </si>
  <si>
    <t>*) Remarks</t>
  </si>
  <si>
    <t>*) Remarques</t>
  </si>
  <si>
    <t>*) Notas</t>
  </si>
  <si>
    <t>*) Ofenaufgabe trocken dividiert durch die Klinkerproduktion</t>
  </si>
  <si>
    <t>*) Dry kiln feed divided by the clinker production</t>
  </si>
  <si>
    <t>*) Alimentation au four sèche dividée par la production du clinker</t>
  </si>
  <si>
    <t>*) Alimentación al horno (seco) devidido por producción de clinker</t>
  </si>
  <si>
    <t>bypass</t>
  </si>
  <si>
    <t>de refroidissement</t>
  </si>
  <si>
    <t>específico</t>
  </si>
  <si>
    <t xml:space="preserve"> % der Ofengase</t>
  </si>
  <si>
    <t xml:space="preserve"> % of kiln gases</t>
  </si>
  <si>
    <t xml:space="preserve"> % fumé du four</t>
  </si>
  <si>
    <t xml:space="preserve"> % gas del horno</t>
  </si>
  <si>
    <t xml:space="preserve"> % der Verbrennungsluft Hauptbrenner</t>
  </si>
  <si>
    <t xml:space="preserve"> % of minimum combustion air primary firing</t>
  </si>
  <si>
    <t xml:space="preserve"> % de l'air de combustion du brûleur principal</t>
  </si>
  <si>
    <t xml:space="preserve"> % del aire de combustión quemador principal</t>
  </si>
  <si>
    <t>% O2 trocken</t>
  </si>
  <si>
    <t>% O2 dry</t>
  </si>
  <si>
    <t>% O2 sec</t>
  </si>
  <si>
    <t>% O2 seco</t>
  </si>
  <si>
    <t>Überschuss-</t>
  </si>
  <si>
    <t>Excess air</t>
  </si>
  <si>
    <t>Air excès</t>
  </si>
  <si>
    <t>Aire in exeso</t>
  </si>
  <si>
    <t>Überschuss- und Falschluft (trocken)</t>
  </si>
  <si>
    <t>Excess and false air (dry)</t>
  </si>
  <si>
    <t>Air excedentaire et faux (sec)</t>
  </si>
  <si>
    <t xml:space="preserve">      Remark: Use the following reference values:</t>
  </si>
  <si>
    <t>Aire exceso y falso (seco)</t>
  </si>
  <si>
    <t>0=keine</t>
  </si>
  <si>
    <t>0=none</t>
  </si>
  <si>
    <t>0=n'existe pas</t>
  </si>
  <si>
    <t>0=no hay</t>
  </si>
  <si>
    <t>1=Sekundärfeuerung</t>
  </si>
  <si>
    <t>1=secondary firing</t>
  </si>
  <si>
    <t>1=brûleur secondair</t>
  </si>
  <si>
    <t>1=combustión secundaria</t>
  </si>
  <si>
    <t>2=Kalzinator ohne Terziärluft ("air through")</t>
  </si>
  <si>
    <t>2=in-line calciner (air through)</t>
  </si>
  <si>
    <r>
      <t>2=précalcinateur en ligne (</t>
    </r>
    <r>
      <rPr>
        <u/>
        <sz val="10"/>
        <rFont val="Arial"/>
        <family val="2"/>
      </rPr>
      <t>sans</t>
    </r>
    <r>
      <rPr>
        <sz val="10"/>
        <rFont val="Arial"/>
        <family val="2"/>
      </rPr>
      <t xml:space="preserve"> air terciaire)</t>
    </r>
  </si>
  <si>
    <r>
      <t>2=calcinador en linea (</t>
    </r>
    <r>
      <rPr>
        <u/>
        <sz val="10"/>
        <rFont val="Arial"/>
        <family val="2"/>
      </rPr>
      <t>sin</t>
    </r>
    <r>
      <rPr>
        <sz val="10"/>
        <rFont val="Arial"/>
        <family val="2"/>
      </rPr>
      <t xml:space="preserve"> aire terciario)</t>
    </r>
  </si>
  <si>
    <t>3=Kalzinator mit Terziärluft ("air separate")</t>
  </si>
  <si>
    <t>3=in-line calciner (air separate)</t>
  </si>
  <si>
    <t>3=précalcinateur en ligne (avec aire terciaire)</t>
  </si>
  <si>
    <t>3=calcinador en linea (con aire terciario)</t>
  </si>
  <si>
    <t>4=Kalzinator "off-line"</t>
  </si>
  <si>
    <t>4=off-line calciner</t>
  </si>
  <si>
    <t>4=précalcinateur hors ligne</t>
  </si>
  <si>
    <t>4=calcinador fuera linea</t>
  </si>
  <si>
    <t>5=Kalzinator "separate line"</t>
  </si>
  <si>
    <t>5=separate line calciner</t>
  </si>
  <si>
    <t>5=précalcinateur ligne séparé</t>
  </si>
  <si>
    <t>5=calcinador linea separada</t>
  </si>
  <si>
    <t>Ofen mit Rostvorwärmer (Lepol)</t>
  </si>
  <si>
    <t>Grate preheater kiln (Lepol)</t>
  </si>
  <si>
    <t>Four avec prechauffeur du grille (Lepol)</t>
  </si>
  <si>
    <t>Horno con precalentador de parilla (Lepol)</t>
  </si>
  <si>
    <t>(all dust in cooler)</t>
  </si>
  <si>
    <t>P mech</t>
  </si>
  <si>
    <t>1 = Rostkühler</t>
  </si>
  <si>
    <t>1 = grate cooler</t>
  </si>
  <si>
    <t>1 = enfriador de parilla</t>
  </si>
  <si>
    <t>2 = Planetenkühler</t>
  </si>
  <si>
    <t>2 = planetary cooler</t>
  </si>
  <si>
    <t>2 = enfriador de satélites</t>
  </si>
  <si>
    <t>0 = nein</t>
  </si>
  <si>
    <t>0 = no</t>
  </si>
  <si>
    <t>1 = ja</t>
  </si>
  <si>
    <t>1 = yes</t>
  </si>
  <si>
    <t>1 = oui</t>
  </si>
  <si>
    <t>1 = si</t>
  </si>
  <si>
    <t>Valeur inférieur</t>
  </si>
  <si>
    <t>WASSEREINSPRITZUNG IN VORWÄRMER</t>
  </si>
  <si>
    <t>WATERINJECTION INTO PREHEATER</t>
  </si>
  <si>
    <t>INJECTION D'EAU DANS LE PRECHAUFFEUR</t>
  </si>
  <si>
    <t>INYECCION DE AGUA AL PRECALENTADOR</t>
  </si>
  <si>
    <t>Recirculation de poussière a la sortie du four</t>
  </si>
  <si>
    <t>kg/m3</t>
  </si>
  <si>
    <t>m2</t>
  </si>
  <si>
    <t>Air properties at 1bar</t>
  </si>
  <si>
    <t>lambda</t>
  </si>
  <si>
    <t>eta</t>
  </si>
  <si>
    <t>a</t>
  </si>
  <si>
    <t>Q tot</t>
  </si>
  <si>
    <t>delta T</t>
  </si>
  <si>
    <t>T average</t>
  </si>
  <si>
    <t>e</t>
  </si>
  <si>
    <t>rad</t>
  </si>
  <si>
    <t>con_free</t>
  </si>
  <si>
    <t>con_forced</t>
  </si>
  <si>
    <t>rho</t>
  </si>
  <si>
    <t>[W/m2°C]</t>
  </si>
  <si>
    <t>[kW]</t>
  </si>
  <si>
    <t>[K]</t>
  </si>
  <si>
    <t>Temp.</t>
  </si>
  <si>
    <t>Cone</t>
  </si>
  <si>
    <t>Drop out chamber</t>
  </si>
  <si>
    <t>Connection to kiln hood</t>
  </si>
  <si>
    <t>Kiln hood</t>
  </si>
  <si>
    <t>Durchmesser</t>
  </si>
  <si>
    <t>Diameter</t>
  </si>
  <si>
    <t>Diametre</t>
  </si>
  <si>
    <t>Emissivität</t>
  </si>
  <si>
    <t>Emissivity</t>
  </si>
  <si>
    <t>Emissivité</t>
  </si>
  <si>
    <t>Emisividad</t>
  </si>
  <si>
    <t>Gesamtwärmeverlust</t>
  </si>
  <si>
    <t>Total heat loss</t>
  </si>
  <si>
    <t>Perte de chaleur totale</t>
  </si>
  <si>
    <t>Perdida de calor total</t>
  </si>
  <si>
    <r>
      <t>Gewählter Durchmesser zur Berechnung</t>
    </r>
    <r>
      <rPr>
        <sz val="10"/>
        <rFont val="Symbol"/>
        <family val="1"/>
        <charset val="2"/>
      </rPr>
      <t xml:space="preserve"> a</t>
    </r>
    <r>
      <rPr>
        <sz val="10"/>
        <rFont val="Arial"/>
        <family val="2"/>
      </rPr>
      <t>con_forced</t>
    </r>
  </si>
  <si>
    <r>
      <t xml:space="preserve">Diameter choosen for calculation of 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con_forced</t>
    </r>
  </si>
  <si>
    <t>Perte de chaluer totale</t>
  </si>
  <si>
    <t>Länge des Kühlers</t>
  </si>
  <si>
    <t>Cooler length</t>
  </si>
  <si>
    <t>Longeur du refroidisseur</t>
  </si>
  <si>
    <t>Longitud del enfriador</t>
  </si>
  <si>
    <t>Aussendurchmesser Kühler</t>
  </si>
  <si>
    <t>Cooler diameter</t>
  </si>
  <si>
    <t>Diamètre extérieur du refriodisseur</t>
  </si>
  <si>
    <t>Diámetro exterior del enfriador</t>
  </si>
  <si>
    <t>Satellitenkühler</t>
  </si>
  <si>
    <t>Refriodisseur satellite</t>
  </si>
  <si>
    <t>Enfriador Satélite</t>
  </si>
  <si>
    <t>KÜHLERMANTEL STRAHLUNGS- UND KONVEKTIONSVERLUSTE</t>
  </si>
  <si>
    <t>HEAT LOSSES OF COOLER SHELL RADIATION AND CONVECTION</t>
  </si>
  <si>
    <t>PERTE DE CHALEUR DE LA VIROLE DU REFRIODISSEUR PAR RADIATION ET CONVECTION</t>
  </si>
  <si>
    <t>PERDIDA DE CALOR DEL ENFRIADOR POR RADIACION Y CONVECCION</t>
  </si>
  <si>
    <t>Kühleroberfläche (vereinfacht)</t>
  </si>
  <si>
    <t>Cooler shell surface (simplified)</t>
  </si>
  <si>
    <t>Surface du refriodisseur</t>
  </si>
  <si>
    <r>
      <t xml:space="preserve">Diametre choisi pour le calcul de 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con_forced</t>
    </r>
  </si>
  <si>
    <r>
      <t xml:space="preserve">Diametro seleccionado para el  calculo de 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con_forced</t>
    </r>
  </si>
  <si>
    <t>Länge</t>
  </si>
  <si>
    <t>Length</t>
  </si>
  <si>
    <t>Longeur</t>
  </si>
  <si>
    <t>Logitud</t>
  </si>
  <si>
    <t>Oberfläche</t>
  </si>
  <si>
    <t>Surface</t>
  </si>
  <si>
    <t>Superficie</t>
  </si>
  <si>
    <t>Ofendurchmesser Brennzone</t>
  </si>
  <si>
    <t>Kiln diameter burning zone</t>
  </si>
  <si>
    <t>Diametre de la zone de cuisson</t>
  </si>
  <si>
    <t>Diámetro zona de clinkerización</t>
  </si>
  <si>
    <t>Ofenmantel 1/2</t>
  </si>
  <si>
    <t>Kiln Shell 1/2</t>
  </si>
  <si>
    <t>Virole 1/2</t>
  </si>
  <si>
    <t>Coraza 1/2</t>
  </si>
  <si>
    <t>Ofenmantel 2/2</t>
  </si>
  <si>
    <t>Kiln Shell 2/2</t>
  </si>
  <si>
    <t>Virole 2/2</t>
  </si>
  <si>
    <t>Coraza 2/2</t>
  </si>
  <si>
    <t>OFENMANTEL STRAHLUNGS- UND KONVEKTIONSVERLUSTE</t>
  </si>
  <si>
    <t>HEAT LOSSES OF KILN SHELL RADIATION AND CONVECTION</t>
  </si>
  <si>
    <t>PERTE DE CHALEUR DE LA VIROLE PAR RADIATION ET CONVECTION</t>
  </si>
  <si>
    <t>PERDIDA DE CALOR DE LA CORAZA POR RADIACION Y CONVECCION</t>
  </si>
  <si>
    <t>Superficia de la coraza</t>
  </si>
  <si>
    <t>Ofenmantelsegment</t>
  </si>
  <si>
    <t>Kiln shell segment</t>
  </si>
  <si>
    <t>Section de la virole</t>
  </si>
  <si>
    <t>Seccion de la coraza</t>
  </si>
  <si>
    <t>schwindigkeit</t>
  </si>
  <si>
    <t>velocity</t>
  </si>
  <si>
    <t>du vent</t>
  </si>
  <si>
    <t>del viento</t>
  </si>
  <si>
    <t>Spezifischer Wärmeverlust</t>
  </si>
  <si>
    <t>Specific heat loss</t>
  </si>
  <si>
    <t>Perte de chaleur specifique</t>
  </si>
  <si>
    <t>Perdida de calor especifico</t>
  </si>
  <si>
    <t>Strahlungs- &amp; Konvektionsverluste</t>
  </si>
  <si>
    <t>Radiation &amp; Convection Losses</t>
  </si>
  <si>
    <t>Perte de Chaleur Radiation &amp; Convection</t>
  </si>
  <si>
    <t>Perdida de Calor Radiación &amp; Convección</t>
  </si>
  <si>
    <t>total</t>
  </si>
  <si>
    <t>Umgebungsdruck</t>
  </si>
  <si>
    <t>Ambient pressure</t>
  </si>
  <si>
    <t>Presion d'environ</t>
  </si>
  <si>
    <t>Presión ambiente</t>
  </si>
  <si>
    <t>Windge-</t>
  </si>
  <si>
    <t>Wind</t>
  </si>
  <si>
    <t>ZUSAMMENFASSUNG WÄRMEBILANZ OFEN</t>
  </si>
  <si>
    <t>Language options</t>
  </si>
  <si>
    <t>Deutsch</t>
  </si>
  <si>
    <t>English</t>
  </si>
  <si>
    <t>Français</t>
  </si>
  <si>
    <t>Español</t>
  </si>
  <si>
    <t>Input data field</t>
  </si>
  <si>
    <t>Selected Language</t>
  </si>
  <si>
    <t>Input field for data which are not directly required for the heat balance</t>
  </si>
  <si>
    <t>Language Option:</t>
  </si>
  <si>
    <t xml:space="preserve">This version is dated:                                     </t>
  </si>
  <si>
    <t>m</t>
  </si>
  <si>
    <t>%</t>
  </si>
  <si>
    <t>mbar</t>
  </si>
  <si>
    <t>°C</t>
  </si>
  <si>
    <r>
      <t>Nm3</t>
    </r>
    <r>
      <rPr>
        <vertAlign val="subscript"/>
        <sz val="10"/>
        <rFont val="Arial Narrow"/>
        <family val="2"/>
      </rPr>
      <t xml:space="preserve">H2O </t>
    </r>
    <r>
      <rPr>
        <sz val="10"/>
        <rFont val="Arial Narrow"/>
        <family val="2"/>
      </rPr>
      <t>/ Nm3</t>
    </r>
    <r>
      <rPr>
        <vertAlign val="subscript"/>
        <sz val="10"/>
        <rFont val="Arial Narrow"/>
        <family val="2"/>
      </rPr>
      <t>air</t>
    </r>
  </si>
  <si>
    <t>h</t>
  </si>
  <si>
    <t>[t/h]</t>
  </si>
  <si>
    <t>kJ/kg°C</t>
  </si>
  <si>
    <t>kJ/kg</t>
  </si>
  <si>
    <t xml:space="preserve"> %</t>
  </si>
  <si>
    <t xml:space="preserve"> kg/kg feed</t>
  </si>
  <si>
    <t>+ CaO</t>
  </si>
  <si>
    <t>+ MgO</t>
  </si>
  <si>
    <t>- SiO2</t>
  </si>
  <si>
    <t>- Fe2O3</t>
  </si>
  <si>
    <t>+ Al2O3</t>
  </si>
  <si>
    <t>[%]</t>
  </si>
  <si>
    <t>[kJ / %]</t>
  </si>
  <si>
    <t>Characteristic diameter</t>
  </si>
  <si>
    <t>(used for calculation of forced convection heat transfer)</t>
  </si>
  <si>
    <t>kJ/kg cli</t>
  </si>
  <si>
    <t xml:space="preserve"> kJ/kg cli</t>
  </si>
  <si>
    <t>g/kg cli</t>
  </si>
  <si>
    <t>Kiln feed</t>
  </si>
  <si>
    <t>Fuel</t>
  </si>
  <si>
    <t>Clinker</t>
  </si>
  <si>
    <t>SO3</t>
  </si>
  <si>
    <t>K2O</t>
  </si>
  <si>
    <t>Na2O</t>
  </si>
  <si>
    <t>Cl</t>
  </si>
  <si>
    <t>% SO3</t>
  </si>
  <si>
    <t>% K2O</t>
  </si>
  <si>
    <t>% Na2O</t>
  </si>
  <si>
    <t>% Cl</t>
  </si>
  <si>
    <t>kJ/Nm3°C</t>
  </si>
  <si>
    <t>ppm</t>
  </si>
  <si>
    <t>Nm3/h</t>
  </si>
  <si>
    <t>Specific gas quantity at kiln inlet</t>
  </si>
  <si>
    <t>Nm3/kg cli</t>
  </si>
  <si>
    <t xml:space="preserve"> Nm3/h</t>
  </si>
  <si>
    <r>
      <t xml:space="preserve">% </t>
    </r>
    <r>
      <rPr>
        <b/>
        <sz val="10"/>
        <rFont val="Arial Narrow"/>
        <family val="2"/>
      </rPr>
      <t xml:space="preserve"> </t>
    </r>
    <r>
      <rPr>
        <sz val="10"/>
        <rFont val="Arial Narrow"/>
        <family val="2"/>
      </rPr>
      <t>dry</t>
    </r>
  </si>
  <si>
    <t>%  dry</t>
  </si>
  <si>
    <t>ppm  dry</t>
  </si>
  <si>
    <t>kg/h</t>
  </si>
  <si>
    <t>without vapor from coal mill</t>
  </si>
  <si>
    <t>-----&gt;</t>
  </si>
  <si>
    <t>No</t>
  </si>
  <si>
    <t>[-]</t>
  </si>
  <si>
    <t>[m]</t>
  </si>
  <si>
    <t>[m2]</t>
  </si>
  <si>
    <t>[m/s]</t>
  </si>
  <si>
    <t>[°C]</t>
  </si>
  <si>
    <t>[Nm3/h]</t>
  </si>
  <si>
    <t>g840 will now take temp of calciner string</t>
  </si>
  <si>
    <t xml:space="preserve"> Nm3/kg cli</t>
  </si>
  <si>
    <t>Unidad</t>
  </si>
  <si>
    <t>[kJ/kg]</t>
  </si>
  <si>
    <t>[kJ/kg°C]</t>
  </si>
  <si>
    <t>Amin</t>
  </si>
  <si>
    <t>[Nm3/MJ]</t>
  </si>
  <si>
    <t>Vmin</t>
  </si>
  <si>
    <t>Potassium cont. (K2O)</t>
  </si>
  <si>
    <t>Sodium cont. (Na2O)</t>
  </si>
  <si>
    <t>[kg/h]</t>
  </si>
  <si>
    <t>[MJ/h]</t>
  </si>
  <si>
    <t>[Nm3/kgcli]</t>
  </si>
  <si>
    <t>cp</t>
  </si>
  <si>
    <t>T</t>
  </si>
  <si>
    <t>[kJ/kg cli]</t>
  </si>
  <si>
    <t>[kcal/kg cli]</t>
  </si>
  <si>
    <t>[ppm], etc.</t>
  </si>
  <si>
    <t>t/h</t>
  </si>
  <si>
    <t>etc.</t>
  </si>
  <si>
    <t>H2O</t>
  </si>
  <si>
    <t xml:space="preserve">R= </t>
  </si>
  <si>
    <t xml:space="preserve"> kg/kg cli *)</t>
  </si>
  <si>
    <t>-</t>
  </si>
  <si>
    <t>[kJ/kg,cli]</t>
  </si>
  <si>
    <t>[MJ/kg]</t>
  </si>
  <si>
    <t>MJ/h</t>
  </si>
  <si>
    <t>l/h</t>
  </si>
  <si>
    <t xml:space="preserve"> kJ/kg,cli</t>
  </si>
  <si>
    <t>t H2O/h</t>
  </si>
  <si>
    <t>Nm3/kgcli</t>
  </si>
  <si>
    <t>ppm (dry)</t>
  </si>
  <si>
    <t>kJ/Nm3</t>
  </si>
  <si>
    <t>33 b</t>
  </si>
  <si>
    <t xml:space="preserve">  kJ/kg cli</t>
  </si>
  <si>
    <t>mol/kg cli</t>
  </si>
  <si>
    <t>KCl</t>
  </si>
  <si>
    <t>S</t>
  </si>
  <si>
    <t>NaCl</t>
  </si>
  <si>
    <t>K</t>
  </si>
  <si>
    <t>CaCl2</t>
  </si>
  <si>
    <t>Na</t>
  </si>
  <si>
    <t>K2SO4</t>
  </si>
  <si>
    <t>Na2SO4</t>
  </si>
  <si>
    <t>CaSO4</t>
  </si>
  <si>
    <t>kJ/Nm3 °C</t>
  </si>
  <si>
    <t>=</t>
  </si>
  <si>
    <t>Text selection for spreadsheet</t>
  </si>
  <si>
    <t>German</t>
  </si>
  <si>
    <t>French</t>
  </si>
  <si>
    <t>Spanish</t>
  </si>
  <si>
    <t>A</t>
  </si>
  <si>
    <t>Abluft</t>
  </si>
  <si>
    <t>Waste air</t>
  </si>
  <si>
    <t>Air d'exhaure</t>
  </si>
  <si>
    <t>Aire salida</t>
  </si>
  <si>
    <t>Abluft am Kühleraustritt</t>
  </si>
  <si>
    <t>Waste air flow at cooler take out</t>
  </si>
  <si>
    <t>Air d'exhaure au sortie du refroidisseur</t>
  </si>
  <si>
    <t xml:space="preserve">Aire de escape a la salida del enfriador </t>
  </si>
  <si>
    <t>Absolute Luftfeuchtigkeit</t>
  </si>
  <si>
    <t>Absolute humidity</t>
  </si>
  <si>
    <t>Humidité absolute</t>
  </si>
  <si>
    <t>Humedad absoluto</t>
  </si>
  <si>
    <t>akt. Produktionsleistung</t>
  </si>
  <si>
    <t>Actual production rate</t>
  </si>
  <si>
    <t>Production actuelle</t>
  </si>
  <si>
    <t>Capacidad actual</t>
  </si>
  <si>
    <t>ALTERNATIV-BRENNSTOFFE</t>
  </si>
  <si>
    <t>ALTERNATIVE FUELS</t>
  </si>
  <si>
    <t>COMBUSTIBLE ALTERNATIF</t>
  </si>
  <si>
    <t>COMBUSTIBLE ALTERNATIVO</t>
  </si>
  <si>
    <t>Alternativ</t>
  </si>
  <si>
    <t>Alternative</t>
  </si>
  <si>
    <t>Alternatif</t>
  </si>
  <si>
    <t>Alternativo</t>
  </si>
  <si>
    <t>Alternativbrennstoffe</t>
  </si>
  <si>
    <t>Alternative fuels</t>
  </si>
  <si>
    <t>Remark:</t>
  </si>
  <si>
    <t>Standard with precooling zone 0.0 - 0.5 m length</t>
  </si>
  <si>
    <t>Standard with precooling zone 0.5 - 1.5 m length</t>
  </si>
  <si>
    <t>Satellite Cooler</t>
  </si>
  <si>
    <t>Mineralized Clinker</t>
  </si>
  <si>
    <t>1350-1450</t>
  </si>
  <si>
    <t>Qklinker</t>
  </si>
  <si>
    <t>Qclinker</t>
  </si>
  <si>
    <t>Changes in line 565, sections 17, 62 &amp; 68</t>
  </si>
  <si>
    <t>Combustible alternatif</t>
  </si>
  <si>
    <t>Combust. alternativo</t>
  </si>
  <si>
    <t>am Ofeneinlauf</t>
  </si>
  <si>
    <t>at kiln inlet</t>
  </si>
  <si>
    <t>dans l'entée du four</t>
  </si>
  <si>
    <t>a la entrada del horno</t>
  </si>
  <si>
    <t>am Kalzinatoraustritt</t>
  </si>
  <si>
    <t>at precalciner outlet</t>
  </si>
  <si>
    <t>dans la sortie du precalcinateur</t>
  </si>
  <si>
    <t>a la salida del precalcinador</t>
  </si>
  <si>
    <t>am Wärmetauscher Austritt</t>
  </si>
  <si>
    <t>at preheater outlet</t>
  </si>
  <si>
    <t>dans la sortie du prechauffeur</t>
  </si>
  <si>
    <t>a la salida del precalentador</t>
  </si>
  <si>
    <t>Ascheeintrag</t>
  </si>
  <si>
    <t>Ash input</t>
  </si>
  <si>
    <t>Entrée de cendre</t>
  </si>
  <si>
    <t>Entrada de ceniza</t>
  </si>
  <si>
    <t>Asche-</t>
  </si>
  <si>
    <t>Ash</t>
  </si>
  <si>
    <t>Teneur en</t>
  </si>
  <si>
    <t>Contenido</t>
  </si>
  <si>
    <t>Aschegehalt</t>
  </si>
  <si>
    <t>Ash content</t>
  </si>
  <si>
    <t>Teneur en cendre</t>
  </si>
  <si>
    <t>Contenido de ceniza</t>
  </si>
  <si>
    <t>auf der O2 Messung</t>
  </si>
  <si>
    <t>on the O2 measurement</t>
  </si>
  <si>
    <t>concentration d'oxigène</t>
  </si>
  <si>
    <t>del contenido de oxígeno</t>
  </si>
  <si>
    <t>Aufgabe</t>
  </si>
  <si>
    <t>Feedrate</t>
  </si>
  <si>
    <t>Débit</t>
  </si>
  <si>
    <t>Materia</t>
  </si>
  <si>
    <t>Cyclone efficiency (with respect to fresh feed)</t>
  </si>
  <si>
    <t>good efficiency</t>
  </si>
  <si>
    <t>poor efficiency (old cyclones)</t>
  </si>
  <si>
    <t>very good efficiency (new cyclones)</t>
  </si>
  <si>
    <t>Aufgabemenge</t>
  </si>
  <si>
    <t>Débit de material</t>
  </si>
  <si>
    <t>Flujo de material</t>
  </si>
  <si>
    <t>Aufgabemenge auf die Kohlenmühle</t>
  </si>
  <si>
    <t>Feedrate to the coal mill</t>
  </si>
  <si>
    <t>Débit de l'alimentation au broyeur de charbon</t>
  </si>
  <si>
    <t>Flujo del alimentación al molino de carbon</t>
  </si>
  <si>
    <t>AUSTRÄGE</t>
  </si>
  <si>
    <t>OUTPUT</t>
  </si>
  <si>
    <t>SORTIE</t>
  </si>
  <si>
    <t>SALIDAS</t>
  </si>
  <si>
    <r>
      <t>Aus Luftbilanz berechnete,</t>
    </r>
    <r>
      <rPr>
        <u/>
        <sz val="10"/>
        <rFont val="Arial"/>
        <family val="2"/>
      </rPr>
      <t xml:space="preserve"> trockene</t>
    </r>
    <r>
      <rPr>
        <sz val="10"/>
        <rFont val="Arial"/>
        <family val="2"/>
      </rPr>
      <t xml:space="preserve"> Kühlerabluftmenge</t>
    </r>
  </si>
  <si>
    <r>
      <t>Dry</t>
    </r>
    <r>
      <rPr>
        <sz val="10"/>
        <rFont val="Arial"/>
        <family val="2"/>
      </rPr>
      <t xml:space="preserve"> cooler waste air flow, calculated by an air balance</t>
    </r>
  </si>
  <si>
    <r>
      <t>Débit de l'air d'exhaure du refroidisseur (</t>
    </r>
    <r>
      <rPr>
        <u/>
        <sz val="10"/>
        <rFont val="Arial"/>
        <family val="2"/>
      </rPr>
      <t>sec</t>
    </r>
    <r>
      <rPr>
        <sz val="10"/>
        <rFont val="Arial"/>
        <family val="2"/>
      </rPr>
      <t>), calculé par un bilan d'air</t>
    </r>
  </si>
  <si>
    <r>
      <t>Flujo del aire de escape del enfriador (</t>
    </r>
    <r>
      <rPr>
        <u/>
        <sz val="10"/>
        <rFont val="Arial"/>
        <family val="2"/>
      </rPr>
      <t>seco</t>
    </r>
    <r>
      <rPr>
        <sz val="10"/>
        <rFont val="Arial"/>
        <family val="2"/>
      </rPr>
      <t>), calculado con un balance de aire</t>
    </r>
  </si>
  <si>
    <r>
      <t>Nur ausfüllen, falls Prandtlmessung durchgeführt</t>
    </r>
    <r>
      <rPr>
        <sz val="10"/>
        <rFont val="Arial"/>
        <family val="2"/>
      </rPr>
      <t>:</t>
    </r>
  </si>
  <si>
    <r>
      <t>Fill in only in case of a prandtl measurement</t>
    </r>
    <r>
      <rPr>
        <sz val="10"/>
        <rFont val="Arial"/>
        <family val="2"/>
      </rPr>
      <t>:</t>
    </r>
  </si>
  <si>
    <r>
      <t>Remplir seulement en cas de mesure de prandtl</t>
    </r>
    <r>
      <rPr>
        <sz val="10"/>
        <rFont val="Arial"/>
        <family val="2"/>
      </rPr>
      <t>:</t>
    </r>
  </si>
  <si>
    <r>
      <t>Llenar solo en caso de medición de prandtl</t>
    </r>
    <r>
      <rPr>
        <sz val="10"/>
        <rFont val="Arial"/>
        <family val="2"/>
      </rPr>
      <t>:</t>
    </r>
  </si>
  <si>
    <t>Axialluft</t>
  </si>
  <si>
    <t>Axial air</t>
  </si>
  <si>
    <t>Air axial</t>
  </si>
  <si>
    <t>Aire axial</t>
  </si>
  <si>
    <t>B</t>
  </si>
  <si>
    <t>Bemerkung</t>
  </si>
  <si>
    <t>Remark</t>
  </si>
  <si>
    <t>Remarque</t>
  </si>
  <si>
    <t>Nota</t>
  </si>
  <si>
    <t>BEMERKUNGEN</t>
  </si>
  <si>
    <t>REMARKS &amp; COMMENTS</t>
  </si>
  <si>
    <t>COMMENTAIRES SUPPLEMENTAIRES</t>
  </si>
  <si>
    <t>NOTAS</t>
  </si>
  <si>
    <t>(berechnet)</t>
  </si>
  <si>
    <t>(calculated)</t>
  </si>
  <si>
    <t>(calculé)</t>
  </si>
  <si>
    <t>(cálculado)</t>
  </si>
  <si>
    <t>Berechnete Kühlermittelluft am Kühleraustritt</t>
  </si>
  <si>
    <t>Calculated cooler middle air flowrate at cooler outlet</t>
  </si>
  <si>
    <t>Débit de l'air d'exhaure médian calculé a la sortie du refroidisseur</t>
  </si>
  <si>
    <t>Correction J 405</t>
  </si>
  <si>
    <t>Flujo del aire mediano calculado en la salida del enfriador</t>
  </si>
  <si>
    <t>Berechnete Ofenabgasmenge (nass)</t>
  </si>
  <si>
    <t>(= 100 %)</t>
  </si>
  <si>
    <t>Total cooling air flowrate</t>
  </si>
  <si>
    <t>Total specific cooling air flowrate</t>
  </si>
  <si>
    <t xml:space="preserve">KILN SHELL </t>
  </si>
  <si>
    <t xml:space="preserve">RADIATION &amp; CONVECTION HEAT LOSSES </t>
  </si>
  <si>
    <t xml:space="preserve">PLANETARY COOLER </t>
  </si>
  <si>
    <t>TERTIARY AIR DUCT</t>
  </si>
  <si>
    <t>BDP</t>
  </si>
  <si>
    <t xml:space="preserve">      Typical values for suspension preheater and precalciner kilns (without bypass)</t>
  </si>
  <si>
    <t xml:space="preserve">      Typical exit gas temperatures for suspension preheater (SP) kilns</t>
  </si>
  <si>
    <t xml:space="preserve">      (for precalcining systems (PC) exit temperatures are approx. 10°C higher)</t>
  </si>
  <si>
    <t>Remark for interpretation of results:</t>
  </si>
  <si>
    <t xml:space="preserve">      Typical value: smaller than 300°C</t>
  </si>
  <si>
    <t xml:space="preserve">      Typical value: 150-350 kJ/kg cli</t>
  </si>
  <si>
    <t>3200-3500 kJ/kg cli</t>
  </si>
  <si>
    <t>3100-3400 kJ/kg cli</t>
  </si>
  <si>
    <t>3000-3300 kJ/kg cli</t>
  </si>
  <si>
    <t xml:space="preserve">      Thermal energy consumption</t>
  </si>
  <si>
    <t>(4 stage SP or PC)</t>
  </si>
  <si>
    <t>(5 stage SP or PC)</t>
  </si>
  <si>
    <t>(6 stage SP or PC)</t>
  </si>
  <si>
    <t>(4 stage SP)</t>
  </si>
  <si>
    <t>(5 stage SP)</t>
  </si>
  <si>
    <t>(6 stage SP)</t>
  </si>
  <si>
    <t xml:space="preserve">  kcal/kg cli</t>
  </si>
  <si>
    <t>PREHEATER / PRECALCINER RADIATION &amp; CONVECTION HEAT LOSSES</t>
  </si>
  <si>
    <t>PREHEATER / PRECALCINER</t>
  </si>
  <si>
    <t xml:space="preserve">      Typical value: 20-50 kJ/kg cli</t>
  </si>
  <si>
    <t>Vmin [%]</t>
  </si>
  <si>
    <t>H2O in</t>
  </si>
  <si>
    <t>Water content</t>
  </si>
  <si>
    <t>Typical values for normalized recuperation efficiency:</t>
  </si>
  <si>
    <t>SUMMARY HEAT BALANCE</t>
  </si>
  <si>
    <t>Calculated total exhaust gas quantity (wet)</t>
  </si>
  <si>
    <t>Flux de gas d'exhaure calculé</t>
  </si>
  <si>
    <t>Flujo de gas de salida calculado (mojado)</t>
  </si>
  <si>
    <t>Berechnete Ofenabgasmenge (trocken)</t>
  </si>
  <si>
    <t>Calculated total exhaust gas quantity (dry)</t>
  </si>
  <si>
    <t>Flux de gas d'exhaure calculé (sec)</t>
  </si>
  <si>
    <t>Flujo de gas de salida calculado (seco)</t>
  </si>
  <si>
    <t>BERECHNETE WERTE</t>
  </si>
  <si>
    <t>CALCULATED VALUES</t>
  </si>
  <si>
    <t>VALEURS CALCULES</t>
  </si>
  <si>
    <t>VALORES CALCULADO</t>
  </si>
  <si>
    <t>Berechneter Bypassvolumenstrom basierend auf O2-Messungen</t>
  </si>
  <si>
    <t>Calculated bypass flowrate based on O2 measurement</t>
  </si>
  <si>
    <t>Débit du bypass calculé sur base des mesures de O2</t>
  </si>
  <si>
    <t>Flujo de bypass calculado a base de mediciones de O2</t>
  </si>
  <si>
    <t>Berechneter Bypassvolumenstrom basierend auf einer Wärmebilanz</t>
  </si>
  <si>
    <t>Calculated bypass flowrate based on a heat balance</t>
  </si>
  <si>
    <t>Débit du bypass calculé sur base d'un bilan de chaleur</t>
  </si>
  <si>
    <t>Flujo de bypass calculado a base de un balance térmico</t>
  </si>
  <si>
    <t>Berechneter Wert</t>
  </si>
  <si>
    <t>Calculated value</t>
  </si>
  <si>
    <t>Valeur calculé</t>
  </si>
  <si>
    <t>Valor calculado</t>
  </si>
  <si>
    <t>Revsion of formulas in rows AA and AD (Tamb added)</t>
  </si>
  <si>
    <t>Radiation and convection sheets corrected ( rows AA and ad with Tamb corrected)</t>
  </si>
  <si>
    <t>Wärmefreisetzung durch Kondensation der Kreislaufelemente am Bypassstaub:</t>
  </si>
  <si>
    <t>Heat input due to condensation of circulating elements on the bypass dust:</t>
  </si>
  <si>
    <t>Entrada de calor por condensación de los elementos volátiles en el polvo del bypass:</t>
  </si>
  <si>
    <t>Betrieb</t>
  </si>
  <si>
    <t>Operation</t>
  </si>
  <si>
    <t>Opération</t>
  </si>
  <si>
    <t>Operación</t>
  </si>
  <si>
    <t>Bilanz</t>
  </si>
  <si>
    <t>Balance</t>
  </si>
  <si>
    <t>Bilan</t>
  </si>
  <si>
    <t>bis</t>
  </si>
  <si>
    <t>to</t>
  </si>
  <si>
    <t>justqu'au</t>
  </si>
  <si>
    <t>hasta</t>
  </si>
  <si>
    <t>Christian Engmann</t>
  </si>
  <si>
    <t>BRENNBARES IN DER OFENAUFGABE</t>
  </si>
  <si>
    <t>COMBUSTIBLE MATTER IN KILN FEED</t>
  </si>
  <si>
    <t>COMBUSTIBLE DANS L'ALIMENTATION DU FOUR</t>
  </si>
  <si>
    <t>COMBUSTIBLES EN LA ALIMENTACIÓN DEL HORNO</t>
  </si>
  <si>
    <t>Brennbares</t>
  </si>
  <si>
    <t>Combustible matter</t>
  </si>
  <si>
    <t>Combustible</t>
  </si>
  <si>
    <t>BRENNSTOFF</t>
  </si>
  <si>
    <t>FUEL</t>
  </si>
  <si>
    <t>CONVENTIONEL</t>
  </si>
  <si>
    <t>CONVENCIONAL</t>
  </si>
  <si>
    <t>Brennstoff</t>
  </si>
  <si>
    <t>Brennstoff Hauptbrenner</t>
  </si>
  <si>
    <t>Fuelrate main burner</t>
  </si>
  <si>
    <t>Débit comb. brûleur princ.</t>
  </si>
  <si>
    <t>Flujo comb. quem. princ.</t>
  </si>
  <si>
    <t>Brennstoff Hauptfeuerung</t>
  </si>
  <si>
    <t>Fuel input main burner</t>
  </si>
  <si>
    <t>Chaleur brûleur primair</t>
  </si>
  <si>
    <t>Calor quemador princ.</t>
  </si>
  <si>
    <t>Brennstoff Kalzinator</t>
  </si>
  <si>
    <t>Fuelrate calciner</t>
  </si>
  <si>
    <t>Comb. calcinateur</t>
  </si>
  <si>
    <t>Comb. calcinador</t>
  </si>
  <si>
    <t>Brennstoff Ofeneinlauf</t>
  </si>
  <si>
    <t>Fuelrate kiln inlet</t>
  </si>
  <si>
    <t>Comb. entrée du four</t>
  </si>
  <si>
    <t>Comb. entrada horno</t>
  </si>
  <si>
    <t>BRENNSTOFFDATEN</t>
  </si>
  <si>
    <t>FUEL DATA</t>
  </si>
  <si>
    <t>CHARACTERISTIQUES DES COMBUSTIBLES</t>
  </si>
  <si>
    <t>CARACTERISTICAS DE LOS COMBUSTIBLES</t>
  </si>
  <si>
    <t>BRENNSTOFFEINTRAG</t>
  </si>
  <si>
    <t>FUEL INPUT</t>
  </si>
  <si>
    <t>ENTREE DU COMBUSTIBLE</t>
  </si>
  <si>
    <t>ENTRADA DEL COMBUSTIBLE</t>
  </si>
  <si>
    <t>BRENNSTOFFMENGE</t>
  </si>
  <si>
    <t>TOTAL FEEDRATE</t>
  </si>
  <si>
    <t>DEBIT TOTAL</t>
  </si>
  <si>
    <t>FLUJO TOTAL</t>
  </si>
  <si>
    <t>Brennstoffmenge</t>
  </si>
  <si>
    <t>Total feedrate</t>
  </si>
  <si>
    <t>Débit total</t>
  </si>
  <si>
    <t>Flujo total</t>
  </si>
  <si>
    <t>BRENNSTOFFVERBRENNUNG</t>
  </si>
  <si>
    <t>COMBUSTION OF FUELS</t>
  </si>
  <si>
    <t>COMBUSTION DU COMBUSTIBLE</t>
  </si>
  <si>
    <t>COMBUSTIÓN</t>
  </si>
  <si>
    <t>BYPASS</t>
  </si>
  <si>
    <t>Bypassverluste</t>
  </si>
  <si>
    <t>Bypass losses</t>
  </si>
  <si>
    <t>Perte de chaleur bypass</t>
  </si>
  <si>
    <t>Pérdidas bypass</t>
  </si>
  <si>
    <t>BYPASS FILTERSTAUB</t>
  </si>
  <si>
    <t>BYPASS DUST</t>
  </si>
  <si>
    <t>POUSSIERE DU BYPASS</t>
  </si>
  <si>
    <t>POLVO DEL BYPASS</t>
  </si>
  <si>
    <t>Bypass Filterstaub</t>
  </si>
  <si>
    <t>Bypass dust</t>
  </si>
  <si>
    <t>Poussière du bypass</t>
  </si>
  <si>
    <t>Polvo del bypass</t>
  </si>
  <si>
    <t>Bypassvolumenstrom (feucht)</t>
  </si>
  <si>
    <t>Bypass flowrate (wet)</t>
  </si>
  <si>
    <t>Débit de bypass</t>
  </si>
  <si>
    <t>Flujo de gas del bypass (húmedo)</t>
  </si>
  <si>
    <t>Bypassvolumenstrom (trocken)</t>
  </si>
  <si>
    <t>Bypass flowrate (dry)</t>
  </si>
  <si>
    <t>Débit de bypass (sec)</t>
  </si>
  <si>
    <t>Flujo de gas del bypass (seco)</t>
  </si>
  <si>
    <t>C</t>
  </si>
  <si>
    <t>CaO (nicht carbonatisch)</t>
  </si>
  <si>
    <t>CaO (non carbonatic)</t>
  </si>
  <si>
    <t>Teneur en CaO (no carbonatique)</t>
  </si>
  <si>
    <t>CaO (oxido de calcio)</t>
  </si>
  <si>
    <t>CaO Gehalt</t>
  </si>
  <si>
    <t>CaO content</t>
  </si>
  <si>
    <t>Teneur en CaO</t>
  </si>
  <si>
    <t>Contenido de CaO</t>
  </si>
  <si>
    <t>CaO Gehalt Bypassstaub</t>
  </si>
  <si>
    <t>CaO content in bypass dust</t>
  </si>
  <si>
    <t>Teneur en CaO de la poussière de bypass</t>
  </si>
  <si>
    <t>Contenido de CaO en polvo de bypass</t>
  </si>
  <si>
    <t>Chlorgehalt (Cl)</t>
  </si>
  <si>
    <t>Chlor content (Cl)</t>
  </si>
  <si>
    <t>Teneur en Chlor (Cl)</t>
  </si>
  <si>
    <t>Contenido de Cloro (Cl)</t>
  </si>
  <si>
    <t>CO</t>
  </si>
  <si>
    <t>CO Gehalt</t>
  </si>
  <si>
    <t>CO content</t>
  </si>
  <si>
    <t>Teneur en CO</t>
  </si>
  <si>
    <t>Contenido de CO</t>
  </si>
  <si>
    <t>CO Gehalt im Bypassvolumenstrom</t>
  </si>
  <si>
    <t>CO content in bypass flowrate</t>
  </si>
  <si>
    <t>Teneur en CO dans le débit de gaz du bypass</t>
  </si>
  <si>
    <t>Contenido de CO en flujo de gas del bypass</t>
  </si>
  <si>
    <t>CO Gehalt im Ofenabgas</t>
  </si>
  <si>
    <t>Parameter required in case of a separate line calciner (otherwise leave empty):</t>
  </si>
  <si>
    <t>Average specific heat (input value)</t>
  </si>
  <si>
    <t>ESTIMATION OF BYPASS FLOW RATE</t>
  </si>
  <si>
    <t>O2 content after quenching chamber</t>
  </si>
  <si>
    <t>Temperature after quenching chamber</t>
  </si>
  <si>
    <t>Radiation and convection losses</t>
  </si>
  <si>
    <t>Standard value for grate coolers: 20 kJ/kg cli</t>
  </si>
  <si>
    <t>Separate calculation spreadsheet exists to determine this value.</t>
  </si>
  <si>
    <t>For planetary coolers: calculation via separate spreadsheet.</t>
  </si>
  <si>
    <t>350-360 °C</t>
  </si>
  <si>
    <t>310-320 °C</t>
  </si>
  <si>
    <t>290-300 °C</t>
  </si>
  <si>
    <t xml:space="preserve">      Standard value for grate coolers including kiln hood: 20 kJ/kg cli</t>
  </si>
  <si>
    <t xml:space="preserve"> from     to</t>
  </si>
  <si>
    <t>No.</t>
  </si>
  <si>
    <t>Pos.</t>
  </si>
  <si>
    <t xml:space="preserve">   Position</t>
  </si>
  <si>
    <t>Total</t>
  </si>
  <si>
    <t>Primary air temperature</t>
  </si>
  <si>
    <t>CO content in kiln exhaust gas</t>
  </si>
  <si>
    <t>Teneur en CO dans les gaz d'exhaures</t>
  </si>
  <si>
    <t>Contenido de CO en los gases salida torre de precalentador</t>
  </si>
  <si>
    <t>CO Volumenstrom</t>
  </si>
  <si>
    <t>CO flowrate</t>
  </si>
  <si>
    <t>Débit de CO</t>
  </si>
  <si>
    <t>Flujo de CO</t>
  </si>
  <si>
    <t>cp Brennstoff</t>
  </si>
  <si>
    <t>cp fuel</t>
  </si>
  <si>
    <t>cp combustible</t>
  </si>
  <si>
    <t>cp Klinker</t>
  </si>
  <si>
    <t>cp clinker</t>
  </si>
  <si>
    <t>cp Klinkerstaub</t>
  </si>
  <si>
    <t>cp clinker dust</t>
  </si>
  <si>
    <t>cp poussière du clinker</t>
  </si>
  <si>
    <t>cp polvo de clinker</t>
  </si>
  <si>
    <t>cp Gas</t>
  </si>
  <si>
    <t>cp gas</t>
  </si>
  <si>
    <t>cp gaz</t>
  </si>
  <si>
    <t>cp Gas manuell</t>
  </si>
  <si>
    <t>cp gas manual</t>
  </si>
  <si>
    <t>cp gaz manuel</t>
  </si>
  <si>
    <t>cp Luft</t>
  </si>
  <si>
    <t>cp air</t>
  </si>
  <si>
    <t>cp aire</t>
  </si>
  <si>
    <t>cp feuchte Luft</t>
  </si>
  <si>
    <t>cp humid air</t>
  </si>
  <si>
    <t>cp aire humide</t>
  </si>
  <si>
    <t>cp aire humedo</t>
  </si>
  <si>
    <t>cp Rohmehl (trocken)</t>
  </si>
  <si>
    <t>cp feed (dry)</t>
  </si>
  <si>
    <t>cp farine (seche)</t>
  </si>
  <si>
    <t>cp harina (seca)</t>
  </si>
  <si>
    <t>cp Staub</t>
  </si>
  <si>
    <t>cp dust</t>
  </si>
  <si>
    <t>cp poussière</t>
  </si>
  <si>
    <t>cp polvo</t>
  </si>
  <si>
    <t>cp Wasser</t>
  </si>
  <si>
    <t>Falschluft Tertiärluftleitung</t>
  </si>
  <si>
    <t>False air tertiary air duct</t>
  </si>
  <si>
    <t>Air faux gaine air tertiaire</t>
  </si>
  <si>
    <t>Aire falso ducto aire tertiario</t>
  </si>
  <si>
    <t>cp water</t>
  </si>
  <si>
    <t>cp de l'eau</t>
  </si>
  <si>
    <t>cp agua</t>
  </si>
  <si>
    <t>cp Wasserdampf</t>
  </si>
  <si>
    <t>cp water vapor</t>
  </si>
  <si>
    <t>cp vapeur de l'eau</t>
  </si>
  <si>
    <t>cp vapor de agua</t>
  </si>
  <si>
    <t>D</t>
  </si>
  <si>
    <t xml:space="preserve">Remark: </t>
  </si>
  <si>
    <t>Dampf von Wassereinspritzung</t>
  </si>
  <si>
    <t>Vapor from waterinjection</t>
  </si>
  <si>
    <t>Vapeur del injection d'eau</t>
  </si>
  <si>
    <t>Vapor de inyección de agua</t>
  </si>
  <si>
    <t>Datum</t>
  </si>
  <si>
    <t>Date</t>
  </si>
  <si>
    <t>Fecha</t>
  </si>
  <si>
    <t>Dauer</t>
  </si>
  <si>
    <t>Period</t>
  </si>
  <si>
    <t>Durée de la compagne</t>
  </si>
  <si>
    <t>Duración de la prueba</t>
  </si>
  <si>
    <t>Direkt- oder Halbdirektfeuerung</t>
  </si>
  <si>
    <t>Direct- or semi direct firing system</t>
  </si>
  <si>
    <t>Système de charbon direct ou semi-direct</t>
  </si>
  <si>
    <t>Sistema de carbón directo o semi-directo</t>
  </si>
  <si>
    <t>durchmesser</t>
  </si>
  <si>
    <t>diameter</t>
  </si>
  <si>
    <t>inferieur</t>
  </si>
  <si>
    <t>entrada</t>
  </si>
  <si>
    <t>Durchmesser Brennzone</t>
  </si>
  <si>
    <t>Diameter burning zone</t>
  </si>
  <si>
    <t>Diametre zone de cuisson</t>
  </si>
  <si>
    <t>Diámetro zona de clinkerisación</t>
  </si>
  <si>
    <t>E</t>
  </si>
  <si>
    <t>EIGENSCHAFTEN OFENAUFGABE</t>
  </si>
  <si>
    <t>KILN FEED PROPERTIES</t>
  </si>
  <si>
    <t>ALIMENTATION FOUR</t>
  </si>
  <si>
    <t>Heat output via secondary and tertiary air minus dust circulation</t>
  </si>
  <si>
    <t>g/m3</t>
  </si>
  <si>
    <t>ALIMENTACIÓN AL HORNO</t>
  </si>
  <si>
    <t>Einheit</t>
  </si>
  <si>
    <t>Unit</t>
  </si>
  <si>
    <t>Unité</t>
  </si>
  <si>
    <t>Einlauf-</t>
  </si>
  <si>
    <t>Intake</t>
  </si>
  <si>
    <t>Diamètre</t>
  </si>
  <si>
    <t>Diámetro</t>
  </si>
  <si>
    <t>EINTRÄGE</t>
  </si>
  <si>
    <t>INPUT</t>
  </si>
  <si>
    <t>ENTREE</t>
  </si>
  <si>
    <t>ENTRADAS</t>
  </si>
  <si>
    <t>Eintritts-</t>
  </si>
  <si>
    <t>Section</t>
  </si>
  <si>
    <t>Sección</t>
  </si>
  <si>
    <t>ENERGIE</t>
  </si>
  <si>
    <t>ENERGY</t>
  </si>
  <si>
    <t>CHALEUR</t>
  </si>
  <si>
    <t>ENERGÍA</t>
  </si>
  <si>
    <t>Entsäuerungsgrad des Heissmehls</t>
  </si>
  <si>
    <t>Calcination degree of the hot meal</t>
  </si>
  <si>
    <t>Calcination degree of hot meal</t>
  </si>
  <si>
    <t>Decarbonatación de la harina caliente</t>
  </si>
  <si>
    <t>F</t>
  </si>
  <si>
    <t>FÜHLBARE WÄRME</t>
  </si>
  <si>
    <t>SENSIBLE HEAT</t>
  </si>
  <si>
    <t>CHALEUR SENSIBLE</t>
  </si>
  <si>
    <t>CALOR SENSIBLE</t>
  </si>
  <si>
    <t>Fühlbare Wärme</t>
  </si>
  <si>
    <t>Sensible heat</t>
  </si>
  <si>
    <t>Chaleur sensible</t>
  </si>
  <si>
    <t>Calor sensible</t>
  </si>
  <si>
    <t>Fühlbare Wärme Brennstoff(e)</t>
  </si>
  <si>
    <t>Sensible heat from fuel(s)</t>
  </si>
  <si>
    <t>Chaleur sensible du/des combustible(s)</t>
  </si>
  <si>
    <t>Calor sensible del/de los combustible(s)</t>
  </si>
  <si>
    <t>Fühlbare Wärme Bypassvolumenstrom</t>
  </si>
  <si>
    <t>Heat output via bypass gasflow</t>
  </si>
  <si>
    <t>Perte de chaleur par débit du bypass</t>
  </si>
  <si>
    <t>Pérdida de calor en el flujo de bypass</t>
  </si>
  <si>
    <t>Update of CP values of kiln feed, dust air to VT 10 standard from VDZ(with corrected reference temperature as VDZ uses 25°C in standard)</t>
  </si>
  <si>
    <t>FÜHLBARE WÄRME BYPASSVOLUMENSTROM</t>
  </si>
  <si>
    <t>SENSIBLE HEAT BYPASS FLOWRATE</t>
  </si>
  <si>
    <t>CHALEUR SENSIBLE DEBIT DU BYPASS</t>
  </si>
  <si>
    <t>CALOR SENSIBLE FLUJO DE GAS DEL BYPASS</t>
  </si>
  <si>
    <t>SE</t>
  </si>
  <si>
    <t>FÜHLBARE WÄRME DES KLINKERS</t>
  </si>
  <si>
    <t>SENSIBLE HEAT OF CLINKER</t>
  </si>
  <si>
    <t>CHALEUR SENSIBLE DU CLINKER</t>
  </si>
  <si>
    <t>CALOR SENSIBLE DEL CLINKER</t>
  </si>
  <si>
    <t>Fühlbare Wärme des Klinkers</t>
  </si>
  <si>
    <t>Heat output via the clinker</t>
  </si>
  <si>
    <t>Perte de chaleur par le clinker</t>
  </si>
  <si>
    <t>Pérdida de calor con el clinker</t>
  </si>
  <si>
    <t>Fühlbare Wärme Sekundärluft</t>
  </si>
  <si>
    <t>Heat output via secondary air</t>
  </si>
  <si>
    <t>Perte de chaleur par l'air secondaire</t>
  </si>
  <si>
    <t>Pérdida de calor con aire secundario</t>
  </si>
  <si>
    <t>Fühlbare Wärme Wasser</t>
  </si>
  <si>
    <t>Sensible heat water</t>
  </si>
  <si>
    <t>Chaleur sensible eau</t>
  </si>
  <si>
    <t>Calor sensible agua</t>
  </si>
  <si>
    <t>Fühlbare Wärme Luft</t>
  </si>
  <si>
    <t>Sensible heat air</t>
  </si>
  <si>
    <t>Chaleur sensible air</t>
  </si>
  <si>
    <t>Calor sensible aire</t>
  </si>
  <si>
    <t>FÜHLBARE WÄRME DES STAUBVERLUSTES</t>
  </si>
  <si>
    <t>Duration</t>
  </si>
  <si>
    <t>Dust loss (mass flow)</t>
  </si>
  <si>
    <t>Kiln feed (mass flow)</t>
  </si>
  <si>
    <t>Clinker (mass flow)</t>
  </si>
  <si>
    <t>Remark: Standard value for the heat of formation: 1750 kJ/kg cli.</t>
  </si>
  <si>
    <t>Bypass dust (mass flow)</t>
  </si>
  <si>
    <t>Water input (mass flow)</t>
  </si>
  <si>
    <t>Remark: Leave empty in case of direct and semidirect firing systems.</t>
  </si>
  <si>
    <t>Remark: Leave empty in case of indirect firing systems.</t>
  </si>
  <si>
    <t>Direct or semi direct firing system</t>
  </si>
  <si>
    <t xml:space="preserve">Correction  I 227 (avoid empty cells if not all primary air introduced), F 426; </t>
  </si>
  <si>
    <t>Correction I 426  , if Precal &lt;3 then 0, adaptation G 1075 if = 0, then ""</t>
  </si>
  <si>
    <t>Specific heat capacity cp</t>
  </si>
  <si>
    <t>Minimum air for secondary firing</t>
  </si>
  <si>
    <t>Remark: Measured value.</t>
  </si>
  <si>
    <t>Remark: Fitting parameter</t>
  </si>
  <si>
    <t>(can be adjusted according to cooler heat balance).</t>
  </si>
  <si>
    <t>Cooler efficiency (recuperation efficiency)</t>
  </si>
  <si>
    <t>*) Dry kiln feed divided by the clinker production.</t>
  </si>
  <si>
    <t>[Nm3/kg cli]</t>
  </si>
  <si>
    <t>3.0 @ 25°C</t>
  </si>
  <si>
    <t>2.2 @ 25°C</t>
  </si>
  <si>
    <t>1.7 @ 25°C</t>
  </si>
  <si>
    <t>SENSIBLE HEAT OUTPUT VIA DUST</t>
  </si>
  <si>
    <t>CHALEUR SENSIBLE DE LA POUSSIERE</t>
  </si>
  <si>
    <t>CALOR SENSIBLE DEL POLVO</t>
  </si>
  <si>
    <t>Fühlbare Wärme des Staubverlustes</t>
  </si>
  <si>
    <t>Heat output via dust loss</t>
  </si>
  <si>
    <t>Perte de chaleur par la poussiere</t>
  </si>
  <si>
    <t>Pérdida de calor en el polvo</t>
  </si>
  <si>
    <t>Fühlbare Wärme Falschluft</t>
  </si>
  <si>
    <t>Heat input via false air</t>
  </si>
  <si>
    <t>Chaleur sensible air faux</t>
  </si>
  <si>
    <t>Calor sensible del aire falso</t>
  </si>
  <si>
    <t>Fühlbare Wärme Tertiärluft</t>
  </si>
  <si>
    <t>Heat output via tertiary air</t>
  </si>
  <si>
    <t>Perte de chaleur par l'air tertiaire</t>
  </si>
  <si>
    <t>Pérdida de calor con aire terciario</t>
  </si>
  <si>
    <t>FÜHLBARE WÄRME HAUPTBRENNER</t>
  </si>
  <si>
    <t>SENSIBLE HEAT MAIN BURNER</t>
  </si>
  <si>
    <t>CHALEUR SENSIBLE BRÛLEUR PRINCIPAL</t>
  </si>
  <si>
    <t>CALOR SENSIBLE QUEMADOR PRINCIPAL</t>
  </si>
  <si>
    <t>FÜHLBARE WÄRME KÜHLERABLUFT</t>
  </si>
  <si>
    <t>SENSIBLE HEAT COOLER WASTE AIR</t>
  </si>
  <si>
    <t>CHALEUR SENSIBLE DE L'AIR D'EXHAURE DU REFROIDISSEUR</t>
  </si>
  <si>
    <t>CALOR SENSIBLE AIRE SALIDA DEL ENFRIADOR</t>
  </si>
  <si>
    <t>Fühlbare Wärme Kühlerabluft</t>
  </si>
  <si>
    <t>Heat output through cooler waste air</t>
  </si>
  <si>
    <t>Perte de chaleur dans l'air d'exhaure</t>
  </si>
  <si>
    <t>Pérdida de calor con aire de salida del enfriador</t>
  </si>
  <si>
    <t>FÜHLBARE WÄRME KÜHLERMITTELLUFT</t>
  </si>
  <si>
    <t>SENSIBLE HEAT COOLER MIDDLE AIR</t>
  </si>
  <si>
    <t>C387: Comment added for Secondary air volume calulation</t>
  </si>
  <si>
    <t>I440: False air in tertiary air duct  can now be introduced</t>
  </si>
  <si>
    <t>CHALEUR SENSIBLE DE L'AIR D'EXHAURE MEDIAN</t>
  </si>
  <si>
    <t>CALOR SENSIBLE AIRE MEDIANA DEL ENFRIADOR</t>
  </si>
  <si>
    <t>Fühlbare Wärme Kühlermittelluft</t>
  </si>
  <si>
    <t>Heat output through cooler middle air</t>
  </si>
  <si>
    <t>Perte de chaleur dans l'air d'exhaure median</t>
  </si>
  <si>
    <t>Pérdida de calor con aire mediana del enfriador</t>
  </si>
  <si>
    <t>FÜHLBARE WÄRME VON WASSERDAMPF IN ABLUFT</t>
  </si>
  <si>
    <t>SENSIBLE HEAT OF WATER VAPOR IN WASTE AIR</t>
  </si>
  <si>
    <t>CHALEUR SENSIBLE DU VAPEUR D'EAU DANS L'AIR D'EXHAURE</t>
  </si>
  <si>
    <t>CALOR SENSIBLE VAPOR DE AGUA EN EL AIRE SALIDA</t>
  </si>
  <si>
    <t>FÜHLBARE WÄRME OFENABGASE</t>
  </si>
  <si>
    <t>SENSIBLE HEAT KILN EXHAUST GASES</t>
  </si>
  <si>
    <t>CHALEUR SENSIBLE GAZ D'EXHAURE</t>
  </si>
  <si>
    <t>CALOR SENSIBLE GAS SALIDA TORRE DE PRECALENTADOR</t>
  </si>
  <si>
    <t>FÜHLBARE WÄRME KÜHLLUFT</t>
  </si>
  <si>
    <t>SENSIBLE HEAT COOLING AIR</t>
  </si>
  <si>
    <t>CHALEUR SENSIBLE AIR REFROIDISSEUR</t>
  </si>
  <si>
    <t>Remark: The calculated value is only for information and is not further used in the calculation.</t>
  </si>
  <si>
    <t>Remark: The input value is used for further calculations; the calculated value may be used as a reference.</t>
  </si>
  <si>
    <t>Flow rate of quenching air</t>
  </si>
  <si>
    <t>Temperature of quenching air</t>
  </si>
  <si>
    <t>cp gas (calculated value)</t>
  </si>
  <si>
    <t>cp gas (input value)</t>
  </si>
  <si>
    <t>Parameters required in case of a separate line calciner (otherwise leave empty):</t>
  </si>
  <si>
    <t>Central air</t>
  </si>
  <si>
    <t>Average temperature of primary air</t>
  </si>
  <si>
    <t>Temperature in the duct (balance boundary)</t>
  </si>
  <si>
    <t>Water temperature</t>
  </si>
  <si>
    <t xml:space="preserve">** Remark: </t>
  </si>
  <si>
    <t xml:space="preserve">* Remark: </t>
  </si>
  <si>
    <t>Standard value, false air kiln inlet seal</t>
  </si>
  <si>
    <t>Dusty kiln hood</t>
  </si>
  <si>
    <t>30-50 g/m3 or 3-5%</t>
  </si>
  <si>
    <t>50 g/m3 or 5%</t>
  </si>
  <si>
    <t>Standard values</t>
  </si>
  <si>
    <t xml:space="preserve">     Remark:</t>
  </si>
  <si>
    <t>In case of water injection into kiln, water can be included in fuel for calculation.</t>
  </si>
  <si>
    <t>Fitting parameter (can be adjusted in section 17).</t>
  </si>
  <si>
    <t>Coal</t>
  </si>
  <si>
    <t>Oil</t>
  </si>
  <si>
    <t>Gas</t>
  </si>
  <si>
    <t>AFR</t>
  </si>
  <si>
    <t>Standard value, false air cooler</t>
  </si>
  <si>
    <t>0.03-0.05</t>
  </si>
  <si>
    <t xml:space="preserve">     Remark: Fitting parameter (can be adjusted in section 10).</t>
  </si>
  <si>
    <t xml:space="preserve">     Remark: Fitting parameter (can be adjusted in section 11).</t>
  </si>
  <si>
    <t>Heavy oil</t>
  </si>
  <si>
    <t>Light oil</t>
  </si>
  <si>
    <t>Natural gas</t>
  </si>
  <si>
    <t>Tires</t>
  </si>
  <si>
    <t>Reference values</t>
  </si>
  <si>
    <t>CALOR SENSIBLE AIRE DE ENFRIAMIENTO</t>
  </si>
  <si>
    <t>FÜHLBARE WÄRME DES EINGESPRITZTEN WASSERS</t>
  </si>
  <si>
    <t>SENSIBLE HEAT OF INJECTED WATER</t>
  </si>
  <si>
    <t>CHALEUR SENSIBLE D'EAU INJECTÉ AU REFROIDISSEUR</t>
  </si>
  <si>
    <t>CALOR SENSIBLE DE AGUA INYECTADA AL ENFRIADOR</t>
  </si>
  <si>
    <t>Fühlbare Wärme Ofenabgase</t>
  </si>
  <si>
    <t>Sensible heat kiln exhaust gases</t>
  </si>
  <si>
    <t>Chaleur sensible gaz d'exhaure du four</t>
  </si>
  <si>
    <t>Calor sensible gas salida de torre precalentador</t>
  </si>
  <si>
    <t>Fühlbare Wärme Kalzinatorabgase</t>
  </si>
  <si>
    <t>SEKUNDÄRFEUERUNG</t>
  </si>
  <si>
    <t>COMBUSTION SECONDAIRE</t>
  </si>
  <si>
    <t>Sulfur/Alkali reaction taken out of HB</t>
  </si>
  <si>
    <t>Wassereinspritzung in Vorwärmer</t>
  </si>
  <si>
    <t>Wärmeverbrauch Wasserverdunstung Vorwärmer</t>
  </si>
  <si>
    <t>Preheater</t>
  </si>
  <si>
    <t>PREHEATER</t>
  </si>
  <si>
    <t>Sensible heat calciner exhaust gases</t>
  </si>
  <si>
    <t>Chaleur sensible gaz d'exhaure du calcinateur</t>
  </si>
  <si>
    <t>Calor sensible gas salida de torre precalcinador</t>
  </si>
  <si>
    <t>FÜHLBARE WÄRME KALZINATORABGASE</t>
  </si>
  <si>
    <t>SENSIBLE HEAT CALCINER EXHAUST GASES</t>
  </si>
  <si>
    <t>Mechanical energy from fans considered in balance</t>
  </si>
  <si>
    <t>1= yes considered</t>
  </si>
  <si>
    <t>0= no not considered</t>
  </si>
  <si>
    <t>Absorbed power:</t>
  </si>
  <si>
    <t>Kiln drive</t>
  </si>
  <si>
    <t>KW</t>
  </si>
  <si>
    <t>(@counter)</t>
  </si>
  <si>
    <t>Sum of all cooling air fans</t>
  </si>
  <si>
    <t>If considered above these cells become mandatory</t>
  </si>
  <si>
    <t>Typ. Values</t>
  </si>
  <si>
    <t>0.95 - 0.98</t>
  </si>
  <si>
    <t>VFD, cable, Drive</t>
  </si>
  <si>
    <t>and gear efficiency</t>
  </si>
  <si>
    <t>CHALEUR SENSIBLE GAZ D'EXHAURE DU CALCINATEUR</t>
  </si>
  <si>
    <t>CALOR SENSIBLE GAS SALIDA DE TORRE PRECALCINADOR</t>
  </si>
  <si>
    <t>faktor</t>
  </si>
  <si>
    <t>factor</t>
  </si>
  <si>
    <t>corretion</t>
  </si>
  <si>
    <t>correción</t>
  </si>
  <si>
    <t>FALSCHLUFT</t>
  </si>
  <si>
    <t>FALSE AIR</t>
  </si>
  <si>
    <t>AIR FAUX</t>
  </si>
  <si>
    <t>Remark: For normal preheater or precalciner kilns:
take the calculated cp value
For special kiln systems (e.g. Lepol kiln, wet kiln) the cp has to be calculated manually</t>
  </si>
  <si>
    <t>AIRE FALSO</t>
  </si>
  <si>
    <t>Falschluft</t>
  </si>
  <si>
    <t>False air</t>
  </si>
  <si>
    <t>Air faux</t>
  </si>
  <si>
    <t>Aire falso</t>
  </si>
  <si>
    <t>Falschluft Kühler</t>
  </si>
  <si>
    <t>A cell containing a red point in the upper right corner contains a short remark or explanation</t>
  </si>
  <si>
    <t>Responsible for program updates:</t>
  </si>
  <si>
    <t>except for wet kilns. For wet kilns, a separate program exists. Throughout the program</t>
  </si>
  <si>
    <t>the following conventions have been used for data input, illustration, and documentation:</t>
  </si>
  <si>
    <t>Cyclone efficiency</t>
  </si>
  <si>
    <t>Clinker analysis</t>
  </si>
  <si>
    <t>Remark: This calculated value is only for information and is not further used in the calculation.</t>
  </si>
  <si>
    <t>Remark: This input value is used for further calculations; the calculated values may be used as a reference.</t>
  </si>
  <si>
    <t>For normal preheater or precalciner kilns: take the calculated cp value.</t>
  </si>
  <si>
    <t>For special kiln systems (e.g. Lepol kiln) the cp value has to be calculated manually.</t>
  </si>
  <si>
    <t>False air cooler</t>
  </si>
  <si>
    <t>Air faux refroidisseur</t>
  </si>
  <si>
    <t xml:space="preserve">      Typical value: 80-150 kJ/kg cli</t>
  </si>
  <si>
    <t>[m3/h]</t>
  </si>
  <si>
    <r>
      <t>D</t>
    </r>
    <r>
      <rPr>
        <b/>
        <sz val="10"/>
        <rFont val="Arial Narrow"/>
        <family val="2"/>
      </rPr>
      <t>p</t>
    </r>
  </si>
  <si>
    <t>[mbar]</t>
  </si>
  <si>
    <t>COP</t>
  </si>
  <si>
    <t>Cross. Area</t>
  </si>
  <si>
    <t>Pressure</t>
  </si>
  <si>
    <t>Aire falso enfriador</t>
  </si>
  <si>
    <t>Falschluft Ofeneinlaufdichtung</t>
  </si>
  <si>
    <t>False air kiln inlet seal</t>
  </si>
  <si>
    <t>Air faux entrée du four</t>
  </si>
  <si>
    <t>Aire falso sello entrada del horno</t>
  </si>
  <si>
    <t>Falschluft Ofenkopf</t>
  </si>
  <si>
    <t>False air kiln hood</t>
  </si>
  <si>
    <t>Aire falso carátula del horno</t>
  </si>
  <si>
    <t>Fehler Kühlerluftbilanz</t>
  </si>
  <si>
    <t>Cooler air balance error</t>
  </si>
  <si>
    <t>Erreur bilan aerolique refroidisseur</t>
  </si>
  <si>
    <t>Error balance de aire enfriador</t>
  </si>
  <si>
    <t>Fehler Kühlerwärmebilanz</t>
  </si>
  <si>
    <t>Cooler heat balance error</t>
  </si>
  <si>
    <t>Erreur bilan energétique refroidisseur</t>
  </si>
  <si>
    <t>Error balance térmico enfriador</t>
  </si>
  <si>
    <t>Fehler Massenbilanz</t>
  </si>
  <si>
    <t>Mass balance error</t>
  </si>
  <si>
    <t>Erreur bilan des materials</t>
  </si>
  <si>
    <t>Error balance material</t>
  </si>
  <si>
    <t>Fehler Wärmebilanz Ofen</t>
  </si>
  <si>
    <t>Kiln heat balance error</t>
  </si>
  <si>
    <t>Erreur bilan energétique du four</t>
  </si>
  <si>
    <t>Error balance térmico horno</t>
  </si>
  <si>
    <t>feucht</t>
  </si>
  <si>
    <t>wet</t>
  </si>
  <si>
    <t>humide</t>
  </si>
  <si>
    <t>humedad</t>
  </si>
  <si>
    <t>Feuchtigkeit</t>
  </si>
  <si>
    <t>Moisture content</t>
  </si>
  <si>
    <t>Water vapour from water inj PH</t>
  </si>
  <si>
    <t>e79 comment added to cell that in SLC calciners all meal is consiedred to go through Precalciner</t>
  </si>
  <si>
    <t>G 808 changed "sum(Exxx:Exxx)" to "sum(Exxx:Jxxx)" in case of SLC</t>
  </si>
  <si>
    <r>
      <t>G854 changed "sum(Exxx:Exxx)" to "sum(Exxx:</t>
    </r>
    <r>
      <rPr>
        <b/>
        <sz val="10"/>
        <color indexed="12"/>
        <rFont val="Arial Narrow"/>
        <family val="2"/>
      </rPr>
      <t>J</t>
    </r>
    <r>
      <rPr>
        <sz val="10"/>
        <color indexed="12"/>
        <rFont val="Arial Narrow"/>
        <family val="2"/>
      </rPr>
      <t>xxx)" in case of slc</t>
    </r>
  </si>
  <si>
    <t>Humidité</t>
  </si>
  <si>
    <t>Humedad</t>
  </si>
  <si>
    <t>Feuchtigkeit der Kohle/Koks am Brenner</t>
  </si>
  <si>
    <t>Moisture content of the coal fed to the burner</t>
  </si>
  <si>
    <t>Humidité du charbon/coks au brûleur</t>
  </si>
  <si>
    <t>Humedad del carbón/coque al quemador</t>
  </si>
  <si>
    <t>Feuchtigkeit der Kohle/Koks Aufgabe Kohlenmühle</t>
  </si>
  <si>
    <t>Moisture content of the raw coal/coke as fed to the coal mill</t>
  </si>
  <si>
    <t>Humidité du charbon/coks à l'alimentation du broyeur charbon</t>
  </si>
  <si>
    <t>Humedad del carbón/coks al alimentación del molino de carbón</t>
  </si>
  <si>
    <t>fluss</t>
  </si>
  <si>
    <t>flow</t>
  </si>
  <si>
    <t>material</t>
  </si>
  <si>
    <t>materia</t>
  </si>
  <si>
    <t>G</t>
  </si>
  <si>
    <t>GASANALYSE AM OFENEINLAUF</t>
  </si>
  <si>
    <t>GAS PROPERTIES AT KILN INLET</t>
  </si>
  <si>
    <t>COMPOSITION DES GAZ A L'ENTREE DU FOUR</t>
  </si>
  <si>
    <t>COMPOSICIÓN DEL GAS EN LA ENTRADA DEL HORNO</t>
  </si>
  <si>
    <t>GASANALYSE AM WÄRMETAUSCHERAUSTRITT</t>
  </si>
  <si>
    <t>GAS PROPERTIES AT PREHEATER OUTLET</t>
  </si>
  <si>
    <t>COMPOSITION DES GAZ A LA SORTIE DE L'ECHANGEUR DE CHALEUR</t>
  </si>
  <si>
    <t>COMPOSICIÓN DEL GAS EN LA SALIDA DEL TORRE DE PRECALENTADOR</t>
  </si>
  <si>
    <t>Gase aus dem Rohmaterial CO2 + H2Ohyd</t>
  </si>
  <si>
    <t>Gas from raw meal CO2 + H2Ohyd</t>
  </si>
  <si>
    <t>2.6 @ 25°C</t>
  </si>
  <si>
    <t>Waste oil 50% H2O</t>
  </si>
  <si>
    <t>Wood/sawdust 15% moisture</t>
  </si>
  <si>
    <t>Gaz de decarbonisation CO2 + H2Ohyd</t>
  </si>
  <si>
    <t>Gas del material CO2 + H2Ohyd</t>
  </si>
  <si>
    <t>gehalt</t>
  </si>
  <si>
    <t>content</t>
  </si>
  <si>
    <t>cendre</t>
  </si>
  <si>
    <t>de ceniza</t>
  </si>
  <si>
    <t>Gesamtkühlluftmenge</t>
  </si>
  <si>
    <t>Total cooling air</t>
  </si>
  <si>
    <t>Débit de l'air de refroidissement total</t>
  </si>
  <si>
    <t>Flujo de aire de enfriamento total</t>
  </si>
  <si>
    <t>Gesamtprimärluftmenge Hauptbrenner</t>
  </si>
  <si>
    <t>Total primary air main burner</t>
  </si>
  <si>
    <t>Air primair totale brûleur principal</t>
  </si>
  <si>
    <t>Aire primario quemador principal</t>
  </si>
  <si>
    <t>Gesamtprimärluftmenge Kalzinator oder Sekundärfeuerung</t>
  </si>
  <si>
    <t>Total primary air precalciner or secondary firing</t>
  </si>
  <si>
    <t xml:space="preserve">TERTIARY AIR DUCT RADIATION &amp; CONVECTION HEAT LOSSES </t>
  </si>
  <si>
    <t>Duct diameter</t>
  </si>
  <si>
    <t>Duct length</t>
  </si>
  <si>
    <t>Duct surface</t>
  </si>
  <si>
    <t>Segment of tertiary air duct</t>
  </si>
  <si>
    <t>This auxiliary spreadsheet helps the user to calculate the tertiary air duct radiation &amp; convection heat losses</t>
  </si>
  <si>
    <t>Air primair totale calcinateur ou chauffage secondaire</t>
  </si>
  <si>
    <t>Aire primario calcinador o combustión secundaria</t>
  </si>
  <si>
    <t>Gesamtwärmeeintrag</t>
  </si>
  <si>
    <t>Total heat input</t>
  </si>
  <si>
    <t>Entrée total de chaleur</t>
  </si>
  <si>
    <t>Entrada total de calor</t>
  </si>
  <si>
    <t>Gesamtwärmeeintrag durch Verbrennung</t>
  </si>
  <si>
    <t>Total heat input from fuel combustion</t>
  </si>
  <si>
    <t>Entrée totale de chaleur de combustion</t>
  </si>
  <si>
    <t>Entrada total de calor de combustión</t>
  </si>
  <si>
    <t>Gesamte Kondensationswärme:</t>
  </si>
  <si>
    <t>Total heat of condensation:</t>
  </si>
  <si>
    <t>Chaleur de condensation total:</t>
  </si>
  <si>
    <t>Total calor de condensación:</t>
  </si>
  <si>
    <t>Geschwindig-</t>
  </si>
  <si>
    <t>Velocity</t>
  </si>
  <si>
    <t>Vitesse</t>
  </si>
  <si>
    <t>Velocidad</t>
  </si>
  <si>
    <t>Geschwindigkeit</t>
  </si>
  <si>
    <t>Glühverlust</t>
  </si>
  <si>
    <t>LOI</t>
  </si>
  <si>
    <t>Perte au feu</t>
  </si>
  <si>
    <t>Pérdida de ignición</t>
  </si>
  <si>
    <t>Perte</t>
  </si>
  <si>
    <t>Pérdida de</t>
  </si>
  <si>
    <t>Glühverlust des Bypassstaubes</t>
  </si>
  <si>
    <t>LOI of bypass dust</t>
  </si>
  <si>
    <t>Perte au feu de la poussière du bypass</t>
  </si>
  <si>
    <t>Pérdida de ignición del polvo de bypass</t>
  </si>
  <si>
    <t>(only TA)</t>
  </si>
  <si>
    <t>(only SA)</t>
  </si>
  <si>
    <t>Teriärluft (mit Staub)</t>
  </si>
  <si>
    <t>Tertiary air (incl dust)</t>
  </si>
  <si>
    <t>Air tertiaire (avec poussière)</t>
  </si>
  <si>
    <t>Aire terciario (con polvo)</t>
  </si>
  <si>
    <t>H</t>
  </si>
  <si>
    <t>Höhe ü. M.</t>
  </si>
  <si>
    <t>Altitude</t>
  </si>
  <si>
    <t>Altitud</t>
  </si>
  <si>
    <t>H2O Brennstoff/Kohlenmühle</t>
  </si>
  <si>
    <t>H2O fuel/coal mill</t>
  </si>
  <si>
    <t>H2O comb./broyage charb.</t>
  </si>
  <si>
    <t>H2O comb./molino carbon</t>
  </si>
  <si>
    <t>H2O Ofenaufgabe</t>
  </si>
  <si>
    <t>H2O kiln feed</t>
  </si>
  <si>
    <t>H2O alimentation au four</t>
  </si>
  <si>
    <t>H2O alimentación horno</t>
  </si>
  <si>
    <t>H2O Luftfeuchtigkeit</t>
  </si>
  <si>
    <t>H2O air humidity</t>
  </si>
  <si>
    <t>H2O humidité air</t>
  </si>
  <si>
    <t>H2O humedad aire</t>
  </si>
  <si>
    <t>H2O in Vmin</t>
  </si>
  <si>
    <t>SULFUR-ALCALI REACTIONS (for information only)</t>
  </si>
  <si>
    <t>Mass balance of circulating elements:</t>
  </si>
  <si>
    <t>Recuperation efficiency normalized to 0.8 Nm3/kg cli (for comparison)</t>
  </si>
  <si>
    <t>[kg/kg cli]</t>
  </si>
  <si>
    <t>H2O dans Vmin</t>
  </si>
  <si>
    <t>H2O en Vmin</t>
  </si>
  <si>
    <t>durchsch.H2O in Vmin</t>
  </si>
  <si>
    <t>average H2O in Vmin</t>
  </si>
  <si>
    <t>moyen H2O dans Vmin</t>
  </si>
  <si>
    <t>promedio de H2O en Vmin</t>
  </si>
  <si>
    <t>H2O-Eintrag in Planetenkühler</t>
  </si>
  <si>
    <t>H2O-input into planetary cooler</t>
  </si>
  <si>
    <t>Entrée de H2O dans refroidisseur planetaire</t>
  </si>
  <si>
    <t>Entrada de H2O al enfriador satélites</t>
  </si>
  <si>
    <t>HAUPTBRENNER</t>
  </si>
  <si>
    <t>MAIN BURNER</t>
  </si>
  <si>
    <t>BRÛLEUR PRINCIPAL</t>
  </si>
  <si>
    <t>QUEMADOR PRINCIPAL</t>
  </si>
  <si>
    <t>Hauptbrenner</t>
  </si>
  <si>
    <t>Main burner</t>
  </si>
  <si>
    <t>Brûleur principal</t>
  </si>
  <si>
    <t>Quemador principal</t>
  </si>
  <si>
    <t>Heizwert Hu</t>
  </si>
  <si>
    <t>PCI</t>
  </si>
  <si>
    <t>Heizwert Hu Brenner</t>
  </si>
  <si>
    <t>PCI au brûleur</t>
  </si>
  <si>
    <t>PCI al quemador</t>
  </si>
  <si>
    <t>I</t>
  </si>
  <si>
    <t>Im Falle eines "separate line" Kalzinators</t>
  </si>
  <si>
    <t>In case of a "separate line" calciner</t>
  </si>
  <si>
    <t>En caso de un calcinador "linea separada"</t>
  </si>
  <si>
    <t>Indirektfeuerung</t>
  </si>
  <si>
    <t>Indirect firing system</t>
  </si>
  <si>
    <t>Système de chauffage indirecte</t>
  </si>
  <si>
    <t>Sistema de carbón indirecta</t>
  </si>
  <si>
    <t>J</t>
  </si>
  <si>
    <t>K2O Aufgabe</t>
  </si>
  <si>
    <t>K2O kiln feed</t>
  </si>
  <si>
    <t>K2O alimentation</t>
  </si>
  <si>
    <t>K2O alimentación</t>
  </si>
  <si>
    <t>K2O Klinker</t>
  </si>
  <si>
    <t>K2O clinker</t>
  </si>
  <si>
    <t>K2O Ofenstaub</t>
  </si>
  <si>
    <t>K2O kiln dust</t>
  </si>
  <si>
    <t>K2O poussière du four</t>
  </si>
  <si>
    <t>K2O polvo del horno</t>
  </si>
  <si>
    <t>Kondensationswärme der Alkalien</t>
  </si>
  <si>
    <t>Heat of condensation of the alcalis</t>
  </si>
  <si>
    <t>Chaleur de condensation des alcalis</t>
  </si>
  <si>
    <t>Calor de condensación de los álcalis</t>
  </si>
  <si>
    <t>KÜHLER</t>
  </si>
  <si>
    <t>COOLER</t>
  </si>
  <si>
    <t>REFROIDISSEUR</t>
  </si>
  <si>
    <t>ENFRIADOR</t>
  </si>
  <si>
    <t>Kühler</t>
  </si>
  <si>
    <t>Cooler</t>
  </si>
  <si>
    <t>Refroidisseur</t>
  </si>
  <si>
    <t>Enfriador</t>
  </si>
  <si>
    <t>Kühler und Ofenkopf</t>
  </si>
  <si>
    <t>Cooler and kiln hood</t>
  </si>
  <si>
    <t>Refroidisseur et coiffe du four</t>
  </si>
  <si>
    <t>Enfriador y cabezal</t>
  </si>
  <si>
    <t>Refroid. / coiffre du four</t>
  </si>
  <si>
    <t>KÜHLER WÄRMEBILANZ</t>
  </si>
  <si>
    <t>COOLER HEAT BALANCE</t>
  </si>
  <si>
    <t>BILAN TÉRMIQUE DU REFROIDISSEUR</t>
  </si>
  <si>
    <t>BALANCE TÉRMICO DEL ENFRIADOR</t>
  </si>
  <si>
    <t>KÜHLERABLUFT</t>
  </si>
  <si>
    <t>COOLER WASTE AIR</t>
  </si>
  <si>
    <t>AIR D'EXHAURE DU REFROIDISSEUR</t>
  </si>
  <si>
    <t>AIRE DE SALIDA DEL ENFRIADOR</t>
  </si>
  <si>
    <t>KÜHLERABLUFT UND WASSERDAMPF</t>
  </si>
  <si>
    <t>COOLER WASTE AIR AND WATER VAPOR</t>
  </si>
  <si>
    <t>AIR D'EXHAURE DU REFROIDISSEUR ET VAPEUR D'EAU</t>
  </si>
  <si>
    <t>AIRE DE SALIDA DEL ENFRIADOR Y VAPOR DE AGUA</t>
  </si>
  <si>
    <t>Kühlerabluft</t>
  </si>
  <si>
    <t>Cooler waste air</t>
  </si>
  <si>
    <t>Air d'exhaure du refroidisseur</t>
  </si>
  <si>
    <t>Aire de salida enfriador</t>
  </si>
  <si>
    <t>Kühlerabluft (ohne Wasserdampf)</t>
  </si>
  <si>
    <t>Cooler waste air (without water vapor)</t>
  </si>
  <si>
    <t>Air d'exhaure du refroidisseur (sans vapeur d'eau)</t>
  </si>
  <si>
    <t>Aire de salida enfriador (sin vapor de agua)</t>
  </si>
  <si>
    <t>KÜHLERLUFT</t>
  </si>
  <si>
    <t>COOLING AIR</t>
  </si>
  <si>
    <t>AIR DU REFROIDISSEUR</t>
  </si>
  <si>
    <t>PLANETARY COOLER RADIATION &amp; CONVECTION HEAT LOSSES</t>
  </si>
  <si>
    <t>This auxiliary spreadsheet helps the user to calculate the planetary cooler radiation &amp; convection heat losses</t>
  </si>
  <si>
    <t xml:space="preserve">  kW</t>
  </si>
  <si>
    <t>Total specific heat loss</t>
  </si>
  <si>
    <t xml:space="preserve">Revision </t>
  </si>
  <si>
    <t>Total surface area</t>
  </si>
  <si>
    <t>AIRE DEL ENFRIADOR</t>
  </si>
  <si>
    <t>Kühlluft</t>
  </si>
  <si>
    <t>Cooling air</t>
  </si>
  <si>
    <t>Air de refroidissement</t>
  </si>
  <si>
    <t>Aire de enfriamento</t>
  </si>
  <si>
    <t>KÜHLERLUFTBILANZ</t>
  </si>
  <si>
    <t>COOLER AIR BALANCE</t>
  </si>
  <si>
    <t>BILAN AEROLIQUE DU REFROIDISSEUR</t>
  </si>
  <si>
    <t>BALANCE DE AIRE DEL ENFRIADOR</t>
  </si>
  <si>
    <t>KÜHLERMITTELLUFT</t>
  </si>
  <si>
    <t>COOLER MIDDLE AIR</t>
  </si>
  <si>
    <t>AIR D'EXHAURE MEDIAN DU REFROIDISSEUR</t>
  </si>
  <si>
    <t>AIRE MEDIANA DEL ENFRIADOR</t>
  </si>
  <si>
    <t>Kühlermittelluft</t>
  </si>
  <si>
    <t>Cooler middle air</t>
  </si>
  <si>
    <t>Air d'exhaure median du refroidisseur</t>
  </si>
  <si>
    <t>Aire mediana enfriador</t>
  </si>
  <si>
    <t>Standard value, false air kiln hood</t>
  </si>
  <si>
    <t>MASS BALANCE OF COOLER AIR</t>
  </si>
  <si>
    <t>MASSENBILANZ DER KUEHLLUFT</t>
  </si>
  <si>
    <t>BILAN DES MATIERES D'AIR RAFRAICHISSANT</t>
  </si>
  <si>
    <t>BALANCE DE MATERIAL SISTEMA DE AERO FRIO</t>
  </si>
  <si>
    <t>KÜHLERVENTILATOREN</t>
  </si>
  <si>
    <t>COOLER AIR FANS</t>
  </si>
  <si>
    <t>VENTILATEURS DU REFROIDISSEUR</t>
  </si>
  <si>
    <t>f601 - i 601 modified to take calciner string temperature and not to appear if calciner is &lt;&gt; SLC</t>
  </si>
  <si>
    <t>VENTILADORES DEL ENFRIADOR</t>
  </si>
  <si>
    <t>KÜHLERWIRKUNGSGRAD</t>
  </si>
  <si>
    <t>COOLER EFFICIENCY</t>
  </si>
  <si>
    <t>RENDEMENT DU REFROIDISSEUR</t>
  </si>
  <si>
    <t>EFICIENCIA DEL ENFRIADOR</t>
  </si>
  <si>
    <t>Kühlerwirkungsgrad</t>
  </si>
  <si>
    <t>Cooler efficiency</t>
  </si>
  <si>
    <t>Rendement du refroidisseur</t>
  </si>
  <si>
    <t>Eficiencia del enfriador</t>
  </si>
  <si>
    <t>Kühlturm</t>
  </si>
  <si>
    <t>Cooling tower</t>
  </si>
  <si>
    <t>Tour de refroidissement</t>
  </si>
  <si>
    <t>Torre de enfriamento</t>
  </si>
  <si>
    <t>KALZINATOR</t>
  </si>
  <si>
    <t>CALCINER</t>
  </si>
  <si>
    <t>CALCINATEUR</t>
  </si>
  <si>
    <t>CALCINADOR</t>
  </si>
  <si>
    <t>Kalzinator</t>
  </si>
  <si>
    <t>Calciner</t>
  </si>
  <si>
    <t>Calcinateur</t>
  </si>
  <si>
    <t>Calcinador</t>
  </si>
  <si>
    <t>Kalzinatorabgase</t>
  </si>
  <si>
    <t>Calciner exhaust gas</t>
  </si>
  <si>
    <t>Gas d'exhaure calcinateur</t>
  </si>
  <si>
    <t>Gas de salida calcinador</t>
  </si>
  <si>
    <t>Kalzinatortyp</t>
  </si>
  <si>
    <t>Calciner system</t>
  </si>
  <si>
    <t>Sistème calcinateur</t>
  </si>
  <si>
    <t>Sistema precalcinador</t>
  </si>
  <si>
    <t>oder Sekundärfeuerung</t>
  </si>
  <si>
    <t>or Secondary firing</t>
  </si>
  <si>
    <t>ou brûleur secondair</t>
  </si>
  <si>
    <t>o combustión secundaria</t>
  </si>
  <si>
    <t>KALZINATORABGASE</t>
  </si>
  <si>
    <t>CALCINER EXHAUST GASES</t>
  </si>
  <si>
    <t>GAZ D'EXHAUR DU CALCINATEUR</t>
  </si>
  <si>
    <t>GAS DE SALIDA DEL PRECALCINADOR</t>
  </si>
  <si>
    <t>keit</t>
  </si>
  <si>
    <t xml:space="preserve"> </t>
  </si>
  <si>
    <t>Differenz</t>
  </si>
  <si>
    <t>Difference</t>
  </si>
  <si>
    <t>Differencia</t>
  </si>
  <si>
    <t>Klinker</t>
  </si>
  <si>
    <t>KLINKER</t>
  </si>
  <si>
    <t>CLINKER</t>
  </si>
  <si>
    <t>Klinker aus dem Ofen</t>
  </si>
  <si>
    <t>Clinker from the kiln</t>
  </si>
  <si>
    <t>Clinker entrant du four</t>
  </si>
  <si>
    <t>Clinker salida horno</t>
  </si>
  <si>
    <t>Klinker Austritt</t>
  </si>
  <si>
    <t>Clinker exit</t>
  </si>
  <si>
    <t>Sortie clinker</t>
  </si>
  <si>
    <t>Salida clinker</t>
  </si>
  <si>
    <t>KLINKER EIGENSCHAFTEN</t>
  </si>
  <si>
    <t>CLINKER PROPERTIES</t>
  </si>
  <si>
    <t>PRODUCTION CLINKER</t>
  </si>
  <si>
    <t>PROPIEDADES DEL CLINKER</t>
  </si>
  <si>
    <t>Klinker Temperatur am Ofenauslauf</t>
  </si>
  <si>
    <t>Clinker temperature at kiln discharge</t>
  </si>
  <si>
    <t>Température du clinker a la sortie du four</t>
  </si>
  <si>
    <t>Temperatura del clinker a la salida del horno</t>
  </si>
  <si>
    <t>KLINKERANALYSE</t>
  </si>
  <si>
    <t>CLINKER ANALYSIS</t>
  </si>
  <si>
    <t>ANALYSE CLINKER</t>
  </si>
  <si>
    <t>ANALISIS CLINKER</t>
  </si>
  <si>
    <t>Klinkeraustrittstemperatur des Kühlers</t>
  </si>
  <si>
    <t>Clinker exit temperature at cooler discharge</t>
  </si>
  <si>
    <t>Température du clinker a la sortie du refroidisseur</t>
  </si>
  <si>
    <t>Temperatura del clinker a la salida del enfriador</t>
  </si>
  <si>
    <t>Klinkerbildungswärme</t>
  </si>
  <si>
    <t>Heat of formation</t>
  </si>
  <si>
    <t>Chaleur de formation</t>
  </si>
  <si>
    <t>Calor de formación</t>
  </si>
  <si>
    <t>KLINKERBILDUNGSWÄRME</t>
  </si>
  <si>
    <t>HEAT OF FORMATION</t>
  </si>
  <si>
    <t>CHALEUR DE FORMATION</t>
  </si>
  <si>
    <t>CALOR DE FORMACION</t>
  </si>
  <si>
    <t>Klinkerproduktionsmenge</t>
  </si>
  <si>
    <t>Clinker production rate</t>
  </si>
  <si>
    <t>Production de clinker</t>
  </si>
  <si>
    <t>Producción de clinker</t>
  </si>
  <si>
    <t>Klinkerstaubkreislauf am Ofenkopf</t>
  </si>
  <si>
    <t>Clinker dust recirculation at the kiln discharge</t>
  </si>
  <si>
    <t>Recirculación de polvo de clinker en la salida del horno</t>
  </si>
  <si>
    <t>Klinkertemperatur Eintritt Kühler</t>
  </si>
  <si>
    <t>Clinker temperatur at cooler inlet</t>
  </si>
  <si>
    <t>Température du clinker à l'entrée du refroidisseur</t>
  </si>
  <si>
    <t>Temperatura del clinker en la entrada del enfriador</t>
  </si>
  <si>
    <t>Konvektion</t>
  </si>
  <si>
    <t>Convection</t>
  </si>
  <si>
    <t>Convección</t>
  </si>
  <si>
    <t>Konventionel</t>
  </si>
  <si>
    <t>Conventional</t>
  </si>
  <si>
    <t>Conventionel</t>
  </si>
  <si>
    <t>KONVENTIONELLER</t>
  </si>
  <si>
    <t>CONVENTIONAL</t>
  </si>
  <si>
    <t>COMBUSTIBLE</t>
  </si>
  <si>
    <t>konventioneller Brennstoff</t>
  </si>
  <si>
    <t>Conventional fuel</t>
  </si>
  <si>
    <t>Combustible conventionel</t>
  </si>
  <si>
    <t>Combust. conventional</t>
  </si>
  <si>
    <t>Zylindr. Teil</t>
  </si>
  <si>
    <t>Konus</t>
  </si>
  <si>
    <t>Revision</t>
  </si>
  <si>
    <t>Gaskanal</t>
  </si>
  <si>
    <t>Gas duct</t>
  </si>
  <si>
    <t>Materialkanal</t>
  </si>
  <si>
    <t>Dach</t>
  </si>
  <si>
    <t>Rechteckig</t>
  </si>
  <si>
    <t>Square shaped</t>
  </si>
  <si>
    <t xml:space="preserve">Language selection implemented (translation missing: blue labeled in table at AA305) </t>
  </si>
  <si>
    <t>Konzentrationen am Ofeneinlauf (Heissmehl)</t>
  </si>
  <si>
    <t>Concentrations at kiln inlet (hot meal)</t>
  </si>
  <si>
    <t>Concentrations a l'entrée du four (farine chaude)</t>
  </si>
  <si>
    <t>Concentraciones a la entrada del horno (harina caliente)</t>
  </si>
  <si>
    <t>Korrektur-</t>
  </si>
  <si>
    <t>Correction</t>
  </si>
  <si>
    <t>Facteur de</t>
  </si>
  <si>
    <t>Factor de</t>
  </si>
  <si>
    <t>Korrekturfaktor</t>
  </si>
  <si>
    <t>Correction factor</t>
  </si>
  <si>
    <t>Facteur de calibration</t>
  </si>
  <si>
    <t>Factor de calibración</t>
  </si>
  <si>
    <t>Kühlertyp</t>
  </si>
  <si>
    <t>Cooler type</t>
  </si>
  <si>
    <t>Systeme du refroidisseur</t>
  </si>
  <si>
    <t>Tipo de enfriador</t>
  </si>
  <si>
    <t>L</t>
  </si>
  <si>
    <t>Länge des Ofens</t>
  </si>
  <si>
    <t>Kiln length</t>
  </si>
  <si>
    <t>Longeur du four</t>
  </si>
  <si>
    <t>Longitud del horno</t>
  </si>
  <si>
    <t>leer lassen</t>
  </si>
  <si>
    <t>leave empty</t>
  </si>
  <si>
    <t>no llenar</t>
  </si>
  <si>
    <t>Lieferant / Typ</t>
  </si>
  <si>
    <t>Supplier / Type</t>
  </si>
  <si>
    <t>Fournisseur / Type</t>
  </si>
  <si>
    <t>Proveedor / Tipo</t>
  </si>
  <si>
    <t>luft am Ofeneinlauf</t>
  </si>
  <si>
    <t>à l'entrée du four</t>
  </si>
  <si>
    <t>Luft-</t>
  </si>
  <si>
    <t>Air</t>
  </si>
  <si>
    <t>Tempéra-</t>
  </si>
  <si>
    <t xml:space="preserve">kJ/kg cli </t>
  </si>
  <si>
    <t>Input</t>
  </si>
  <si>
    <t>Output</t>
  </si>
  <si>
    <t>Kiln dust</t>
  </si>
  <si>
    <t>Bypass</t>
  </si>
  <si>
    <t>Emission</t>
  </si>
  <si>
    <t>% Error</t>
  </si>
  <si>
    <t>A/S-ratio:</t>
  </si>
  <si>
    <t>O2 at stack</t>
  </si>
  <si>
    <t>SO2 at stack</t>
  </si>
  <si>
    <t>(Information only: Sulfur-Alcali Reactions</t>
  </si>
  <si>
    <t>)</t>
  </si>
  <si>
    <t>Tempera-</t>
  </si>
  <si>
    <t>LUFTBILANZ DES ROSTKÜHLERS</t>
  </si>
  <si>
    <t>AIR BALANCE GRATE COOLER</t>
  </si>
  <si>
    <t>BILAN AEROLIQUE REFROIDISSEUR</t>
  </si>
  <si>
    <t>Luftdichte</t>
  </si>
  <si>
    <t>Air density</t>
  </si>
  <si>
    <t>Densité de l'air</t>
  </si>
  <si>
    <t>Densidad del aire</t>
  </si>
  <si>
    <t>M</t>
  </si>
  <si>
    <t>MASSENBILANZ DES OFENSYSTEMS</t>
  </si>
  <si>
    <t>MASS BALANCE OF KILN SYSTEM</t>
  </si>
  <si>
    <t>BILAN DES MATIERES DU SISTEME DE FOUR</t>
  </si>
  <si>
    <t>BALANCE DE MATERIAL SISTEMA DE HORNO</t>
  </si>
  <si>
    <t>Massen-</t>
  </si>
  <si>
    <t>Mass-</t>
  </si>
  <si>
    <t>Flujo de</t>
  </si>
  <si>
    <t>Massenstrom</t>
  </si>
  <si>
    <t>Massflow</t>
  </si>
  <si>
    <t>maximale Ofendrehzahl</t>
  </si>
  <si>
    <t>Maximum kiln speed</t>
  </si>
  <si>
    <t>Vitesse maximum du four</t>
  </si>
  <si>
    <t>Velocidad maxima del horno</t>
  </si>
  <si>
    <t>Menge</t>
  </si>
  <si>
    <t>Flujo</t>
  </si>
  <si>
    <t>Minimalluft für Hauptfeuerung</t>
  </si>
  <si>
    <t>Minimum air for main firing</t>
  </si>
  <si>
    <t>Aire mínimo para combustión principal</t>
  </si>
  <si>
    <t>Minimalluft für Kalzinatorfeuerung</t>
  </si>
  <si>
    <t>Minimum air for calciner firing</t>
  </si>
  <si>
    <t>Aire mínimo para combustión en precalcinador</t>
  </si>
  <si>
    <t>Mittelluft</t>
  </si>
  <si>
    <t>Middle air</t>
  </si>
  <si>
    <t>Air d'exhaure médian</t>
  </si>
  <si>
    <t>Aire mediana</t>
  </si>
  <si>
    <t>Mittelluftvolumenstrom aus Prandtlmessung</t>
  </si>
  <si>
    <t>Middle air flowrate from prandtl measurement</t>
  </si>
  <si>
    <t>Débit de l'air d'exhaure resultant d'une mesure de prandtl</t>
  </si>
  <si>
    <t>Flujo de aire mediano calculado con una medición de Prandtl</t>
  </si>
  <si>
    <t>Mittlerer Wärmeaustrag</t>
  </si>
  <si>
    <t>Average heat output</t>
  </si>
  <si>
    <t>Moyenne sortie chaleur</t>
  </si>
  <si>
    <t>Promedio salida calor</t>
  </si>
  <si>
    <t>N</t>
  </si>
  <si>
    <t>Na2O Aufgabe</t>
  </si>
  <si>
    <t>Na2O kiln feed</t>
  </si>
  <si>
    <t>Na2O alimentation</t>
  </si>
  <si>
    <t>Na2O alimentación</t>
  </si>
  <si>
    <t>Na2O Klinker</t>
  </si>
  <si>
    <t>Na2O clinker</t>
  </si>
  <si>
    <t>Na2O Ofenstaub</t>
  </si>
  <si>
    <t>Na2O kiln dust</t>
  </si>
  <si>
    <t>Na2O poussière du four</t>
  </si>
  <si>
    <t>Na2O polvo del horno</t>
  </si>
  <si>
    <t>(nicht ausfüllen)</t>
  </si>
  <si>
    <t>(do not fill in)</t>
  </si>
  <si>
    <t>(no llenar)</t>
  </si>
  <si>
    <t>NOx Gehalt</t>
  </si>
  <si>
    <t>NOx content</t>
  </si>
  <si>
    <t>Teneur en NOx</t>
  </si>
  <si>
    <t>Contenido de NOx</t>
  </si>
  <si>
    <t>O</t>
  </si>
  <si>
    <t>O2 Gehalt</t>
  </si>
  <si>
    <t>O2 content</t>
  </si>
  <si>
    <t>Teneur en O2</t>
  </si>
  <si>
    <t>Contenido de O2</t>
  </si>
  <si>
    <t>O2 Ofeneinlauf</t>
  </si>
  <si>
    <t>O2 kiln inlet</t>
  </si>
  <si>
    <t>O2 entrée du four</t>
  </si>
  <si>
    <t>O2 entrada del horno</t>
  </si>
  <si>
    <t>O2 nach Kalzinator</t>
  </si>
  <si>
    <t>O2 after calciner</t>
  </si>
  <si>
    <t>O2 sortie calcinateur</t>
  </si>
  <si>
    <t>O2 después precacinador</t>
  </si>
  <si>
    <t>ODER ZWEITFEUERUNG</t>
  </si>
  <si>
    <t>OR SECONDARY FIRING</t>
  </si>
  <si>
    <t>O COMBUSTION SECUNDARIA</t>
  </si>
  <si>
    <t>oberer Grenzwert</t>
  </si>
  <si>
    <t>Upper boundary</t>
  </si>
  <si>
    <t>Valeur supérieur</t>
  </si>
  <si>
    <t>Límite alta</t>
  </si>
  <si>
    <t>Ofenmantel</t>
  </si>
  <si>
    <t>Kiln shell</t>
  </si>
  <si>
    <t>Virole du four</t>
  </si>
  <si>
    <t>Coraza del horno</t>
  </si>
  <si>
    <t>Ofen Nr.</t>
  </si>
  <si>
    <t>Kiln No.</t>
  </si>
  <si>
    <t>Four No.</t>
  </si>
  <si>
    <t>Horno No.</t>
  </si>
  <si>
    <t>Ofenabgas Volumenstrom (trocken)</t>
  </si>
  <si>
    <t>Kiln exhaust gas flowrate (dry)</t>
  </si>
  <si>
    <t>Débit gas d'exhaure (sec)</t>
  </si>
  <si>
    <t>Flujo de gas salida torre de precalentador (seco)</t>
  </si>
  <si>
    <t xml:space="preserve">Q Sek out - Q sec in  + Q Staub out - Q dust in </t>
  </si>
  <si>
    <t xml:space="preserve">Q Sec out - Q sec in  + Q Staub out - Q dust in </t>
  </si>
  <si>
    <t xml:space="preserve">Q Sec out - Q sec in  + Q poussières out  - Q poussières in </t>
  </si>
  <si>
    <t xml:space="preserve">Q Sec,Tert out - Q Sec,Ter in + Q poussières out  - Q poussières in </t>
  </si>
  <si>
    <t xml:space="preserve">Q Sek,Tert out - Q Sek,Ter in + Q Staub out - Q dust in </t>
  </si>
  <si>
    <t xml:space="preserve">Q Sec,Tert out - Q Sec,Ter in + Q Staub out - Q dust in </t>
  </si>
  <si>
    <t xml:space="preserve">Q Sek out - Q sec in  + Q polvo out - Q polvo in </t>
  </si>
  <si>
    <t xml:space="preserve">Q Sek,Tert out - Q Sek,Ter in + Q polvo outt - Q polvo in </t>
  </si>
  <si>
    <t>FLUJO DE GAS SALIDA TORRE DE PRECALENTADOR</t>
  </si>
  <si>
    <t>Ofenabgase</t>
  </si>
  <si>
    <t>Kiln exhaust gas</t>
  </si>
  <si>
    <t>Gaz d'exhaure du four</t>
  </si>
  <si>
    <t>Gases salida precal.</t>
  </si>
  <si>
    <t>Ofenaufgabe</t>
  </si>
  <si>
    <t>Alimentación</t>
  </si>
  <si>
    <t>OFENAUFGABE</t>
  </si>
  <si>
    <t>KILN FEED</t>
  </si>
  <si>
    <t>ALIMENTATION AU FOUR</t>
  </si>
  <si>
    <t>OFENDATEN</t>
  </si>
  <si>
    <t>Correction H283:H295 (section 12)</t>
  </si>
  <si>
    <t>KILN DATA</t>
  </si>
  <si>
    <t>FOUR</t>
  </si>
  <si>
    <t>DATOS DEL HORNO</t>
  </si>
  <si>
    <t>Ofendrehzahl Normalbetrieb</t>
  </si>
  <si>
    <t>Kiln speed at normal operation</t>
  </si>
  <si>
    <t>Vitesse du four opération normal</t>
  </si>
  <si>
    <t>Velocidad horno en operación normal</t>
  </si>
  <si>
    <t>ZWEITFEUERUNG</t>
  </si>
  <si>
    <t>SECONDARY FIRING</t>
  </si>
  <si>
    <t>BRULEUR SECONDAIRE</t>
  </si>
  <si>
    <t>COMBUSTION SECUNDARIA</t>
  </si>
  <si>
    <t>Coraza</t>
  </si>
  <si>
    <t>Ofenmanteloberfläche</t>
  </si>
  <si>
    <t>Kiln shell surface</t>
  </si>
  <si>
    <t>Surface de la virole</t>
  </si>
  <si>
    <t>Superficie de la coraza</t>
  </si>
  <si>
    <t>Ofenneigung</t>
  </si>
  <si>
    <t>Kiln slope</t>
  </si>
  <si>
    <t>Inclination du four</t>
  </si>
  <si>
    <t>Inclinación del horno</t>
  </si>
  <si>
    <t>ohne Wassereinspritzung</t>
  </si>
  <si>
    <t>without water injection</t>
  </si>
  <si>
    <t>sans injection d'eau</t>
  </si>
  <si>
    <t>sin inyección de agua</t>
  </si>
  <si>
    <t>Org. Kohlenstoffanteil</t>
  </si>
  <si>
    <t>Organic carbon content</t>
  </si>
  <si>
    <t>C organique dans</t>
  </si>
  <si>
    <t>Contenido de carbón</t>
  </si>
  <si>
    <t>Organischer C-Anteil im Rohmehl</t>
  </si>
  <si>
    <t>Organic carbon weight fraction in kiln feed</t>
  </si>
  <si>
    <t>Fraction C-organique dans l'alimentation du four</t>
  </si>
  <si>
    <t>Fracción C organica en la alimentación del horno</t>
  </si>
  <si>
    <t>P</t>
  </si>
  <si>
    <t>Position</t>
  </si>
  <si>
    <t>Posición</t>
  </si>
  <si>
    <t>PRIMÄRLUFT</t>
  </si>
  <si>
    <t>PRIMARY AIR</t>
  </si>
  <si>
    <t>AIR PRIMAIRE</t>
  </si>
  <si>
    <t>AIRE PRIMARIO</t>
  </si>
  <si>
    <t>Primärluft</t>
  </si>
  <si>
    <t>Primary air</t>
  </si>
  <si>
    <t>Air primaire</t>
  </si>
  <si>
    <t>Aire primario</t>
  </si>
  <si>
    <t>PRIMÄRLUFT HAUPTBRENNER</t>
  </si>
  <si>
    <t>PRIMARY AIR MAIN BURNER</t>
  </si>
  <si>
    <t>AIR PRIMAIRE BRÛLEUR PRINCIPAL</t>
  </si>
  <si>
    <t>AIRE PRIMARIO QUEMADOR PRINCIPAL</t>
  </si>
  <si>
    <t>Primärluft Hauptbrenner</t>
  </si>
  <si>
    <t>Primary air main burner</t>
  </si>
  <si>
    <t>Air primaire brûleur principal</t>
  </si>
  <si>
    <t>Air primaire brûleur princ.</t>
  </si>
  <si>
    <t>Aire primario quem.princ.</t>
  </si>
  <si>
    <t>Primärluft Kalzinator</t>
  </si>
  <si>
    <t>Primary air calciner</t>
  </si>
  <si>
    <t>Aire primario calciner</t>
  </si>
  <si>
    <t>Prozent von Ofenaufgabe in Kalzinatorstrang</t>
  </si>
  <si>
    <t>Percent of kiln feed into calciner string</t>
  </si>
  <si>
    <t>Percent of kiln feed in to calciner string</t>
  </si>
  <si>
    <t>Porcentaje de alimentación en la linea precalcinador</t>
  </si>
  <si>
    <t>PRIMÄRLUFT KALZINATOR ODER SEKUNDÄRFEUERUNG</t>
  </si>
  <si>
    <t>PRIMARY AIR CALCINER OR SECONDARY FIRING</t>
  </si>
  <si>
    <t>AIR PRIMAIRE CALCINATEUR OU BRULEUR SECONDAIR</t>
  </si>
  <si>
    <t>AIRE PRIMARIO CALCINADOR O COMBUSTION SECUNDARIA</t>
  </si>
  <si>
    <t>Primärluftmenge (Resultat aus</t>
  </si>
  <si>
    <t xml:space="preserve">Primary air flowrate (result from </t>
  </si>
  <si>
    <t>Débit de l'air primaire (resultat du bilan</t>
  </si>
  <si>
    <t>Flujo de aire primario (resultado del balance</t>
  </si>
  <si>
    <t>Produktion</t>
  </si>
  <si>
    <t>Production</t>
  </si>
  <si>
    <t>Producción</t>
  </si>
  <si>
    <t>Produktionsleistung</t>
  </si>
  <si>
    <t>Production rate</t>
  </si>
  <si>
    <t>Débit de production</t>
  </si>
  <si>
    <t>Pyritgehalt als S</t>
  </si>
  <si>
    <t>Pyrite content as S</t>
  </si>
  <si>
    <t>Contenu de pyrite comme S</t>
  </si>
  <si>
    <t>Contenido de pirita como S</t>
  </si>
  <si>
    <t>Pyritgehalt im Rohmehl</t>
  </si>
  <si>
    <t>Pyrite content in the kiln feed</t>
  </si>
  <si>
    <t>Contenu de pyrite dans la farine</t>
  </si>
  <si>
    <t>Contenido de pirita en la alimentación</t>
  </si>
  <si>
    <t>Q</t>
  </si>
  <si>
    <t>Quenchluft</t>
  </si>
  <si>
    <t>Quenching air</t>
  </si>
  <si>
    <t>Aire para "quenching"</t>
  </si>
  <si>
    <t>querschnitt</t>
  </si>
  <si>
    <t>area</t>
  </si>
  <si>
    <t>d'entré</t>
  </si>
  <si>
    <t>R</t>
  </si>
  <si>
    <t>Radialluft</t>
  </si>
  <si>
    <t>Swirl air</t>
  </si>
  <si>
    <t>Air radial</t>
  </si>
  <si>
    <t>Aire radial</t>
  </si>
  <si>
    <t>Referenztemperatur</t>
  </si>
  <si>
    <t>Reference temperature</t>
  </si>
  <si>
    <t>Température référence</t>
  </si>
  <si>
    <t>Temperatura referencia</t>
  </si>
  <si>
    <t>Rest</t>
  </si>
  <si>
    <t>Error</t>
  </si>
  <si>
    <t>Reste</t>
  </si>
  <si>
    <t>Resto</t>
  </si>
  <si>
    <t>Relative Luftfeuchtigkeit</t>
  </si>
  <si>
    <t>Relative humidity</t>
  </si>
  <si>
    <t>Humidité relative</t>
  </si>
  <si>
    <t>Humedad relativa</t>
  </si>
  <si>
    <t>Rohmehl - Klinker Faktor</t>
  </si>
  <si>
    <t>Kiln feed - Clinker factor</t>
  </si>
  <si>
    <t>Facteur alimentation - clinker</t>
  </si>
  <si>
    <t>Factor alimentación - clinker</t>
  </si>
  <si>
    <t>ROSTKÜHLER LUFTBILANZ</t>
  </si>
  <si>
    <t>GRATE COOLER AIR BALANCE</t>
  </si>
  <si>
    <t>BILAN AEROLIQUE REFROIDISSEUR Ä GRILLES</t>
  </si>
  <si>
    <t>BALANCE DE AIRE ENFRIADOR</t>
  </si>
  <si>
    <t>SEKUNDÄRLUFT</t>
  </si>
  <si>
    <t>SECONDARY AIR</t>
  </si>
  <si>
    <t>AIR SECONDAIRE</t>
  </si>
  <si>
    <t>AIRE SECUNDARIO</t>
  </si>
  <si>
    <t>SEKUNDÄRLUFT UND WASSERDAMPF</t>
  </si>
  <si>
    <t>SECONDARY AIR AND WATER VAPOR</t>
  </si>
  <si>
    <t>AIR SECONDAIRE ET VAPEUR D'EAU</t>
  </si>
  <si>
    <t>AIRE SECUNDARIO Y VAPOR DE AGUA</t>
  </si>
  <si>
    <t>SO3 Aufgabe</t>
  </si>
  <si>
    <t>SO3 kiln feed</t>
  </si>
  <si>
    <t>SO3 alimentation</t>
  </si>
  <si>
    <t>SO3 alimentación</t>
  </si>
  <si>
    <t>SO3 Klinker</t>
  </si>
  <si>
    <t>SO3 clinker</t>
  </si>
  <si>
    <t>SO3 Ofenstaub</t>
  </si>
  <si>
    <t>SO3 kiln dust</t>
  </si>
  <si>
    <t>SO3 poussière du four</t>
  </si>
  <si>
    <t>SO3 polvo del horno</t>
  </si>
  <si>
    <t>SCH</t>
  </si>
  <si>
    <t>SCHWEFEL-ALKALI REAKTIONEN</t>
  </si>
  <si>
    <t>SULFUR-ALCALI REACTIONS</t>
  </si>
  <si>
    <t>REACTIONS SOUFRE-ALCALI</t>
  </si>
  <si>
    <t>REACCIONES DEL AZUFRE CON LOS ALCALIS</t>
  </si>
  <si>
    <t>Schwefel-Alkali Reaktionen</t>
  </si>
  <si>
    <t>Sulfur-Alcali Reactions</t>
  </si>
  <si>
    <t>Réaction souffre-alcali</t>
  </si>
  <si>
    <t>Reacciónes del azufre con los álcalis</t>
  </si>
  <si>
    <t>Schwefelgehalt (S)</t>
  </si>
  <si>
    <t>Sulfur content (S)</t>
  </si>
  <si>
    <t>Teneur en soufre (S)</t>
  </si>
  <si>
    <t>Contenido de azufre (S)</t>
  </si>
  <si>
    <t>Sekundärfeuerung</t>
  </si>
  <si>
    <t>Secondary firing</t>
  </si>
  <si>
    <t>Brûleur secondair</t>
  </si>
  <si>
    <t>Quemador secundario</t>
  </si>
  <si>
    <t>Sekundärluft inkl. Staub</t>
  </si>
  <si>
    <t>Secondary air incl. dust</t>
  </si>
  <si>
    <t>Air secondaire, poussière incl.</t>
  </si>
  <si>
    <t>Aire secundario, polvo</t>
  </si>
  <si>
    <t>und Wasserdampf</t>
  </si>
  <si>
    <t>and water vapor</t>
  </si>
  <si>
    <t>et vapeur d'eau</t>
  </si>
  <si>
    <t>y vapor de agua</t>
  </si>
  <si>
    <t>Sekundärluft</t>
  </si>
  <si>
    <t>Secondary air</t>
  </si>
  <si>
    <t>Air secondaire</t>
  </si>
  <si>
    <t>Aire secundario</t>
  </si>
  <si>
    <t>Sekundärlufttemperatur</t>
  </si>
  <si>
    <t>Secondary air temperature</t>
  </si>
  <si>
    <t>Tertiary air calculation corrected (combustibles from raw mix no longer considered)</t>
  </si>
  <si>
    <t>Mechanical energy option added and different small errors rectified</t>
  </si>
  <si>
    <t>Température de l'air secondair</t>
  </si>
  <si>
    <t>Temperatura del aire secundario</t>
  </si>
  <si>
    <t>SP</t>
  </si>
  <si>
    <t>Spez. Kühlluftmenge</t>
  </si>
  <si>
    <t>Spec. cooling air</t>
  </si>
  <si>
    <t>Débit specific de l'air</t>
  </si>
  <si>
    <t>SPEZIFIKATIONEN</t>
  </si>
  <si>
    <t>SPECIFICATION</t>
  </si>
  <si>
    <t>SPECIFICACIÓN</t>
  </si>
  <si>
    <t>Spezifische Wärme</t>
  </si>
  <si>
    <t>Specific heat</t>
  </si>
  <si>
    <t>Chaleur specifique</t>
  </si>
  <si>
    <t>Calor específico</t>
  </si>
  <si>
    <t>Spezifischer Wärme-</t>
  </si>
  <si>
    <t>Specific heat cons-</t>
  </si>
  <si>
    <t>Consommation specifique</t>
  </si>
  <si>
    <t xml:space="preserve">Consumo específico de </t>
  </si>
  <si>
    <t>Spezifische Wärmekapazität</t>
  </si>
  <si>
    <t>Specific heat capacity</t>
  </si>
  <si>
    <t>Capacité de chaleur specifique</t>
  </si>
  <si>
    <t>Capacidad específica de calor</t>
  </si>
  <si>
    <t>spezifischer Staubverlust Wärmetauscher</t>
  </si>
  <si>
    <t>Specific dust loss top stage cyclone(s)</t>
  </si>
  <si>
    <t>Perte de poussière étape supérieure</t>
  </si>
  <si>
    <t>Pérdida de polvo etapa superior</t>
  </si>
  <si>
    <t>ST</t>
  </si>
  <si>
    <t>Stöchiometrische Verbrennungsluftmenge im Ofen</t>
  </si>
  <si>
    <t>Minimum combustion air for complete in kiln</t>
  </si>
  <si>
    <t>Air stöchiometrique au four</t>
  </si>
  <si>
    <t>Aire estequiométrico para el horno</t>
  </si>
  <si>
    <t>Standart Kapazität</t>
  </si>
  <si>
    <t>Nominal capacity</t>
  </si>
  <si>
    <t>Capacité nominal</t>
  </si>
  <si>
    <t>Capacidad nominal</t>
  </si>
  <si>
    <t>Standartwert</t>
  </si>
  <si>
    <t>Standard value</t>
  </si>
  <si>
    <t>Valeur standard</t>
  </si>
  <si>
    <t>Valor estandar</t>
  </si>
  <si>
    <t>Staub</t>
  </si>
  <si>
    <t>dust</t>
  </si>
  <si>
    <t>poussière</t>
  </si>
  <si>
    <t>polvo</t>
  </si>
  <si>
    <t>Staubverlust</t>
  </si>
  <si>
    <t>Dust loss</t>
  </si>
  <si>
    <t>Perte de poussière</t>
  </si>
  <si>
    <t>Pérdida de polvo</t>
  </si>
  <si>
    <t>Staubverlust des Wärmetauschers</t>
  </si>
  <si>
    <t>Dust in exhaust gases</t>
  </si>
  <si>
    <t>Perte de poussière à l'étape superieur</t>
  </si>
  <si>
    <t>Pérdida de polvo del precalentador</t>
  </si>
  <si>
    <t>stat. Druck</t>
  </si>
  <si>
    <t>stat. pressure</t>
  </si>
  <si>
    <t>pression stat.</t>
  </si>
  <si>
    <t>presión estática</t>
  </si>
  <si>
    <t>STAUBVERLUST IM DIREKTBETRIEB</t>
  </si>
  <si>
    <t>DUST LOSS  IN DIRECT OPERATION</t>
  </si>
  <si>
    <t>PERTE DE POUSSIERE EN MARCHE DIRECTE</t>
  </si>
  <si>
    <t>PERDIDA DE POLVO DEL PRECALENTADOR</t>
  </si>
  <si>
    <t>zu COP</t>
  </si>
  <si>
    <t>to COP</t>
  </si>
  <si>
    <t>avec COP</t>
  </si>
  <si>
    <t>con COP</t>
  </si>
  <si>
    <t>STRAHLUNGSVERLUSTE</t>
  </si>
  <si>
    <t>RADIATION LOSSES</t>
  </si>
  <si>
    <t>Water injection into preheater tower</t>
  </si>
  <si>
    <t>Heat comsumption for water evaporation</t>
  </si>
  <si>
    <t>Injection d'eau dans le prechauffeur</t>
  </si>
  <si>
    <t>Comsommation d'energie por l'evaporationde l'eau</t>
  </si>
  <si>
    <t>Inyección de agua al precalentador</t>
  </si>
  <si>
    <t>Consumo de energia por la evaporation del agua</t>
  </si>
  <si>
    <t>PERTE DE RADIATION</t>
  </si>
  <si>
    <t>PERDIDA DE RADIACIÓN</t>
  </si>
  <si>
    <t>Strahlungs- und Konvektionsverluste</t>
  </si>
  <si>
    <t>Radiation and Convection losses</t>
  </si>
  <si>
    <t>Perte de radiation et convection</t>
  </si>
  <si>
    <t>Pérdida de radiación y convección</t>
  </si>
  <si>
    <t>strom</t>
  </si>
  <si>
    <t>aire</t>
  </si>
  <si>
    <t>Strahlungs &amp;</t>
  </si>
  <si>
    <t>Recuperation efficiency</t>
  </si>
  <si>
    <t>Anthracite (0% volatiles)</t>
  </si>
  <si>
    <t>Bituminous coal (20% volatiles)</t>
  </si>
  <si>
    <t>Lignite (40% volatiles)</t>
  </si>
  <si>
    <t>0.95 @ 50°C</t>
  </si>
  <si>
    <t>1.1 @ 50°C</t>
  </si>
  <si>
    <t>1.25 @ 50°C</t>
  </si>
  <si>
    <t>1.9 @ 25°C</t>
  </si>
  <si>
    <t>2.1 @ 100°C</t>
  </si>
  <si>
    <t>Radiation &amp;</t>
  </si>
  <si>
    <t>Radiación &amp;</t>
  </si>
  <si>
    <t>Strahlungsverluste</t>
  </si>
  <si>
    <t>Radiation losses</t>
  </si>
  <si>
    <t>Radiation</t>
  </si>
  <si>
    <t>Radiación</t>
  </si>
  <si>
    <t>SUMME DER AUSTRÄGE</t>
  </si>
  <si>
    <t>TOTAL OF OUTPUTS</t>
  </si>
  <si>
    <t>TOTALS DES SORTIES</t>
  </si>
  <si>
    <t>SALIDAS TOTAL</t>
  </si>
  <si>
    <t>SUMME DER EINTRÄGE</t>
  </si>
  <si>
    <t>TOTAL OF INPUTS</t>
  </si>
  <si>
    <t>TOTALS DES ENTREES</t>
  </si>
  <si>
    <t>ENTRADAS TOTAL</t>
  </si>
  <si>
    <t>tato</t>
  </si>
  <si>
    <t>t/d</t>
  </si>
  <si>
    <t>t/j</t>
  </si>
  <si>
    <t>Temp. am Brenner</t>
  </si>
  <si>
    <t>Temp. at burner</t>
  </si>
  <si>
    <t>Temp. au brûleur</t>
  </si>
  <si>
    <t>Temp. al quemador</t>
  </si>
  <si>
    <t>Combust. air sec. firing</t>
  </si>
  <si>
    <t>Fuelrate seondary firing</t>
  </si>
  <si>
    <t>70% - 75%</t>
  </si>
  <si>
    <t>50% - 70%</t>
  </si>
  <si>
    <t>modern cooler design</t>
  </si>
  <si>
    <t>traditional cooler design</t>
  </si>
  <si>
    <t>Temperatur</t>
  </si>
  <si>
    <t>Temperature</t>
  </si>
  <si>
    <t>CEN</t>
  </si>
  <si>
    <t>New comment in cells  D 347 D353 to fill in kNm3/h of gas if used</t>
  </si>
  <si>
    <t>Température</t>
  </si>
  <si>
    <t>Temperatura</t>
  </si>
  <si>
    <t>temperatur</t>
  </si>
  <si>
    <t>temp.</t>
  </si>
  <si>
    <t>ture de l'air</t>
  </si>
  <si>
    <t>tura aire</t>
  </si>
  <si>
    <t>Temperatur am Kühleraustritt (oder Bilanzgrenze)</t>
  </si>
  <si>
    <t>Temperature at cooler takeout (or balance boundary)</t>
  </si>
  <si>
    <t>Température a la sortie du refroidisseur (ou limite du bilan)</t>
  </si>
  <si>
    <t>Temperatura a la salida del enfriador (o limite del balance)</t>
  </si>
  <si>
    <t>Temperatur an der Gasentnahmestelle</t>
  </si>
  <si>
    <t>Temperature at gas extraction point</t>
  </si>
  <si>
    <t>Temperatura en el lugar de extracción de gas</t>
  </si>
  <si>
    <t>Temperatur an der Prandtlmessstelle</t>
  </si>
  <si>
    <t>Temperature at the Prandtl measuring point</t>
  </si>
  <si>
    <t>Température au point de mesure Prandtl</t>
  </si>
  <si>
    <t>Temperatura al punto de medición Prandtl</t>
  </si>
  <si>
    <t>Temperatur in der Leitung</t>
  </si>
  <si>
    <t>Temperature in the duct</t>
  </si>
  <si>
    <t>Température dans la conduite</t>
  </si>
  <si>
    <t>Temperatura en ducto</t>
  </si>
  <si>
    <t>Temperatur nach der Quenchkammer</t>
  </si>
  <si>
    <t>Temperature after the quenching chamber</t>
  </si>
  <si>
    <t>Temperatura después de cámara de enfriamiento repentino</t>
  </si>
  <si>
    <t>TERTIÄRLUFT</t>
  </si>
  <si>
    <t>TERTIARY AIR</t>
  </si>
  <si>
    <t>AIR TERTIAIRE</t>
  </si>
  <si>
    <t>AIRE TERCIARIO</t>
  </si>
  <si>
    <t>Tertiärluftleitung</t>
  </si>
  <si>
    <t>Tertiary air duct</t>
  </si>
  <si>
    <t>Conduite de l'air tertiaire</t>
  </si>
  <si>
    <t>Ducto aire terciario</t>
  </si>
  <si>
    <t>Tertiärlufttemperatur</t>
  </si>
  <si>
    <t>Tertiary air temperature</t>
  </si>
  <si>
    <t>Température de l'air tertiaire</t>
  </si>
  <si>
    <t>Temperatura del aire terciario</t>
  </si>
  <si>
    <t>UMGEBUNGSBEDINGUNGEN UND TESTDAUER</t>
  </si>
  <si>
    <t>AMBIENT CONDITIONS AND TEST DURATION</t>
  </si>
  <si>
    <t>CONDITION D'ENVIRONNEMENT ET DUREE DE MESURE</t>
  </si>
  <si>
    <t>CONDICIONES AMBIENTALES Y DURACION DE LA PRUEBA</t>
  </si>
  <si>
    <t>Transportluft</t>
  </si>
  <si>
    <t>Transport air</t>
  </si>
  <si>
    <t>Air de transport</t>
  </si>
  <si>
    <t>Aire transportadora</t>
  </si>
  <si>
    <t>trocken</t>
  </si>
  <si>
    <t>dry</t>
  </si>
  <si>
    <t>sec</t>
  </si>
  <si>
    <t>seca</t>
  </si>
  <si>
    <t xml:space="preserve">trockenes Abgas von Verbrennung und Rohmaterial </t>
  </si>
  <si>
    <t>dry exhaust gas from combustion and raw meal</t>
  </si>
  <si>
    <t>gaz d'exhaure sec de la combustion et la farine</t>
  </si>
  <si>
    <t>Gas de escape seco de la combustión y del crudo</t>
  </si>
  <si>
    <t>U</t>
  </si>
  <si>
    <t>U/min</t>
  </si>
  <si>
    <t>rpm</t>
  </si>
  <si>
    <t>tpm</t>
  </si>
  <si>
    <t xml:space="preserve">In case of secondary firing please check where the fuel is burning. In case of whole tires (burning in the kiln) the </t>
  </si>
  <si>
    <t>Überschussluft Ofeneinlauf</t>
  </si>
  <si>
    <t>Excess air kiln inlet</t>
  </si>
  <si>
    <t>Aire exceso entrada horno</t>
  </si>
  <si>
    <t>Überschussluft nach Kalzinator</t>
  </si>
  <si>
    <t>Excess air after calciner</t>
  </si>
  <si>
    <t>Aire exceso después precalcinador</t>
  </si>
  <si>
    <t>Umgebungsdruck (berechnet)</t>
  </si>
  <si>
    <t>Ambient pressure (calculated)</t>
  </si>
  <si>
    <t>Presion d'environnement (calculée)</t>
  </si>
  <si>
    <t>Presión ambiente (calculado)</t>
  </si>
  <si>
    <t>Umgebungsdruck (effektiv)</t>
  </si>
  <si>
    <t>Ambient pressure (actual)</t>
  </si>
  <si>
    <t>Presion d'environ (actuelle)</t>
  </si>
  <si>
    <t>Presión ambiente (actual)</t>
  </si>
  <si>
    <t>Umgebungstemperatur</t>
  </si>
  <si>
    <t>Ambient temperature</t>
  </si>
  <si>
    <t>Température d'environ</t>
  </si>
  <si>
    <t>Temperatura ambiente</t>
  </si>
  <si>
    <t>This program shall serve to perform heat and mass balances for any type of standard kiln systems,</t>
  </si>
  <si>
    <t>Umgebungstemperatur Prandtlmessung</t>
  </si>
  <si>
    <t>Ambient temperature Prandtl measurement</t>
  </si>
  <si>
    <t>Température d'environ point de mesure Prandtl</t>
  </si>
  <si>
    <t>Temperatura ambiente punto de medición Prandtl</t>
  </si>
  <si>
    <t>unterer Grenzwert</t>
  </si>
  <si>
    <t>Lower boundary</t>
  </si>
  <si>
    <t>Límite baja</t>
  </si>
  <si>
    <t>unterer Heizwert Hu</t>
  </si>
  <si>
    <t>Low heat value LHV</t>
  </si>
  <si>
    <t>Pouvoir calorifique inférieur</t>
  </si>
  <si>
    <t>Poder calorífico inferior</t>
  </si>
  <si>
    <t>unterer Heizwert Hu für CO</t>
  </si>
  <si>
    <t>Low heat value for CO</t>
  </si>
  <si>
    <t>Pouvoir calorifique inférieur de CO</t>
  </si>
  <si>
    <t>Poder calorífico inferior de CO</t>
  </si>
  <si>
    <t>V</t>
  </si>
  <si>
    <t>Ventilator</t>
  </si>
  <si>
    <t>Fan</t>
  </si>
  <si>
    <t>Ventilateur</t>
  </si>
  <si>
    <t>Ventilador</t>
  </si>
  <si>
    <t>Verantwortlicher</t>
  </si>
  <si>
    <t>Person in charge</t>
  </si>
  <si>
    <t>Responsable</t>
  </si>
  <si>
    <t>El encargado</t>
  </si>
  <si>
    <t>verbrauch</t>
  </si>
  <si>
    <t>sumption</t>
  </si>
  <si>
    <t>de l'energie térmique</t>
  </si>
  <si>
    <t>energía térmico</t>
  </si>
  <si>
    <t>Verbrennung</t>
  </si>
  <si>
    <t>combustion</t>
  </si>
  <si>
    <t>Primary air flow rate</t>
  </si>
  <si>
    <t>combustión</t>
  </si>
  <si>
    <t>Verbrennungsgas (feucht)</t>
  </si>
  <si>
    <t>Combustion gas (wet)</t>
  </si>
  <si>
    <t>Gaz de combustion (wet)</t>
  </si>
  <si>
    <t>Gas de combustión (húmedo)</t>
  </si>
  <si>
    <t>Verbrennungsluft</t>
  </si>
  <si>
    <t>Combustion air</t>
  </si>
  <si>
    <t>Air de combustion</t>
  </si>
  <si>
    <t>Aire de combustión</t>
  </si>
  <si>
    <t>Verbrenn.luft Ofen</t>
  </si>
  <si>
    <t>Combust. air kiln</t>
  </si>
  <si>
    <t>Air de comb. four</t>
  </si>
  <si>
    <t>Aire de comb. horno</t>
  </si>
  <si>
    <t>Verbrenn.luft Kalzinator</t>
  </si>
  <si>
    <t>Combust. air calciner</t>
  </si>
  <si>
    <t>Air de comb. cacinateur</t>
  </si>
  <si>
    <t>Aire de comb.precal.</t>
  </si>
  <si>
    <t>Verbrenn.gas Ofen</t>
  </si>
  <si>
    <t>Combust. gas kiln</t>
  </si>
  <si>
    <t>Gaz de comb. four</t>
  </si>
  <si>
    <t>Gas de comb. horno</t>
  </si>
  <si>
    <t>Verbrenn.gas Kalzinat.</t>
  </si>
  <si>
    <t>Combust. gas calciner</t>
  </si>
  <si>
    <t>Gaz de comb. calcinat.</t>
  </si>
  <si>
    <t>Gas de comb. precalc.</t>
  </si>
  <si>
    <t>Volumen-</t>
  </si>
  <si>
    <t>Flowrate</t>
  </si>
  <si>
    <t>Débit d'air</t>
  </si>
  <si>
    <t>Volumenstrom Luft</t>
  </si>
  <si>
    <t>Flowrate air</t>
  </si>
  <si>
    <t>Flujo de aire</t>
  </si>
  <si>
    <t>Volumenstrom Gas</t>
  </si>
  <si>
    <t>Flowrate gas</t>
  </si>
  <si>
    <t>Débit de gaz</t>
  </si>
  <si>
    <t>Flujo de gas</t>
  </si>
  <si>
    <t>Abluftvolumenstrom aus Prandtlmessung</t>
  </si>
  <si>
    <t>Perdida de Calor por Radiación &amp; Convección</t>
  </si>
  <si>
    <t>Cabeza del horno</t>
  </si>
  <si>
    <t>Resumen</t>
  </si>
  <si>
    <t>Parte cilíndrica</t>
  </si>
  <si>
    <t>Conexión a la cabeza del horno</t>
  </si>
  <si>
    <t>Cámara de transición</t>
  </si>
  <si>
    <t>Radiación y convección torre de precalentador, ducto aire terciario</t>
  </si>
  <si>
    <t>Rectangular</t>
  </si>
  <si>
    <t>Ducto de harina</t>
  </si>
  <si>
    <t>Cono</t>
  </si>
  <si>
    <t>Conducto de gas</t>
  </si>
  <si>
    <t>Techo</t>
  </si>
  <si>
    <t>Camara de sedimentación</t>
  </si>
  <si>
    <t>Résumé</t>
  </si>
  <si>
    <t>Part cylindrique</t>
  </si>
  <si>
    <t>rectangulaire</t>
  </si>
  <si>
    <t>Radiation &amp; Convection du prechauffeur, precal</t>
  </si>
  <si>
    <t>Chambre de transition</t>
  </si>
  <si>
    <t>Chambre de sédimentacion</t>
  </si>
  <si>
    <t>Jonction a la tête du four</t>
  </si>
  <si>
    <t>Tête du four</t>
  </si>
  <si>
    <t>Tube du materiel</t>
  </si>
  <si>
    <t>Cône</t>
  </si>
  <si>
    <t>Conduite du gaz</t>
  </si>
  <si>
    <t>Ofenkopf</t>
  </si>
  <si>
    <t>Anschlus an Ofenkopf</t>
  </si>
  <si>
    <t>Übergangskammer</t>
  </si>
  <si>
    <t>Sedimentier-Kammer</t>
  </si>
  <si>
    <t>TRi</t>
  </si>
  <si>
    <t>Translation adapted</t>
  </si>
  <si>
    <t>Waste air flowrate from prandtl measurement</t>
  </si>
  <si>
    <t>Flujo de aire de escape calculado con una medición de Prandtl</t>
  </si>
  <si>
    <t>Volumenstrom Kalzinatorabgas (trocken)</t>
  </si>
  <si>
    <t>Calciner exhaust gas flowrate (dry)</t>
  </si>
  <si>
    <t>Flujo de gas de salida del precalcinador (seco)</t>
  </si>
  <si>
    <t>Volumenstrom Wasser</t>
  </si>
  <si>
    <t>Water flowrate</t>
  </si>
  <si>
    <t>Flujo de agua</t>
  </si>
  <si>
    <t>von</t>
  </si>
  <si>
    <t>from</t>
  </si>
  <si>
    <t>du</t>
  </si>
  <si>
    <t>deste</t>
  </si>
  <si>
    <t>W</t>
  </si>
  <si>
    <t>WÄRME- UND MASSENBILANZ EINES WÄRMETAUSCHEROFENS</t>
  </si>
  <si>
    <t>HEAT AND MASS BALANCE OF A PREHEATER KILN</t>
  </si>
  <si>
    <t>BILAN TERMIQUE D'UN FOUR AVEC PRECHAUFFEUR</t>
  </si>
  <si>
    <t>BALANCE TERMICO DE UN HORNO CON PRECALENTADOR</t>
  </si>
  <si>
    <t>WÄRMEAUSTRAG</t>
  </si>
  <si>
    <t>HEAT OUTPUT</t>
  </si>
  <si>
    <t>SORTIE DE CHALEUR</t>
  </si>
  <si>
    <t>SALIDA DE CALOR</t>
  </si>
  <si>
    <t>WÄRMEBILANZ DES OFENSYSTEMS</t>
  </si>
  <si>
    <t>KILN SYSTEM HEAT BALANCE</t>
  </si>
  <si>
    <t>BILAN ENERGETIQUE SYSTEME DE FOUR</t>
  </si>
  <si>
    <t>BALANCE TÉRMICO SISTEMA DEL HORNO</t>
  </si>
  <si>
    <t>WÄRMEBILANZ TROCKENOFEN MIT</t>
  </si>
  <si>
    <t>HEAT BALANCE OF A</t>
  </si>
  <si>
    <t>BILAN ENERGETIQUE FOUR A</t>
  </si>
  <si>
    <t>BALANCE TERMICO HORNO CON</t>
  </si>
  <si>
    <t>Wärmebilanz Kohlenmühle)</t>
  </si>
  <si>
    <t>heat balance over coal mill)</t>
  </si>
  <si>
    <t>énergétique brouleur à charbon)</t>
  </si>
  <si>
    <t>AMBIENT CONDITIONS</t>
  </si>
  <si>
    <t>térmico molino de carbón)</t>
  </si>
  <si>
    <t>WÄRMEBILANZ KLINKERKÜHLER</t>
  </si>
  <si>
    <t>HEAT BALANCE CLINKER COOLER</t>
  </si>
  <si>
    <t>BILAN TERMIQUE REFROIDISSEUR</t>
  </si>
  <si>
    <t>Wärmeeintrag</t>
  </si>
  <si>
    <r>
      <t>[Nm</t>
    </r>
    <r>
      <rPr>
        <b/>
        <vertAlign val="superscript"/>
        <sz val="10"/>
        <rFont val="Arial Narrow"/>
        <family val="2"/>
      </rPr>
      <t>3</t>
    </r>
    <r>
      <rPr>
        <b/>
        <sz val="10"/>
        <rFont val="Arial Narrow"/>
        <family val="2"/>
      </rPr>
      <t>/kg</t>
    </r>
    <r>
      <rPr>
        <b/>
        <vertAlign val="subscript"/>
        <sz val="10"/>
        <rFont val="Arial Narrow"/>
        <family val="2"/>
      </rPr>
      <t>cli</t>
    </r>
    <r>
      <rPr>
        <b/>
        <sz val="10"/>
        <rFont val="Arial Narrow"/>
        <family val="2"/>
      </rPr>
      <t>]</t>
    </r>
  </si>
  <si>
    <r>
      <t>[kg/kg</t>
    </r>
    <r>
      <rPr>
        <b/>
        <vertAlign val="subscript"/>
        <sz val="10"/>
        <rFont val="Arial Narrow"/>
        <family val="2"/>
      </rPr>
      <t xml:space="preserve"> cli</t>
    </r>
    <r>
      <rPr>
        <b/>
        <sz val="10"/>
        <rFont val="Arial Narrow"/>
        <family val="2"/>
      </rPr>
      <t>],</t>
    </r>
  </si>
  <si>
    <r>
      <t>[kJ/kg</t>
    </r>
    <r>
      <rPr>
        <b/>
        <vertAlign val="subscript"/>
        <sz val="10"/>
        <rFont val="Arial Narrow"/>
        <family val="2"/>
      </rPr>
      <t>cli</t>
    </r>
    <r>
      <rPr>
        <b/>
        <sz val="10"/>
        <rFont val="Arial Narrow"/>
        <family val="2"/>
      </rPr>
      <t>]</t>
    </r>
  </si>
  <si>
    <r>
      <t>[kcal/kg</t>
    </r>
    <r>
      <rPr>
        <b/>
        <vertAlign val="subscript"/>
        <sz val="10"/>
        <rFont val="Arial Narrow"/>
        <family val="2"/>
      </rPr>
      <t>cli</t>
    </r>
    <r>
      <rPr>
        <b/>
        <sz val="10"/>
        <rFont val="Arial Narrow"/>
        <family val="2"/>
      </rPr>
      <t>]</t>
    </r>
  </si>
  <si>
    <t>NCV</t>
  </si>
  <si>
    <t>NCV as fired</t>
  </si>
  <si>
    <t>G824 Calculation revised from stanndard Vmins to input values as (G821) OLC case secondary firing considered</t>
  </si>
  <si>
    <t>G812 Case OLC secondary firing added</t>
  </si>
  <si>
    <t>GAZ D'EXHAURE DU PRECHAUFFEUR</t>
  </si>
  <si>
    <t>PREHEATER EXHAUST GASES (kiln string)</t>
  </si>
  <si>
    <t>OFENABGASE (nach Ofenstrang)</t>
  </si>
  <si>
    <t>G862 Cell reference corrected to calciner Amin</t>
  </si>
  <si>
    <t>Air faux du chapot de chauffe</t>
  </si>
  <si>
    <t>Nm3/kg cli wet</t>
  </si>
  <si>
    <t>G165 Secondary firing included</t>
  </si>
  <si>
    <t>E307 False air entry at kiln hood in case of planetary cooler added</t>
  </si>
  <si>
    <t xml:space="preserve">oxygen measured at kiln inlet incorporates already the combustion of whole tires. In this case no adapation required.  </t>
  </si>
  <si>
    <t>C387 Comment revised to reflect change in Secondary air formula</t>
  </si>
  <si>
    <t>I424 Formula now considers Secondary firing</t>
  </si>
  <si>
    <t>G812 Bypass flow rate calculation corrected</t>
  </si>
  <si>
    <t>G816 Secondary air added in calculation of Case 5 OLC Formula now considers real Vmin's no more standard values</t>
  </si>
  <si>
    <t xml:space="preserve">G854 formula now considers correct Amin </t>
  </si>
  <si>
    <t>General revision of design, Visualization of balance added</t>
  </si>
  <si>
    <t>Layout</t>
  </si>
  <si>
    <t>Rev.No.</t>
  </si>
  <si>
    <t>Responsible</t>
  </si>
  <si>
    <t>Holcim Group Support Ltd</t>
  </si>
  <si>
    <t xml:space="preserve">Template Version: </t>
  </si>
  <si>
    <t>Cement Manufacturing Services - TPT</t>
  </si>
  <si>
    <t xml:space="preserve">Filename: </t>
  </si>
  <si>
    <t>Heat Balance Tool</t>
  </si>
  <si>
    <t>Tertiary air</t>
  </si>
  <si>
    <t>Heat consumption</t>
  </si>
  <si>
    <t>% AFR</t>
  </si>
  <si>
    <t>% MB</t>
  </si>
  <si>
    <t>% SF</t>
  </si>
  <si>
    <t>% PC</t>
  </si>
  <si>
    <t>Actual</t>
  </si>
  <si>
    <t>Reference</t>
  </si>
  <si>
    <t>Kiln inlet</t>
  </si>
  <si>
    <t>Preheater exit</t>
  </si>
  <si>
    <t>Cooling air flow</t>
  </si>
  <si>
    <t>Q [Nm3/kg cli]</t>
  </si>
  <si>
    <t>Temp [°C]</t>
  </si>
  <si>
    <t>Prod [t/h]</t>
  </si>
  <si>
    <t>Prod [t/d]</t>
  </si>
  <si>
    <t>% Dust [% KF]</t>
  </si>
  <si>
    <t>Kiln feed [t/h]</t>
  </si>
  <si>
    <t>Kiln</t>
  </si>
  <si>
    <t>Rad.&amp; convection</t>
  </si>
  <si>
    <t>Flow (Nm3/kg cli]</t>
  </si>
  <si>
    <t>O2 [%]</t>
  </si>
  <si>
    <t>CO [%]</t>
  </si>
  <si>
    <t>@ 0.8 Nm3/kg cli air recuperated</t>
  </si>
  <si>
    <t>Flow [t/h]</t>
  </si>
  <si>
    <t>Flow [Nm3/kg cli]</t>
  </si>
  <si>
    <t xml:space="preserve">False air </t>
  </si>
  <si>
    <t>Normalized</t>
  </si>
  <si>
    <t>Clinker inlet temp [°C]</t>
  </si>
  <si>
    <t>Dust [%]</t>
  </si>
  <si>
    <t>Ambient Temp</t>
  </si>
  <si>
    <t>Nm3/kg cli @ °C</t>
  </si>
  <si>
    <t>Balance duration</t>
  </si>
  <si>
    <t>Comments</t>
  </si>
  <si>
    <t>Kiln hood [Nm3/kg]</t>
  </si>
  <si>
    <t>Cooler [Nm3/kg]</t>
  </si>
  <si>
    <t>Temp</t>
  </si>
  <si>
    <t xml:space="preserve">CO </t>
  </si>
  <si>
    <t>O2</t>
  </si>
  <si>
    <t>PC exit</t>
  </si>
  <si>
    <t>Grey cell border = Required for cooler heat balance</t>
  </si>
  <si>
    <t>6 stage Preheater image</t>
  </si>
  <si>
    <t>16.7.2012</t>
  </si>
  <si>
    <t xml:space="preserve">Delete unused cell names and rename of ETA1 &amp; ETA2 in radiation sheets to avoid problems with new file format(x.xlsx) </t>
  </si>
  <si>
    <t>In case of fuels burning in the riser or inlet chute adapt the formula I424 secondary air and delete I423 from the formula(twice)</t>
  </si>
  <si>
    <t>as well as delete in I424 "+sum(E:407:J407)" from the formula.</t>
  </si>
  <si>
    <t>According to VDZ VT10 the average temperature of the envelope should be considered.</t>
  </si>
  <si>
    <t>The resulting heat loss is multiplied with 1.6 (empirical factor) already considered in F28</t>
  </si>
  <si>
    <t>Hüllkurve um Satellitenkühler</t>
  </si>
  <si>
    <t>Envelope around cooler</t>
  </si>
  <si>
    <t>Surface exterieur du refriodisseur</t>
  </si>
  <si>
    <t>Diametro exterior del enfriador</t>
  </si>
  <si>
    <t>Comment added to be VT10 compatible</t>
  </si>
  <si>
    <t>Meadows</t>
  </si>
  <si>
    <t>PPE</t>
  </si>
  <si>
    <t>Kiln with in-line calciner and reciprocating grate cooler, refractory lining according to Holcim refractory concept.</t>
  </si>
  <si>
    <t>3-support kiln</t>
  </si>
  <si>
    <t>80% coal</t>
  </si>
  <si>
    <t>20% petcoke</t>
  </si>
  <si>
    <t>Fluff</t>
  </si>
  <si>
    <t>Plastics</t>
  </si>
  <si>
    <t>Sample Nr</t>
  </si>
  <si>
    <t>T max cli (absolute)</t>
  </si>
  <si>
    <t>Amb. T</t>
  </si>
  <si>
    <t>Waste Air 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</si>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</sst>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"/>
    <numFmt numFmtId="165" formatCode="0.0%"/>
    <numFmt numFmtId="166" formatCode="0.000"/>
    <numFmt numFmtId="167" formatCode="General_)"/>
    <numFmt numFmtId="168" formatCode="0\'000"/>
    <numFmt numFmtId="169" formatCode="dd\.mm\.yy_)"/>
    <numFmt numFmtId="170" formatCode="0.0000"/>
    <numFmt numFmtId="171" formatCode="[&gt;1000]0\'000;[&lt;1000]0;General"/>
    <numFmt numFmtId="172" formatCode="[&gt;999]0\'000;[&lt;1000]0;General"/>
    <numFmt numFmtId="173" formatCode="0.00000"/>
    <numFmt numFmtId="174" formatCode="0.000000"/>
    <numFmt numFmtId="175" formatCode="h:mm"/>
    <numFmt numFmtId="176" formatCode="#,##0.0;[Red]\-#,##0.0"/>
    <numFmt numFmtId="177" formatCode="#,##0.000;[Red]\-#,##0.000"/>
  </numFmts>
  <fonts count="72">
    <font>
      <sz val="10"/>
      <name val="Arial Narrow"/>
    </font>
    <font>
      <sz val="11"/>
      <color theme="1"/>
      <name val="Calibri"/>
      <family val="2"/>
      <scheme val="minor"/>
    </font>
    <font>
      <sz val="10"/>
      <name val="HELVETICA"/>
    </font>
    <font>
      <b/>
      <sz val="10"/>
      <name val="Helvetica-Narrow"/>
    </font>
    <font>
      <b/>
      <sz val="14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10"/>
      <color indexed="12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Helvetica-Narrow"/>
    </font>
    <font>
      <b/>
      <sz val="11"/>
      <name val="Arial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12"/>
      <name val="Arial Narrow"/>
      <family val="2"/>
    </font>
    <font>
      <sz val="8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b/>
      <sz val="14"/>
      <name val="Arial Narrow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u/>
      <sz val="10"/>
      <name val="Arial"/>
      <family val="2"/>
    </font>
    <font>
      <u/>
      <sz val="11"/>
      <name val="Arial Narrow"/>
      <family val="2"/>
    </font>
    <font>
      <vertAlign val="subscript"/>
      <sz val="10"/>
      <name val="Arial Narrow"/>
      <family val="2"/>
    </font>
    <font>
      <sz val="10"/>
      <name val="Arial Narrow"/>
      <family val="2"/>
    </font>
    <font>
      <sz val="8"/>
      <color indexed="81"/>
      <name val="Tahoma"/>
      <family val="2"/>
    </font>
    <font>
      <b/>
      <sz val="10"/>
      <name val="Symbol"/>
      <family val="1"/>
      <charset val="2"/>
    </font>
    <font>
      <sz val="8"/>
      <name val="Arial Narrow"/>
      <family val="2"/>
    </font>
    <font>
      <i/>
      <sz val="10"/>
      <name val="Arial Narrow"/>
      <family val="2"/>
    </font>
    <font>
      <i/>
      <sz val="10"/>
      <color indexed="12"/>
      <name val="Arial Narrow"/>
      <family val="2"/>
    </font>
    <font>
      <b/>
      <i/>
      <sz val="10"/>
      <color indexed="12"/>
      <name val="Arial Narrow"/>
      <family val="2"/>
    </font>
    <font>
      <b/>
      <sz val="10"/>
      <color indexed="12"/>
      <name val="Arial Narrow"/>
      <family val="2"/>
    </font>
    <font>
      <sz val="10"/>
      <color indexed="48"/>
      <name val="Arial Narrow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4"/>
      <color theme="0"/>
      <name val="Arial"/>
      <family val="2"/>
    </font>
    <font>
      <b/>
      <sz val="12"/>
      <name val="Arial"/>
      <family val="2"/>
    </font>
    <font>
      <b/>
      <vertAlign val="superscript"/>
      <sz val="10"/>
      <name val="Arial Narrow"/>
      <family val="2"/>
    </font>
    <font>
      <b/>
      <vertAlign val="subscript"/>
      <sz val="10"/>
      <name val="Arial Narrow"/>
      <family val="2"/>
    </font>
    <font>
      <sz val="10"/>
      <color theme="0" tint="-0.249977111117893"/>
      <name val="Arial Narrow"/>
      <family val="2"/>
    </font>
    <font>
      <sz val="10"/>
      <color rgb="FF0066FF"/>
      <name val="Arial"/>
      <family val="2"/>
    </font>
    <font>
      <sz val="10"/>
      <color rgb="FF0066FF"/>
      <name val="Arial Narrow"/>
      <family val="2"/>
    </font>
    <font>
      <b/>
      <sz val="12"/>
      <color rgb="FF0066FF"/>
      <name val="Arial"/>
      <family val="2"/>
    </font>
    <font>
      <b/>
      <sz val="10"/>
      <color rgb="FF0066FF"/>
      <name val="Arial Narrow"/>
      <family val="2"/>
    </font>
    <font>
      <i/>
      <sz val="10"/>
      <color rgb="FF0066FF"/>
      <name val="Arial Narrow"/>
      <family val="2"/>
    </font>
    <font>
      <b/>
      <i/>
      <sz val="10"/>
      <color rgb="FF0066FF"/>
      <name val="Arial Narrow"/>
      <family val="2"/>
    </font>
    <font>
      <sz val="10"/>
      <color rgb="FFFF0000"/>
      <name val="Arial Narrow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 Narrow"/>
      <family val="2"/>
    </font>
    <font>
      <b/>
      <sz val="11"/>
      <color rgb="FF3F3F3F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 Narrow"/>
      <family val="2"/>
    </font>
    <font>
      <sz val="10"/>
      <name val="Tahoma"/>
      <family val="2"/>
    </font>
    <font>
      <sz val="14"/>
      <name val="Arial"/>
      <family val="2"/>
    </font>
    <font>
      <b/>
      <sz val="16"/>
      <name val="Arial"/>
      <family val="2"/>
    </font>
    <font>
      <sz val="10"/>
      <name val="Arial Unicode MS"/>
      <family val="2"/>
    </font>
    <font>
      <sz val="8"/>
      <name val="Arial Unicode MS"/>
      <family val="2"/>
    </font>
    <font>
      <sz val="7"/>
      <name val="Arial"/>
      <family val="2"/>
    </font>
    <font>
      <b/>
      <sz val="9"/>
      <color indexed="81"/>
      <name val="Tahoma"/>
      <family val="2"/>
    </font>
    <font>
      <b/>
      <sz val="12"/>
      <color theme="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</patternFill>
    </fill>
    <fill>
      <patternFill patternType="solid">
        <fgColor rgb="FFFFFF99"/>
        <bgColor indexed="64"/>
      </patternFill>
    </fill>
    <fill>
      <patternFill patternType="solid">
        <fgColor rgb="FFCCFFFF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12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hair">
        <color indexed="12"/>
      </bottom>
      <diagonal/>
    </border>
    <border>
      <left/>
      <right/>
      <top style="thin">
        <color indexed="12"/>
      </top>
      <bottom style="hair">
        <color indexed="12"/>
      </bottom>
      <diagonal/>
    </border>
    <border>
      <left/>
      <right style="thin">
        <color indexed="12"/>
      </right>
      <top style="thin">
        <color indexed="12"/>
      </top>
      <bottom style="hair">
        <color indexed="12"/>
      </bottom>
      <diagonal/>
    </border>
    <border>
      <left style="thin">
        <color indexed="12"/>
      </left>
      <right/>
      <top style="hair">
        <color indexed="12"/>
      </top>
      <bottom style="hair">
        <color indexed="12"/>
      </bottom>
      <diagonal/>
    </border>
    <border>
      <left/>
      <right/>
      <top style="hair">
        <color indexed="12"/>
      </top>
      <bottom style="hair">
        <color indexed="12"/>
      </bottom>
      <diagonal/>
    </border>
    <border>
      <left/>
      <right style="thin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thin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/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12"/>
      </bottom>
      <diagonal/>
    </border>
    <border>
      <left/>
      <right/>
      <top style="hair">
        <color indexed="12"/>
      </top>
      <bottom style="thin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hair">
        <color indexed="64"/>
      </bottom>
      <diagonal/>
    </border>
    <border>
      <left style="thick">
        <color theme="0" tint="-0.499984740745262"/>
      </left>
      <right style="thick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ck">
        <color theme="0" tint="-0.499984740745262"/>
      </right>
      <top style="thick">
        <color theme="0" tint="-0.499984740745262"/>
      </top>
      <bottom style="hair">
        <color indexed="64"/>
      </bottom>
      <diagonal/>
    </border>
    <border>
      <left style="thick">
        <color theme="0" tint="-0.49998474074526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ck">
        <color theme="0" tint="-0.499984740745262"/>
      </left>
      <right style="thin">
        <color indexed="64"/>
      </right>
      <top style="hair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ck">
        <color theme="0" tint="-0.499984740745262"/>
      </right>
      <top style="hair">
        <color indexed="64"/>
      </top>
      <bottom style="thick">
        <color theme="0" tint="-0.499984740745262"/>
      </bottom>
      <diagonal/>
    </border>
  </borders>
  <cellStyleXfs count="14">
    <xf numFmtId="0" fontId="0" fillId="0" borderId="0"/>
    <xf numFmtId="40" fontId="2" fillId="0" borderId="0" applyFont="0" applyFill="0" applyBorder="0" applyAlignment="0" applyProtection="0"/>
    <xf numFmtId="0" fontId="3" fillId="2" borderId="1" applyNumberFormat="0" applyAlignment="0">
      <protection locked="0"/>
    </xf>
    <xf numFmtId="0" fontId="15" fillId="0" borderId="0"/>
    <xf numFmtId="0" fontId="2" fillId="0" borderId="0"/>
    <xf numFmtId="0" fontId="2" fillId="0" borderId="0"/>
    <xf numFmtId="0" fontId="15" fillId="0" borderId="0"/>
    <xf numFmtId="0" fontId="3" fillId="2" borderId="1" applyNumberFormat="0">
      <protection locked="0"/>
    </xf>
    <xf numFmtId="0" fontId="3" fillId="2" borderId="1" applyNumberFormat="0" applyAlignment="0">
      <protection locked="0"/>
    </xf>
    <xf numFmtId="0" fontId="59" fillId="14" borderId="76" applyNumberFormat="0" applyAlignment="0" applyProtection="0"/>
    <xf numFmtId="0" fontId="1" fillId="15" borderId="0" applyNumberFormat="0" applyBorder="0" applyAlignment="0" applyProtection="0"/>
    <xf numFmtId="0" fontId="62" fillId="0" borderId="0"/>
    <xf numFmtId="0" fontId="24" fillId="0" borderId="0">
      <alignment vertical="center"/>
    </xf>
    <xf numFmtId="0" fontId="12" fillId="0" borderId="0"/>
  </cellStyleXfs>
  <cellXfs count="1346">
    <xf numFmtId="0" fontId="0" fillId="0" borderId="0" xfId="0"/>
    <xf numFmtId="0" fontId="0" fillId="0" borderId="0" xfId="0" applyFont="1"/>
    <xf numFmtId="0" fontId="0" fillId="3" borderId="1" xfId="0" applyFont="1" applyFill="1" applyBorder="1"/>
    <xf numFmtId="0" fontId="0" fillId="0" borderId="0" xfId="0" applyFont="1" applyFill="1"/>
    <xf numFmtId="0" fontId="5" fillId="0" borderId="0" xfId="0" applyFont="1"/>
    <xf numFmtId="0" fontId="0" fillId="0" borderId="0" xfId="0" quotePrefix="1" applyFont="1" applyAlignment="1">
      <alignment horizontal="left"/>
    </xf>
    <xf numFmtId="0" fontId="0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0" fillId="0" borderId="0" xfId="0" quotePrefix="1" applyFont="1" applyFill="1" applyAlignment="1">
      <alignment horizontal="left"/>
    </xf>
    <xf numFmtId="1" fontId="0" fillId="0" borderId="0" xfId="0" applyNumberFormat="1" applyFont="1" applyFill="1"/>
    <xf numFmtId="0" fontId="0" fillId="0" borderId="0" xfId="0" applyFont="1" applyFill="1" applyAlignment="1">
      <alignment horizontal="centerContinuous"/>
    </xf>
    <xf numFmtId="0" fontId="0" fillId="0" borderId="0" xfId="0" applyFont="1" applyFill="1" applyAlignment="1"/>
    <xf numFmtId="0" fontId="0" fillId="0" borderId="4" xfId="0" applyFont="1" applyBorder="1"/>
    <xf numFmtId="0" fontId="5" fillId="0" borderId="0" xfId="0" applyFont="1" applyFill="1"/>
    <xf numFmtId="0" fontId="0" fillId="0" borderId="0" xfId="0" applyFont="1" applyBorder="1"/>
    <xf numFmtId="0" fontId="5" fillId="0" borderId="6" xfId="0" applyFont="1" applyFill="1" applyBorder="1"/>
    <xf numFmtId="0" fontId="0" fillId="0" borderId="4" xfId="0" applyFont="1" applyFill="1" applyBorder="1"/>
    <xf numFmtId="0" fontId="5" fillId="0" borderId="0" xfId="0" quotePrefix="1" applyFont="1" applyFill="1" applyBorder="1" applyAlignment="1">
      <alignment horizontal="left"/>
    </xf>
    <xf numFmtId="0" fontId="0" fillId="0" borderId="7" xfId="0" applyFont="1" applyFill="1" applyBorder="1"/>
    <xf numFmtId="0" fontId="0" fillId="0" borderId="8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11" xfId="0" applyFont="1" applyFill="1" applyBorder="1"/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 applyAlignment="1">
      <alignment horizontal="center"/>
    </xf>
    <xf numFmtId="166" fontId="0" fillId="0" borderId="0" xfId="0" applyNumberFormat="1" applyFont="1" applyFill="1" applyBorder="1" applyProtection="1"/>
    <xf numFmtId="0" fontId="0" fillId="0" borderId="0" xfId="0" applyFont="1" applyFill="1" applyAlignment="1">
      <alignment horizontal="left"/>
    </xf>
    <xf numFmtId="0" fontId="0" fillId="0" borderId="0" xfId="0" quotePrefix="1" applyFont="1"/>
    <xf numFmtId="164" fontId="0" fillId="0" borderId="0" xfId="0" applyNumberFormat="1" applyFont="1"/>
    <xf numFmtId="0" fontId="0" fillId="0" borderId="10" xfId="0" applyFont="1" applyFill="1" applyBorder="1"/>
    <xf numFmtId="166" fontId="0" fillId="0" borderId="0" xfId="0" applyNumberFormat="1" applyFont="1" applyFill="1"/>
    <xf numFmtId="164" fontId="0" fillId="0" borderId="0" xfId="0" applyNumberFormat="1" applyFont="1" applyFill="1" applyBorder="1"/>
    <xf numFmtId="0" fontId="7" fillId="0" borderId="0" xfId="0" applyFont="1" applyFill="1" applyProtection="1"/>
    <xf numFmtId="0" fontId="0" fillId="0" borderId="12" xfId="0" quotePrefix="1" applyFont="1" applyBorder="1" applyAlignment="1" applyProtection="1">
      <alignment horizontal="right"/>
    </xf>
    <xf numFmtId="0" fontId="0" fillId="0" borderId="14" xfId="0" applyFont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164" fontId="0" fillId="0" borderId="0" xfId="0" applyNumberFormat="1" applyFont="1" applyBorder="1" applyProtection="1"/>
    <xf numFmtId="0" fontId="0" fillId="0" borderId="0" xfId="0" quotePrefix="1" applyFont="1" applyAlignment="1" applyProtection="1">
      <alignment horizontal="left"/>
    </xf>
    <xf numFmtId="0" fontId="5" fillId="0" borderId="0" xfId="0" applyFont="1" applyFill="1" applyBorder="1"/>
    <xf numFmtId="0" fontId="7" fillId="0" borderId="0" xfId="0" applyFont="1" applyFill="1" applyBorder="1" applyProtection="1"/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/>
    <xf numFmtId="164" fontId="0" fillId="0" borderId="0" xfId="0" quotePrefix="1" applyNumberFormat="1" applyFont="1" applyFill="1" applyAlignment="1"/>
    <xf numFmtId="166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/>
    <xf numFmtId="0" fontId="0" fillId="0" borderId="0" xfId="0" quotePrefix="1" applyFont="1" applyFill="1" applyAlignment="1"/>
    <xf numFmtId="0" fontId="0" fillId="0" borderId="0" xfId="0" applyFont="1" applyFill="1" applyProtection="1"/>
    <xf numFmtId="0" fontId="0" fillId="0" borderId="0" xfId="0" quotePrefix="1" applyFont="1" applyFill="1" applyAlignment="1" applyProtection="1">
      <alignment horizontal="left"/>
    </xf>
    <xf numFmtId="164" fontId="0" fillId="0" borderId="0" xfId="0" applyNumberFormat="1" applyFont="1" applyFill="1" applyBorder="1" applyAlignment="1"/>
    <xf numFmtId="166" fontId="0" fillId="0" borderId="0" xfId="0" applyNumberFormat="1" applyFont="1" applyFill="1" applyBorder="1" applyAlignment="1"/>
    <xf numFmtId="166" fontId="0" fillId="0" borderId="0" xfId="0" quotePrefix="1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/>
    <xf numFmtId="167" fontId="0" fillId="0" borderId="0" xfId="0" applyNumberFormat="1" applyFont="1" applyFill="1"/>
    <xf numFmtId="0" fontId="5" fillId="0" borderId="13" xfId="0" applyFont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9" fillId="0" borderId="0" xfId="0" applyFont="1"/>
    <xf numFmtId="2" fontId="0" fillId="0" borderId="0" xfId="0" applyNumberFormat="1" applyFont="1" applyFill="1" applyBorder="1" applyAlignment="1"/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/>
    <xf numFmtId="166" fontId="6" fillId="0" borderId="0" xfId="0" applyNumberFormat="1" applyFont="1" applyFill="1" applyBorder="1" applyAlignment="1"/>
    <xf numFmtId="167" fontId="0" fillId="0" borderId="0" xfId="0" quotePrefix="1" applyNumberFormat="1" applyFont="1" applyAlignment="1" applyProtection="1">
      <alignment horizontal="left"/>
    </xf>
    <xf numFmtId="167" fontId="0" fillId="0" borderId="0" xfId="0" applyNumberFormat="1" applyFont="1" applyAlignment="1" applyProtection="1">
      <alignment horizontal="left"/>
    </xf>
    <xf numFmtId="167" fontId="0" fillId="0" borderId="0" xfId="0" applyNumberFormat="1" applyFont="1" applyProtection="1"/>
    <xf numFmtId="1" fontId="0" fillId="0" borderId="0" xfId="0" applyNumberFormat="1" applyFont="1" applyProtection="1"/>
    <xf numFmtId="167" fontId="7" fillId="0" borderId="0" xfId="0" applyNumberFormat="1" applyFont="1" applyAlignment="1" applyProtection="1">
      <alignment horizontal="left"/>
    </xf>
    <xf numFmtId="0" fontId="0" fillId="0" borderId="17" xfId="0" applyFont="1" applyBorder="1"/>
    <xf numFmtId="0" fontId="0" fillId="0" borderId="13" xfId="0" applyFont="1" applyBorder="1"/>
    <xf numFmtId="0" fontId="5" fillId="0" borderId="13" xfId="0" applyNumberFormat="1" applyFont="1" applyBorder="1" applyAlignment="1" applyProtection="1">
      <alignment horizontal="center"/>
      <protection locked="0"/>
    </xf>
    <xf numFmtId="0" fontId="5" fillId="0" borderId="20" xfId="0" applyNumberFormat="1" applyFont="1" applyBorder="1" applyAlignment="1" applyProtection="1">
      <alignment horizontal="center"/>
      <protection locked="0"/>
    </xf>
    <xf numFmtId="0" fontId="0" fillId="0" borderId="17" xfId="0" quotePrefix="1" applyFont="1" applyFill="1" applyBorder="1" applyAlignment="1">
      <alignment horizontal="left"/>
    </xf>
    <xf numFmtId="0" fontId="0" fillId="0" borderId="17" xfId="0" applyFont="1" applyFill="1" applyBorder="1"/>
    <xf numFmtId="0" fontId="7" fillId="0" borderId="13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0" fillId="0" borderId="9" xfId="0" applyFont="1" applyFill="1" applyBorder="1" applyAlignment="1">
      <alignment horizontal="center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21" xfId="0" applyFont="1" applyBorder="1" applyAlignment="1" applyProtection="1">
      <alignment horizontal="center"/>
      <protection locked="0"/>
    </xf>
    <xf numFmtId="0" fontId="5" fillId="0" borderId="17" xfId="0" applyFont="1" applyFill="1" applyBorder="1"/>
    <xf numFmtId="0" fontId="7" fillId="0" borderId="13" xfId="0" applyFont="1" applyFill="1" applyBorder="1" applyProtection="1">
      <protection locked="0"/>
    </xf>
    <xf numFmtId="0" fontId="7" fillId="0" borderId="20" xfId="0" applyFont="1" applyFill="1" applyBorder="1" applyProtection="1">
      <protection locked="0"/>
    </xf>
    <xf numFmtId="0" fontId="7" fillId="0" borderId="13" xfId="0" applyFont="1" applyBorder="1" applyProtection="1">
      <protection locked="0"/>
    </xf>
    <xf numFmtId="0" fontId="7" fillId="0" borderId="20" xfId="0" applyFont="1" applyBorder="1" applyProtection="1">
      <protection locked="0"/>
    </xf>
    <xf numFmtId="1" fontId="0" fillId="0" borderId="13" xfId="0" applyNumberFormat="1" applyFont="1" applyFill="1" applyBorder="1" applyAlignment="1">
      <alignment horizontal="center"/>
    </xf>
    <xf numFmtId="1" fontId="0" fillId="0" borderId="20" xfId="0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left"/>
    </xf>
    <xf numFmtId="1" fontId="0" fillId="0" borderId="13" xfId="0" applyNumberFormat="1" applyFont="1" applyFill="1" applyBorder="1" applyAlignment="1" applyProtection="1">
      <alignment horizontal="center"/>
    </xf>
    <xf numFmtId="1" fontId="0" fillId="0" borderId="20" xfId="0" applyNumberFormat="1" applyFont="1" applyFill="1" applyBorder="1" applyAlignment="1" applyProtection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5" fillId="0" borderId="6" xfId="0" applyFont="1" applyBorder="1"/>
    <xf numFmtId="0" fontId="5" fillId="0" borderId="0" xfId="0" applyFont="1" applyFill="1" applyBorder="1" applyAlignment="1" applyProtection="1">
      <alignment horizontal="left"/>
    </xf>
    <xf numFmtId="0" fontId="0" fillId="0" borderId="0" xfId="0" applyFont="1" applyFill="1" applyBorder="1" applyProtection="1"/>
    <xf numFmtId="0" fontId="9" fillId="0" borderId="0" xfId="0" applyFont="1" applyAlignment="1"/>
    <xf numFmtId="0" fontId="5" fillId="0" borderId="0" xfId="0" applyFont="1" applyFill="1" applyAlignment="1"/>
    <xf numFmtId="0" fontId="5" fillId="0" borderId="0" xfId="0" applyFont="1" applyBorder="1" applyAlignment="1" applyProtection="1">
      <alignment horizontal="left"/>
      <protection locked="0"/>
    </xf>
    <xf numFmtId="0" fontId="0" fillId="0" borderId="14" xfId="0" applyFont="1" applyBorder="1"/>
    <xf numFmtId="0" fontId="5" fillId="0" borderId="0" xfId="0" applyFont="1" applyAlignment="1"/>
    <xf numFmtId="15" fontId="5" fillId="0" borderId="0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Protection="1"/>
    <xf numFmtId="1" fontId="5" fillId="0" borderId="0" xfId="0" applyNumberFormat="1" applyFont="1"/>
    <xf numFmtId="1" fontId="5" fillId="0" borderId="0" xfId="0" applyNumberFormat="1" applyFont="1" applyBorder="1" applyProtection="1"/>
    <xf numFmtId="0" fontId="0" fillId="0" borderId="7" xfId="0" applyFont="1" applyBorder="1"/>
    <xf numFmtId="0" fontId="0" fillId="0" borderId="8" xfId="0" applyFont="1" applyBorder="1"/>
    <xf numFmtId="0" fontId="0" fillId="0" borderId="1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5" fillId="0" borderId="13" xfId="0" applyFont="1" applyBorder="1"/>
    <xf numFmtId="0" fontId="0" fillId="0" borderId="18" xfId="0" applyFont="1" applyBorder="1"/>
    <xf numFmtId="0" fontId="0" fillId="0" borderId="0" xfId="0" quotePrefix="1" applyFont="1" applyBorder="1" applyAlignment="1">
      <alignment horizontal="left"/>
    </xf>
    <xf numFmtId="0" fontId="5" fillId="0" borderId="22" xfId="0" applyFont="1" applyBorder="1" applyAlignment="1">
      <alignment horizontal="right"/>
    </xf>
    <xf numFmtId="0" fontId="0" fillId="0" borderId="0" xfId="0" quotePrefix="1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left"/>
    </xf>
    <xf numFmtId="166" fontId="5" fillId="0" borderId="23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5" fillId="0" borderId="17" xfId="0" applyFont="1" applyBorder="1"/>
    <xf numFmtId="0" fontId="0" fillId="0" borderId="1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5" fillId="0" borderId="24" xfId="0" applyFont="1" applyBorder="1" applyAlignment="1">
      <alignment horizontal="centerContinuous"/>
    </xf>
    <xf numFmtId="1" fontId="5" fillId="0" borderId="22" xfId="0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right"/>
    </xf>
    <xf numFmtId="1" fontId="5" fillId="0" borderId="23" xfId="0" applyNumberFormat="1" applyFont="1" applyBorder="1" applyAlignment="1">
      <alignment horizontal="center"/>
    </xf>
    <xf numFmtId="0" fontId="0" fillId="0" borderId="17" xfId="0" quotePrefix="1" applyFont="1" applyBorder="1" applyAlignment="1">
      <alignment horizontal="left"/>
    </xf>
    <xf numFmtId="0" fontId="0" fillId="0" borderId="17" xfId="0" applyFont="1" applyBorder="1" applyAlignment="1"/>
    <xf numFmtId="0" fontId="5" fillId="0" borderId="23" xfId="0" applyFont="1" applyBorder="1" applyAlignment="1">
      <alignment horizontal="center"/>
    </xf>
    <xf numFmtId="166" fontId="5" fillId="0" borderId="24" xfId="0" applyNumberFormat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right"/>
    </xf>
    <xf numFmtId="1" fontId="5" fillId="0" borderId="2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Continuous"/>
    </xf>
    <xf numFmtId="0" fontId="0" fillId="0" borderId="18" xfId="0" applyFont="1" applyBorder="1" applyAlignment="1">
      <alignment horizontal="centerContinuous"/>
    </xf>
    <xf numFmtId="0" fontId="0" fillId="0" borderId="17" xfId="0" applyFont="1" applyBorder="1" applyAlignment="1">
      <alignment horizontal="centerContinuous"/>
    </xf>
    <xf numFmtId="164" fontId="5" fillId="0" borderId="25" xfId="0" applyNumberFormat="1" applyFont="1" applyBorder="1"/>
    <xf numFmtId="0" fontId="0" fillId="0" borderId="0" xfId="0" applyFont="1" applyBorder="1" applyAlignment="1">
      <alignment horizontal="centerContinuous"/>
    </xf>
    <xf numFmtId="0" fontId="0" fillId="0" borderId="0" xfId="0" applyFont="1" applyAlignment="1">
      <alignment horizontal="centerContinuous"/>
    </xf>
    <xf numFmtId="164" fontId="0" fillId="0" borderId="25" xfId="0" applyNumberFormat="1" applyFont="1" applyBorder="1"/>
    <xf numFmtId="0" fontId="5" fillId="0" borderId="10" xfId="0" applyFont="1" applyBorder="1"/>
    <xf numFmtId="2" fontId="0" fillId="0" borderId="18" xfId="0" applyNumberFormat="1" applyFont="1" applyBorder="1" applyAlignment="1">
      <alignment horizontal="center"/>
    </xf>
    <xf numFmtId="2" fontId="0" fillId="0" borderId="26" xfId="0" applyNumberFormat="1" applyFont="1" applyBorder="1" applyAlignment="1">
      <alignment horizontal="center"/>
    </xf>
    <xf numFmtId="0" fontId="5" fillId="0" borderId="17" xfId="0" applyFont="1" applyFill="1" applyBorder="1" applyAlignment="1" applyProtection="1">
      <alignment horizontal="left"/>
    </xf>
    <xf numFmtId="0" fontId="7" fillId="0" borderId="13" xfId="0" applyFont="1" applyFill="1" applyBorder="1" applyAlignment="1" applyProtection="1"/>
    <xf numFmtId="0" fontId="7" fillId="0" borderId="13" xfId="0" applyFont="1" applyFill="1" applyBorder="1" applyAlignment="1" applyProtection="1">
      <alignment horizontal="center"/>
    </xf>
    <xf numFmtId="0" fontId="0" fillId="0" borderId="17" xfId="0" applyFont="1" applyFill="1" applyBorder="1" applyAlignment="1" applyProtection="1">
      <alignment horizontal="left"/>
    </xf>
    <xf numFmtId="164" fontId="0" fillId="0" borderId="13" xfId="0" applyNumberFormat="1" applyFont="1" applyFill="1" applyBorder="1"/>
    <xf numFmtId="0" fontId="0" fillId="0" borderId="13" xfId="0" applyFont="1" applyFill="1" applyBorder="1" applyAlignment="1" applyProtection="1">
      <alignment horizontal="center"/>
    </xf>
    <xf numFmtId="0" fontId="0" fillId="0" borderId="0" xfId="0" quotePrefix="1" applyFont="1" applyFill="1" applyBorder="1" applyAlignment="1">
      <alignment horizontal="left"/>
    </xf>
    <xf numFmtId="0" fontId="0" fillId="0" borderId="12" xfId="0" applyFont="1" applyFill="1" applyBorder="1" applyAlignment="1"/>
    <xf numFmtId="164" fontId="0" fillId="0" borderId="12" xfId="0" applyNumberFormat="1" applyFont="1" applyFill="1" applyBorder="1"/>
    <xf numFmtId="164" fontId="0" fillId="0" borderId="0" xfId="0" applyNumberFormat="1" applyFont="1" applyFill="1" applyAlignment="1" applyProtection="1">
      <alignment horizontal="center"/>
    </xf>
    <xf numFmtId="0" fontId="0" fillId="0" borderId="0" xfId="0" applyFont="1" applyFill="1" applyBorder="1" applyAlignment="1" applyProtection="1">
      <alignment horizontal="fill"/>
    </xf>
    <xf numFmtId="0" fontId="0" fillId="0" borderId="0" xfId="0" applyFont="1" applyFill="1" applyAlignment="1" applyProtection="1">
      <alignment horizontal="fill"/>
    </xf>
    <xf numFmtId="0" fontId="11" fillId="0" borderId="0" xfId="0" applyFont="1" applyFill="1" applyBorder="1" applyAlignment="1" applyProtection="1"/>
    <xf numFmtId="0" fontId="5" fillId="0" borderId="0" xfId="0" applyFont="1" applyFill="1" applyAlignment="1" applyProtection="1"/>
    <xf numFmtId="0" fontId="7" fillId="0" borderId="0" xfId="0" applyFont="1" applyFill="1" applyAlignment="1" applyProtection="1">
      <alignment horizontal="fill"/>
    </xf>
    <xf numFmtId="0" fontId="0" fillId="0" borderId="17" xfId="0" applyFont="1" applyFill="1" applyBorder="1" applyAlignment="1" applyProtection="1"/>
    <xf numFmtId="0" fontId="0" fillId="0" borderId="17" xfId="0" applyFont="1" applyFill="1" applyBorder="1" applyAlignment="1" applyProtection="1">
      <alignment horizontal="center"/>
    </xf>
    <xf numFmtId="0" fontId="0" fillId="0" borderId="13" xfId="0" applyFont="1" applyFill="1" applyBorder="1" applyAlignment="1" applyProtection="1">
      <alignment horizontal="fill"/>
    </xf>
    <xf numFmtId="0" fontId="0" fillId="0" borderId="20" xfId="0" applyFont="1" applyFill="1" applyBorder="1" applyAlignment="1" applyProtection="1">
      <alignment horizontal="fill"/>
    </xf>
    <xf numFmtId="1" fontId="0" fillId="0" borderId="17" xfId="0" applyNumberFormat="1" applyFont="1" applyFill="1" applyBorder="1" applyAlignment="1" applyProtection="1">
      <alignment horizontal="centerContinuous"/>
    </xf>
    <xf numFmtId="0" fontId="0" fillId="0" borderId="18" xfId="0" applyFont="1" applyFill="1" applyBorder="1"/>
    <xf numFmtId="0" fontId="5" fillId="0" borderId="17" xfId="0" applyFont="1" applyFill="1" applyBorder="1" applyAlignment="1" applyProtection="1"/>
    <xf numFmtId="0" fontId="0" fillId="0" borderId="18" xfId="0" applyFont="1" applyFill="1" applyBorder="1" applyAlignment="1" applyProtection="1">
      <alignment horizontal="center"/>
    </xf>
    <xf numFmtId="0" fontId="0" fillId="0" borderId="20" xfId="0" applyFont="1" applyFill="1" applyBorder="1" applyAlignment="1" applyProtection="1">
      <alignment horizontal="center"/>
    </xf>
    <xf numFmtId="1" fontId="0" fillId="0" borderId="18" xfId="0" applyNumberFormat="1" applyFont="1" applyFill="1" applyBorder="1" applyAlignment="1" applyProtection="1">
      <alignment horizontal="center"/>
    </xf>
    <xf numFmtId="0" fontId="0" fillId="0" borderId="10" xfId="0" applyFont="1" applyFill="1" applyBorder="1" applyAlignment="1" applyProtection="1"/>
    <xf numFmtId="0" fontId="0" fillId="0" borderId="11" xfId="0" applyFont="1" applyFill="1" applyBorder="1" applyAlignment="1" applyProtection="1">
      <alignment horizontal="fill"/>
    </xf>
    <xf numFmtId="0" fontId="0" fillId="0" borderId="12" xfId="0" applyFont="1" applyFill="1" applyBorder="1" applyAlignment="1" applyProtection="1">
      <alignment horizontal="fill"/>
    </xf>
    <xf numFmtId="0" fontId="0" fillId="0" borderId="14" xfId="0" applyFont="1" applyFill="1" applyBorder="1"/>
    <xf numFmtId="0" fontId="0" fillId="0" borderId="0" xfId="0" applyFont="1" applyFill="1" applyAlignment="1" applyProtection="1"/>
    <xf numFmtId="1" fontId="0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0" fontId="0" fillId="0" borderId="0" xfId="0" quotePrefix="1" applyFont="1" applyFill="1" applyAlignment="1">
      <alignment horizontal="fill"/>
    </xf>
    <xf numFmtId="0" fontId="0" fillId="0" borderId="0" xfId="0" applyFont="1" applyFill="1" applyAlignment="1">
      <alignment horizontal="right"/>
    </xf>
    <xf numFmtId="164" fontId="0" fillId="0" borderId="0" xfId="0" applyNumberFormat="1" applyFont="1" applyFill="1" applyAlignment="1"/>
    <xf numFmtId="166" fontId="0" fillId="0" borderId="11" xfId="0" applyNumberFormat="1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/>
    <xf numFmtId="1" fontId="0" fillId="0" borderId="27" xfId="0" applyNumberFormat="1" applyFont="1" applyFill="1" applyBorder="1"/>
    <xf numFmtId="2" fontId="0" fillId="0" borderId="0" xfId="0" applyNumberFormat="1" applyFont="1"/>
    <xf numFmtId="0" fontId="0" fillId="0" borderId="0" xfId="0" applyFont="1" applyFill="1" applyAlignment="1" applyProtection="1">
      <alignment horizontal="left"/>
    </xf>
    <xf numFmtId="166" fontId="0" fillId="0" borderId="11" xfId="0" applyNumberFormat="1" applyFont="1" applyBorder="1"/>
    <xf numFmtId="1" fontId="0" fillId="0" borderId="0" xfId="0" applyNumberFormat="1" applyFont="1" applyFill="1" applyBorder="1" applyProtection="1"/>
    <xf numFmtId="1" fontId="0" fillId="0" borderId="0" xfId="0" applyNumberFormat="1" applyFont="1" applyBorder="1"/>
    <xf numFmtId="0" fontId="5" fillId="0" borderId="0" xfId="0" quotePrefix="1" applyFont="1" applyFill="1" applyAlignment="1" applyProtection="1">
      <alignment horizontal="left"/>
    </xf>
    <xf numFmtId="166" fontId="0" fillId="0" borderId="11" xfId="0" applyNumberFormat="1" applyFont="1" applyFill="1" applyBorder="1" applyProtection="1"/>
    <xf numFmtId="1" fontId="0" fillId="0" borderId="13" xfId="0" quotePrefix="1" applyNumberFormat="1" applyFont="1" applyFill="1" applyBorder="1" applyAlignment="1">
      <alignment horizontal="center"/>
    </xf>
    <xf numFmtId="1" fontId="0" fillId="0" borderId="12" xfId="0" applyNumberFormat="1" applyFont="1" applyFill="1" applyBorder="1" applyAlignment="1">
      <alignment horizontal="center"/>
    </xf>
    <xf numFmtId="1" fontId="0" fillId="0" borderId="12" xfId="0" quotePrefix="1" applyNumberFormat="1" applyFont="1" applyFill="1" applyBorder="1" applyAlignment="1">
      <alignment horizontal="center"/>
    </xf>
    <xf numFmtId="1" fontId="0" fillId="0" borderId="27" xfId="0" applyNumberFormat="1" applyFont="1" applyBorder="1" applyProtection="1"/>
    <xf numFmtId="0" fontId="7" fillId="0" borderId="0" xfId="0" applyFont="1" applyAlignment="1" applyProtection="1">
      <alignment horizontal="fill"/>
    </xf>
    <xf numFmtId="0" fontId="0" fillId="0" borderId="0" xfId="0" applyFont="1" applyAlignment="1" applyProtection="1">
      <alignment horizontal="fill"/>
    </xf>
    <xf numFmtId="164" fontId="0" fillId="0" borderId="0" xfId="0" applyNumberFormat="1" applyFont="1" applyAlignment="1" applyProtection="1"/>
    <xf numFmtId="164" fontId="0" fillId="0" borderId="0" xfId="0" applyNumberFormat="1" applyFont="1" applyProtection="1"/>
    <xf numFmtId="0" fontId="0" fillId="0" borderId="11" xfId="0" applyNumberFormat="1" applyFont="1" applyBorder="1" applyProtection="1"/>
    <xf numFmtId="0" fontId="0" fillId="0" borderId="0" xfId="0" applyNumberFormat="1" applyFont="1" applyProtection="1"/>
    <xf numFmtId="2" fontId="0" fillId="0" borderId="0" xfId="0" applyNumberFormat="1" applyFont="1" applyProtection="1"/>
    <xf numFmtId="164" fontId="0" fillId="0" borderId="0" xfId="0" quotePrefix="1" applyNumberFormat="1" applyFont="1" applyAlignment="1" applyProtection="1"/>
    <xf numFmtId="0" fontId="5" fillId="0" borderId="0" xfId="0" applyFont="1" applyBorder="1"/>
    <xf numFmtId="167" fontId="0" fillId="0" borderId="0" xfId="0" quotePrefix="1" applyNumberFormat="1" applyFont="1" applyAlignment="1" applyProtection="1">
      <alignment horizontal="right"/>
    </xf>
    <xf numFmtId="167" fontId="0" fillId="0" borderId="0" xfId="0" applyNumberFormat="1" applyFont="1" applyAlignment="1" applyProtection="1">
      <alignment horizontal="right"/>
    </xf>
    <xf numFmtId="165" fontId="0" fillId="0" borderId="0" xfId="0" applyNumberFormat="1" applyFont="1" applyProtection="1"/>
    <xf numFmtId="167" fontId="7" fillId="0" borderId="0" xfId="0" applyNumberFormat="1" applyFont="1" applyProtection="1"/>
    <xf numFmtId="166" fontId="0" fillId="0" borderId="11" xfId="0" applyNumberFormat="1" applyFont="1" applyBorder="1" applyProtection="1"/>
    <xf numFmtId="167" fontId="5" fillId="0" borderId="0" xfId="0" applyNumberFormat="1" applyFont="1" applyBorder="1" applyAlignment="1" applyProtection="1">
      <alignment horizontal="left"/>
    </xf>
    <xf numFmtId="167" fontId="7" fillId="0" borderId="0" xfId="0" applyNumberFormat="1" applyFont="1" applyBorder="1" applyProtection="1"/>
    <xf numFmtId="1" fontId="0" fillId="0" borderId="11" xfId="0" applyNumberFormat="1" applyFont="1" applyBorder="1" applyProtection="1">
      <protection locked="0"/>
    </xf>
    <xf numFmtId="167" fontId="5" fillId="0" borderId="0" xfId="0" quotePrefix="1" applyNumberFormat="1" applyFont="1" applyBorder="1" applyAlignment="1" applyProtection="1">
      <alignment horizontal="left"/>
    </xf>
    <xf numFmtId="0" fontId="7" fillId="0" borderId="0" xfId="0" applyFont="1" applyProtection="1"/>
    <xf numFmtId="167" fontId="0" fillId="0" borderId="0" xfId="0" applyNumberFormat="1" applyFont="1" applyAlignment="1" applyProtection="1">
      <alignment horizontal="fill"/>
    </xf>
    <xf numFmtId="164" fontId="0" fillId="0" borderId="11" xfId="0" applyNumberFormat="1" applyFont="1" applyFill="1" applyBorder="1"/>
    <xf numFmtId="1" fontId="0" fillId="0" borderId="27" xfId="0" applyNumberFormat="1" applyFont="1" applyBorder="1" applyAlignment="1" applyProtection="1"/>
    <xf numFmtId="167" fontId="0" fillId="0" borderId="0" xfId="0" applyNumberFormat="1" applyFont="1" applyAlignment="1" applyProtection="1"/>
    <xf numFmtId="164" fontId="7" fillId="0" borderId="0" xfId="0" applyNumberFormat="1" applyFont="1" applyProtection="1"/>
    <xf numFmtId="165" fontId="0" fillId="0" borderId="0" xfId="0" applyNumberFormat="1" applyFont="1"/>
    <xf numFmtId="166" fontId="0" fillId="0" borderId="0" xfId="0" applyNumberFormat="1" applyFont="1" applyProtection="1"/>
    <xf numFmtId="1" fontId="0" fillId="0" borderId="0" xfId="0" applyNumberFormat="1" applyFont="1" applyAlignment="1" applyProtection="1"/>
    <xf numFmtId="166" fontId="0" fillId="0" borderId="11" xfId="0" applyNumberFormat="1" applyFont="1" applyBorder="1" applyAlignment="1" applyProtection="1"/>
    <xf numFmtId="0" fontId="0" fillId="0" borderId="0" xfId="0" applyFont="1" applyFill="1" applyProtection="1">
      <protection locked="0"/>
    </xf>
    <xf numFmtId="1" fontId="0" fillId="0" borderId="0" xfId="0" applyNumberFormat="1" applyFont="1" applyFill="1" applyBorder="1" applyProtection="1">
      <protection locked="0"/>
    </xf>
    <xf numFmtId="0" fontId="0" fillId="0" borderId="0" xfId="0" quotePrefix="1" applyFont="1" applyFill="1" applyAlignment="1" applyProtection="1">
      <alignment horizontal="left"/>
      <protection locked="0"/>
    </xf>
    <xf numFmtId="164" fontId="0" fillId="0" borderId="0" xfId="0" applyNumberFormat="1" applyFont="1" applyFill="1" applyBorder="1" applyProtection="1">
      <protection locked="0"/>
    </xf>
    <xf numFmtId="1" fontId="0" fillId="0" borderId="27" xfId="0" applyNumberFormat="1" applyFont="1" applyFill="1" applyBorder="1" applyProtection="1">
      <protection locked="0"/>
    </xf>
    <xf numFmtId="0" fontId="0" fillId="0" borderId="0" xfId="0" quotePrefix="1" applyFont="1" applyFill="1" applyBorder="1" applyAlignment="1" applyProtection="1">
      <alignment horizontal="left"/>
      <protection locked="0"/>
    </xf>
    <xf numFmtId="0" fontId="0" fillId="0" borderId="0" xfId="0" applyFont="1" applyProtection="1">
      <protection hidden="1"/>
    </xf>
    <xf numFmtId="166" fontId="0" fillId="0" borderId="0" xfId="0" applyNumberFormat="1" applyFont="1" applyBorder="1"/>
    <xf numFmtId="167" fontId="0" fillId="0" borderId="0" xfId="0" quotePrefix="1" applyNumberFormat="1" applyFont="1" applyAlignment="1" applyProtection="1">
      <alignment horizontal="center"/>
    </xf>
    <xf numFmtId="167" fontId="0" fillId="0" borderId="0" xfId="0" applyNumberFormat="1" applyFont="1" applyAlignment="1" applyProtection="1">
      <alignment horizontal="center"/>
    </xf>
    <xf numFmtId="0" fontId="13" fillId="0" borderId="13" xfId="4" applyFont="1" applyBorder="1" applyAlignment="1">
      <alignment wrapText="1"/>
    </xf>
    <xf numFmtId="0" fontId="14" fillId="0" borderId="13" xfId="4" applyFont="1" applyBorder="1" applyAlignment="1">
      <alignment wrapText="1"/>
    </xf>
    <xf numFmtId="0" fontId="13" fillId="0" borderId="13" xfId="4" quotePrefix="1" applyFont="1" applyBorder="1" applyAlignment="1">
      <alignment horizontal="left" wrapText="1"/>
    </xf>
    <xf numFmtId="0" fontId="13" fillId="0" borderId="13" xfId="4" applyFont="1" applyBorder="1" applyAlignment="1">
      <alignment horizontal="left" wrapText="1"/>
    </xf>
    <xf numFmtId="0" fontId="13" fillId="0" borderId="13" xfId="4" quotePrefix="1" applyFont="1" applyBorder="1" applyAlignment="1">
      <alignment wrapText="1"/>
    </xf>
    <xf numFmtId="0" fontId="16" fillId="2" borderId="25" xfId="5" applyFont="1" applyFill="1" applyBorder="1"/>
    <xf numFmtId="0" fontId="16" fillId="2" borderId="26" xfId="5" applyFont="1" applyFill="1" applyBorder="1"/>
    <xf numFmtId="0" fontId="13" fillId="0" borderId="13" xfId="5" applyFont="1" applyBorder="1" applyAlignment="1">
      <alignment wrapText="1"/>
    </xf>
    <xf numFmtId="0" fontId="14" fillId="0" borderId="13" xfId="5" applyFont="1" applyBorder="1" applyAlignment="1">
      <alignment wrapText="1"/>
    </xf>
    <xf numFmtId="0" fontId="13" fillId="0" borderId="13" xfId="5" quotePrefix="1" applyFont="1" applyBorder="1" applyAlignment="1">
      <alignment horizontal="left" wrapText="1"/>
    </xf>
    <xf numFmtId="2" fontId="0" fillId="0" borderId="18" xfId="0" applyNumberFormat="1" applyFont="1" applyBorder="1" applyAlignment="1" applyProtection="1">
      <alignment horizontal="center"/>
    </xf>
    <xf numFmtId="0" fontId="0" fillId="0" borderId="0" xfId="0" applyFill="1"/>
    <xf numFmtId="0" fontId="0" fillId="0" borderId="0" xfId="0" quotePrefix="1" applyAlignment="1">
      <alignment horizontal="left"/>
    </xf>
    <xf numFmtId="0" fontId="18" fillId="0" borderId="0" xfId="3" applyFont="1"/>
    <xf numFmtId="0" fontId="18" fillId="0" borderId="0" xfId="3" applyFont="1" applyBorder="1"/>
    <xf numFmtId="0" fontId="18" fillId="0" borderId="0" xfId="3" applyFont="1" applyBorder="1" applyAlignment="1" applyProtection="1">
      <alignment horizontal="left"/>
    </xf>
    <xf numFmtId="0" fontId="18" fillId="0" borderId="0" xfId="3" quotePrefix="1" applyFont="1" applyBorder="1" applyAlignment="1">
      <alignment horizontal="fill"/>
    </xf>
    <xf numFmtId="0" fontId="18" fillId="0" borderId="0" xfId="3" applyFont="1" applyAlignment="1" applyProtection="1">
      <alignment horizontal="left"/>
    </xf>
    <xf numFmtId="0" fontId="18" fillId="0" borderId="0" xfId="3" applyFont="1" applyProtection="1"/>
    <xf numFmtId="0" fontId="18" fillId="0" borderId="0" xfId="3" quotePrefix="1" applyFont="1" applyBorder="1" applyAlignment="1">
      <alignment horizontal="left"/>
    </xf>
    <xf numFmtId="1" fontId="18" fillId="0" borderId="0" xfId="3" applyNumberFormat="1" applyFont="1" applyBorder="1"/>
    <xf numFmtId="0" fontId="19" fillId="0" borderId="0" xfId="3" applyFont="1" applyBorder="1"/>
    <xf numFmtId="0" fontId="18" fillId="0" borderId="0" xfId="3" applyFont="1" applyAlignment="1">
      <alignment horizontal="centerContinuous"/>
    </xf>
    <xf numFmtId="0" fontId="18" fillId="0" borderId="0" xfId="3" applyFont="1" applyAlignment="1">
      <alignment horizontal="center"/>
    </xf>
    <xf numFmtId="0" fontId="18" fillId="0" borderId="0" xfId="3" quotePrefix="1" applyFont="1" applyAlignment="1">
      <alignment horizontal="center"/>
    </xf>
    <xf numFmtId="11" fontId="18" fillId="0" borderId="0" xfId="3" applyNumberFormat="1" applyFont="1"/>
    <xf numFmtId="0" fontId="18" fillId="0" borderId="9" xfId="3" applyFont="1" applyBorder="1" applyAlignment="1" applyProtection="1">
      <alignment horizontal="fill"/>
    </xf>
    <xf numFmtId="0" fontId="18" fillId="0" borderId="18" xfId="3" applyFont="1" applyBorder="1" applyAlignment="1" applyProtection="1">
      <alignment horizontal="fill"/>
    </xf>
    <xf numFmtId="0" fontId="18" fillId="0" borderId="15" xfId="3" applyFont="1" applyBorder="1" applyAlignment="1" applyProtection="1">
      <alignment horizontal="fill"/>
    </xf>
    <xf numFmtId="0" fontId="18" fillId="0" borderId="18" xfId="3" applyFont="1" applyBorder="1"/>
    <xf numFmtId="0" fontId="18" fillId="0" borderId="13" xfId="3" applyFont="1" applyBorder="1" applyAlignment="1" applyProtection="1">
      <alignment horizontal="fill"/>
    </xf>
    <xf numFmtId="0" fontId="18" fillId="0" borderId="13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164" fontId="18" fillId="0" borderId="18" xfId="3" applyNumberFormat="1" applyFont="1" applyBorder="1" applyAlignment="1" applyProtection="1">
      <alignment horizontal="center"/>
    </xf>
    <xf numFmtId="164" fontId="18" fillId="0" borderId="13" xfId="3" applyNumberFormat="1" applyFont="1" applyBorder="1" applyAlignment="1" applyProtection="1">
      <alignment horizontal="center"/>
    </xf>
    <xf numFmtId="1" fontId="18" fillId="0" borderId="0" xfId="3" applyNumberFormat="1" applyFont="1" applyAlignment="1">
      <alignment horizontal="center"/>
    </xf>
    <xf numFmtId="164" fontId="18" fillId="0" borderId="0" xfId="3" applyNumberFormat="1" applyFont="1" applyBorder="1" applyAlignment="1" applyProtection="1">
      <alignment horizontal="center"/>
    </xf>
    <xf numFmtId="164" fontId="18" fillId="0" borderId="0" xfId="3" applyNumberFormat="1" applyFont="1" applyAlignment="1">
      <alignment horizontal="center"/>
    </xf>
    <xf numFmtId="166" fontId="18" fillId="0" borderId="0" xfId="3" applyNumberFormat="1" applyFont="1" applyAlignment="1">
      <alignment horizontal="center"/>
    </xf>
    <xf numFmtId="1" fontId="18" fillId="0" borderId="13" xfId="3" applyNumberFormat="1" applyFont="1" applyFill="1" applyBorder="1" applyAlignment="1" applyProtection="1">
      <alignment horizontal="center"/>
    </xf>
    <xf numFmtId="0" fontId="18" fillId="0" borderId="18" xfId="3" quotePrefix="1" applyFont="1" applyBorder="1" applyAlignment="1">
      <alignment horizontal="center"/>
    </xf>
    <xf numFmtId="0" fontId="20" fillId="0" borderId="12" xfId="3" applyFont="1" applyBorder="1" applyProtection="1">
      <protection locked="0"/>
    </xf>
    <xf numFmtId="0" fontId="18" fillId="0" borderId="14" xfId="3" applyFont="1" applyBorder="1"/>
    <xf numFmtId="0" fontId="18" fillId="0" borderId="14" xfId="3" applyFont="1" applyBorder="1" applyProtection="1"/>
    <xf numFmtId="0" fontId="18" fillId="0" borderId="18" xfId="3" applyFont="1" applyBorder="1" applyAlignment="1" applyProtection="1">
      <alignment horizontal="center"/>
    </xf>
    <xf numFmtId="0" fontId="18" fillId="0" borderId="12" xfId="3" applyFont="1" applyBorder="1" applyAlignment="1" applyProtection="1">
      <alignment horizontal="center"/>
    </xf>
    <xf numFmtId="0" fontId="21" fillId="0" borderId="0" xfId="3" applyFont="1"/>
    <xf numFmtId="0" fontId="18" fillId="0" borderId="0" xfId="3" applyFont="1" applyBorder="1" applyAlignment="1" applyProtection="1">
      <alignment horizontal="fill"/>
    </xf>
    <xf numFmtId="0" fontId="18" fillId="0" borderId="8" xfId="3" applyFont="1" applyBorder="1" applyAlignment="1" applyProtection="1">
      <alignment horizontal="fill"/>
    </xf>
    <xf numFmtId="0" fontId="21" fillId="0" borderId="0" xfId="3" applyFont="1" applyAlignment="1">
      <alignment horizontal="right"/>
    </xf>
    <xf numFmtId="0" fontId="22" fillId="0" borderId="0" xfId="3" applyFont="1"/>
    <xf numFmtId="0" fontId="23" fillId="0" borderId="0" xfId="3" applyFont="1" applyAlignment="1">
      <alignment horizontal="centerContinuous"/>
    </xf>
    <xf numFmtId="0" fontId="18" fillId="0" borderId="0" xfId="3" applyFont="1" applyBorder="1" applyAlignment="1">
      <alignment horizontal="centerContinuous"/>
    </xf>
    <xf numFmtId="0" fontId="23" fillId="0" borderId="0" xfId="3" applyFont="1" applyBorder="1" applyAlignment="1" applyProtection="1">
      <alignment horizontal="centerContinuous"/>
    </xf>
    <xf numFmtId="0" fontId="22" fillId="0" borderId="0" xfId="3" quotePrefix="1" applyFont="1" applyBorder="1" applyAlignment="1" applyProtection="1">
      <alignment horizontal="centerContinuous"/>
    </xf>
    <xf numFmtId="0" fontId="22" fillId="0" borderId="0" xfId="3" applyFont="1" applyAlignment="1">
      <alignment horizontal="centerContinuous"/>
    </xf>
    <xf numFmtId="164" fontId="0" fillId="0" borderId="0" xfId="0" applyNumberFormat="1"/>
    <xf numFmtId="1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71" fontId="0" fillId="0" borderId="0" xfId="0" applyNumberFormat="1" applyFont="1"/>
    <xf numFmtId="164" fontId="0" fillId="0" borderId="13" xfId="0" applyNumberFormat="1" applyFont="1" applyBorder="1" applyAlignment="1">
      <alignment horizontal="right"/>
    </xf>
    <xf numFmtId="2" fontId="0" fillId="0" borderId="13" xfId="0" applyNumberFormat="1" applyFont="1" applyBorder="1" applyAlignment="1">
      <alignment horizontal="center"/>
    </xf>
    <xf numFmtId="164" fontId="5" fillId="0" borderId="22" xfId="0" applyNumberFormat="1" applyFont="1" applyBorder="1" applyAlignment="1" applyProtection="1">
      <alignment horizontal="right"/>
      <protection locked="0"/>
    </xf>
    <xf numFmtId="164" fontId="5" fillId="0" borderId="22" xfId="0" applyNumberFormat="1" applyFont="1" applyBorder="1" applyAlignment="1">
      <alignment horizontal="right"/>
    </xf>
    <xf numFmtId="164" fontId="0" fillId="0" borderId="13" xfId="0" applyNumberFormat="1" applyFont="1" applyBorder="1"/>
    <xf numFmtId="164" fontId="5" fillId="0" borderId="24" xfId="0" applyNumberFormat="1" applyFont="1" applyBorder="1" applyAlignment="1">
      <alignment horizontal="right"/>
    </xf>
    <xf numFmtId="164" fontId="5" fillId="0" borderId="24" xfId="0" applyNumberFormat="1" applyFont="1" applyBorder="1"/>
    <xf numFmtId="1" fontId="0" fillId="0" borderId="0" xfId="0" applyNumberFormat="1" applyFont="1" applyAlignment="1" applyProtection="1">
      <alignment horizontal="center"/>
    </xf>
    <xf numFmtId="164" fontId="5" fillId="0" borderId="0" xfId="0" applyNumberFormat="1" applyFont="1"/>
    <xf numFmtId="166" fontId="5" fillId="0" borderId="22" xfId="0" applyNumberFormat="1" applyFont="1" applyBorder="1" applyAlignment="1">
      <alignment horizontal="center"/>
    </xf>
    <xf numFmtId="166" fontId="5" fillId="0" borderId="17" xfId="0" applyNumberFormat="1" applyFont="1" applyBorder="1" applyAlignment="1">
      <alignment horizontal="center"/>
    </xf>
    <xf numFmtId="0" fontId="5" fillId="0" borderId="28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166" fontId="5" fillId="0" borderId="1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0" fontId="5" fillId="0" borderId="18" xfId="0" applyFont="1" applyBorder="1"/>
    <xf numFmtId="164" fontId="5" fillId="0" borderId="13" xfId="0" applyNumberFormat="1" applyFont="1" applyBorder="1" applyAlignment="1">
      <alignment horizontal="right"/>
    </xf>
    <xf numFmtId="2" fontId="5" fillId="0" borderId="24" xfId="0" applyNumberFormat="1" applyFont="1" applyBorder="1" applyAlignment="1">
      <alignment horizontal="center"/>
    </xf>
    <xf numFmtId="2" fontId="5" fillId="0" borderId="22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164" fontId="5" fillId="0" borderId="25" xfId="0" applyNumberFormat="1" applyFont="1" applyFill="1" applyBorder="1"/>
    <xf numFmtId="171" fontId="0" fillId="0" borderId="13" xfId="0" applyNumberFormat="1" applyFont="1" applyBorder="1" applyAlignment="1">
      <alignment horizontal="center"/>
    </xf>
    <xf numFmtId="171" fontId="0" fillId="0" borderId="25" xfId="0" applyNumberFormat="1" applyFont="1" applyBorder="1" applyAlignment="1">
      <alignment horizontal="center"/>
    </xf>
    <xf numFmtId="171" fontId="0" fillId="0" borderId="18" xfId="0" applyNumberFormat="1" applyFont="1" applyBorder="1" applyAlignment="1">
      <alignment horizontal="center"/>
    </xf>
    <xf numFmtId="171" fontId="0" fillId="0" borderId="27" xfId="0" applyNumberFormat="1" applyFont="1" applyBorder="1"/>
    <xf numFmtId="171" fontId="0" fillId="0" borderId="0" xfId="0" applyNumberFormat="1" applyFont="1" applyProtection="1"/>
    <xf numFmtId="171" fontId="0" fillId="0" borderId="27" xfId="0" applyNumberFormat="1" applyFont="1" applyBorder="1" applyProtection="1"/>
    <xf numFmtId="0" fontId="0" fillId="0" borderId="0" xfId="0" quotePrefix="1" applyAlignment="1">
      <alignment horizontal="center"/>
    </xf>
    <xf numFmtId="167" fontId="0" fillId="0" borderId="0" xfId="0" quotePrefix="1" applyNumberFormat="1" applyAlignment="1" applyProtection="1">
      <alignment horizontal="center"/>
    </xf>
    <xf numFmtId="171" fontId="0" fillId="0" borderId="0" xfId="0" applyNumberFormat="1" applyFont="1" applyBorder="1" applyProtection="1"/>
    <xf numFmtId="171" fontId="0" fillId="0" borderId="0" xfId="0" applyNumberFormat="1" applyFont="1" applyAlignment="1" applyProtection="1"/>
    <xf numFmtId="171" fontId="0" fillId="0" borderId="27" xfId="0" applyNumberFormat="1" applyFont="1" applyBorder="1" applyAlignment="1" applyProtection="1"/>
    <xf numFmtId="171" fontId="0" fillId="0" borderId="11" xfId="0" applyNumberFormat="1" applyFont="1" applyBorder="1" applyProtection="1"/>
    <xf numFmtId="172" fontId="0" fillId="0" borderId="0" xfId="0" applyNumberFormat="1" applyFont="1" applyProtection="1"/>
    <xf numFmtId="172" fontId="0" fillId="0" borderId="27" xfId="0" applyNumberFormat="1" applyFont="1" applyBorder="1"/>
    <xf numFmtId="172" fontId="0" fillId="0" borderId="27" xfId="0" applyNumberFormat="1" applyFont="1" applyBorder="1" applyProtection="1"/>
    <xf numFmtId="172" fontId="0" fillId="0" borderId="27" xfId="0" applyNumberFormat="1" applyFont="1" applyFill="1" applyBorder="1"/>
    <xf numFmtId="172" fontId="0" fillId="0" borderId="13" xfId="0" applyNumberFormat="1" applyFont="1" applyFill="1" applyBorder="1" applyAlignment="1">
      <alignment horizontal="center"/>
    </xf>
    <xf numFmtId="172" fontId="0" fillId="0" borderId="13" xfId="0" quotePrefix="1" applyNumberFormat="1" applyFont="1" applyFill="1" applyBorder="1" applyAlignment="1">
      <alignment horizontal="center"/>
    </xf>
    <xf numFmtId="172" fontId="0" fillId="0" borderId="0" xfId="0" applyNumberFormat="1" applyFont="1" applyFill="1" applyBorder="1" applyProtection="1"/>
    <xf numFmtId="172" fontId="0" fillId="0" borderId="0" xfId="0" applyNumberFormat="1" applyFont="1"/>
    <xf numFmtId="172" fontId="0" fillId="0" borderId="0" xfId="0" applyNumberFormat="1" applyFont="1" applyFill="1" applyProtection="1"/>
    <xf numFmtId="172" fontId="5" fillId="0" borderId="22" xfId="0" applyNumberFormat="1" applyFont="1" applyBorder="1" applyAlignment="1">
      <alignment horizontal="center"/>
    </xf>
    <xf numFmtId="172" fontId="5" fillId="0" borderId="13" xfId="0" applyNumberFormat="1" applyFont="1" applyBorder="1" applyAlignment="1">
      <alignment horizontal="center"/>
    </xf>
    <xf numFmtId="172" fontId="5" fillId="0" borderId="29" xfId="0" applyNumberFormat="1" applyFont="1" applyBorder="1" applyAlignment="1">
      <alignment horizontal="center"/>
    </xf>
    <xf numFmtId="0" fontId="5" fillId="0" borderId="7" xfId="0" applyFont="1" applyFill="1" applyBorder="1"/>
    <xf numFmtId="1" fontId="0" fillId="0" borderId="9" xfId="0" applyNumberFormat="1" applyFont="1" applyFill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0" fontId="18" fillId="0" borderId="0" xfId="3" applyFont="1" applyBorder="1" applyAlignment="1" applyProtection="1"/>
    <xf numFmtId="0" fontId="22" fillId="0" borderId="0" xfId="3" applyFont="1" applyBorder="1" applyAlignment="1"/>
    <xf numFmtId="0" fontId="27" fillId="0" borderId="0" xfId="3" applyFont="1" applyAlignment="1">
      <alignment horizontal="center"/>
    </xf>
    <xf numFmtId="0" fontId="5" fillId="0" borderId="0" xfId="3" applyFont="1"/>
    <xf numFmtId="0" fontId="18" fillId="0" borderId="0" xfId="3" quotePrefix="1" applyFont="1" applyAlignment="1">
      <alignment horizontal="left"/>
    </xf>
    <xf numFmtId="0" fontId="12" fillId="0" borderId="0" xfId="3" applyFont="1"/>
    <xf numFmtId="1" fontId="5" fillId="0" borderId="0" xfId="3" applyNumberFormat="1" applyFont="1" applyBorder="1" applyAlignment="1">
      <alignment horizontal="center"/>
    </xf>
    <xf numFmtId="0" fontId="0" fillId="0" borderId="0" xfId="0" applyBorder="1"/>
    <xf numFmtId="0" fontId="12" fillId="0" borderId="0" xfId="3" quotePrefix="1" applyFont="1" applyBorder="1" applyAlignment="1">
      <alignment horizontal="left"/>
    </xf>
    <xf numFmtId="0" fontId="12" fillId="0" borderId="0" xfId="3" applyFont="1" applyBorder="1" applyAlignment="1">
      <alignment horizontal="left"/>
    </xf>
    <xf numFmtId="0" fontId="0" fillId="0" borderId="25" xfId="0" quotePrefix="1" applyFill="1" applyBorder="1" applyAlignment="1">
      <alignment horizontal="center"/>
    </xf>
    <xf numFmtId="0" fontId="0" fillId="0" borderId="17" xfId="0" quotePrefix="1" applyFill="1" applyBorder="1" applyAlignment="1" applyProtection="1">
      <alignment horizontal="center"/>
    </xf>
    <xf numFmtId="0" fontId="5" fillId="0" borderId="0" xfId="3" quotePrefix="1" applyFont="1" applyAlignment="1">
      <alignment horizontal="left"/>
    </xf>
    <xf numFmtId="0" fontId="18" fillId="0" borderId="0" xfId="3" quotePrefix="1" applyFont="1" applyAlignment="1"/>
    <xf numFmtId="0" fontId="0" fillId="0" borderId="0" xfId="0" applyAlignment="1">
      <alignment horizontal="left"/>
    </xf>
    <xf numFmtId="0" fontId="18" fillId="4" borderId="0" xfId="6" quotePrefix="1" applyFont="1" applyFill="1" applyAlignment="1">
      <alignment horizontal="left"/>
    </xf>
    <xf numFmtId="0" fontId="0" fillId="4" borderId="0" xfId="0" applyFont="1" applyFill="1"/>
    <xf numFmtId="0" fontId="5" fillId="4" borderId="0" xfId="0" applyFont="1" applyFill="1"/>
    <xf numFmtId="0" fontId="0" fillId="4" borderId="0" xfId="0" quotePrefix="1" applyFont="1" applyFill="1" applyAlignment="1">
      <alignment horizontal="left"/>
    </xf>
    <xf numFmtId="0" fontId="21" fillId="4" borderId="0" xfId="0" quotePrefix="1" applyFont="1" applyFill="1" applyAlignment="1">
      <alignment horizontal="right"/>
    </xf>
    <xf numFmtId="0" fontId="0" fillId="4" borderId="0" xfId="0" quotePrefix="1" applyFill="1" applyAlignment="1">
      <alignment horizontal="left"/>
    </xf>
    <xf numFmtId="0" fontId="18" fillId="4" borderId="0" xfId="3" applyFont="1" applyFill="1"/>
    <xf numFmtId="0" fontId="19" fillId="4" borderId="0" xfId="3" quotePrefix="1" applyFont="1" applyFill="1" applyAlignment="1">
      <alignment horizontal="left"/>
    </xf>
    <xf numFmtId="0" fontId="18" fillId="4" borderId="0" xfId="3" quotePrefix="1" applyFont="1" applyFill="1" applyAlignment="1">
      <alignment horizontal="left"/>
    </xf>
    <xf numFmtId="0" fontId="19" fillId="4" borderId="0" xfId="3" applyFont="1" applyFill="1"/>
    <xf numFmtId="0" fontId="21" fillId="4" borderId="0" xfId="3" quotePrefix="1" applyFont="1" applyFill="1" applyAlignment="1">
      <alignment horizontal="left"/>
    </xf>
    <xf numFmtId="164" fontId="0" fillId="0" borderId="18" xfId="0" applyNumberFormat="1" applyFont="1" applyBorder="1" applyAlignment="1">
      <alignment horizontal="centerContinuous"/>
    </xf>
    <xf numFmtId="0" fontId="0" fillId="0" borderId="0" xfId="0" applyFill="1" applyAlignment="1">
      <alignment horizontal="left"/>
    </xf>
    <xf numFmtId="1" fontId="0" fillId="0" borderId="0" xfId="0" applyNumberFormat="1" applyBorder="1"/>
    <xf numFmtId="0" fontId="6" fillId="0" borderId="0" xfId="0" applyFont="1" applyFill="1" applyBorder="1" applyAlignment="1"/>
    <xf numFmtId="0" fontId="6" fillId="0" borderId="0" xfId="0" applyFont="1" applyBorder="1" applyAlignment="1"/>
    <xf numFmtId="0" fontId="0" fillId="0" borderId="0" xfId="0" quotePrefix="1" applyFill="1" applyAlignment="1">
      <alignment horizontal="left"/>
    </xf>
    <xf numFmtId="2" fontId="0" fillId="0" borderId="0" xfId="0" applyNumberFormat="1" applyFont="1" applyFill="1"/>
    <xf numFmtId="164" fontId="0" fillId="0" borderId="0" xfId="0" quotePrefix="1" applyNumberFormat="1" applyFill="1" applyBorder="1" applyAlignment="1">
      <alignment horizontal="left"/>
    </xf>
    <xf numFmtId="0" fontId="12" fillId="0" borderId="17" xfId="0" applyFont="1" applyBorder="1"/>
    <xf numFmtId="0" fontId="3" fillId="0" borderId="0" xfId="0" applyFont="1"/>
    <xf numFmtId="0" fontId="12" fillId="0" borderId="0" xfId="0" applyFont="1" applyFill="1"/>
    <xf numFmtId="0" fontId="12" fillId="0" borderId="0" xfId="0" quotePrefix="1" applyFont="1" applyFill="1" applyAlignment="1">
      <alignment horizontal="left"/>
    </xf>
    <xf numFmtId="0" fontId="12" fillId="0" borderId="0" xfId="0" applyFont="1" applyFill="1" applyBorder="1"/>
    <xf numFmtId="0" fontId="12" fillId="0" borderId="0" xfId="0" applyFont="1"/>
    <xf numFmtId="0" fontId="12" fillId="0" borderId="0" xfId="0" applyFont="1" applyFill="1" applyAlignment="1">
      <alignment horizontal="left"/>
    </xf>
    <xf numFmtId="2" fontId="12" fillId="0" borderId="0" xfId="0" applyNumberFormat="1" applyFont="1"/>
    <xf numFmtId="0" fontId="12" fillId="0" borderId="0" xfId="0" applyFont="1" applyBorder="1"/>
    <xf numFmtId="0" fontId="12" fillId="0" borderId="0" xfId="0" quotePrefix="1" applyFont="1" applyFill="1" applyBorder="1" applyAlignment="1">
      <alignment horizontal="left"/>
    </xf>
    <xf numFmtId="164" fontId="12" fillId="0" borderId="0" xfId="0" applyNumberFormat="1" applyFont="1"/>
    <xf numFmtId="166" fontId="12" fillId="0" borderId="11" xfId="0" applyNumberFormat="1" applyFont="1" applyBorder="1"/>
    <xf numFmtId="0" fontId="12" fillId="0" borderId="0" xfId="0" quotePrefix="1" applyFont="1" applyAlignment="1">
      <alignment horizontal="left"/>
    </xf>
    <xf numFmtId="1" fontId="12" fillId="0" borderId="27" xfId="0" applyNumberFormat="1" applyFont="1" applyBorder="1"/>
    <xf numFmtId="167" fontId="0" fillId="0" borderId="0" xfId="0" applyNumberFormat="1" applyAlignment="1" applyProtection="1">
      <alignment horizontal="left"/>
    </xf>
    <xf numFmtId="164" fontId="5" fillId="0" borderId="5" xfId="0" applyNumberFormat="1" applyFont="1" applyBorder="1"/>
    <xf numFmtId="172" fontId="0" fillId="0" borderId="0" xfId="0" applyNumberFormat="1" applyFont="1" applyBorder="1"/>
    <xf numFmtId="1" fontId="0" fillId="0" borderId="0" xfId="0" applyNumberFormat="1" applyFont="1" applyBorder="1" applyAlignment="1" applyProtection="1"/>
    <xf numFmtId="0" fontId="0" fillId="0" borderId="0" xfId="0" applyAlignment="1" applyProtection="1">
      <alignment horizontal="left"/>
    </xf>
    <xf numFmtId="1" fontId="5" fillId="0" borderId="29" xfId="0" applyNumberFormat="1" applyFont="1" applyBorder="1" applyAlignment="1">
      <alignment horizontal="center"/>
    </xf>
    <xf numFmtId="2" fontId="0" fillId="0" borderId="0" xfId="0" quotePrefix="1" applyNumberFormat="1" applyFont="1" applyAlignment="1" applyProtection="1"/>
    <xf numFmtId="171" fontId="0" fillId="0" borderId="0" xfId="0" applyNumberFormat="1" applyFont="1" applyBorder="1"/>
    <xf numFmtId="0" fontId="0" fillId="0" borderId="0" xfId="0" applyFill="1" applyBorder="1"/>
    <xf numFmtId="1" fontId="0" fillId="0" borderId="27" xfId="0" applyNumberFormat="1" applyBorder="1"/>
    <xf numFmtId="0" fontId="0" fillId="0" borderId="0" xfId="0" applyFill="1" applyBorder="1" applyAlignment="1">
      <alignment horizontal="left"/>
    </xf>
    <xf numFmtId="0" fontId="5" fillId="0" borderId="0" xfId="0" applyFont="1" applyFill="1" applyAlignment="1" applyProtection="1">
      <alignment horizontal="left"/>
    </xf>
    <xf numFmtId="0" fontId="0" fillId="0" borderId="0" xfId="0" quotePrefix="1" applyAlignment="1">
      <alignment horizontal="right"/>
    </xf>
    <xf numFmtId="2" fontId="5" fillId="0" borderId="23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167" fontId="0" fillId="0" borderId="0" xfId="0" quotePrefix="1" applyNumberFormat="1" applyAlignment="1" applyProtection="1">
      <alignment horizontal="left"/>
    </xf>
    <xf numFmtId="0" fontId="28" fillId="0" borderId="13" xfId="4" quotePrefix="1" applyFont="1" applyBorder="1" applyAlignment="1">
      <alignment horizontal="left" wrapText="1"/>
    </xf>
    <xf numFmtId="166" fontId="0" fillId="0" borderId="0" xfId="0" applyNumberFormat="1"/>
    <xf numFmtId="170" fontId="0" fillId="0" borderId="0" xfId="0" applyNumberFormat="1" applyBorder="1"/>
    <xf numFmtId="166" fontId="0" fillId="0" borderId="0" xfId="0" applyNumberFormat="1" applyAlignment="1">
      <alignment horizontal="right"/>
    </xf>
    <xf numFmtId="164" fontId="0" fillId="0" borderId="11" xfId="0" applyNumberFormat="1" applyBorder="1"/>
    <xf numFmtId="0" fontId="0" fillId="0" borderId="11" xfId="0" applyBorder="1"/>
    <xf numFmtId="167" fontId="29" fillId="0" borderId="0" xfId="0" applyNumberFormat="1" applyFont="1" applyAlignment="1" applyProtection="1">
      <alignment horizontal="left"/>
    </xf>
    <xf numFmtId="0" fontId="0" fillId="0" borderId="11" xfId="0" applyFont="1" applyFill="1" applyBorder="1" applyAlignment="1">
      <alignment horizontal="right"/>
    </xf>
    <xf numFmtId="1" fontId="0" fillId="0" borderId="12" xfId="0" applyNumberFormat="1" applyFont="1" applyFill="1" applyBorder="1" applyAlignment="1" applyProtection="1">
      <alignment horizontal="center"/>
    </xf>
    <xf numFmtId="1" fontId="0" fillId="0" borderId="0" xfId="0" applyNumberFormat="1" applyFont="1" applyBorder="1" applyProtection="1"/>
    <xf numFmtId="0" fontId="5" fillId="4" borderId="0" xfId="0" quotePrefix="1" applyFont="1" applyFill="1" applyAlignment="1">
      <alignment horizontal="left"/>
    </xf>
    <xf numFmtId="0" fontId="0" fillId="0" borderId="0" xfId="0" applyFill="1" applyAlignment="1">
      <alignment horizontal="center"/>
    </xf>
    <xf numFmtId="166" fontId="0" fillId="0" borderId="0" xfId="0" applyNumberFormat="1" applyFont="1" applyBorder="1" applyProtection="1"/>
    <xf numFmtId="0" fontId="12" fillId="0" borderId="17" xfId="0" quotePrefix="1" applyFont="1" applyBorder="1" applyAlignment="1">
      <alignment horizontal="left"/>
    </xf>
    <xf numFmtId="164" fontId="0" fillId="0" borderId="6" xfId="0" applyNumberFormat="1" applyBorder="1"/>
    <xf numFmtId="0" fontId="0" fillId="0" borderId="26" xfId="0" applyBorder="1"/>
    <xf numFmtId="0" fontId="31" fillId="0" borderId="0" xfId="0" applyFont="1"/>
    <xf numFmtId="0" fontId="0" fillId="0" borderId="0" xfId="0" quotePrefix="1" applyFill="1" applyBorder="1" applyAlignment="1">
      <alignment horizontal="center"/>
    </xf>
    <xf numFmtId="1" fontId="0" fillId="0" borderId="31" xfId="0" applyNumberFormat="1" applyFont="1" applyFill="1" applyBorder="1" applyAlignment="1" applyProtection="1">
      <alignment horizontal="center"/>
    </xf>
    <xf numFmtId="1" fontId="0" fillId="0" borderId="10" xfId="0" applyNumberFormat="1" applyFont="1" applyFill="1" applyBorder="1" applyAlignment="1" applyProtection="1">
      <alignment horizontal="center"/>
    </xf>
    <xf numFmtId="0" fontId="24" fillId="0" borderId="13" xfId="4" applyFont="1" applyBorder="1" applyAlignment="1">
      <alignment wrapText="1"/>
    </xf>
    <xf numFmtId="0" fontId="19" fillId="0" borderId="17" xfId="0" quotePrefix="1" applyFont="1" applyFill="1" applyBorder="1" applyAlignment="1">
      <alignment horizontal="left"/>
    </xf>
    <xf numFmtId="0" fontId="0" fillId="0" borderId="17" xfId="0" applyBorder="1"/>
    <xf numFmtId="0" fontId="4" fillId="4" borderId="0" xfId="0" applyFont="1" applyFill="1" applyAlignment="1">
      <alignment horizontal="left"/>
    </xf>
    <xf numFmtId="3" fontId="0" fillId="0" borderId="0" xfId="0" applyNumberFormat="1" applyFont="1" applyProtection="1"/>
    <xf numFmtId="0" fontId="19" fillId="0" borderId="0" xfId="0" applyFont="1" applyFill="1"/>
    <xf numFmtId="1" fontId="12" fillId="0" borderId="0" xfId="0" applyNumberFormat="1" applyFont="1"/>
    <xf numFmtId="2" fontId="5" fillId="0" borderId="13" xfId="0" applyNumberFormat="1" applyFont="1" applyBorder="1" applyAlignment="1">
      <alignment horizontal="center"/>
    </xf>
    <xf numFmtId="0" fontId="19" fillId="0" borderId="0" xfId="0" applyFont="1"/>
    <xf numFmtId="0" fontId="10" fillId="0" borderId="0" xfId="3" applyFont="1" applyBorder="1" applyAlignment="1" applyProtection="1">
      <alignment horizontal="left"/>
    </xf>
    <xf numFmtId="0" fontId="12" fillId="0" borderId="0" xfId="3" quotePrefix="1" applyFont="1" applyAlignment="1">
      <alignment horizontal="left"/>
    </xf>
    <xf numFmtId="0" fontId="12" fillId="0" borderId="9" xfId="3" applyFont="1" applyBorder="1" applyAlignment="1">
      <alignment horizontal="center"/>
    </xf>
    <xf numFmtId="0" fontId="12" fillId="0" borderId="15" xfId="3" applyFont="1" applyBorder="1" applyAlignment="1">
      <alignment horizontal="center"/>
    </xf>
    <xf numFmtId="164" fontId="12" fillId="0" borderId="18" xfId="3" applyNumberFormat="1" applyFont="1" applyBorder="1" applyAlignment="1" applyProtection="1">
      <alignment horizontal="center"/>
    </xf>
    <xf numFmtId="1" fontId="12" fillId="0" borderId="13" xfId="3" applyNumberFormat="1" applyFont="1" applyBorder="1" applyAlignment="1" applyProtection="1">
      <alignment horizontal="center"/>
    </xf>
    <xf numFmtId="1" fontId="12" fillId="0" borderId="0" xfId="3" applyNumberFormat="1" applyFont="1" applyAlignment="1">
      <alignment horizontal="center"/>
    </xf>
    <xf numFmtId="164" fontId="12" fillId="0" borderId="0" xfId="3" applyNumberFormat="1" applyFont="1" applyBorder="1" applyAlignment="1" applyProtection="1">
      <alignment horizontal="center"/>
    </xf>
    <xf numFmtId="164" fontId="12" fillId="0" borderId="0" xfId="3" applyNumberFormat="1" applyFont="1" applyAlignment="1">
      <alignment horizontal="center"/>
    </xf>
    <xf numFmtId="166" fontId="12" fillId="0" borderId="0" xfId="3" applyNumberFormat="1" applyFont="1" applyAlignment="1">
      <alignment horizontal="center"/>
    </xf>
    <xf numFmtId="11" fontId="12" fillId="0" borderId="0" xfId="3" applyNumberFormat="1" applyFont="1"/>
    <xf numFmtId="0" fontId="12" fillId="0" borderId="13" xfId="3" applyFont="1" applyBorder="1" applyAlignment="1">
      <alignment horizontal="center"/>
    </xf>
    <xf numFmtId="0" fontId="12" fillId="0" borderId="18" xfId="3" applyFont="1" applyBorder="1" applyAlignment="1">
      <alignment horizontal="center"/>
    </xf>
    <xf numFmtId="0" fontId="12" fillId="0" borderId="0" xfId="3" applyFont="1" applyAlignment="1">
      <alignment horizontal="left"/>
    </xf>
    <xf numFmtId="0" fontId="12" fillId="0" borderId="13" xfId="3" applyFont="1" applyBorder="1"/>
    <xf numFmtId="0" fontId="12" fillId="0" borderId="18" xfId="3" applyFont="1" applyBorder="1"/>
    <xf numFmtId="1" fontId="12" fillId="0" borderId="18" xfId="3" applyNumberFormat="1" applyFont="1" applyBorder="1"/>
    <xf numFmtId="0" fontId="12" fillId="0" borderId="11" xfId="3" applyFont="1" applyBorder="1"/>
    <xf numFmtId="1" fontId="12" fillId="0" borderId="13" xfId="3" applyNumberFormat="1" applyFont="1" applyBorder="1" applyAlignment="1">
      <alignment horizontal="center"/>
    </xf>
    <xf numFmtId="1" fontId="12" fillId="0" borderId="18" xfId="3" applyNumberFormat="1" applyFont="1" applyBorder="1" applyAlignment="1">
      <alignment horizontal="center"/>
    </xf>
    <xf numFmtId="164" fontId="12" fillId="0" borderId="14" xfId="3" applyNumberFormat="1" applyFont="1" applyBorder="1" applyAlignment="1" applyProtection="1">
      <alignment horizontal="center"/>
    </xf>
    <xf numFmtId="1" fontId="12" fillId="0" borderId="12" xfId="3" applyNumberFormat="1" applyFont="1" applyBorder="1" applyAlignment="1" applyProtection="1">
      <alignment horizontal="center"/>
    </xf>
    <xf numFmtId="0" fontId="12" fillId="0" borderId="0" xfId="3" applyFont="1" applyBorder="1"/>
    <xf numFmtId="164" fontId="12" fillId="0" borderId="0" xfId="3" applyNumberFormat="1" applyFont="1" applyBorder="1" applyAlignment="1"/>
    <xf numFmtId="0" fontId="34" fillId="0" borderId="0" xfId="3" quotePrefix="1" applyFont="1" applyAlignment="1">
      <alignment horizontal="left"/>
    </xf>
    <xf numFmtId="0" fontId="11" fillId="0" borderId="0" xfId="3" applyFont="1"/>
    <xf numFmtId="0" fontId="12" fillId="0" borderId="0" xfId="3" applyFont="1" applyBorder="1" applyAlignment="1" applyProtection="1">
      <alignment horizontal="fill"/>
    </xf>
    <xf numFmtId="0" fontId="11" fillId="0" borderId="0" xfId="3" applyFont="1" applyBorder="1" applyAlignment="1"/>
    <xf numFmtId="0" fontId="11" fillId="0" borderId="0" xfId="3" applyFont="1" applyAlignment="1">
      <alignment horizontal="centerContinuous"/>
    </xf>
    <xf numFmtId="0" fontId="12" fillId="0" borderId="0" xfId="3" applyFont="1" applyAlignment="1">
      <alignment horizontal="centerContinuous"/>
    </xf>
    <xf numFmtId="14" fontId="19" fillId="0" borderId="0" xfId="3" applyNumberFormat="1" applyFont="1" applyBorder="1" applyAlignment="1">
      <alignment horizontal="center"/>
    </xf>
    <xf numFmtId="0" fontId="24" fillId="0" borderId="13" xfId="5" applyFont="1" applyBorder="1" applyAlignment="1">
      <alignment wrapText="1"/>
    </xf>
    <xf numFmtId="14" fontId="18" fillId="0" borderId="0" xfId="3" applyNumberFormat="1" applyFont="1"/>
    <xf numFmtId="0" fontId="13" fillId="0" borderId="13" xfId="5" applyFont="1" applyFill="1" applyBorder="1" applyAlignment="1">
      <alignment wrapText="1"/>
    </xf>
    <xf numFmtId="0" fontId="13" fillId="0" borderId="13" xfId="5" quotePrefix="1" applyFont="1" applyFill="1" applyBorder="1" applyAlignment="1">
      <alignment horizontal="left" wrapText="1"/>
    </xf>
    <xf numFmtId="0" fontId="18" fillId="0" borderId="13" xfId="3" applyFont="1" applyFill="1" applyBorder="1"/>
    <xf numFmtId="0" fontId="18" fillId="0" borderId="13" xfId="3" quotePrefix="1" applyFont="1" applyFill="1" applyBorder="1" applyAlignment="1">
      <alignment horizontal="left"/>
    </xf>
    <xf numFmtId="0" fontId="21" fillId="4" borderId="0" xfId="3" applyFont="1" applyFill="1" applyAlignment="1">
      <alignment horizontal="right"/>
    </xf>
    <xf numFmtId="0" fontId="22" fillId="0" borderId="0" xfId="3" applyFont="1" applyBorder="1" applyAlignment="1" applyProtection="1">
      <alignment horizontal="left"/>
    </xf>
    <xf numFmtId="0" fontId="24" fillId="0" borderId="0" xfId="3" applyFont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5" fillId="0" borderId="0" xfId="0" applyFont="1" applyAlignment="1">
      <alignment horizontal="right"/>
    </xf>
    <xf numFmtId="1" fontId="35" fillId="0" borderId="0" xfId="0" applyNumberFormat="1" applyFont="1"/>
    <xf numFmtId="3" fontId="0" fillId="0" borderId="0" xfId="0" applyNumberFormat="1" applyFont="1" applyBorder="1"/>
    <xf numFmtId="0" fontId="21" fillId="4" borderId="0" xfId="3" quotePrefix="1" applyFont="1" applyFill="1" applyAlignment="1">
      <alignment horizontal="right"/>
    </xf>
    <xf numFmtId="0" fontId="18" fillId="0" borderId="13" xfId="3" applyFont="1" applyBorder="1" applyAlignment="1" applyProtection="1"/>
    <xf numFmtId="0" fontId="18" fillId="0" borderId="13" xfId="3" applyFont="1" applyBorder="1" applyAlignment="1" applyProtection="1">
      <alignment horizontal="center"/>
    </xf>
    <xf numFmtId="0" fontId="20" fillId="0" borderId="0" xfId="0" applyFont="1"/>
    <xf numFmtId="0" fontId="36" fillId="0" borderId="0" xfId="0" applyFont="1"/>
    <xf numFmtId="1" fontId="7" fillId="0" borderId="11" xfId="0" applyNumberFormat="1" applyFont="1" applyFill="1" applyBorder="1" applyAlignment="1" applyProtection="1">
      <alignment horizontal="center"/>
      <protection locked="0"/>
    </xf>
    <xf numFmtId="166" fontId="18" fillId="0" borderId="1" xfId="7" applyNumberFormat="1" applyFont="1" applyFill="1" applyBorder="1">
      <protection locked="0"/>
    </xf>
    <xf numFmtId="166" fontId="0" fillId="0" borderId="25" xfId="0" applyNumberFormat="1" applyFont="1" applyFill="1" applyBorder="1" applyAlignment="1">
      <alignment horizontal="center"/>
    </xf>
    <xf numFmtId="166" fontId="0" fillId="0" borderId="32" xfId="0" applyNumberFormat="1" applyFont="1" applyFill="1" applyBorder="1" applyAlignment="1">
      <alignment horizontal="center"/>
    </xf>
    <xf numFmtId="0" fontId="36" fillId="0" borderId="0" xfId="0" applyFont="1" applyFill="1"/>
    <xf numFmtId="0" fontId="36" fillId="0" borderId="0" xfId="0" quotePrefix="1" applyFont="1" applyFill="1" applyAlignment="1">
      <alignment horizontal="left"/>
    </xf>
    <xf numFmtId="0" fontId="36" fillId="0" borderId="0" xfId="0" applyFont="1" applyAlignment="1">
      <alignment horizontal="right"/>
    </xf>
    <xf numFmtId="0" fontId="36" fillId="0" borderId="0" xfId="0" quotePrefix="1" applyFont="1" applyAlignment="1">
      <alignment horizontal="left"/>
    </xf>
    <xf numFmtId="1" fontId="36" fillId="0" borderId="0" xfId="0" applyNumberFormat="1" applyFont="1"/>
    <xf numFmtId="0" fontId="36" fillId="0" borderId="10" xfId="0" applyFont="1" applyBorder="1"/>
    <xf numFmtId="164" fontId="36" fillId="0" borderId="0" xfId="0" applyNumberFormat="1" applyFont="1"/>
    <xf numFmtId="2" fontId="36" fillId="0" borderId="0" xfId="0" applyNumberFormat="1" applyFont="1"/>
    <xf numFmtId="0" fontId="36" fillId="0" borderId="0" xfId="0" applyFont="1" applyFill="1" applyBorder="1"/>
    <xf numFmtId="0" fontId="5" fillId="0" borderId="18" xfId="0" applyFont="1" applyBorder="1" applyAlignment="1">
      <alignment horizontal="right"/>
    </xf>
    <xf numFmtId="2" fontId="5" fillId="0" borderId="28" xfId="0" applyNumberFormat="1" applyFont="1" applyBorder="1" applyAlignment="1">
      <alignment horizontal="center"/>
    </xf>
    <xf numFmtId="166" fontId="5" fillId="0" borderId="29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166" fontId="5" fillId="0" borderId="34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Continuous"/>
    </xf>
    <xf numFmtId="0" fontId="0" fillId="0" borderId="28" xfId="0" applyFont="1" applyBorder="1" applyAlignment="1">
      <alignment horizontal="centerContinuous"/>
    </xf>
    <xf numFmtId="0" fontId="0" fillId="0" borderId="0" xfId="0" applyFont="1" applyFill="1" applyAlignment="1">
      <alignment horizontal="left" indent="1"/>
    </xf>
    <xf numFmtId="0" fontId="19" fillId="0" borderId="0" xfId="0" quotePrefix="1" applyFont="1" applyFill="1" applyBorder="1" applyAlignment="1">
      <alignment horizontal="left"/>
    </xf>
    <xf numFmtId="9" fontId="36" fillId="0" borderId="0" xfId="0" applyNumberFormat="1" applyFont="1" applyAlignment="1">
      <alignment horizontal="center"/>
    </xf>
    <xf numFmtId="0" fontId="36" fillId="0" borderId="0" xfId="0" applyFont="1" applyFill="1" applyAlignment="1">
      <alignment wrapText="1"/>
    </xf>
    <xf numFmtId="0" fontId="36" fillId="0" borderId="0" xfId="0" quotePrefix="1" applyFont="1" applyFill="1" applyAlignment="1"/>
    <xf numFmtId="0" fontId="19" fillId="0" borderId="0" xfId="0" quotePrefix="1" applyFont="1" applyFill="1" applyAlignment="1"/>
    <xf numFmtId="0" fontId="37" fillId="0" borderId="0" xfId="0" applyFont="1" applyFill="1" applyBorder="1" applyAlignment="1" applyProtection="1">
      <alignment horizontal="left"/>
    </xf>
    <xf numFmtId="0" fontId="25" fillId="4" borderId="0" xfId="0" quotePrefix="1" applyFont="1" applyFill="1" applyAlignment="1">
      <alignment horizontal="left"/>
    </xf>
    <xf numFmtId="0" fontId="25" fillId="4" borderId="0" xfId="0" applyFont="1" applyFill="1" applyAlignment="1">
      <alignment horizontal="left"/>
    </xf>
    <xf numFmtId="0" fontId="36" fillId="0" borderId="0" xfId="0" applyFont="1" applyFill="1" applyAlignment="1">
      <alignment horizontal="left"/>
    </xf>
    <xf numFmtId="166" fontId="36" fillId="0" borderId="0" xfId="0" applyNumberFormat="1" applyFont="1" applyFill="1"/>
    <xf numFmtId="9" fontId="36" fillId="0" borderId="0" xfId="0" quotePrefix="1" applyNumberFormat="1" applyFont="1" applyFill="1" applyAlignment="1">
      <alignment horizontal="center"/>
    </xf>
    <xf numFmtId="164" fontId="36" fillId="0" borderId="0" xfId="0" applyNumberFormat="1" applyFont="1" applyFill="1" applyBorder="1"/>
    <xf numFmtId="164" fontId="0" fillId="0" borderId="1" xfId="0" applyNumberFormat="1" applyFont="1" applyBorder="1" applyAlignment="1">
      <alignment horizontal="center"/>
    </xf>
    <xf numFmtId="166" fontId="0" fillId="0" borderId="1" xfId="0" applyNumberFormat="1" applyFont="1" applyFill="1" applyBorder="1" applyProtection="1"/>
    <xf numFmtId="3" fontId="12" fillId="0" borderId="1" xfId="7" applyNumberFormat="1" applyFont="1" applyFill="1" applyBorder="1">
      <protection locked="0"/>
    </xf>
    <xf numFmtId="164" fontId="0" fillId="0" borderId="1" xfId="0" applyNumberFormat="1" applyBorder="1"/>
    <xf numFmtId="2" fontId="0" fillId="0" borderId="1" xfId="0" quotePrefix="1" applyNumberFormat="1" applyBorder="1" applyAlignment="1">
      <alignment horizontal="right"/>
    </xf>
    <xf numFmtId="2" fontId="12" fillId="0" borderId="1" xfId="0" applyNumberFormat="1" applyFont="1" applyBorder="1"/>
    <xf numFmtId="166" fontId="0" fillId="0" borderId="1" xfId="0" applyNumberFormat="1" applyFont="1" applyFill="1" applyBorder="1"/>
    <xf numFmtId="166" fontId="0" fillId="0" borderId="1" xfId="0" applyNumberFormat="1" applyFont="1" applyBorder="1"/>
    <xf numFmtId="168" fontId="0" fillId="0" borderId="1" xfId="0" applyNumberFormat="1" applyFont="1" applyFill="1" applyBorder="1" applyAlignment="1"/>
    <xf numFmtId="164" fontId="0" fillId="0" borderId="0" xfId="0" applyNumberFormat="1" applyFont="1" applyBorder="1" applyAlignment="1">
      <alignment horizontal="center"/>
    </xf>
    <xf numFmtId="1" fontId="18" fillId="0" borderId="1" xfId="7" applyNumberFormat="1" applyFont="1" applyFill="1">
      <protection locked="0"/>
    </xf>
    <xf numFmtId="2" fontId="0" fillId="0" borderId="1" xfId="0" applyNumberFormat="1" applyFont="1" applyBorder="1"/>
    <xf numFmtId="166" fontId="0" fillId="0" borderId="0" xfId="0" applyNumberFormat="1" applyFont="1" applyBorder="1" applyAlignment="1">
      <alignment horizontal="right"/>
    </xf>
    <xf numFmtId="166" fontId="18" fillId="0" borderId="0" xfId="0" quotePrefix="1" applyNumberFormat="1" applyFont="1" applyFill="1" applyBorder="1" applyAlignment="1">
      <alignment horizontal="left"/>
    </xf>
    <xf numFmtId="0" fontId="18" fillId="0" borderId="0" xfId="0" quotePrefix="1" applyFont="1" applyAlignment="1">
      <alignment horizontal="left"/>
    </xf>
    <xf numFmtId="166" fontId="18" fillId="0" borderId="0" xfId="0" applyNumberFormat="1" applyFont="1" applyFill="1" applyBorder="1" applyAlignment="1">
      <alignment horizontal="left"/>
    </xf>
    <xf numFmtId="0" fontId="18" fillId="0" borderId="0" xfId="0" applyFont="1" applyFill="1"/>
    <xf numFmtId="0" fontId="36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0" fontId="0" fillId="0" borderId="25" xfId="0" applyBorder="1" applyAlignment="1">
      <alignment horizontal="center"/>
    </xf>
    <xf numFmtId="0" fontId="0" fillId="0" borderId="0" xfId="0" applyFill="1" applyAlignment="1"/>
    <xf numFmtId="164" fontId="0" fillId="0" borderId="1" xfId="0" applyNumberFormat="1" applyFont="1" applyBorder="1"/>
    <xf numFmtId="0" fontId="20" fillId="0" borderId="0" xfId="0" applyFont="1" applyBorder="1"/>
    <xf numFmtId="0" fontId="36" fillId="0" borderId="0" xfId="0" applyFont="1" applyBorder="1"/>
    <xf numFmtId="0" fontId="36" fillId="0" borderId="18" xfId="0" applyFont="1" applyBorder="1"/>
    <xf numFmtId="0" fontId="36" fillId="0" borderId="17" xfId="0" applyFont="1" applyBorder="1" applyAlignment="1">
      <alignment horizontal="center"/>
    </xf>
    <xf numFmtId="164" fontId="36" fillId="0" borderId="13" xfId="0" applyNumberFormat="1" applyFont="1" applyBorder="1" applyAlignment="1">
      <alignment horizontal="center"/>
    </xf>
    <xf numFmtId="0" fontId="36" fillId="0" borderId="18" xfId="0" applyFont="1" applyBorder="1" applyAlignment="1">
      <alignment horizontal="left"/>
    </xf>
    <xf numFmtId="164" fontId="36" fillId="0" borderId="22" xfId="0" applyNumberFormat="1" applyFont="1" applyBorder="1" applyAlignment="1">
      <alignment horizontal="left" indent="1"/>
    </xf>
    <xf numFmtId="164" fontId="36" fillId="0" borderId="22" xfId="0" applyNumberFormat="1" applyFont="1" applyBorder="1" applyAlignment="1">
      <alignment horizontal="right"/>
    </xf>
    <xf numFmtId="2" fontId="0" fillId="0" borderId="1" xfId="0" applyNumberFormat="1" applyFont="1" applyFill="1" applyBorder="1"/>
    <xf numFmtId="0" fontId="36" fillId="0" borderId="0" xfId="0" applyFont="1" applyAlignment="1">
      <alignment horizontal="left"/>
    </xf>
    <xf numFmtId="2" fontId="12" fillId="0" borderId="0" xfId="0" applyNumberFormat="1" applyFont="1" applyBorder="1"/>
    <xf numFmtId="0" fontId="36" fillId="0" borderId="0" xfId="0" applyFont="1" applyBorder="1" applyAlignment="1">
      <alignment horizontal="right"/>
    </xf>
    <xf numFmtId="164" fontId="18" fillId="0" borderId="0" xfId="0" applyNumberFormat="1" applyFont="1" applyAlignment="1">
      <alignment horizontal="right"/>
    </xf>
    <xf numFmtId="2" fontId="20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1" fontId="18" fillId="0" borderId="12" xfId="3" applyNumberFormat="1" applyFont="1" applyFill="1" applyBorder="1" applyAlignment="1" applyProtection="1">
      <alignment horizontal="center"/>
    </xf>
    <xf numFmtId="0" fontId="18" fillId="0" borderId="14" xfId="3" applyFont="1" applyBorder="1" applyAlignment="1">
      <alignment horizontal="center"/>
    </xf>
    <xf numFmtId="164" fontId="18" fillId="0" borderId="14" xfId="3" applyNumberFormat="1" applyFont="1" applyBorder="1" applyAlignment="1" applyProtection="1">
      <alignment horizontal="center"/>
    </xf>
    <xf numFmtId="164" fontId="18" fillId="0" borderId="12" xfId="3" applyNumberFormat="1" applyFont="1" applyBorder="1" applyAlignment="1" applyProtection="1">
      <alignment horizontal="center"/>
    </xf>
    <xf numFmtId="0" fontId="19" fillId="0" borderId="7" xfId="3" applyFont="1" applyFill="1" applyBorder="1" applyAlignment="1" applyProtection="1">
      <alignment horizontal="centerContinuous"/>
    </xf>
    <xf numFmtId="0" fontId="18" fillId="0" borderId="8" xfId="3" applyFont="1" applyFill="1" applyBorder="1" applyAlignment="1">
      <alignment horizontal="centerContinuous"/>
    </xf>
    <xf numFmtId="0" fontId="19" fillId="0" borderId="15" xfId="3" applyFont="1" applyFill="1" applyBorder="1" applyAlignment="1" applyProtection="1">
      <alignment horizontal="centerContinuous"/>
    </xf>
    <xf numFmtId="0" fontId="19" fillId="0" borderId="9" xfId="3" applyFont="1" applyFill="1" applyBorder="1" applyAlignment="1" applyProtection="1">
      <alignment horizontal="center"/>
    </xf>
    <xf numFmtId="0" fontId="19" fillId="0" borderId="15" xfId="3" applyFont="1" applyFill="1" applyBorder="1" applyAlignment="1">
      <alignment horizontal="center"/>
    </xf>
    <xf numFmtId="0" fontId="26" fillId="0" borderId="15" xfId="3" applyFont="1" applyFill="1" applyBorder="1" applyAlignment="1" applyProtection="1">
      <alignment horizontal="center"/>
    </xf>
    <xf numFmtId="0" fontId="19" fillId="0" borderId="17" xfId="3" applyFont="1" applyFill="1" applyBorder="1" applyAlignment="1" applyProtection="1">
      <alignment horizontal="centerContinuous"/>
    </xf>
    <xf numFmtId="0" fontId="19" fillId="0" borderId="18" xfId="3" applyFont="1" applyFill="1" applyBorder="1" applyAlignment="1" applyProtection="1">
      <alignment horizontal="centerContinuous"/>
    </xf>
    <xf numFmtId="0" fontId="19" fillId="0" borderId="13" xfId="3" applyFont="1" applyFill="1" applyBorder="1" applyAlignment="1" applyProtection="1">
      <alignment horizontal="center"/>
    </xf>
    <xf numFmtId="0" fontId="19" fillId="0" borderId="18" xfId="3" applyFont="1" applyFill="1" applyBorder="1" applyAlignment="1" applyProtection="1">
      <alignment horizontal="center"/>
    </xf>
    <xf numFmtId="0" fontId="26" fillId="0" borderId="13" xfId="3" applyFont="1" applyFill="1" applyBorder="1" applyAlignment="1">
      <alignment horizontal="center"/>
    </xf>
    <xf numFmtId="0" fontId="19" fillId="0" borderId="18" xfId="3" applyFont="1" applyFill="1" applyBorder="1" applyAlignment="1">
      <alignment horizontal="center"/>
    </xf>
    <xf numFmtId="0" fontId="19" fillId="0" borderId="13" xfId="3" applyFont="1" applyFill="1" applyBorder="1" applyAlignment="1">
      <alignment horizontal="center"/>
    </xf>
    <xf numFmtId="0" fontId="19" fillId="0" borderId="12" xfId="3" applyFont="1" applyFill="1" applyBorder="1" applyAlignment="1" applyProtection="1">
      <alignment horizontal="center"/>
    </xf>
    <xf numFmtId="0" fontId="19" fillId="0" borderId="14" xfId="3" applyFont="1" applyFill="1" applyBorder="1" applyAlignment="1" applyProtection="1">
      <alignment horizontal="center"/>
    </xf>
    <xf numFmtId="0" fontId="19" fillId="0" borderId="14" xfId="3" quotePrefix="1" applyFont="1" applyFill="1" applyBorder="1" applyAlignment="1" applyProtection="1">
      <alignment horizontal="center"/>
    </xf>
    <xf numFmtId="0" fontId="19" fillId="0" borderId="12" xfId="3" applyFont="1" applyFill="1" applyBorder="1" applyAlignment="1">
      <alignment horizontal="center"/>
    </xf>
    <xf numFmtId="0" fontId="19" fillId="0" borderId="14" xfId="3" applyFont="1" applyFill="1" applyBorder="1" applyAlignment="1">
      <alignment horizontal="center"/>
    </xf>
    <xf numFmtId="0" fontId="19" fillId="0" borderId="12" xfId="3" quotePrefix="1" applyFont="1" applyFill="1" applyBorder="1" applyAlignment="1" applyProtection="1">
      <alignment horizontal="center"/>
    </xf>
    <xf numFmtId="0" fontId="25" fillId="4" borderId="0" xfId="3" applyFont="1" applyFill="1" applyAlignment="1">
      <alignment horizontal="left"/>
    </xf>
    <xf numFmtId="0" fontId="0" fillId="4" borderId="0" xfId="0" applyFill="1" applyAlignment="1">
      <alignment horizontal="left"/>
    </xf>
    <xf numFmtId="14" fontId="22" fillId="0" borderId="0" xfId="7" quotePrefix="1" applyNumberFormat="1" applyFont="1" applyFill="1" applyBorder="1" applyAlignment="1">
      <alignment horizontal="center"/>
      <protection locked="0"/>
    </xf>
    <xf numFmtId="0" fontId="5" fillId="0" borderId="9" xfId="3" applyFont="1" applyFill="1" applyBorder="1" applyAlignment="1" applyProtection="1">
      <alignment horizontal="center"/>
    </xf>
    <xf numFmtId="0" fontId="5" fillId="0" borderId="15" xfId="3" quotePrefix="1" applyFont="1" applyFill="1" applyBorder="1" applyAlignment="1">
      <alignment horizontal="center"/>
    </xf>
    <xf numFmtId="0" fontId="5" fillId="0" borderId="15" xfId="3" applyFont="1" applyFill="1" applyBorder="1" applyAlignment="1">
      <alignment horizontal="center"/>
    </xf>
    <xf numFmtId="0" fontId="33" fillId="0" borderId="15" xfId="3" applyFont="1" applyFill="1" applyBorder="1" applyAlignment="1" applyProtection="1">
      <alignment horizontal="center"/>
    </xf>
    <xf numFmtId="0" fontId="12" fillId="0" borderId="13" xfId="3" applyFont="1" applyFill="1" applyBorder="1"/>
    <xf numFmtId="0" fontId="12" fillId="0" borderId="18" xfId="3" applyFont="1" applyFill="1" applyBorder="1"/>
    <xf numFmtId="0" fontId="33" fillId="0" borderId="13" xfId="3" applyFont="1" applyFill="1" applyBorder="1" applyAlignment="1">
      <alignment horizontal="center"/>
    </xf>
    <xf numFmtId="0" fontId="5" fillId="0" borderId="18" xfId="3" applyFont="1" applyFill="1" applyBorder="1" applyAlignment="1">
      <alignment horizontal="center"/>
    </xf>
    <xf numFmtId="0" fontId="5" fillId="0" borderId="12" xfId="3" applyFont="1" applyFill="1" applyBorder="1" applyAlignment="1" applyProtection="1">
      <alignment horizontal="center"/>
    </xf>
    <xf numFmtId="0" fontId="5" fillId="0" borderId="14" xfId="3" quotePrefix="1" applyFont="1" applyFill="1" applyBorder="1" applyAlignment="1" applyProtection="1">
      <alignment horizontal="center"/>
    </xf>
    <xf numFmtId="0" fontId="5" fillId="0" borderId="12" xfId="3" applyFont="1" applyFill="1" applyBorder="1" applyAlignment="1">
      <alignment horizontal="center"/>
    </xf>
    <xf numFmtId="0" fontId="5" fillId="0" borderId="14" xfId="3" applyFont="1" applyFill="1" applyBorder="1" applyAlignment="1">
      <alignment horizontal="center"/>
    </xf>
    <xf numFmtId="0" fontId="5" fillId="0" borderId="12" xfId="3" quotePrefix="1" applyFont="1" applyFill="1" applyBorder="1" applyAlignment="1" applyProtection="1">
      <alignment horizontal="center"/>
    </xf>
    <xf numFmtId="0" fontId="12" fillId="0" borderId="7" xfId="3" applyFont="1" applyBorder="1"/>
    <xf numFmtId="0" fontId="12" fillId="0" borderId="8" xfId="3" applyFont="1" applyBorder="1"/>
    <xf numFmtId="0" fontId="12" fillId="0" borderId="17" xfId="3" applyFont="1" applyBorder="1"/>
    <xf numFmtId="0" fontId="5" fillId="0" borderId="17" xfId="3" applyFont="1" applyBorder="1"/>
    <xf numFmtId="0" fontId="5" fillId="0" borderId="17" xfId="3" quotePrefix="1" applyFont="1" applyBorder="1" applyAlignment="1">
      <alignment horizontal="left"/>
    </xf>
    <xf numFmtId="0" fontId="12" fillId="0" borderId="17" xfId="3" quotePrefix="1" applyFont="1" applyBorder="1" applyAlignment="1">
      <alignment horizontal="left"/>
    </xf>
    <xf numFmtId="0" fontId="12" fillId="0" borderId="10" xfId="3" applyFont="1" applyBorder="1"/>
    <xf numFmtId="0" fontId="0" fillId="0" borderId="14" xfId="0" applyBorder="1"/>
    <xf numFmtId="1" fontId="18" fillId="0" borderId="0" xfId="3" applyNumberFormat="1" applyFont="1" applyBorder="1" applyAlignment="1"/>
    <xf numFmtId="0" fontId="34" fillId="0" borderId="0" xfId="3" quotePrefix="1" applyFont="1" applyBorder="1" applyAlignment="1">
      <alignment horizontal="left"/>
    </xf>
    <xf numFmtId="0" fontId="34" fillId="0" borderId="0" xfId="3" quotePrefix="1" applyFont="1" applyBorder="1" applyAlignment="1">
      <alignment horizontal="right"/>
    </xf>
    <xf numFmtId="0" fontId="0" fillId="0" borderId="10" xfId="0" applyBorder="1"/>
    <xf numFmtId="0" fontId="12" fillId="0" borderId="12" xfId="3" applyFont="1" applyBorder="1"/>
    <xf numFmtId="0" fontId="20" fillId="0" borderId="0" xfId="0" applyFont="1" applyAlignment="1">
      <alignment horizontal="center"/>
    </xf>
    <xf numFmtId="1" fontId="18" fillId="0" borderId="1" xfId="3" applyNumberFormat="1" applyFont="1" applyBorder="1"/>
    <xf numFmtId="1" fontId="18" fillId="0" borderId="1" xfId="3" applyNumberFormat="1" applyFont="1" applyBorder="1" applyProtection="1"/>
    <xf numFmtId="166" fontId="18" fillId="0" borderId="1" xfId="3" applyNumberFormat="1" applyFont="1" applyBorder="1" applyProtection="1"/>
    <xf numFmtId="0" fontId="38" fillId="0" borderId="0" xfId="0" quotePrefix="1" applyFont="1" applyFill="1" applyBorder="1" applyAlignment="1">
      <alignment horizontal="center"/>
    </xf>
    <xf numFmtId="0" fontId="19" fillId="0" borderId="14" xfId="3" applyFont="1" applyBorder="1" applyProtection="1"/>
    <xf numFmtId="0" fontId="19" fillId="0" borderId="14" xfId="3" applyFont="1" applyBorder="1"/>
    <xf numFmtId="0" fontId="19" fillId="0" borderId="14" xfId="3" applyFont="1" applyBorder="1" applyProtection="1">
      <protection locked="0"/>
    </xf>
    <xf numFmtId="164" fontId="5" fillId="0" borderId="22" xfId="0" applyNumberFormat="1" applyFont="1" applyFill="1" applyBorder="1" applyAlignment="1">
      <alignment horizontal="center"/>
    </xf>
    <xf numFmtId="164" fontId="5" fillId="0" borderId="22" xfId="0" applyNumberFormat="1" applyFont="1" applyFill="1" applyBorder="1" applyAlignment="1" applyProtection="1">
      <alignment horizontal="center"/>
    </xf>
    <xf numFmtId="2" fontId="8" fillId="0" borderId="22" xfId="0" applyNumberFormat="1" applyFont="1" applyFill="1" applyBorder="1" applyAlignment="1" applyProtection="1">
      <alignment horizontal="center"/>
    </xf>
    <xf numFmtId="164" fontId="0" fillId="0" borderId="28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 applyProtection="1">
      <alignment horizontal="center"/>
    </xf>
    <xf numFmtId="2" fontId="0" fillId="0" borderId="28" xfId="0" applyNumberFormat="1" applyFont="1" applyFill="1" applyBorder="1" applyAlignment="1">
      <alignment horizontal="center"/>
    </xf>
    <xf numFmtId="164" fontId="5" fillId="0" borderId="28" xfId="0" applyNumberFormat="1" applyFont="1" applyFill="1" applyBorder="1" applyAlignment="1">
      <alignment horizontal="center"/>
    </xf>
    <xf numFmtId="0" fontId="5" fillId="0" borderId="22" xfId="0" applyFont="1" applyFill="1" applyBorder="1" applyAlignment="1" applyProtection="1">
      <alignment horizontal="center"/>
    </xf>
    <xf numFmtId="0" fontId="5" fillId="0" borderId="28" xfId="0" applyFont="1" applyFill="1" applyBorder="1" applyAlignment="1" applyProtection="1">
      <alignment horizontal="center"/>
    </xf>
    <xf numFmtId="164" fontId="5" fillId="0" borderId="28" xfId="0" applyNumberFormat="1" applyFont="1" applyFill="1" applyBorder="1" applyAlignment="1" applyProtection="1">
      <alignment horizontal="center"/>
    </xf>
    <xf numFmtId="0" fontId="0" fillId="0" borderId="28" xfId="0" applyFont="1" applyFill="1" applyBorder="1" applyAlignment="1" applyProtection="1">
      <alignment horizontal="center"/>
    </xf>
    <xf numFmtId="0" fontId="0" fillId="0" borderId="28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38" fontId="0" fillId="0" borderId="1" xfId="1" applyNumberFormat="1" applyFont="1" applyBorder="1"/>
    <xf numFmtId="38" fontId="0" fillId="0" borderId="0" xfId="1" applyNumberFormat="1" applyFont="1"/>
    <xf numFmtId="0" fontId="38" fillId="0" borderId="0" xfId="0" applyFont="1"/>
    <xf numFmtId="14" fontId="20" fillId="0" borderId="0" xfId="0" applyNumberFormat="1" applyFont="1"/>
    <xf numFmtId="0" fontId="20" fillId="0" borderId="0" xfId="0" quotePrefix="1" applyFont="1" applyAlignment="1">
      <alignment horizontal="left"/>
    </xf>
    <xf numFmtId="0" fontId="20" fillId="0" borderId="0" xfId="3" applyFont="1"/>
    <xf numFmtId="0" fontId="20" fillId="0" borderId="0" xfId="3" quotePrefix="1" applyFont="1" applyAlignment="1">
      <alignment horizontal="left"/>
    </xf>
    <xf numFmtId="14" fontId="20" fillId="0" borderId="0" xfId="3" applyNumberFormat="1" applyFont="1"/>
    <xf numFmtId="0" fontId="20" fillId="0" borderId="0" xfId="3" applyFont="1" applyAlignment="1">
      <alignment horizontal="center"/>
    </xf>
    <xf numFmtId="1" fontId="35" fillId="0" borderId="0" xfId="0" applyNumberFormat="1" applyFont="1" applyFill="1" applyBorder="1" applyAlignment="1">
      <alignment horizontal="center"/>
    </xf>
    <xf numFmtId="0" fontId="37" fillId="0" borderId="0" xfId="0" applyFont="1" applyFill="1" applyBorder="1"/>
    <xf numFmtId="0" fontId="36" fillId="0" borderId="39" xfId="0" applyFont="1" applyFill="1" applyBorder="1"/>
    <xf numFmtId="0" fontId="36" fillId="0" borderId="39" xfId="0" applyFont="1" applyFill="1" applyBorder="1" applyAlignment="1">
      <alignment horizontal="center"/>
    </xf>
    <xf numFmtId="1" fontId="36" fillId="0" borderId="39" xfId="0" applyNumberFormat="1" applyFont="1" applyFill="1" applyBorder="1" applyAlignment="1">
      <alignment horizont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166" fontId="36" fillId="0" borderId="0" xfId="0" applyNumberFormat="1" applyFont="1" applyBorder="1" applyAlignment="1">
      <alignment horizontal="right"/>
    </xf>
    <xf numFmtId="0" fontId="0" fillId="0" borderId="23" xfId="0" applyFont="1" applyFill="1" applyBorder="1" applyAlignment="1"/>
    <xf numFmtId="0" fontId="0" fillId="0" borderId="5" xfId="0" applyFont="1" applyFill="1" applyBorder="1" applyAlignment="1">
      <alignment horizontal="right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/>
    </xf>
    <xf numFmtId="0" fontId="0" fillId="0" borderId="33" xfId="0" applyFill="1" applyBorder="1" applyAlignment="1"/>
    <xf numFmtId="0" fontId="0" fillId="0" borderId="2" xfId="0" applyFont="1" applyFill="1" applyBorder="1" applyAlignment="1">
      <alignment horizontal="right"/>
    </xf>
    <xf numFmtId="1" fontId="0" fillId="0" borderId="28" xfId="0" applyNumberFormat="1" applyFont="1" applyFill="1" applyBorder="1" applyAlignment="1">
      <alignment horizontal="center"/>
    </xf>
    <xf numFmtId="1" fontId="0" fillId="0" borderId="41" xfId="0" applyNumberFormat="1" applyFont="1" applyFill="1" applyBorder="1" applyAlignment="1">
      <alignment horizontal="center"/>
    </xf>
    <xf numFmtId="1" fontId="0" fillId="0" borderId="29" xfId="0" applyNumberFormat="1" applyFont="1" applyFill="1" applyBorder="1" applyAlignment="1">
      <alignment horizontal="center"/>
    </xf>
    <xf numFmtId="0" fontId="0" fillId="0" borderId="33" xfId="0" applyFont="1" applyFill="1" applyBorder="1" applyAlignment="1"/>
    <xf numFmtId="0" fontId="0" fillId="0" borderId="33" xfId="0" quotePrefix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28" xfId="0" applyFill="1" applyBorder="1" applyAlignment="1">
      <alignment horizontal="center"/>
    </xf>
    <xf numFmtId="1" fontId="0" fillId="0" borderId="28" xfId="0" applyNumberFormat="1" applyFont="1" applyFill="1" applyBorder="1" applyAlignment="1" applyProtection="1">
      <alignment horizontal="center"/>
    </xf>
    <xf numFmtId="1" fontId="0" fillId="0" borderId="41" xfId="0" applyNumberFormat="1" applyFont="1" applyFill="1" applyBorder="1" applyAlignment="1" applyProtection="1">
      <alignment horizontal="center"/>
    </xf>
    <xf numFmtId="1" fontId="0" fillId="0" borderId="29" xfId="0" applyNumberFormat="1" applyFont="1" applyFill="1" applyBorder="1" applyAlignment="1" applyProtection="1">
      <alignment horizontal="center"/>
    </xf>
    <xf numFmtId="0" fontId="0" fillId="0" borderId="33" xfId="0" applyFont="1" applyFill="1" applyBorder="1" applyAlignment="1">
      <alignment horizontal="left"/>
    </xf>
    <xf numFmtId="0" fontId="0" fillId="0" borderId="28" xfId="0" quotePrefix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1" fontId="0" fillId="0" borderId="42" xfId="0" applyNumberFormat="1" applyFont="1" applyFill="1" applyBorder="1" applyAlignment="1">
      <alignment horizontal="center"/>
    </xf>
    <xf numFmtId="1" fontId="0" fillId="0" borderId="42" xfId="0" applyNumberFormat="1" applyFont="1" applyFill="1" applyBorder="1" applyAlignment="1" applyProtection="1">
      <alignment horizontal="center"/>
    </xf>
    <xf numFmtId="0" fontId="0" fillId="0" borderId="23" xfId="0" quotePrefix="1" applyFont="1" applyFill="1" applyBorder="1" applyAlignment="1">
      <alignment horizontal="left"/>
    </xf>
    <xf numFmtId="0" fontId="0" fillId="0" borderId="5" xfId="0" applyFont="1" applyFill="1" applyBorder="1"/>
    <xf numFmtId="0" fontId="0" fillId="0" borderId="33" xfId="0" applyFont="1" applyFill="1" applyBorder="1"/>
    <xf numFmtId="0" fontId="0" fillId="0" borderId="33" xfId="0" quotePrefix="1" applyFill="1" applyBorder="1" applyAlignment="1">
      <alignment horizontal="left"/>
    </xf>
    <xf numFmtId="0" fontId="0" fillId="0" borderId="23" xfId="0" applyFont="1" applyFill="1" applyBorder="1"/>
    <xf numFmtId="0" fontId="0" fillId="0" borderId="5" xfId="0" applyFont="1" applyFill="1" applyBorder="1" applyAlignment="1">
      <alignment horizontal="left"/>
    </xf>
    <xf numFmtId="0" fontId="0" fillId="0" borderId="33" xfId="0" quotePrefix="1" applyFont="1" applyBorder="1"/>
    <xf numFmtId="166" fontId="0" fillId="0" borderId="28" xfId="0" applyNumberFormat="1" applyFont="1" applyFill="1" applyBorder="1" applyAlignment="1">
      <alignment horizontal="center"/>
    </xf>
    <xf numFmtId="166" fontId="0" fillId="0" borderId="42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33" xfId="0" applyBorder="1"/>
    <xf numFmtId="173" fontId="0" fillId="0" borderId="42" xfId="0" applyNumberFormat="1" applyFont="1" applyFill="1" applyBorder="1" applyAlignment="1">
      <alignment horizontal="center"/>
    </xf>
    <xf numFmtId="173" fontId="0" fillId="0" borderId="28" xfId="0" applyNumberFormat="1" applyFont="1" applyFill="1" applyBorder="1" applyAlignment="1">
      <alignment horizontal="center"/>
    </xf>
    <xf numFmtId="0" fontId="0" fillId="4" borderId="0" xfId="0" applyFill="1"/>
    <xf numFmtId="166" fontId="0" fillId="0" borderId="0" xfId="0" applyNumberFormat="1" applyFont="1" applyFill="1" applyBorder="1"/>
    <xf numFmtId="164" fontId="0" fillId="0" borderId="45" xfId="0" applyNumberFormat="1" applyFon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164" fontId="0" fillId="0" borderId="28" xfId="0" applyNumberFormat="1" applyFon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45" xfId="0" applyFont="1" applyBorder="1" applyAlignment="1">
      <alignment horizontal="right"/>
    </xf>
    <xf numFmtId="0" fontId="36" fillId="0" borderId="46" xfId="0" applyFont="1" applyFill="1" applyBorder="1"/>
    <xf numFmtId="0" fontId="36" fillId="0" borderId="46" xfId="0" applyFont="1" applyFill="1" applyBorder="1" applyAlignment="1">
      <alignment horizontal="center"/>
    </xf>
    <xf numFmtId="1" fontId="36" fillId="0" borderId="46" xfId="0" applyNumberFormat="1" applyFont="1" applyFill="1" applyBorder="1" applyAlignment="1">
      <alignment horizontal="center"/>
    </xf>
    <xf numFmtId="0" fontId="37" fillId="0" borderId="47" xfId="0" applyFont="1" applyFill="1" applyBorder="1"/>
    <xf numFmtId="0" fontId="37" fillId="0" borderId="48" xfId="0" applyFont="1" applyFill="1" applyBorder="1"/>
    <xf numFmtId="0" fontId="37" fillId="0" borderId="49" xfId="0" applyFont="1" applyBorder="1" applyAlignment="1">
      <alignment horizontal="center"/>
    </xf>
    <xf numFmtId="0" fontId="37" fillId="0" borderId="50" xfId="0" applyFont="1" applyFill="1" applyBorder="1" applyAlignment="1">
      <alignment horizontal="center"/>
    </xf>
    <xf numFmtId="0" fontId="37" fillId="0" borderId="51" xfId="0" applyFont="1" applyFill="1" applyBorder="1"/>
    <xf numFmtId="0" fontId="36" fillId="0" borderId="52" xfId="0" applyFont="1" applyFill="1" applyBorder="1" applyAlignment="1">
      <alignment horizontal="center"/>
    </xf>
    <xf numFmtId="1" fontId="36" fillId="0" borderId="52" xfId="0" applyNumberFormat="1" applyFont="1" applyFill="1" applyBorder="1" applyAlignment="1">
      <alignment horizontal="center"/>
    </xf>
    <xf numFmtId="0" fontId="36" fillId="0" borderId="53" xfId="0" applyFont="1" applyBorder="1" applyAlignment="1">
      <alignment horizontal="center"/>
    </xf>
    <xf numFmtId="0" fontId="37" fillId="0" borderId="54" xfId="0" applyFont="1" applyFill="1" applyBorder="1"/>
    <xf numFmtId="0" fontId="36" fillId="0" borderId="55" xfId="0" applyFont="1" applyFill="1" applyBorder="1" applyAlignment="1">
      <alignment horizontal="center"/>
    </xf>
    <xf numFmtId="1" fontId="36" fillId="0" borderId="55" xfId="0" applyNumberFormat="1" applyFont="1" applyFill="1" applyBorder="1" applyAlignment="1">
      <alignment horizontal="center"/>
    </xf>
    <xf numFmtId="0" fontId="36" fillId="0" borderId="56" xfId="0" applyFont="1" applyBorder="1" applyAlignment="1">
      <alignment horizontal="center"/>
    </xf>
    <xf numFmtId="0" fontId="36" fillId="0" borderId="57" xfId="0" applyFont="1" applyFill="1" applyBorder="1"/>
    <xf numFmtId="0" fontId="36" fillId="0" borderId="58" xfId="0" applyFont="1" applyFill="1" applyBorder="1"/>
    <xf numFmtId="0" fontId="36" fillId="0" borderId="59" xfId="0" applyFont="1" applyFill="1" applyBorder="1"/>
    <xf numFmtId="164" fontId="18" fillId="0" borderId="0" xfId="0" applyNumberFormat="1" applyFont="1" applyBorder="1"/>
    <xf numFmtId="0" fontId="0" fillId="0" borderId="4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0" fillId="0" borderId="26" xfId="0" applyFont="1" applyBorder="1" applyAlignment="1">
      <alignment horizontal="centerContinuous"/>
    </xf>
    <xf numFmtId="164" fontId="0" fillId="0" borderId="60" xfId="0" applyNumberFormat="1" applyFont="1" applyBorder="1" applyAlignment="1">
      <alignment horizontal="center"/>
    </xf>
    <xf numFmtId="164" fontId="0" fillId="0" borderId="60" xfId="0" applyNumberFormat="1" applyBorder="1" applyAlignment="1">
      <alignment horizontal="center"/>
    </xf>
    <xf numFmtId="164" fontId="0" fillId="0" borderId="24" xfId="0" applyNumberFormat="1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164" fontId="0" fillId="0" borderId="61" xfId="0" applyNumberFormat="1" applyFont="1" applyBorder="1" applyAlignment="1">
      <alignment horizontal="center"/>
    </xf>
    <xf numFmtId="0" fontId="0" fillId="0" borderId="45" xfId="0" applyBorder="1"/>
    <xf numFmtId="0" fontId="0" fillId="0" borderId="28" xfId="0" applyBorder="1"/>
    <xf numFmtId="0" fontId="0" fillId="0" borderId="60" xfId="0" applyBorder="1"/>
    <xf numFmtId="0" fontId="0" fillId="0" borderId="6" xfId="0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12" fillId="0" borderId="25" xfId="0" quotePrefix="1" applyFont="1" applyBorder="1" applyAlignment="1">
      <alignment horizontal="center"/>
    </xf>
    <xf numFmtId="164" fontId="0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62" xfId="0" applyNumberFormat="1" applyFont="1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8" fillId="0" borderId="25" xfId="0" applyFont="1" applyFill="1" applyBorder="1" applyProtection="1"/>
    <xf numFmtId="0" fontId="5" fillId="0" borderId="26" xfId="0" applyFont="1" applyFill="1" applyBorder="1" applyAlignment="1" applyProtection="1">
      <alignment horizontal="center"/>
    </xf>
    <xf numFmtId="2" fontId="18" fillId="0" borderId="0" xfId="3" applyNumberFormat="1" applyFont="1"/>
    <xf numFmtId="2" fontId="18" fillId="0" borderId="0" xfId="3" applyNumberFormat="1" applyFont="1" applyBorder="1"/>
    <xf numFmtId="0" fontId="37" fillId="0" borderId="46" xfId="0" quotePrefix="1" applyFont="1" applyFill="1" applyBorder="1" applyAlignment="1">
      <alignment horizontal="center"/>
    </xf>
    <xf numFmtId="1" fontId="37" fillId="0" borderId="46" xfId="0" applyNumberFormat="1" applyFont="1" applyFill="1" applyBorder="1" applyAlignment="1">
      <alignment horizontal="center"/>
    </xf>
    <xf numFmtId="0" fontId="37" fillId="0" borderId="39" xfId="0" quotePrefix="1" applyFont="1" applyFill="1" applyBorder="1" applyAlignment="1">
      <alignment horizontal="center"/>
    </xf>
    <xf numFmtId="2" fontId="36" fillId="0" borderId="52" xfId="0" applyNumberFormat="1" applyFont="1" applyFill="1" applyBorder="1" applyAlignment="1">
      <alignment horizontal="center"/>
    </xf>
    <xf numFmtId="2" fontId="36" fillId="0" borderId="55" xfId="0" applyNumberFormat="1" applyFont="1" applyFill="1" applyBorder="1" applyAlignment="1">
      <alignment horizontal="center"/>
    </xf>
    <xf numFmtId="2" fontId="36" fillId="0" borderId="39" xfId="0" applyNumberFormat="1" applyFont="1" applyFill="1" applyBorder="1" applyAlignment="1">
      <alignment horizontal="center"/>
    </xf>
    <xf numFmtId="1" fontId="36" fillId="0" borderId="63" xfId="0" applyNumberFormat="1" applyFont="1" applyFill="1" applyBorder="1" applyAlignment="1">
      <alignment horizontal="center"/>
    </xf>
    <xf numFmtId="0" fontId="0" fillId="0" borderId="33" xfId="0" applyFill="1" applyBorder="1"/>
    <xf numFmtId="38" fontId="0" fillId="0" borderId="22" xfId="1" applyNumberFormat="1" applyFont="1" applyFill="1" applyBorder="1" applyAlignment="1">
      <alignment horizontal="center"/>
    </xf>
    <xf numFmtId="38" fontId="0" fillId="0" borderId="28" xfId="1" applyNumberFormat="1" applyFont="1" applyFill="1" applyBorder="1" applyAlignment="1">
      <alignment horizontal="center"/>
    </xf>
    <xf numFmtId="38" fontId="0" fillId="0" borderId="28" xfId="1" applyNumberFormat="1" applyFont="1" applyFill="1" applyBorder="1" applyAlignment="1" applyProtection="1">
      <alignment horizontal="center"/>
    </xf>
    <xf numFmtId="38" fontId="0" fillId="0" borderId="12" xfId="1" applyNumberFormat="1" applyFont="1" applyFill="1" applyBorder="1" applyAlignment="1" applyProtection="1">
      <alignment horizontal="center"/>
    </xf>
    <xf numFmtId="38" fontId="0" fillId="0" borderId="0" xfId="1" applyNumberFormat="1" applyFont="1" applyBorder="1"/>
    <xf numFmtId="176" fontId="5" fillId="0" borderId="22" xfId="1" applyNumberFormat="1" applyFont="1" applyBorder="1" applyAlignment="1" applyProtection="1">
      <alignment horizontal="right"/>
      <protection locked="0"/>
    </xf>
    <xf numFmtId="176" fontId="5" fillId="0" borderId="22" xfId="1" applyNumberFormat="1" applyFont="1" applyBorder="1" applyAlignment="1">
      <alignment horizontal="right"/>
    </xf>
    <xf numFmtId="38" fontId="5" fillId="0" borderId="22" xfId="1" applyNumberFormat="1" applyFont="1" applyBorder="1" applyAlignment="1">
      <alignment horizontal="right"/>
    </xf>
    <xf numFmtId="176" fontId="5" fillId="0" borderId="5" xfId="1" applyNumberFormat="1" applyFont="1" applyBorder="1" applyAlignment="1">
      <alignment horizontal="right"/>
    </xf>
    <xf numFmtId="38" fontId="5" fillId="0" borderId="24" xfId="1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right"/>
    </xf>
    <xf numFmtId="176" fontId="5" fillId="0" borderId="13" xfId="1" applyNumberFormat="1" applyFont="1" applyBorder="1" applyAlignment="1">
      <alignment horizontal="right"/>
    </xf>
    <xf numFmtId="176" fontId="5" fillId="0" borderId="24" xfId="1" applyNumberFormat="1" applyFont="1" applyBorder="1" applyAlignment="1">
      <alignment horizontal="right"/>
    </xf>
    <xf numFmtId="176" fontId="5" fillId="0" borderId="0" xfId="1" applyNumberFormat="1" applyFont="1" applyBorder="1" applyAlignment="1">
      <alignment horizontal="right"/>
    </xf>
    <xf numFmtId="176" fontId="5" fillId="0" borderId="28" xfId="1" applyNumberFormat="1" applyFont="1" applyBorder="1"/>
    <xf numFmtId="176" fontId="5" fillId="0" borderId="29" xfId="1" applyNumberFormat="1" applyFont="1" applyBorder="1" applyAlignment="1">
      <alignment horizontal="right"/>
    </xf>
    <xf numFmtId="38" fontId="5" fillId="0" borderId="0" xfId="1" applyNumberFormat="1" applyFont="1"/>
    <xf numFmtId="38" fontId="5" fillId="0" borderId="0" xfId="1" applyNumberFormat="1" applyFont="1" applyBorder="1" applyProtection="1"/>
    <xf numFmtId="38" fontId="18" fillId="0" borderId="1" xfId="1" applyNumberFormat="1" applyFont="1" applyFill="1" applyBorder="1" applyProtection="1">
      <protection locked="0"/>
    </xf>
    <xf numFmtId="38" fontId="0" fillId="0" borderId="1" xfId="1" applyNumberFormat="1" applyFont="1" applyFill="1" applyBorder="1"/>
    <xf numFmtId="38" fontId="18" fillId="0" borderId="1" xfId="1" applyNumberFormat="1" applyFont="1" applyBorder="1"/>
    <xf numFmtId="38" fontId="18" fillId="0" borderId="0" xfId="1" applyNumberFormat="1" applyFont="1" applyBorder="1"/>
    <xf numFmtId="38" fontId="18" fillId="0" borderId="1" xfId="1" applyNumberFormat="1" applyFont="1" applyBorder="1" applyAlignment="1"/>
    <xf numFmtId="166" fontId="0" fillId="0" borderId="0" xfId="0" quotePrefix="1" applyNumberFormat="1" applyFill="1" applyBorder="1" applyAlignment="1">
      <alignment horizontal="left"/>
    </xf>
    <xf numFmtId="38" fontId="0" fillId="0" borderId="36" xfId="1" applyNumberFormat="1" applyFont="1" applyFill="1" applyBorder="1" applyAlignment="1"/>
    <xf numFmtId="0" fontId="0" fillId="0" borderId="23" xfId="0" applyFill="1" applyBorder="1" applyAlignment="1">
      <alignment horizontal="left"/>
    </xf>
    <xf numFmtId="1" fontId="36" fillId="0" borderId="64" xfId="0" applyNumberFormat="1" applyFont="1" applyFill="1" applyBorder="1" applyAlignment="1">
      <alignment horizontal="center"/>
    </xf>
    <xf numFmtId="0" fontId="36" fillId="0" borderId="50" xfId="0" applyFont="1" applyBorder="1" applyAlignment="1">
      <alignment horizontal="center"/>
    </xf>
    <xf numFmtId="3" fontId="12" fillId="0" borderId="0" xfId="7" applyNumberFormat="1" applyFont="1" applyFill="1" applyBorder="1">
      <protection locked="0"/>
    </xf>
    <xf numFmtId="0" fontId="19" fillId="0" borderId="17" xfId="3" applyFont="1" applyFill="1" applyBorder="1" applyAlignment="1" applyProtection="1">
      <alignment horizontal="left"/>
    </xf>
    <xf numFmtId="0" fontId="19" fillId="0" borderId="17" xfId="3" applyFont="1" applyFill="1" applyBorder="1" applyAlignment="1" applyProtection="1">
      <alignment horizontal="center"/>
    </xf>
    <xf numFmtId="0" fontId="19" fillId="0" borderId="17" xfId="3" applyFont="1" applyFill="1" applyBorder="1" applyAlignment="1" applyProtection="1"/>
    <xf numFmtId="0" fontId="19" fillId="0" borderId="18" xfId="3" applyFont="1" applyFill="1" applyBorder="1" applyAlignment="1" applyProtection="1"/>
    <xf numFmtId="2" fontId="36" fillId="0" borderId="0" xfId="0" quotePrefix="1" applyNumberFormat="1" applyFont="1" applyAlignment="1">
      <alignment horizontal="left"/>
    </xf>
    <xf numFmtId="166" fontId="36" fillId="0" borderId="0" xfId="0" quotePrefix="1" applyNumberFormat="1" applyFont="1" applyBorder="1" applyAlignment="1">
      <alignment horizontal="right"/>
    </xf>
    <xf numFmtId="164" fontId="18" fillId="0" borderId="1" xfId="7" applyNumberFormat="1" applyFont="1" applyFill="1">
      <protection locked="0"/>
    </xf>
    <xf numFmtId="177" fontId="0" fillId="0" borderId="28" xfId="1" applyNumberFormat="1" applyFont="1" applyFill="1" applyBorder="1" applyAlignment="1" applyProtection="1">
      <alignment horizontal="center"/>
    </xf>
    <xf numFmtId="177" fontId="0" fillId="0" borderId="41" xfId="0" applyNumberFormat="1" applyFont="1" applyFill="1" applyBorder="1" applyAlignment="1" applyProtection="1">
      <alignment horizontal="center"/>
    </xf>
    <xf numFmtId="177" fontId="0" fillId="0" borderId="29" xfId="0" applyNumberFormat="1" applyFont="1" applyFill="1" applyBorder="1" applyAlignment="1" applyProtection="1">
      <alignment horizontal="center"/>
    </xf>
    <xf numFmtId="177" fontId="0" fillId="0" borderId="28" xfId="0" applyNumberFormat="1" applyFont="1" applyFill="1" applyBorder="1" applyAlignment="1" applyProtection="1">
      <alignment horizontal="center"/>
    </xf>
    <xf numFmtId="1" fontId="5" fillId="0" borderId="23" xfId="0" applyNumberFormat="1" applyFont="1" applyBorder="1" applyAlignment="1">
      <alignment horizontal="centerContinuous"/>
    </xf>
    <xf numFmtId="0" fontId="19" fillId="0" borderId="13" xfId="0" applyFont="1" applyBorder="1"/>
    <xf numFmtId="164" fontId="19" fillId="0" borderId="22" xfId="0" applyNumberFormat="1" applyFont="1" applyBorder="1" applyAlignment="1">
      <alignment horizontal="right"/>
    </xf>
    <xf numFmtId="2" fontId="0" fillId="0" borderId="10" xfId="0" applyNumberFormat="1" applyFont="1" applyFill="1" applyBorder="1" applyAlignment="1">
      <alignment horizontal="center"/>
    </xf>
    <xf numFmtId="0" fontId="0" fillId="0" borderId="60" xfId="0" applyFont="1" applyBorder="1"/>
    <xf numFmtId="0" fontId="36" fillId="0" borderId="0" xfId="3" applyFont="1"/>
    <xf numFmtId="14" fontId="7" fillId="0" borderId="0" xfId="0" applyNumberFormat="1" applyFont="1"/>
    <xf numFmtId="0" fontId="20" fillId="0" borderId="0" xfId="0" applyFont="1" applyAlignment="1">
      <alignment horizontal="left"/>
    </xf>
    <xf numFmtId="0" fontId="7" fillId="0" borderId="0" xfId="0" applyFont="1"/>
    <xf numFmtId="0" fontId="0" fillId="0" borderId="0" xfId="0" applyBorder="1" applyAlignment="1">
      <alignment horizontal="right"/>
    </xf>
    <xf numFmtId="0" fontId="0" fillId="0" borderId="0" xfId="0" applyBorder="1" applyAlignment="1"/>
    <xf numFmtId="14" fontId="39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5" fillId="0" borderId="24" xfId="0" applyNumberFormat="1" applyFont="1" applyFill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" fontId="5" fillId="0" borderId="24" xfId="0" applyNumberFormat="1" applyFont="1" applyFill="1" applyBorder="1" applyAlignment="1">
      <alignment horizontal="center"/>
    </xf>
    <xf numFmtId="38" fontId="5" fillId="0" borderId="22" xfId="1" applyNumberFormat="1" applyFont="1" applyBorder="1" applyAlignment="1">
      <alignment horizontal="centerContinuous"/>
    </xf>
    <xf numFmtId="14" fontId="20" fillId="0" borderId="0" xfId="0" applyNumberFormat="1" applyFont="1" applyAlignment="1">
      <alignment horizontal="center"/>
    </xf>
    <xf numFmtId="0" fontId="18" fillId="0" borderId="0" xfId="0" quotePrefix="1" applyFont="1" applyFill="1" applyBorder="1"/>
    <xf numFmtId="167" fontId="7" fillId="0" borderId="0" xfId="0" applyNumberFormat="1" applyFont="1" applyFill="1" applyProtection="1"/>
    <xf numFmtId="171" fontId="0" fillId="0" borderId="27" xfId="0" applyNumberFormat="1" applyFont="1" applyFill="1" applyBorder="1" applyProtection="1"/>
    <xf numFmtId="164" fontId="0" fillId="0" borderId="0" xfId="0" applyNumberFormat="1" applyProtection="1"/>
    <xf numFmtId="164" fontId="0" fillId="0" borderId="1" xfId="0" applyNumberFormat="1" applyFont="1" applyFill="1" applyBorder="1" applyProtection="1"/>
    <xf numFmtId="0" fontId="0" fillId="0" borderId="17" xfId="0" quotePrefix="1" applyFont="1" applyFill="1" applyBorder="1" applyAlignment="1">
      <alignment horizontal="center"/>
    </xf>
    <xf numFmtId="0" fontId="0" fillId="0" borderId="17" xfId="0" applyFont="1" applyFill="1" applyBorder="1" applyAlignment="1" applyProtection="1">
      <alignment horizontal="fill"/>
    </xf>
    <xf numFmtId="0" fontId="0" fillId="0" borderId="10" xfId="0" applyFont="1" applyFill="1" applyBorder="1" applyAlignment="1" applyProtection="1">
      <alignment horizontal="fill"/>
    </xf>
    <xf numFmtId="1" fontId="0" fillId="0" borderId="0" xfId="0" applyNumberFormat="1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fill"/>
    </xf>
    <xf numFmtId="1" fontId="0" fillId="0" borderId="17" xfId="0" applyNumberFormat="1" applyFont="1" applyFill="1" applyBorder="1" applyAlignment="1" applyProtection="1">
      <alignment horizontal="center"/>
    </xf>
    <xf numFmtId="0" fontId="0" fillId="0" borderId="9" xfId="0" applyFont="1" applyFill="1" applyBorder="1" applyAlignment="1" applyProtection="1">
      <alignment horizontal="fill"/>
    </xf>
    <xf numFmtId="0" fontId="0" fillId="0" borderId="8" xfId="0" applyFont="1" applyFill="1" applyBorder="1" applyAlignment="1" applyProtection="1">
      <alignment horizontal="fill"/>
    </xf>
    <xf numFmtId="0" fontId="0" fillId="0" borderId="15" xfId="0" applyFont="1" applyFill="1" applyBorder="1"/>
    <xf numFmtId="0" fontId="7" fillId="0" borderId="7" xfId="0" applyFont="1" applyFill="1" applyBorder="1" applyAlignment="1" applyProtection="1">
      <alignment horizontal="fill"/>
    </xf>
    <xf numFmtId="0" fontId="7" fillId="0" borderId="17" xfId="0" applyFont="1" applyFill="1" applyBorder="1" applyAlignment="1" applyProtection="1">
      <alignment horizontal="fill"/>
    </xf>
    <xf numFmtId="0" fontId="7" fillId="0" borderId="10" xfId="0" applyFont="1" applyFill="1" applyBorder="1" applyAlignment="1" applyProtection="1">
      <alignment horizontal="fill"/>
    </xf>
    <xf numFmtId="0" fontId="0" fillId="0" borderId="21" xfId="0" applyFont="1" applyFill="1" applyBorder="1" applyAlignment="1" applyProtection="1">
      <alignment horizontal="fill"/>
    </xf>
    <xf numFmtId="1" fontId="0" fillId="0" borderId="20" xfId="0" applyNumberFormat="1" applyFont="1" applyFill="1" applyBorder="1" applyAlignment="1" applyProtection="1">
      <alignment horizontal="centerContinuous"/>
    </xf>
    <xf numFmtId="0" fontId="0" fillId="0" borderId="44" xfId="0" applyFont="1" applyFill="1" applyBorder="1" applyAlignment="1" applyProtection="1">
      <alignment horizontal="fill"/>
    </xf>
    <xf numFmtId="0" fontId="0" fillId="6" borderId="1" xfId="0" applyFont="1" applyFill="1" applyBorder="1"/>
    <xf numFmtId="0" fontId="5" fillId="6" borderId="1" xfId="7" applyFont="1" applyFill="1">
      <protection locked="0"/>
    </xf>
    <xf numFmtId="0" fontId="5" fillId="7" borderId="1" xfId="0" applyFont="1" applyFill="1" applyBorder="1"/>
    <xf numFmtId="2" fontId="5" fillId="6" borderId="1" xfId="7" applyNumberFormat="1" applyFont="1" applyFill="1">
      <protection locked="0"/>
    </xf>
    <xf numFmtId="1" fontId="5" fillId="6" borderId="35" xfId="7" applyNumberFormat="1" applyFont="1" applyFill="1" applyBorder="1">
      <protection locked="0"/>
    </xf>
    <xf numFmtId="164" fontId="5" fillId="6" borderId="1" xfId="7" applyNumberFormat="1" applyFont="1" applyFill="1">
      <protection locked="0"/>
    </xf>
    <xf numFmtId="2" fontId="5" fillId="6" borderId="36" xfId="7" applyNumberFormat="1" applyFont="1" applyFill="1" applyBorder="1">
      <protection locked="0"/>
    </xf>
    <xf numFmtId="1" fontId="5" fillId="6" borderId="1" xfId="7" applyNumberFormat="1" applyFont="1" applyFill="1">
      <protection locked="0"/>
    </xf>
    <xf numFmtId="2" fontId="5" fillId="6" borderId="35" xfId="7" applyNumberFormat="1" applyFont="1" applyFill="1" applyBorder="1">
      <protection locked="0"/>
    </xf>
    <xf numFmtId="38" fontId="5" fillId="6" borderId="1" xfId="1" applyNumberFormat="1" applyFont="1" applyFill="1" applyBorder="1" applyProtection="1">
      <protection locked="0"/>
    </xf>
    <xf numFmtId="164" fontId="5" fillId="7" borderId="1" xfId="7" applyNumberFormat="1" applyFont="1" applyFill="1">
      <protection locked="0"/>
    </xf>
    <xf numFmtId="172" fontId="5" fillId="6" borderId="1" xfId="7" applyNumberFormat="1" applyFont="1" applyFill="1">
      <protection locked="0"/>
    </xf>
    <xf numFmtId="0" fontId="5" fillId="6" borderId="1" xfId="7" applyNumberFormat="1" applyFont="1" applyFill="1">
      <protection locked="0"/>
    </xf>
    <xf numFmtId="171" fontId="5" fillId="6" borderId="1" xfId="7" applyNumberFormat="1" applyFont="1" applyFill="1">
      <protection locked="0"/>
    </xf>
    <xf numFmtId="38" fontId="19" fillId="7" borderId="1" xfId="1" applyNumberFormat="1" applyFont="1" applyFill="1" applyBorder="1" applyAlignment="1"/>
    <xf numFmtId="1" fontId="5" fillId="6" borderId="1" xfId="7" applyNumberFormat="1" applyFont="1" applyFill="1" applyBorder="1">
      <protection locked="0"/>
    </xf>
    <xf numFmtId="177" fontId="19" fillId="6" borderId="28" xfId="1" applyNumberFormat="1" applyFont="1" applyFill="1" applyBorder="1" applyAlignment="1" applyProtection="1">
      <alignment horizontal="center"/>
      <protection locked="0"/>
    </xf>
    <xf numFmtId="166" fontId="5" fillId="6" borderId="1" xfId="7" applyNumberFormat="1" applyFont="1" applyFill="1" applyBorder="1">
      <protection locked="0"/>
    </xf>
    <xf numFmtId="1" fontId="19" fillId="6" borderId="22" xfId="0" applyNumberFormat="1" applyFont="1" applyFill="1" applyBorder="1" applyAlignment="1" applyProtection="1">
      <alignment horizontal="center"/>
      <protection locked="0"/>
    </xf>
    <xf numFmtId="1" fontId="19" fillId="6" borderId="43" xfId="0" applyNumberFormat="1" applyFont="1" applyFill="1" applyBorder="1" applyAlignment="1" applyProtection="1">
      <alignment horizontal="center"/>
      <protection locked="0"/>
    </xf>
    <xf numFmtId="0" fontId="19" fillId="6" borderId="28" xfId="0" applyFont="1" applyFill="1" applyBorder="1" applyAlignment="1" applyProtection="1">
      <alignment horizontal="center"/>
      <protection locked="0"/>
    </xf>
    <xf numFmtId="0" fontId="19" fillId="6" borderId="42" xfId="0" applyFont="1" applyFill="1" applyBorder="1" applyAlignment="1" applyProtection="1">
      <alignment horizontal="center"/>
      <protection locked="0"/>
    </xf>
    <xf numFmtId="1" fontId="19" fillId="6" borderId="28" xfId="0" applyNumberFormat="1" applyFont="1" applyFill="1" applyBorder="1" applyAlignment="1" applyProtection="1">
      <alignment horizontal="center"/>
      <protection locked="0"/>
    </xf>
    <xf numFmtId="1" fontId="19" fillId="6" borderId="42" xfId="0" applyNumberFormat="1" applyFont="1" applyFill="1" applyBorder="1" applyAlignment="1" applyProtection="1">
      <alignment horizontal="center"/>
      <protection locked="0"/>
    </xf>
    <xf numFmtId="2" fontId="19" fillId="6" borderId="28" xfId="0" applyNumberFormat="1" applyFont="1" applyFill="1" applyBorder="1" applyAlignment="1" applyProtection="1">
      <alignment horizontal="center"/>
      <protection locked="0"/>
    </xf>
    <xf numFmtId="2" fontId="19" fillId="6" borderId="42" xfId="0" applyNumberFormat="1" applyFont="1" applyFill="1" applyBorder="1" applyAlignment="1" applyProtection="1">
      <alignment horizontal="center"/>
      <protection locked="0"/>
    </xf>
    <xf numFmtId="166" fontId="19" fillId="6" borderId="22" xfId="0" applyNumberFormat="1" applyFont="1" applyFill="1" applyBorder="1" applyAlignment="1" applyProtection="1">
      <alignment horizontal="center"/>
      <protection locked="0"/>
    </xf>
    <xf numFmtId="166" fontId="19" fillId="6" borderId="43" xfId="0" applyNumberFormat="1" applyFont="1" applyFill="1" applyBorder="1" applyAlignment="1" applyProtection="1">
      <alignment horizontal="center"/>
      <protection locked="0"/>
    </xf>
    <xf numFmtId="166" fontId="19" fillId="6" borderId="28" xfId="0" applyNumberFormat="1" applyFont="1" applyFill="1" applyBorder="1" applyAlignment="1">
      <alignment horizontal="center"/>
    </xf>
    <xf numFmtId="166" fontId="19" fillId="6" borderId="42" xfId="0" applyNumberFormat="1" applyFont="1" applyFill="1" applyBorder="1" applyAlignment="1">
      <alignment horizontal="center"/>
    </xf>
    <xf numFmtId="174" fontId="19" fillId="6" borderId="24" xfId="0" applyNumberFormat="1" applyFont="1" applyFill="1" applyBorder="1" applyAlignment="1" applyProtection="1">
      <alignment horizontal="center"/>
      <protection locked="0"/>
    </xf>
    <xf numFmtId="174" fontId="19" fillId="6" borderId="22" xfId="0" applyNumberFormat="1" applyFont="1" applyFill="1" applyBorder="1" applyAlignment="1" applyProtection="1">
      <alignment horizontal="center"/>
      <protection locked="0"/>
    </xf>
    <xf numFmtId="166" fontId="19" fillId="6" borderId="29" xfId="0" applyNumberFormat="1" applyFont="1" applyFill="1" applyBorder="1" applyAlignment="1">
      <alignment horizontal="center"/>
    </xf>
    <xf numFmtId="166" fontId="19" fillId="6" borderId="28" xfId="0" applyNumberFormat="1" applyFont="1" applyFill="1" applyBorder="1" applyAlignment="1" applyProtection="1">
      <alignment horizontal="center"/>
      <protection locked="0"/>
    </xf>
    <xf numFmtId="166" fontId="19" fillId="6" borderId="42" xfId="0" applyNumberFormat="1" applyFont="1" applyFill="1" applyBorder="1" applyAlignment="1" applyProtection="1">
      <alignment horizontal="center"/>
      <protection locked="0"/>
    </xf>
    <xf numFmtId="0" fontId="14" fillId="6" borderId="25" xfId="4" applyFont="1" applyFill="1" applyBorder="1" applyAlignment="1">
      <alignment wrapText="1"/>
    </xf>
    <xf numFmtId="0" fontId="14" fillId="6" borderId="26" xfId="4" applyFont="1" applyFill="1" applyBorder="1" applyAlignment="1">
      <alignment wrapText="1"/>
    </xf>
    <xf numFmtId="0" fontId="0" fillId="8" borderId="1" xfId="0" applyFont="1" applyFill="1" applyBorder="1"/>
    <xf numFmtId="0" fontId="5" fillId="9" borderId="30" xfId="7" applyFont="1" applyFill="1" applyBorder="1" applyAlignment="1">
      <alignment horizontal="left"/>
      <protection locked="0"/>
    </xf>
    <xf numFmtId="0" fontId="5" fillId="9" borderId="3" xfId="7" applyFont="1" applyFill="1" applyBorder="1" applyProtection="1"/>
    <xf numFmtId="0" fontId="5" fillId="9" borderId="1" xfId="7" applyFont="1" applyFill="1">
      <protection locked="0"/>
    </xf>
    <xf numFmtId="38" fontId="5" fillId="9" borderId="35" xfId="1" applyNumberFormat="1" applyFont="1" applyFill="1" applyBorder="1" applyProtection="1">
      <protection locked="0"/>
    </xf>
    <xf numFmtId="1" fontId="5" fillId="9" borderId="1" xfId="7" applyNumberFormat="1" applyFont="1" applyFill="1">
      <protection locked="0"/>
    </xf>
    <xf numFmtId="15" fontId="5" fillId="9" borderId="1" xfId="7" quotePrefix="1" applyNumberFormat="1" applyFont="1" applyFill="1" applyAlignment="1">
      <alignment horizontal="left"/>
      <protection locked="0"/>
    </xf>
    <xf numFmtId="175" fontId="5" fillId="9" borderId="1" xfId="1" applyNumberFormat="1" applyFont="1" applyFill="1" applyBorder="1" applyProtection="1"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5" xfId="0" applyFont="1" applyFill="1" applyBorder="1"/>
    <xf numFmtId="0" fontId="5" fillId="8" borderId="30" xfId="7" applyFont="1" applyFill="1" applyBorder="1" applyAlignment="1">
      <alignment horizontal="left"/>
      <protection locked="0"/>
    </xf>
    <xf numFmtId="0" fontId="0" fillId="8" borderId="2" xfId="0" applyFont="1" applyFill="1" applyBorder="1"/>
    <xf numFmtId="0" fontId="0" fillId="8" borderId="3" xfId="0" applyFont="1" applyFill="1" applyBorder="1"/>
    <xf numFmtId="164" fontId="5" fillId="8" borderId="1" xfId="7" applyNumberFormat="1" applyFont="1" applyFill="1">
      <protection locked="0"/>
    </xf>
    <xf numFmtId="1" fontId="5" fillId="8" borderId="1" xfId="7" applyNumberFormat="1" applyFont="1" applyFill="1">
      <protection locked="0"/>
    </xf>
    <xf numFmtId="0" fontId="5" fillId="8" borderId="1" xfId="7" applyFont="1" applyFill="1">
      <protection locked="0"/>
    </xf>
    <xf numFmtId="0" fontId="19" fillId="9" borderId="1" xfId="7" applyFont="1" applyFill="1">
      <protection locked="0"/>
    </xf>
    <xf numFmtId="164" fontId="7" fillId="8" borderId="1" xfId="7" applyNumberFormat="1" applyFont="1" applyFill="1">
      <protection locked="0"/>
    </xf>
    <xf numFmtId="2" fontId="19" fillId="9" borderId="1" xfId="7" applyNumberFormat="1" applyFont="1" applyFill="1">
      <protection locked="0"/>
    </xf>
    <xf numFmtId="2" fontId="5" fillId="9" borderId="37" xfId="7" applyNumberFormat="1" applyFont="1" applyFill="1" applyBorder="1" applyAlignment="1">
      <alignment horizontal="center"/>
      <protection locked="0"/>
    </xf>
    <xf numFmtId="0" fontId="5" fillId="9" borderId="38" xfId="7" applyFont="1" applyFill="1" applyBorder="1" applyAlignment="1">
      <alignment horizontal="center"/>
      <protection locked="0"/>
    </xf>
    <xf numFmtId="2" fontId="5" fillId="9" borderId="1" xfId="0" applyNumberFormat="1" applyFont="1" applyFill="1" applyBorder="1" applyAlignment="1">
      <alignment horizontal="center"/>
    </xf>
    <xf numFmtId="164" fontId="5" fillId="9" borderId="1" xfId="7" applyNumberFormat="1" applyFont="1" applyFill="1">
      <protection locked="0"/>
    </xf>
    <xf numFmtId="0" fontId="5" fillId="9" borderId="1" xfId="7" quotePrefix="1" applyFont="1" applyFill="1" applyBorder="1" applyAlignment="1">
      <alignment horizontal="right"/>
      <protection locked="0"/>
    </xf>
    <xf numFmtId="38" fontId="19" fillId="9" borderId="1" xfId="1" applyNumberFormat="1" applyFont="1" applyFill="1" applyBorder="1"/>
    <xf numFmtId="172" fontId="5" fillId="8" borderId="1" xfId="7" applyNumberFormat="1" applyFont="1" applyFill="1">
      <protection locked="0"/>
    </xf>
    <xf numFmtId="1" fontId="19" fillId="9" borderId="28" xfId="0" applyNumberFormat="1" applyFont="1" applyFill="1" applyBorder="1" applyAlignment="1">
      <alignment horizontal="center"/>
    </xf>
    <xf numFmtId="0" fontId="5" fillId="9" borderId="9" xfId="0" applyNumberFormat="1" applyFont="1" applyFill="1" applyBorder="1" applyAlignment="1" applyProtection="1">
      <alignment horizontal="center"/>
      <protection locked="0"/>
    </xf>
    <xf numFmtId="0" fontId="5" fillId="9" borderId="21" xfId="0" applyNumberFormat="1" applyFont="1" applyFill="1" applyBorder="1" applyAlignment="1" applyProtection="1">
      <alignment horizontal="center"/>
      <protection locked="0"/>
    </xf>
    <xf numFmtId="0" fontId="5" fillId="9" borderId="8" xfId="0" applyNumberFormat="1" applyFont="1" applyFill="1" applyBorder="1" applyAlignment="1" applyProtection="1">
      <alignment horizontal="center"/>
      <protection locked="0"/>
    </xf>
    <xf numFmtId="0" fontId="5" fillId="9" borderId="12" xfId="0" applyNumberFormat="1" applyFont="1" applyFill="1" applyBorder="1" applyAlignment="1" applyProtection="1">
      <alignment horizontal="center"/>
      <protection locked="0"/>
    </xf>
    <xf numFmtId="0" fontId="5" fillId="9" borderId="44" xfId="0" applyNumberFormat="1" applyFont="1" applyFill="1" applyBorder="1" applyAlignment="1" applyProtection="1">
      <alignment horizontal="center"/>
      <protection locked="0"/>
    </xf>
    <xf numFmtId="0" fontId="19" fillId="9" borderId="28" xfId="0" applyFont="1" applyFill="1" applyBorder="1" applyAlignment="1" applyProtection="1">
      <alignment horizontal="center"/>
      <protection locked="0"/>
    </xf>
    <xf numFmtId="0" fontId="19" fillId="9" borderId="42" xfId="0" applyFont="1" applyFill="1" applyBorder="1" applyAlignment="1" applyProtection="1">
      <alignment horizontal="center"/>
      <protection locked="0"/>
    </xf>
    <xf numFmtId="0" fontId="19" fillId="8" borderId="28" xfId="0" applyFont="1" applyFill="1" applyBorder="1" applyAlignment="1" applyProtection="1">
      <alignment horizontal="center"/>
      <protection locked="0"/>
    </xf>
    <xf numFmtId="0" fontId="19" fillId="8" borderId="42" xfId="0" applyFont="1" applyFill="1" applyBorder="1" applyAlignment="1" applyProtection="1">
      <alignment horizontal="center"/>
      <protection locked="0"/>
    </xf>
    <xf numFmtId="0" fontId="19" fillId="10" borderId="0" xfId="0" quotePrefix="1" applyFont="1" applyFill="1" applyBorder="1" applyAlignment="1">
      <alignment horizontal="left"/>
    </xf>
    <xf numFmtId="0" fontId="40" fillId="11" borderId="0" xfId="0" applyFont="1" applyFill="1" applyAlignment="1">
      <alignment horizontal="center"/>
    </xf>
    <xf numFmtId="0" fontId="40" fillId="11" borderId="0" xfId="0" quotePrefix="1" applyFont="1" applyFill="1" applyBorder="1" applyAlignment="1">
      <alignment horizontal="left"/>
    </xf>
    <xf numFmtId="0" fontId="41" fillId="11" borderId="0" xfId="0" applyFont="1" applyFill="1" applyBorder="1"/>
    <xf numFmtId="0" fontId="40" fillId="11" borderId="0" xfId="0" applyFont="1" applyFill="1" applyBorder="1"/>
    <xf numFmtId="0" fontId="43" fillId="12" borderId="0" xfId="0" quotePrefix="1" applyFont="1" applyFill="1" applyBorder="1" applyAlignment="1">
      <alignment horizontal="left"/>
    </xf>
    <xf numFmtId="0" fontId="42" fillId="12" borderId="0" xfId="0" applyFont="1" applyFill="1" applyBorder="1"/>
    <xf numFmtId="0" fontId="41" fillId="12" borderId="0" xfId="0" applyFont="1" applyFill="1" applyBorder="1"/>
    <xf numFmtId="0" fontId="43" fillId="12" borderId="0" xfId="0" applyFont="1" applyFill="1" applyBorder="1" applyAlignment="1" applyProtection="1">
      <alignment horizontal="left"/>
    </xf>
    <xf numFmtId="0" fontId="41" fillId="12" borderId="0" xfId="0" applyFont="1" applyFill="1" applyBorder="1" applyProtection="1"/>
    <xf numFmtId="0" fontId="44" fillId="10" borderId="0" xfId="0" applyFont="1" applyFill="1" applyBorder="1" applyAlignment="1" applyProtection="1">
      <alignment horizontal="left"/>
    </xf>
    <xf numFmtId="0" fontId="0" fillId="11" borderId="0" xfId="0" applyFont="1" applyFill="1" applyBorder="1"/>
    <xf numFmtId="0" fontId="40" fillId="11" borderId="0" xfId="0" quotePrefix="1" applyFont="1" applyFill="1" applyBorder="1" applyAlignment="1" applyProtection="1">
      <alignment horizontal="left"/>
    </xf>
    <xf numFmtId="0" fontId="41" fillId="11" borderId="0" xfId="0" applyFont="1" applyFill="1" applyBorder="1" applyProtection="1"/>
    <xf numFmtId="0" fontId="41" fillId="11" borderId="0" xfId="0" applyFont="1" applyFill="1"/>
    <xf numFmtId="0" fontId="24" fillId="0" borderId="0" xfId="0" applyFont="1" applyFill="1"/>
    <xf numFmtId="164" fontId="19" fillId="0" borderId="66" xfId="0" applyNumberFormat="1" applyFont="1" applyBorder="1" applyAlignment="1">
      <alignment horizontal="right"/>
    </xf>
    <xf numFmtId="164" fontId="19" fillId="0" borderId="67" xfId="0" applyNumberFormat="1" applyFont="1" applyBorder="1"/>
    <xf numFmtId="0" fontId="19" fillId="0" borderId="17" xfId="0" applyFont="1" applyBorder="1"/>
    <xf numFmtId="0" fontId="5" fillId="0" borderId="6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76" fontId="5" fillId="0" borderId="25" xfId="1" applyNumberFormat="1" applyFont="1" applyBorder="1" applyAlignment="1">
      <alignment horizontal="right" vertical="center"/>
    </xf>
    <xf numFmtId="0" fontId="5" fillId="0" borderId="2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9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19" fillId="0" borderId="0" xfId="0" applyFont="1" applyBorder="1"/>
    <xf numFmtId="0" fontId="0" fillId="0" borderId="10" xfId="0" applyFont="1" applyBorder="1" applyAlignment="1">
      <alignment horizontal="center"/>
    </xf>
    <xf numFmtId="164" fontId="19" fillId="0" borderId="12" xfId="0" applyNumberFormat="1" applyFont="1" applyBorder="1" applyAlignment="1">
      <alignment horizontal="right"/>
    </xf>
    <xf numFmtId="0" fontId="5" fillId="0" borderId="7" xfId="0" applyFont="1" applyBorder="1"/>
    <xf numFmtId="0" fontId="5" fillId="0" borderId="14" xfId="0" applyFont="1" applyBorder="1" applyAlignment="1">
      <alignment horizontal="center"/>
    </xf>
    <xf numFmtId="164" fontId="5" fillId="0" borderId="12" xfId="0" applyNumberFormat="1" applyFont="1" applyBorder="1" applyAlignment="1">
      <alignment horizontal="right"/>
    </xf>
    <xf numFmtId="0" fontId="24" fillId="0" borderId="13" xfId="4" quotePrefix="1" applyFont="1" applyBorder="1" applyAlignment="1">
      <alignment horizontal="left" wrapText="1"/>
    </xf>
    <xf numFmtId="0" fontId="5" fillId="10" borderId="7" xfId="0" applyFont="1" applyFill="1" applyBorder="1"/>
    <xf numFmtId="0" fontId="5" fillId="10" borderId="8" xfId="0" applyFont="1" applyFill="1" applyBorder="1" applyAlignment="1">
      <alignment horizontal="center"/>
    </xf>
    <xf numFmtId="0" fontId="5" fillId="10" borderId="15" xfId="0" applyFont="1" applyFill="1" applyBorder="1"/>
    <xf numFmtId="0" fontId="5" fillId="10" borderId="9" xfId="0" applyFont="1" applyFill="1" applyBorder="1"/>
    <xf numFmtId="0" fontId="5" fillId="10" borderId="17" xfId="0" applyFont="1" applyFill="1" applyBorder="1" applyAlignment="1">
      <alignment horizontal="centerContinuous"/>
    </xf>
    <xf numFmtId="0" fontId="5" fillId="10" borderId="0" xfId="0" applyFont="1" applyFill="1" applyBorder="1" applyAlignment="1">
      <alignment horizontal="centerContinuous"/>
    </xf>
    <xf numFmtId="0" fontId="5" fillId="10" borderId="18" xfId="0" applyFont="1" applyFill="1" applyBorder="1" applyAlignment="1">
      <alignment horizontal="centerContinuous"/>
    </xf>
    <xf numFmtId="0" fontId="5" fillId="10" borderId="13" xfId="0" applyFont="1" applyFill="1" applyBorder="1" applyAlignment="1">
      <alignment horizontal="center"/>
    </xf>
    <xf numFmtId="0" fontId="5" fillId="10" borderId="10" xfId="0" applyFont="1" applyFill="1" applyBorder="1"/>
    <xf numFmtId="0" fontId="5" fillId="10" borderId="11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5" fillId="10" borderId="0" xfId="0" applyFont="1" applyFill="1" applyBorder="1"/>
    <xf numFmtId="0" fontId="19" fillId="10" borderId="17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13" xfId="0" applyFont="1" applyFill="1" applyBorder="1"/>
    <xf numFmtId="0" fontId="19" fillId="10" borderId="17" xfId="0" quotePrefix="1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19" fillId="10" borderId="13" xfId="0" applyFont="1" applyFill="1" applyBorder="1" applyAlignment="1">
      <alignment horizontal="center"/>
    </xf>
    <xf numFmtId="0" fontId="19" fillId="10" borderId="13" xfId="0" quotePrefix="1" applyFont="1" applyFill="1" applyBorder="1" applyAlignment="1">
      <alignment horizontal="center"/>
    </xf>
    <xf numFmtId="0" fontId="5" fillId="10" borderId="17" xfId="0" quotePrefix="1" applyFont="1" applyFill="1" applyBorder="1" applyAlignment="1">
      <alignment horizontal="center"/>
    </xf>
    <xf numFmtId="0" fontId="5" fillId="10" borderId="13" xfId="0" quotePrefix="1" applyFont="1" applyFill="1" applyBorder="1" applyAlignment="1">
      <alignment horizontal="center"/>
    </xf>
    <xf numFmtId="0" fontId="0" fillId="10" borderId="7" xfId="0" applyFont="1" applyFill="1" applyBorder="1" applyAlignment="1">
      <alignment horizontal="left"/>
    </xf>
    <xf numFmtId="0" fontId="0" fillId="10" borderId="8" xfId="0" applyFont="1" applyFill="1" applyBorder="1"/>
    <xf numFmtId="1" fontId="0" fillId="10" borderId="9" xfId="0" applyNumberFormat="1" applyFont="1" applyFill="1" applyBorder="1"/>
    <xf numFmtId="0" fontId="0" fillId="10" borderId="15" xfId="0" applyFont="1" applyFill="1" applyBorder="1"/>
    <xf numFmtId="0" fontId="5" fillId="10" borderId="17" xfId="0" applyFont="1" applyFill="1" applyBorder="1"/>
    <xf numFmtId="1" fontId="5" fillId="10" borderId="0" xfId="0" applyNumberFormat="1" applyFont="1" applyFill="1" applyBorder="1"/>
    <xf numFmtId="0" fontId="5" fillId="10" borderId="18" xfId="0" quotePrefix="1" applyFont="1" applyFill="1" applyBorder="1" applyAlignment="1">
      <alignment horizontal="center"/>
    </xf>
    <xf numFmtId="0" fontId="5" fillId="10" borderId="11" xfId="0" applyFont="1" applyFill="1" applyBorder="1"/>
    <xf numFmtId="1" fontId="5" fillId="10" borderId="11" xfId="0" applyNumberFormat="1" applyFont="1" applyFill="1" applyBorder="1"/>
    <xf numFmtId="0" fontId="5" fillId="10" borderId="12" xfId="0" applyFont="1" applyFill="1" applyBorder="1"/>
    <xf numFmtId="0" fontId="5" fillId="10" borderId="14" xfId="0" applyFont="1" applyFill="1" applyBorder="1"/>
    <xf numFmtId="164" fontId="0" fillId="0" borderId="65" xfId="0" applyNumberFormat="1" applyFont="1" applyBorder="1"/>
    <xf numFmtId="38" fontId="0" fillId="0" borderId="68" xfId="1" applyNumberFormat="1" applyFont="1" applyBorder="1"/>
    <xf numFmtId="38" fontId="0" fillId="0" borderId="69" xfId="1" applyNumberFormat="1" applyFont="1" applyBorder="1"/>
    <xf numFmtId="38" fontId="0" fillId="0" borderId="67" xfId="1" applyNumberFormat="1" applyFont="1" applyBorder="1"/>
    <xf numFmtId="164" fontId="0" fillId="0" borderId="68" xfId="0" applyNumberFormat="1" applyFont="1" applyBorder="1"/>
    <xf numFmtId="164" fontId="0" fillId="0" borderId="69" xfId="0" applyNumberFormat="1" applyFont="1" applyBorder="1"/>
    <xf numFmtId="164" fontId="0" fillId="0" borderId="67" xfId="0" applyNumberFormat="1" applyFont="1" applyBorder="1"/>
    <xf numFmtId="168" fontId="0" fillId="0" borderId="66" xfId="0" applyNumberFormat="1" applyFont="1" applyFill="1" applyBorder="1" applyAlignment="1"/>
    <xf numFmtId="2" fontId="0" fillId="0" borderId="67" xfId="0" applyNumberFormat="1" applyFont="1" applyFill="1" applyBorder="1" applyAlignment="1"/>
    <xf numFmtId="171" fontId="0" fillId="0" borderId="68" xfId="0" applyNumberFormat="1" applyFont="1" applyBorder="1"/>
    <xf numFmtId="171" fontId="0" fillId="0" borderId="70" xfId="0" applyNumberFormat="1" applyFont="1" applyBorder="1"/>
    <xf numFmtId="167" fontId="7" fillId="11" borderId="0" xfId="0" applyNumberFormat="1" applyFont="1" applyFill="1" applyBorder="1" applyProtection="1"/>
    <xf numFmtId="164" fontId="0" fillId="11" borderId="0" xfId="0" applyNumberFormat="1" applyFont="1" applyFill="1" applyBorder="1" applyAlignment="1">
      <alignment horizontal="left"/>
    </xf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9" xfId="0" applyFont="1" applyFill="1" applyBorder="1" applyAlignment="1">
      <alignment horizontal="center"/>
    </xf>
    <xf numFmtId="0" fontId="19" fillId="10" borderId="17" xfId="0" quotePrefix="1" applyFont="1" applyFill="1" applyBorder="1" applyAlignment="1">
      <alignment horizontal="right"/>
    </xf>
    <xf numFmtId="166" fontId="19" fillId="0" borderId="25" xfId="0" applyNumberFormat="1" applyFont="1" applyFill="1" applyBorder="1"/>
    <xf numFmtId="0" fontId="19" fillId="10" borderId="13" xfId="0" applyFont="1" applyFill="1" applyBorder="1"/>
    <xf numFmtId="0" fontId="19" fillId="10" borderId="10" xfId="0" applyFont="1" applyFill="1" applyBorder="1" applyAlignment="1" applyProtection="1">
      <alignment horizontal="fill"/>
    </xf>
    <xf numFmtId="0" fontId="19" fillId="10" borderId="11" xfId="0" applyFont="1" applyFill="1" applyBorder="1" applyAlignment="1" applyProtection="1">
      <alignment horizontal="fill"/>
    </xf>
    <xf numFmtId="0" fontId="19" fillId="10" borderId="11" xfId="0" quotePrefix="1" applyFont="1" applyFill="1" applyBorder="1" applyAlignment="1">
      <alignment horizontal="left"/>
    </xf>
    <xf numFmtId="0" fontId="19" fillId="10" borderId="12" xfId="0" applyFont="1" applyFill="1" applyBorder="1" applyAlignment="1">
      <alignment horizontal="center"/>
    </xf>
    <xf numFmtId="0" fontId="19" fillId="10" borderId="12" xfId="0" applyFont="1" applyFill="1" applyBorder="1" applyAlignment="1" applyProtection="1">
      <alignment horizontal="center"/>
    </xf>
    <xf numFmtId="0" fontId="19" fillId="10" borderId="12" xfId="0" quotePrefix="1" applyFont="1" applyFill="1" applyBorder="1" applyAlignment="1" applyProtection="1">
      <alignment horizontal="center"/>
    </xf>
    <xf numFmtId="0" fontId="19" fillId="10" borderId="12" xfId="0" quotePrefix="1" applyFont="1" applyFill="1" applyBorder="1" applyAlignment="1" applyProtection="1">
      <alignment horizontal="center"/>
      <protection locked="0"/>
    </xf>
    <xf numFmtId="0" fontId="5" fillId="0" borderId="26" xfId="0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172" fontId="5" fillId="0" borderId="25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0" fontId="5" fillId="0" borderId="6" xfId="0" applyFont="1" applyFill="1" applyBorder="1" applyAlignment="1" applyProtection="1">
      <alignment horizontal="left"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 applyProtection="1">
      <alignment vertical="center"/>
    </xf>
    <xf numFmtId="0" fontId="7" fillId="0" borderId="4" xfId="0" applyFont="1" applyFill="1" applyBorder="1" applyAlignment="1" applyProtection="1">
      <alignment vertical="center"/>
      <protection locked="0"/>
    </xf>
    <xf numFmtId="164" fontId="5" fillId="0" borderId="25" xfId="0" applyNumberFormat="1" applyFont="1" applyFill="1" applyBorder="1" applyAlignment="1" applyProtection="1">
      <alignment horizontal="center" vertical="center"/>
    </xf>
    <xf numFmtId="164" fontId="5" fillId="0" borderId="25" xfId="0" applyNumberFormat="1" applyFont="1" applyFill="1" applyBorder="1" applyAlignment="1">
      <alignment horizontal="center" vertical="center"/>
    </xf>
    <xf numFmtId="0" fontId="47" fillId="0" borderId="0" xfId="0" applyFont="1" applyFill="1"/>
    <xf numFmtId="0" fontId="47" fillId="0" borderId="0" xfId="0" applyFont="1"/>
    <xf numFmtId="0" fontId="48" fillId="12" borderId="0" xfId="0" applyFont="1" applyFill="1"/>
    <xf numFmtId="0" fontId="49" fillId="0" borderId="0" xfId="0" applyFont="1" applyFill="1"/>
    <xf numFmtId="0" fontId="50" fillId="10" borderId="0" xfId="0" applyFont="1" applyFill="1" applyBorder="1" applyAlignment="1" applyProtection="1">
      <alignment horizontal="left"/>
    </xf>
    <xf numFmtId="0" fontId="48" fillId="11" borderId="0" xfId="0" applyFont="1" applyFill="1"/>
    <xf numFmtId="0" fontId="51" fillId="10" borderId="9" xfId="0" applyFont="1" applyFill="1" applyBorder="1"/>
    <xf numFmtId="0" fontId="51" fillId="10" borderId="13" xfId="0" applyFont="1" applyFill="1" applyBorder="1" applyAlignment="1">
      <alignment horizontal="center"/>
    </xf>
    <xf numFmtId="0" fontId="51" fillId="10" borderId="13" xfId="0" applyFont="1" applyFill="1" applyBorder="1"/>
    <xf numFmtId="0" fontId="49" fillId="0" borderId="13" xfId="0" applyFont="1" applyFill="1" applyBorder="1"/>
    <xf numFmtId="0" fontId="49" fillId="0" borderId="13" xfId="0" applyFont="1" applyFill="1" applyBorder="1" applyAlignment="1">
      <alignment vertical="center"/>
    </xf>
    <xf numFmtId="0" fontId="51" fillId="0" borderId="13" xfId="0" applyFont="1" applyFill="1" applyBorder="1" applyAlignment="1">
      <alignment horizontal="center"/>
    </xf>
    <xf numFmtId="0" fontId="49" fillId="0" borderId="12" xfId="0" applyFont="1" applyFill="1" applyBorder="1" applyAlignment="1">
      <alignment vertical="center"/>
    </xf>
    <xf numFmtId="0" fontId="51" fillId="0" borderId="0" xfId="0" applyFont="1"/>
    <xf numFmtId="0" fontId="51" fillId="0" borderId="0" xfId="0" applyFont="1" applyAlignment="1">
      <alignment vertical="center"/>
    </xf>
    <xf numFmtId="0" fontId="51" fillId="10" borderId="13" xfId="0" applyFont="1" applyFill="1" applyBorder="1" applyAlignment="1">
      <alignment textRotation="90"/>
    </xf>
    <xf numFmtId="0" fontId="51" fillId="0" borderId="9" xfId="0" applyFont="1" applyBorder="1"/>
    <xf numFmtId="0" fontId="51" fillId="0" borderId="18" xfId="0" applyFont="1" applyBorder="1" applyAlignment="1">
      <alignment horizontal="center"/>
    </xf>
    <xf numFmtId="0" fontId="51" fillId="0" borderId="13" xfId="0" applyFont="1" applyBorder="1" applyAlignment="1" applyProtection="1">
      <alignment horizontal="center"/>
      <protection locked="0"/>
    </xf>
    <xf numFmtId="0" fontId="51" fillId="0" borderId="13" xfId="0" applyFont="1" applyBorder="1" applyAlignment="1">
      <alignment horizontal="center"/>
    </xf>
    <xf numFmtId="0" fontId="51" fillId="0" borderId="12" xfId="0" applyFont="1" applyBorder="1" applyAlignment="1">
      <alignment horizontal="center"/>
    </xf>
    <xf numFmtId="0" fontId="51" fillId="0" borderId="25" xfId="0" applyFont="1" applyBorder="1" applyAlignment="1">
      <alignment horizontal="center" vertical="center"/>
    </xf>
    <xf numFmtId="0" fontId="52" fillId="0" borderId="13" xfId="0" applyFont="1" applyBorder="1" applyAlignment="1">
      <alignment horizontal="left"/>
    </xf>
    <xf numFmtId="0" fontId="51" fillId="0" borderId="18" xfId="0" applyFont="1" applyFill="1" applyBorder="1" applyAlignment="1">
      <alignment horizontal="center"/>
    </xf>
    <xf numFmtId="0" fontId="52" fillId="0" borderId="0" xfId="0" quotePrefix="1" applyFont="1" applyAlignment="1">
      <alignment horizontal="left"/>
    </xf>
    <xf numFmtId="0" fontId="52" fillId="0" borderId="10" xfId="0" applyFont="1" applyFill="1" applyBorder="1"/>
    <xf numFmtId="0" fontId="52" fillId="0" borderId="0" xfId="0" applyFont="1"/>
    <xf numFmtId="9" fontId="52" fillId="0" borderId="0" xfId="0" applyNumberFormat="1" applyFont="1" applyAlignment="1">
      <alignment horizontal="center"/>
    </xf>
    <xf numFmtId="9" fontId="52" fillId="0" borderId="0" xfId="0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17" xfId="0" applyFont="1" applyBorder="1"/>
    <xf numFmtId="0" fontId="53" fillId="0" borderId="0" xfId="0" applyFont="1"/>
    <xf numFmtId="0" fontId="49" fillId="0" borderId="0" xfId="0" applyFont="1"/>
    <xf numFmtId="0" fontId="52" fillId="0" borderId="0" xfId="0" applyFont="1" applyAlignment="1">
      <alignment horizontal="right"/>
    </xf>
    <xf numFmtId="0" fontId="52" fillId="0" borderId="0" xfId="0" applyFont="1" applyFill="1" applyBorder="1" applyAlignment="1">
      <alignment horizontal="right"/>
    </xf>
    <xf numFmtId="0" fontId="52" fillId="0" borderId="0" xfId="0" applyFont="1" applyFill="1" applyBorder="1" applyProtection="1"/>
    <xf numFmtId="0" fontId="49" fillId="0" borderId="0" xfId="0" applyFont="1" applyFill="1" applyBorder="1" applyProtection="1"/>
    <xf numFmtId="0" fontId="53" fillId="0" borderId="0" xfId="0" applyFont="1" applyFill="1" applyBorder="1" applyAlignment="1" applyProtection="1">
      <alignment horizontal="left"/>
    </xf>
    <xf numFmtId="0" fontId="52" fillId="0" borderId="0" xfId="0" applyFont="1" applyFill="1" applyBorder="1" applyAlignment="1" applyProtection="1">
      <alignment horizontal="right"/>
    </xf>
    <xf numFmtId="0" fontId="49" fillId="0" borderId="0" xfId="0" applyFont="1" applyFill="1" applyBorder="1"/>
    <xf numFmtId="0" fontId="52" fillId="0" borderId="0" xfId="0" applyFont="1" applyFill="1"/>
    <xf numFmtId="0" fontId="54" fillId="0" borderId="0" xfId="0" applyFont="1"/>
    <xf numFmtId="0" fontId="18" fillId="0" borderId="0" xfId="0" applyFont="1" applyFill="1" applyAlignment="1">
      <alignment horizontal="left"/>
    </xf>
    <xf numFmtId="164" fontId="0" fillId="0" borderId="65" xfId="0" applyNumberFormat="1" applyFont="1" applyFill="1" applyBorder="1" applyAlignment="1" applyProtection="1"/>
    <xf numFmtId="164" fontId="0" fillId="0" borderId="66" xfId="0" applyNumberFormat="1" applyFont="1" applyFill="1" applyBorder="1" applyAlignment="1" applyProtection="1"/>
    <xf numFmtId="164" fontId="0" fillId="0" borderId="71" xfId="0" applyNumberFormat="1" applyFont="1" applyFill="1" applyBorder="1" applyAlignment="1" applyProtection="1"/>
    <xf numFmtId="164" fontId="0" fillId="0" borderId="67" xfId="0" applyNumberFormat="1" applyFont="1" applyFill="1" applyBorder="1" applyAlignment="1" applyProtection="1"/>
    <xf numFmtId="164" fontId="0" fillId="0" borderId="65" xfId="0" applyNumberFormat="1" applyFont="1" applyFill="1" applyBorder="1"/>
    <xf numFmtId="164" fontId="12" fillId="0" borderId="65" xfId="0" applyNumberFormat="1" applyFont="1" applyBorder="1"/>
    <xf numFmtId="164" fontId="0" fillId="0" borderId="65" xfId="0" applyNumberFormat="1" applyFont="1" applyBorder="1" applyProtection="1"/>
    <xf numFmtId="164" fontId="0" fillId="0" borderId="65" xfId="0" quotePrefix="1" applyNumberFormat="1" applyFont="1" applyBorder="1" applyAlignment="1" applyProtection="1"/>
    <xf numFmtId="2" fontId="0" fillId="0" borderId="65" xfId="0" quotePrefix="1" applyNumberFormat="1" applyFont="1" applyBorder="1" applyAlignment="1" applyProtection="1"/>
    <xf numFmtId="164" fontId="12" fillId="0" borderId="72" xfId="7" applyNumberFormat="1" applyFont="1" applyFill="1" applyBorder="1" applyProtection="1"/>
    <xf numFmtId="164" fontId="0" fillId="0" borderId="73" xfId="0" applyNumberFormat="1" applyFont="1" applyBorder="1"/>
    <xf numFmtId="164" fontId="12" fillId="0" borderId="74" xfId="7" applyNumberFormat="1" applyFont="1" applyFill="1" applyBorder="1" applyProtection="1"/>
    <xf numFmtId="164" fontId="12" fillId="0" borderId="75" xfId="7" applyNumberFormat="1" applyFont="1" applyFill="1" applyBorder="1" applyProtection="1"/>
    <xf numFmtId="1" fontId="0" fillId="0" borderId="65" xfId="0" applyNumberFormat="1" applyFont="1" applyBorder="1"/>
    <xf numFmtId="164" fontId="0" fillId="0" borderId="65" xfId="0" applyNumberFormat="1" applyFont="1" applyBorder="1" applyAlignment="1" applyProtection="1"/>
    <xf numFmtId="164" fontId="0" fillId="0" borderId="65" xfId="0" applyNumberFormat="1" applyFont="1" applyFill="1" applyBorder="1" applyProtection="1">
      <protection locked="0"/>
    </xf>
    <xf numFmtId="167" fontId="40" fillId="11" borderId="0" xfId="0" applyNumberFormat="1" applyFont="1" applyFill="1" applyBorder="1" applyAlignment="1" applyProtection="1">
      <alignment horizontal="left"/>
    </xf>
    <xf numFmtId="167" fontId="41" fillId="11" borderId="0" xfId="0" applyNumberFormat="1" applyFont="1" applyFill="1" applyProtection="1"/>
    <xf numFmtId="0" fontId="56" fillId="13" borderId="0" xfId="0" applyFont="1" applyFill="1" applyAlignment="1">
      <alignment horizontal="center"/>
    </xf>
    <xf numFmtId="0" fontId="18" fillId="13" borderId="0" xfId="0" applyFont="1" applyFill="1"/>
    <xf numFmtId="0" fontId="57" fillId="13" borderId="0" xfId="0" applyFont="1" applyFill="1"/>
    <xf numFmtId="0" fontId="18" fillId="13" borderId="0" xfId="0" applyFont="1" applyFill="1" applyAlignment="1">
      <alignment horizontal="left"/>
    </xf>
    <xf numFmtId="0" fontId="18" fillId="13" borderId="0" xfId="0" applyFont="1" applyFill="1" applyBorder="1"/>
    <xf numFmtId="0" fontId="58" fillId="13" borderId="0" xfId="0" applyFont="1" applyFill="1"/>
    <xf numFmtId="0" fontId="18" fillId="13" borderId="0" xfId="0" applyFont="1" applyFill="1" applyAlignment="1">
      <alignment vertical="center"/>
    </xf>
    <xf numFmtId="0" fontId="19" fillId="13" borderId="0" xfId="0" applyFont="1" applyFill="1" applyAlignment="1">
      <alignment horizontal="center"/>
    </xf>
    <xf numFmtId="0" fontId="18" fillId="13" borderId="0" xfId="0" applyFont="1" applyFill="1" applyBorder="1" applyAlignment="1">
      <alignment vertical="center"/>
    </xf>
    <xf numFmtId="0" fontId="19" fillId="13" borderId="0" xfId="0" applyFont="1" applyFill="1" applyBorder="1"/>
    <xf numFmtId="0" fontId="58" fillId="13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10" borderId="62" xfId="0" applyFont="1" applyFill="1" applyBorder="1" applyAlignment="1">
      <alignment horizontal="center"/>
    </xf>
    <xf numFmtId="0" fontId="26" fillId="10" borderId="13" xfId="0" quotePrefix="1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5" fillId="10" borderId="12" xfId="0" quotePrefix="1" applyFont="1" applyFill="1" applyBorder="1" applyAlignment="1">
      <alignment horizontal="center"/>
    </xf>
    <xf numFmtId="0" fontId="0" fillId="10" borderId="16" xfId="0" applyFont="1" applyFill="1" applyBorder="1"/>
    <xf numFmtId="0" fontId="5" fillId="10" borderId="0" xfId="0" applyFont="1" applyFill="1" applyAlignment="1">
      <alignment horizontal="centerContinuous"/>
    </xf>
    <xf numFmtId="0" fontId="0" fillId="10" borderId="0" xfId="0" applyFont="1" applyFill="1" applyAlignment="1">
      <alignment horizontal="centerContinuous"/>
    </xf>
    <xf numFmtId="0" fontId="5" fillId="10" borderId="19" xfId="0" applyFont="1" applyFill="1" applyBorder="1" applyAlignment="1">
      <alignment horizontal="centerContinuous"/>
    </xf>
    <xf numFmtId="0" fontId="0" fillId="10" borderId="18" xfId="0" applyFont="1" applyFill="1" applyBorder="1" applyAlignment="1">
      <alignment horizontal="centerContinuous"/>
    </xf>
    <xf numFmtId="0" fontId="0" fillId="10" borderId="0" xfId="0" applyFont="1" applyFill="1" applyBorder="1" applyAlignment="1">
      <alignment horizontal="centerContinuous"/>
    </xf>
    <xf numFmtId="0" fontId="0" fillId="10" borderId="19" xfId="0" applyFont="1" applyFill="1" applyBorder="1"/>
    <xf numFmtId="0" fontId="0" fillId="10" borderId="0" xfId="0" applyFont="1" applyFill="1" applyBorder="1"/>
    <xf numFmtId="0" fontId="0" fillId="10" borderId="18" xfId="0" applyFont="1" applyFill="1" applyBorder="1"/>
    <xf numFmtId="0" fontId="0" fillId="10" borderId="0" xfId="0" applyFont="1" applyFill="1"/>
    <xf numFmtId="0" fontId="0" fillId="10" borderId="17" xfId="0" applyFont="1" applyFill="1" applyBorder="1"/>
    <xf numFmtId="0" fontId="5" fillId="10" borderId="18" xfId="0" applyFont="1" applyFill="1" applyBorder="1" applyAlignment="1">
      <alignment horizontal="center"/>
    </xf>
    <xf numFmtId="0" fontId="0" fillId="10" borderId="10" xfId="0" applyFont="1" applyFill="1" applyBorder="1"/>
    <xf numFmtId="0" fontId="0" fillId="10" borderId="11" xfId="0" applyFont="1" applyFill="1" applyBorder="1"/>
    <xf numFmtId="0" fontId="0" fillId="10" borderId="14" xfId="0" applyFont="1" applyFill="1" applyBorder="1"/>
    <xf numFmtId="0" fontId="5" fillId="10" borderId="9" xfId="0" applyFont="1" applyFill="1" applyBorder="1" applyAlignment="1" applyProtection="1">
      <alignment horizontal="center"/>
    </xf>
    <xf numFmtId="0" fontId="5" fillId="10" borderId="21" xfId="0" applyFont="1" applyFill="1" applyBorder="1" applyAlignment="1" applyProtection="1">
      <alignment horizontal="center"/>
    </xf>
    <xf numFmtId="0" fontId="0" fillId="10" borderId="12" xfId="0" applyFont="1" applyFill="1" applyBorder="1"/>
    <xf numFmtId="0" fontId="5" fillId="10" borderId="13" xfId="0" applyFont="1" applyFill="1" applyBorder="1" applyAlignment="1" applyProtection="1">
      <alignment horizontal="center"/>
    </xf>
    <xf numFmtId="0" fontId="5" fillId="10" borderId="20" xfId="0" applyFont="1" applyFill="1" applyBorder="1" applyAlignment="1" applyProtection="1">
      <alignment horizontal="center"/>
    </xf>
    <xf numFmtId="0" fontId="5" fillId="10" borderId="25" xfId="0" applyFont="1" applyFill="1" applyBorder="1" applyAlignment="1">
      <alignment horizontal="left"/>
    </xf>
    <xf numFmtId="0" fontId="5" fillId="10" borderId="25" xfId="0" applyFont="1" applyFill="1" applyBorder="1" applyAlignment="1">
      <alignment horizontal="center"/>
    </xf>
    <xf numFmtId="1" fontId="5" fillId="10" borderId="25" xfId="0" applyNumberFormat="1" applyFont="1" applyFill="1" applyBorder="1" applyAlignment="1">
      <alignment horizontal="center"/>
    </xf>
    <xf numFmtId="0" fontId="5" fillId="10" borderId="25" xfId="0" quotePrefix="1" applyFont="1" applyFill="1" applyBorder="1" applyAlignment="1">
      <alignment horizontal="center"/>
    </xf>
    <xf numFmtId="0" fontId="60" fillId="11" borderId="0" xfId="0" quotePrefix="1" applyFont="1" applyFill="1" applyBorder="1" applyAlignment="1">
      <alignment horizontal="left"/>
    </xf>
    <xf numFmtId="0" fontId="60" fillId="11" borderId="0" xfId="0" applyFont="1" applyFill="1" applyBorder="1"/>
    <xf numFmtId="0" fontId="17" fillId="11" borderId="0" xfId="3" applyFont="1" applyFill="1" applyBorder="1"/>
    <xf numFmtId="0" fontId="17" fillId="11" borderId="0" xfId="3" applyFont="1" applyFill="1" applyBorder="1" applyAlignment="1" applyProtection="1">
      <alignment horizontal="left"/>
    </xf>
    <xf numFmtId="169" fontId="17" fillId="11" borderId="0" xfId="3" quotePrefix="1" applyNumberFormat="1" applyFont="1" applyFill="1" applyBorder="1" applyAlignment="1" applyProtection="1">
      <alignment horizontal="right"/>
    </xf>
    <xf numFmtId="0" fontId="61" fillId="11" borderId="0" xfId="3" applyFont="1" applyFill="1" applyBorder="1"/>
    <xf numFmtId="0" fontId="61" fillId="11" borderId="0" xfId="3" applyFont="1" applyFill="1"/>
    <xf numFmtId="164" fontId="18" fillId="0" borderId="5" xfId="3" applyNumberFormat="1" applyFont="1" applyBorder="1"/>
    <xf numFmtId="38" fontId="18" fillId="0" borderId="65" xfId="1" applyNumberFormat="1" applyFont="1" applyBorder="1"/>
    <xf numFmtId="0" fontId="19" fillId="7" borderId="3" xfId="8" applyFont="1" applyFill="1" applyBorder="1" applyAlignment="1">
      <alignment horizontal="centerContinuous"/>
      <protection locked="0"/>
    </xf>
    <xf numFmtId="0" fontId="19" fillId="7" borderId="1" xfId="8" applyFont="1" applyFill="1">
      <protection locked="0"/>
    </xf>
    <xf numFmtId="1" fontId="19" fillId="7" borderId="35" xfId="8" applyNumberFormat="1" applyFont="1" applyFill="1" applyBorder="1">
      <protection locked="0"/>
    </xf>
    <xf numFmtId="14" fontId="19" fillId="7" borderId="1" xfId="7" quotePrefix="1" applyNumberFormat="1" applyFont="1" applyFill="1" applyBorder="1" applyAlignment="1">
      <alignment horizontal="center"/>
      <protection locked="0"/>
    </xf>
    <xf numFmtId="38" fontId="19" fillId="7" borderId="35" xfId="1" applyNumberFormat="1" applyFont="1" applyFill="1" applyBorder="1" applyProtection="1">
      <protection locked="0"/>
    </xf>
    <xf numFmtId="1" fontId="19" fillId="7" borderId="18" xfId="3" applyNumberFormat="1" applyFont="1" applyFill="1" applyBorder="1" applyAlignment="1" applyProtection="1">
      <alignment horizontal="center"/>
      <protection locked="0"/>
    </xf>
    <xf numFmtId="1" fontId="19" fillId="7" borderId="14" xfId="3" applyNumberFormat="1" applyFont="1" applyFill="1" applyBorder="1" applyAlignment="1" applyProtection="1">
      <alignment horizontal="center"/>
      <protection locked="0"/>
    </xf>
    <xf numFmtId="2" fontId="19" fillId="7" borderId="18" xfId="3" applyNumberFormat="1" applyFont="1" applyFill="1" applyBorder="1" applyAlignment="1" applyProtection="1">
      <alignment horizontal="center"/>
      <protection locked="0"/>
    </xf>
    <xf numFmtId="2" fontId="19" fillId="7" borderId="14" xfId="3" applyNumberFormat="1" applyFont="1" applyFill="1" applyBorder="1" applyAlignment="1" applyProtection="1">
      <alignment horizontal="center"/>
      <protection locked="0"/>
    </xf>
    <xf numFmtId="0" fontId="19" fillId="7" borderId="18" xfId="3" applyFont="1" applyFill="1" applyBorder="1" applyAlignment="1" applyProtection="1">
      <alignment horizontal="center"/>
      <protection locked="0"/>
    </xf>
    <xf numFmtId="0" fontId="19" fillId="7" borderId="14" xfId="3" applyFont="1" applyFill="1" applyBorder="1" applyAlignment="1" applyProtection="1">
      <alignment horizontal="center"/>
      <protection locked="0"/>
    </xf>
    <xf numFmtId="0" fontId="0" fillId="7" borderId="1" xfId="0" applyFont="1" applyFill="1" applyBorder="1"/>
    <xf numFmtId="0" fontId="18" fillId="9" borderId="5" xfId="3" quotePrefix="1" applyFont="1" applyFill="1" applyBorder="1" applyAlignment="1">
      <alignment horizontal="left"/>
    </xf>
    <xf numFmtId="0" fontId="18" fillId="9" borderId="5" xfId="3" applyFont="1" applyFill="1" applyBorder="1"/>
    <xf numFmtId="0" fontId="22" fillId="9" borderId="2" xfId="3" applyFont="1" applyFill="1" applyBorder="1"/>
    <xf numFmtId="0" fontId="18" fillId="9" borderId="2" xfId="3" applyFont="1" applyFill="1" applyBorder="1" applyAlignment="1" applyProtection="1"/>
    <xf numFmtId="0" fontId="18" fillId="9" borderId="2" xfId="3" applyFont="1" applyFill="1" applyBorder="1"/>
    <xf numFmtId="1" fontId="18" fillId="9" borderId="2" xfId="3" applyNumberFormat="1" applyFont="1" applyFill="1" applyBorder="1"/>
    <xf numFmtId="0" fontId="19" fillId="7" borderId="12" xfId="3" applyFont="1" applyFill="1" applyBorder="1" applyAlignment="1">
      <alignment horizontal="center"/>
    </xf>
    <xf numFmtId="0" fontId="19" fillId="7" borderId="14" xfId="3" applyFont="1" applyFill="1" applyBorder="1" applyAlignment="1">
      <alignment horizontal="center"/>
    </xf>
    <xf numFmtId="0" fontId="18" fillId="0" borderId="9" xfId="3" applyFont="1" applyFill="1" applyBorder="1" applyAlignment="1" applyProtection="1">
      <alignment horizontal="fill"/>
    </xf>
    <xf numFmtId="0" fontId="18" fillId="0" borderId="15" xfId="3" applyFont="1" applyFill="1" applyBorder="1" applyAlignment="1" applyProtection="1">
      <alignment horizontal="fill"/>
    </xf>
    <xf numFmtId="0" fontId="18" fillId="0" borderId="18" xfId="3" applyFont="1" applyFill="1" applyBorder="1"/>
    <xf numFmtId="164" fontId="18" fillId="0" borderId="65" xfId="3" applyNumberFormat="1" applyFont="1" applyBorder="1"/>
    <xf numFmtId="0" fontId="19" fillId="7" borderId="30" xfId="8" applyFont="1" applyFill="1" applyBorder="1" applyAlignment="1">
      <alignment horizontal="left"/>
      <protection locked="0"/>
    </xf>
    <xf numFmtId="1" fontId="18" fillId="9" borderId="5" xfId="3" applyNumberFormat="1" applyFont="1" applyFill="1" applyBorder="1"/>
    <xf numFmtId="38" fontId="19" fillId="7" borderId="1" xfId="1" applyNumberFormat="1" applyFont="1" applyFill="1" applyBorder="1" applyProtection="1">
      <protection locked="0"/>
    </xf>
    <xf numFmtId="164" fontId="19" fillId="7" borderId="13" xfId="3" applyNumberFormat="1" applyFont="1" applyFill="1" applyBorder="1" applyAlignment="1" applyProtection="1">
      <alignment horizontal="center"/>
    </xf>
    <xf numFmtId="0" fontId="19" fillId="7" borderId="18" xfId="3" applyFont="1" applyFill="1" applyBorder="1" applyAlignment="1" applyProtection="1">
      <alignment horizontal="center"/>
    </xf>
    <xf numFmtId="164" fontId="19" fillId="7" borderId="12" xfId="3" applyNumberFormat="1" applyFont="1" applyFill="1" applyBorder="1" applyAlignment="1" applyProtection="1">
      <alignment horizontal="center"/>
    </xf>
    <xf numFmtId="0" fontId="19" fillId="7" borderId="14" xfId="3" applyFont="1" applyFill="1" applyBorder="1" applyAlignment="1" applyProtection="1">
      <alignment horizontal="center"/>
    </xf>
    <xf numFmtId="164" fontId="19" fillId="7" borderId="13" xfId="3" applyNumberFormat="1" applyFont="1" applyFill="1" applyBorder="1" applyAlignment="1">
      <alignment horizontal="center"/>
    </xf>
    <xf numFmtId="0" fontId="19" fillId="7" borderId="18" xfId="3" applyFont="1" applyFill="1" applyBorder="1" applyAlignment="1">
      <alignment horizontal="center"/>
    </xf>
    <xf numFmtId="164" fontId="19" fillId="7" borderId="17" xfId="3" applyNumberFormat="1" applyFont="1" applyFill="1" applyBorder="1" applyAlignment="1">
      <alignment horizontal="center"/>
    </xf>
    <xf numFmtId="0" fontId="19" fillId="7" borderId="13" xfId="3" applyFont="1" applyFill="1" applyBorder="1" applyAlignment="1">
      <alignment horizontal="center"/>
    </xf>
    <xf numFmtId="164" fontId="19" fillId="7" borderId="12" xfId="3" applyNumberFormat="1" applyFont="1" applyFill="1" applyBorder="1" applyAlignment="1">
      <alignment horizontal="center"/>
    </xf>
    <xf numFmtId="164" fontId="19" fillId="7" borderId="10" xfId="3" applyNumberFormat="1" applyFont="1" applyFill="1" applyBorder="1" applyAlignment="1">
      <alignment horizontal="center"/>
    </xf>
    <xf numFmtId="38" fontId="18" fillId="0" borderId="0" xfId="1" applyNumberFormat="1" applyFont="1" applyBorder="1" applyAlignment="1"/>
    <xf numFmtId="164" fontId="12" fillId="0" borderId="65" xfId="3" applyNumberFormat="1" applyFont="1" applyBorder="1" applyAlignment="1"/>
    <xf numFmtId="0" fontId="24" fillId="0" borderId="0" xfId="12" applyFont="1">
      <alignment vertical="center"/>
    </xf>
    <xf numFmtId="0" fontId="24" fillId="5" borderId="77" xfId="11" applyFont="1" applyFill="1" applyBorder="1" applyAlignment="1">
      <alignment horizontal="center" vertical="center"/>
    </xf>
    <xf numFmtId="0" fontId="24" fillId="5" borderId="8" xfId="11" applyFont="1" applyFill="1" applyBorder="1" applyAlignment="1">
      <alignment wrapText="1"/>
    </xf>
    <xf numFmtId="0" fontId="24" fillId="5" borderId="79" xfId="11" applyFont="1" applyFill="1" applyBorder="1" applyAlignment="1">
      <alignment wrapText="1"/>
    </xf>
    <xf numFmtId="0" fontId="24" fillId="5" borderId="80" xfId="11" applyFont="1" applyFill="1" applyBorder="1" applyAlignment="1">
      <alignment wrapText="1"/>
    </xf>
    <xf numFmtId="0" fontId="65" fillId="0" borderId="81" xfId="0" quotePrefix="1" applyFont="1" applyBorder="1" applyAlignment="1">
      <alignment horizontal="right" vertical="top"/>
    </xf>
    <xf numFmtId="0" fontId="66" fillId="0" borderId="0" xfId="0" quotePrefix="1" applyFont="1" applyBorder="1" applyAlignment="1">
      <alignment horizontal="right" vertical="top"/>
    </xf>
    <xf numFmtId="49" fontId="24" fillId="5" borderId="78" xfId="11" quotePrefix="1" applyNumberFormat="1" applyFont="1" applyFill="1" applyBorder="1" applyAlignment="1">
      <alignment horizontal="right" wrapText="1"/>
    </xf>
    <xf numFmtId="14" fontId="24" fillId="5" borderId="9" xfId="11" applyNumberFormat="1" applyFont="1" applyFill="1" applyBorder="1" applyAlignment="1">
      <alignment vertical="center"/>
    </xf>
    <xf numFmtId="0" fontId="59" fillId="14" borderId="83" xfId="9" applyBorder="1"/>
    <xf numFmtId="0" fontId="1" fillId="15" borderId="25" xfId="10" applyBorder="1"/>
    <xf numFmtId="0" fontId="18" fillId="0" borderId="0" xfId="0" applyFont="1" applyAlignment="1">
      <alignment horizontal="center"/>
    </xf>
    <xf numFmtId="0" fontId="18" fillId="0" borderId="0" xfId="0" applyFont="1" applyFill="1" applyBorder="1"/>
    <xf numFmtId="2" fontId="59" fillId="14" borderId="83" xfId="9" applyNumberFormat="1" applyBorder="1"/>
    <xf numFmtId="1" fontId="59" fillId="14" borderId="83" xfId="9" applyNumberFormat="1" applyBorder="1"/>
    <xf numFmtId="38" fontId="59" fillId="14" borderId="83" xfId="9" applyNumberFormat="1" applyBorder="1"/>
    <xf numFmtId="0" fontId="21" fillId="0" borderId="0" xfId="0" quotePrefix="1" applyFont="1" applyFill="1" applyBorder="1"/>
    <xf numFmtId="0" fontId="24" fillId="5" borderId="19" xfId="11" applyFont="1" applyFill="1" applyBorder="1" applyAlignment="1">
      <alignment horizontal="center"/>
    </xf>
    <xf numFmtId="0" fontId="0" fillId="0" borderId="82" xfId="0" applyBorder="1"/>
    <xf numFmtId="0" fontId="0" fillId="0" borderId="15" xfId="0" applyBorder="1"/>
    <xf numFmtId="0" fontId="0" fillId="0" borderId="18" xfId="0" applyBorder="1"/>
    <xf numFmtId="0" fontId="18" fillId="0" borderId="0" xfId="0" applyFont="1" applyBorder="1"/>
    <xf numFmtId="0" fontId="0" fillId="0" borderId="89" xfId="0" applyBorder="1"/>
    <xf numFmtId="0" fontId="0" fillId="0" borderId="90" xfId="0" applyBorder="1"/>
    <xf numFmtId="0" fontId="18" fillId="0" borderId="90" xfId="0" applyFont="1" applyBorder="1" applyAlignment="1">
      <alignment horizontal="center"/>
    </xf>
    <xf numFmtId="0" fontId="0" fillId="0" borderId="91" xfId="0" applyBorder="1"/>
    <xf numFmtId="0" fontId="18" fillId="0" borderId="0" xfId="0" applyFont="1" applyBorder="1" applyAlignment="1">
      <alignment horizontal="center"/>
    </xf>
    <xf numFmtId="0" fontId="0" fillId="0" borderId="92" xfId="0" applyBorder="1"/>
    <xf numFmtId="0" fontId="0" fillId="0" borderId="93" xfId="0" applyBorder="1"/>
    <xf numFmtId="0" fontId="0" fillId="0" borderId="95" xfId="0" applyBorder="1"/>
    <xf numFmtId="0" fontId="18" fillId="0" borderId="95" xfId="0" applyFont="1" applyBorder="1" applyAlignment="1">
      <alignment horizontal="center"/>
    </xf>
    <xf numFmtId="0" fontId="1" fillId="15" borderId="96" xfId="10" applyBorder="1"/>
    <xf numFmtId="0" fontId="0" fillId="0" borderId="94" xfId="0" applyBorder="1"/>
    <xf numFmtId="0" fontId="1" fillId="15" borderId="6" xfId="10" applyBorder="1"/>
    <xf numFmtId="0" fontId="0" fillId="0" borderId="97" xfId="0" applyBorder="1"/>
    <xf numFmtId="0" fontId="0" fillId="0" borderId="98" xfId="0" applyBorder="1"/>
    <xf numFmtId="40" fontId="59" fillId="14" borderId="83" xfId="1" applyFont="1" applyFill="1" applyBorder="1"/>
    <xf numFmtId="14" fontId="24" fillId="5" borderId="9" xfId="11" applyNumberFormat="1" applyFont="1" applyFill="1" applyBorder="1" applyAlignment="1">
      <alignment horizontal="center" vertical="center"/>
    </xf>
    <xf numFmtId="0" fontId="24" fillId="5" borderId="99" xfId="11" applyFont="1" applyFill="1" applyBorder="1" applyAlignment="1">
      <alignment horizontal="center" vertical="center"/>
    </xf>
    <xf numFmtId="164" fontId="59" fillId="14" borderId="87" xfId="9" applyNumberFormat="1" applyBorder="1"/>
    <xf numFmtId="164" fontId="59" fillId="14" borderId="88" xfId="9" applyNumberFormat="1" applyBorder="1"/>
    <xf numFmtId="164" fontId="59" fillId="14" borderId="83" xfId="9" applyNumberFormat="1" applyBorder="1"/>
    <xf numFmtId="0" fontId="59" fillId="14" borderId="25" xfId="9" applyBorder="1" applyAlignment="1">
      <alignment horizontal="right"/>
    </xf>
    <xf numFmtId="0" fontId="59" fillId="14" borderId="83" xfId="9" applyBorder="1" applyAlignment="1">
      <alignment horizontal="right"/>
    </xf>
    <xf numFmtId="0" fontId="0" fillId="0" borderId="0" xfId="0" applyAlignment="1">
      <alignment horizontal="right"/>
    </xf>
    <xf numFmtId="2" fontId="59" fillId="14" borderId="83" xfId="9" applyNumberFormat="1" applyBorder="1" applyAlignment="1">
      <alignment horizontal="right"/>
    </xf>
    <xf numFmtId="1" fontId="59" fillId="14" borderId="83" xfId="9" applyNumberFormat="1" applyBorder="1" applyAlignment="1">
      <alignment horizontal="right"/>
    </xf>
    <xf numFmtId="38" fontId="59" fillId="14" borderId="83" xfId="9" applyNumberFormat="1" applyBorder="1" applyAlignment="1">
      <alignment horizontal="right"/>
    </xf>
    <xf numFmtId="40" fontId="59" fillId="14" borderId="83" xfId="1" applyFont="1" applyFill="1" applyBorder="1" applyAlignment="1">
      <alignment horizontal="right"/>
    </xf>
    <xf numFmtId="49" fontId="24" fillId="5" borderId="78" xfId="11" quotePrefix="1" applyNumberFormat="1" applyFont="1" applyFill="1" applyBorder="1" applyAlignment="1">
      <alignment horizontal="right"/>
    </xf>
    <xf numFmtId="14" fontId="24" fillId="5" borderId="21" xfId="11" applyNumberFormat="1" applyFont="1" applyFill="1" applyBorder="1" applyAlignment="1">
      <alignment horizontal="center" vertical="center"/>
    </xf>
    <xf numFmtId="0" fontId="0" fillId="16" borderId="102" xfId="0" applyFill="1" applyBorder="1"/>
    <xf numFmtId="0" fontId="0" fillId="16" borderId="103" xfId="0" applyFill="1" applyBorder="1"/>
    <xf numFmtId="0" fontId="5" fillId="10" borderId="18" xfId="0" applyFont="1" applyFill="1" applyBorder="1"/>
    <xf numFmtId="0" fontId="5" fillId="6" borderId="104" xfId="7" applyFont="1" applyFill="1" applyBorder="1">
      <protection locked="0"/>
    </xf>
    <xf numFmtId="0" fontId="5" fillId="7" borderId="104" xfId="0" applyFont="1" applyFill="1" applyBorder="1"/>
    <xf numFmtId="1" fontId="18" fillId="0" borderId="105" xfId="7" applyNumberFormat="1" applyFont="1" applyFill="1" applyBorder="1">
      <protection locked="0"/>
    </xf>
    <xf numFmtId="166" fontId="0" fillId="0" borderId="36" xfId="0" applyNumberFormat="1" applyBorder="1"/>
    <xf numFmtId="1" fontId="5" fillId="6" borderId="104" xfId="7" applyNumberFormat="1" applyFont="1" applyFill="1" applyBorder="1">
      <protection locked="0"/>
    </xf>
    <xf numFmtId="164" fontId="5" fillId="6" borderId="104" xfId="7" applyNumberFormat="1" applyFont="1" applyFill="1" applyBorder="1" applyAlignment="1">
      <alignment horizontal="right"/>
      <protection locked="0"/>
    </xf>
    <xf numFmtId="166" fontId="0" fillId="0" borderId="36" xfId="0" applyNumberFormat="1" applyFont="1" applyFill="1" applyBorder="1" applyProtection="1"/>
    <xf numFmtId="2" fontId="5" fillId="6" borderId="104" xfId="7" applyNumberFormat="1" applyFont="1" applyFill="1" applyBorder="1">
      <protection locked="0"/>
    </xf>
    <xf numFmtId="38" fontId="5" fillId="6" borderId="104" xfId="1" applyNumberFormat="1" applyFont="1" applyFill="1" applyBorder="1" applyProtection="1">
      <protection locked="0"/>
    </xf>
    <xf numFmtId="38" fontId="5" fillId="6" borderId="104" xfId="1" quotePrefix="1" applyNumberFormat="1" applyFont="1" applyFill="1" applyBorder="1" applyAlignment="1" applyProtection="1">
      <alignment horizontal="right"/>
      <protection locked="0"/>
    </xf>
    <xf numFmtId="164" fontId="5" fillId="8" borderId="36" xfId="7" applyNumberFormat="1" applyFont="1" applyFill="1" applyBorder="1">
      <protection locked="0"/>
    </xf>
    <xf numFmtId="164" fontId="5" fillId="6" borderId="104" xfId="7" applyNumberFormat="1" applyFont="1" applyFill="1" applyBorder="1">
      <protection locked="0"/>
    </xf>
    <xf numFmtId="171" fontId="5" fillId="6" borderId="104" xfId="7" applyNumberFormat="1" applyFont="1" applyFill="1" applyBorder="1">
      <protection locked="0"/>
    </xf>
    <xf numFmtId="168" fontId="5" fillId="7" borderId="104" xfId="0" applyNumberFormat="1" applyFont="1" applyFill="1" applyBorder="1" applyAlignment="1"/>
    <xf numFmtId="2" fontId="0" fillId="0" borderId="106" xfId="0" applyNumberFormat="1" applyFont="1" applyBorder="1"/>
    <xf numFmtId="166" fontId="0" fillId="0" borderId="36" xfId="0" applyNumberFormat="1" applyFont="1" applyBorder="1" applyAlignment="1">
      <alignment horizontal="right"/>
    </xf>
    <xf numFmtId="0" fontId="0" fillId="0" borderId="23" xfId="0" quotePrefix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33" xfId="0" quotePrefix="1" applyFill="1" applyBorder="1" applyAlignment="1">
      <alignment horizontal="center"/>
    </xf>
    <xf numFmtId="0" fontId="0" fillId="0" borderId="33" xfId="0" quotePrefix="1" applyFon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5" fillId="0" borderId="18" xfId="0" applyNumberFormat="1" applyFont="1" applyBorder="1" applyAlignment="1" applyProtection="1">
      <alignment horizontal="center"/>
      <protection locked="0"/>
    </xf>
    <xf numFmtId="1" fontId="19" fillId="6" borderId="24" xfId="0" applyNumberFormat="1" applyFont="1" applyFill="1" applyBorder="1" applyAlignment="1" applyProtection="1">
      <alignment horizontal="center"/>
      <protection locked="0"/>
    </xf>
    <xf numFmtId="0" fontId="19" fillId="6" borderId="29" xfId="0" applyFont="1" applyFill="1" applyBorder="1" applyAlignment="1" applyProtection="1">
      <alignment horizontal="center"/>
      <protection locked="0"/>
    </xf>
    <xf numFmtId="1" fontId="19" fillId="6" borderId="29" xfId="0" applyNumberFormat="1" applyFont="1" applyFill="1" applyBorder="1" applyAlignment="1" applyProtection="1">
      <alignment horizontal="center"/>
      <protection locked="0"/>
    </xf>
    <xf numFmtId="2" fontId="19" fillId="6" borderId="29" xfId="0" applyNumberFormat="1" applyFont="1" applyFill="1" applyBorder="1" applyAlignment="1" applyProtection="1">
      <alignment horizontal="center"/>
      <protection locked="0"/>
    </xf>
    <xf numFmtId="0" fontId="19" fillId="9" borderId="29" xfId="0" applyFont="1" applyFill="1" applyBorder="1" applyAlignment="1" applyProtection="1">
      <alignment horizontal="center"/>
      <protection locked="0"/>
    </xf>
    <xf numFmtId="0" fontId="19" fillId="8" borderId="29" xfId="0" applyFont="1" applyFill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7" fillId="0" borderId="18" xfId="0" applyFont="1" applyFill="1" applyBorder="1" applyProtection="1">
      <protection locked="0"/>
    </xf>
    <xf numFmtId="0" fontId="7" fillId="0" borderId="18" xfId="0" applyFont="1" applyBorder="1" applyProtection="1">
      <protection locked="0"/>
    </xf>
    <xf numFmtId="166" fontId="19" fillId="6" borderId="5" xfId="0" applyNumberFormat="1" applyFont="1" applyFill="1" applyBorder="1" applyAlignment="1" applyProtection="1">
      <alignment horizontal="center"/>
      <protection locked="0"/>
    </xf>
    <xf numFmtId="166" fontId="19" fillId="6" borderId="103" xfId="0" applyNumberFormat="1" applyFont="1" applyFill="1" applyBorder="1" applyAlignment="1">
      <alignment horizontal="center"/>
    </xf>
    <xf numFmtId="166" fontId="0" fillId="0" borderId="103" xfId="0" applyNumberFormat="1" applyFont="1" applyFill="1" applyBorder="1" applyAlignment="1">
      <alignment horizontal="center"/>
    </xf>
    <xf numFmtId="174" fontId="19" fillId="6" borderId="107" xfId="0" applyNumberFormat="1" applyFont="1" applyFill="1" applyBorder="1" applyAlignment="1" applyProtection="1">
      <alignment horizontal="center"/>
      <protection locked="0"/>
    </xf>
    <xf numFmtId="166" fontId="19" fillId="6" borderId="108" xfId="0" applyNumberFormat="1" applyFont="1" applyFill="1" applyBorder="1" applyAlignment="1">
      <alignment horizontal="center"/>
    </xf>
    <xf numFmtId="173" fontId="0" fillId="0" borderId="103" xfId="0" applyNumberFormat="1" applyFont="1" applyFill="1" applyBorder="1" applyAlignment="1">
      <alignment horizontal="center"/>
    </xf>
    <xf numFmtId="1" fontId="0" fillId="0" borderId="18" xfId="0" applyNumberFormat="1" applyFont="1" applyFill="1" applyBorder="1" applyAlignment="1">
      <alignment horizontal="center"/>
    </xf>
    <xf numFmtId="166" fontId="19" fillId="6" borderId="24" xfId="0" applyNumberFormat="1" applyFont="1" applyFill="1" applyBorder="1" applyAlignment="1" applyProtection="1">
      <alignment horizontal="center"/>
      <protection locked="0"/>
    </xf>
    <xf numFmtId="166" fontId="19" fillId="6" borderId="29" xfId="0" applyNumberFormat="1" applyFont="1" applyFill="1" applyBorder="1" applyAlignment="1" applyProtection="1">
      <alignment horizontal="center"/>
      <protection locked="0"/>
    </xf>
    <xf numFmtId="0" fontId="5" fillId="9" borderId="13" xfId="0" quotePrefix="1" applyNumberFormat="1" applyFont="1" applyFill="1" applyBorder="1" applyAlignment="1" applyProtection="1">
      <alignment horizontal="center"/>
      <protection locked="0"/>
    </xf>
    <xf numFmtId="166" fontId="0" fillId="0" borderId="12" xfId="0" applyNumberFormat="1" applyFont="1" applyFill="1" applyBorder="1" applyAlignment="1">
      <alignment horizontal="center"/>
    </xf>
    <xf numFmtId="0" fontId="5" fillId="0" borderId="109" xfId="0" applyNumberFormat="1" applyFont="1" applyBorder="1" applyAlignment="1" applyProtection="1">
      <alignment horizontal="center"/>
      <protection locked="0"/>
    </xf>
    <xf numFmtId="38" fontId="19" fillId="6" borderId="110" xfId="1" applyNumberFormat="1" applyFont="1" applyFill="1" applyBorder="1" applyAlignment="1" applyProtection="1">
      <alignment horizontal="center"/>
      <protection locked="0"/>
    </xf>
    <xf numFmtId="164" fontId="19" fillId="6" borderId="111" xfId="0" applyNumberFormat="1" applyFont="1" applyFill="1" applyBorder="1" applyAlignment="1" applyProtection="1">
      <alignment horizontal="center"/>
      <protection locked="0"/>
    </xf>
    <xf numFmtId="1" fontId="19" fillId="6" borderId="111" xfId="0" applyNumberFormat="1" applyFont="1" applyFill="1" applyBorder="1" applyAlignment="1" applyProtection="1">
      <alignment horizontal="center"/>
      <protection locked="0"/>
    </xf>
    <xf numFmtId="2" fontId="19" fillId="6" borderId="111" xfId="0" applyNumberFormat="1" applyFont="1" applyFill="1" applyBorder="1" applyAlignment="1" applyProtection="1">
      <alignment horizontal="center"/>
      <protection locked="0"/>
    </xf>
    <xf numFmtId="0" fontId="19" fillId="9" borderId="111" xfId="0" applyFont="1" applyFill="1" applyBorder="1" applyAlignment="1" applyProtection="1">
      <alignment horizontal="center"/>
      <protection locked="0"/>
    </xf>
    <xf numFmtId="164" fontId="19" fillId="9" borderId="111" xfId="0" applyNumberFormat="1" applyFont="1" applyFill="1" applyBorder="1" applyAlignment="1" applyProtection="1">
      <alignment horizontal="center"/>
      <protection locked="0"/>
    </xf>
    <xf numFmtId="164" fontId="19" fillId="8" borderId="111" xfId="0" applyNumberFormat="1" applyFont="1" applyFill="1" applyBorder="1" applyAlignment="1" applyProtection="1">
      <alignment horizontal="center"/>
      <protection locked="0"/>
    </xf>
    <xf numFmtId="0" fontId="7" fillId="0" borderId="112" xfId="0" applyFont="1" applyBorder="1" applyAlignment="1" applyProtection="1">
      <alignment horizontal="center"/>
      <protection locked="0"/>
    </xf>
    <xf numFmtId="0" fontId="7" fillId="0" borderId="113" xfId="0" applyFont="1" applyBorder="1" applyAlignment="1" applyProtection="1">
      <alignment horizontal="center"/>
      <protection locked="0"/>
    </xf>
    <xf numFmtId="0" fontId="7" fillId="0" borderId="112" xfId="0" applyFont="1" applyFill="1" applyBorder="1" applyProtection="1">
      <protection locked="0"/>
    </xf>
    <xf numFmtId="0" fontId="7" fillId="0" borderId="112" xfId="0" applyFont="1" applyBorder="1" applyProtection="1">
      <protection locked="0"/>
    </xf>
    <xf numFmtId="166" fontId="19" fillId="6" borderId="110" xfId="0" applyNumberFormat="1" applyFont="1" applyFill="1" applyBorder="1" applyAlignment="1" applyProtection="1">
      <alignment horizontal="center"/>
      <protection locked="0"/>
    </xf>
    <xf numFmtId="166" fontId="19" fillId="6" borderId="111" xfId="0" applyNumberFormat="1" applyFont="1" applyFill="1" applyBorder="1" applyAlignment="1">
      <alignment horizontal="center"/>
    </xf>
    <xf numFmtId="166" fontId="0" fillId="0" borderId="111" xfId="0" applyNumberFormat="1" applyFont="1" applyFill="1" applyBorder="1" applyAlignment="1">
      <alignment horizontal="center"/>
    </xf>
    <xf numFmtId="1" fontId="0" fillId="0" borderId="112" xfId="0" applyNumberFormat="1" applyFont="1" applyFill="1" applyBorder="1" applyAlignment="1">
      <alignment horizontal="center"/>
    </xf>
    <xf numFmtId="173" fontId="19" fillId="6" borderId="110" xfId="0" applyNumberFormat="1" applyFont="1" applyFill="1" applyBorder="1" applyAlignment="1" applyProtection="1">
      <alignment horizontal="center"/>
      <protection locked="0"/>
    </xf>
    <xf numFmtId="170" fontId="0" fillId="0" borderId="111" xfId="0" applyNumberFormat="1" applyFont="1" applyFill="1" applyBorder="1" applyAlignment="1">
      <alignment horizontal="center"/>
    </xf>
    <xf numFmtId="166" fontId="19" fillId="6" borderId="111" xfId="0" applyNumberFormat="1" applyFont="1" applyFill="1" applyBorder="1" applyAlignment="1" applyProtection="1">
      <alignment horizontal="center"/>
      <protection locked="0"/>
    </xf>
    <xf numFmtId="1" fontId="0" fillId="0" borderId="114" xfId="0" applyNumberFormat="1" applyFont="1" applyFill="1" applyBorder="1" applyAlignment="1">
      <alignment horizontal="center"/>
    </xf>
    <xf numFmtId="1" fontId="19" fillId="6" borderId="115" xfId="7" applyNumberFormat="1" applyFont="1" applyFill="1" applyBorder="1" applyAlignment="1">
      <alignment horizontal="center"/>
      <protection locked="0"/>
    </xf>
    <xf numFmtId="177" fontId="19" fillId="6" borderId="116" xfId="1" applyNumberFormat="1" applyFont="1" applyFill="1" applyBorder="1" applyAlignment="1" applyProtection="1">
      <alignment horizontal="center"/>
      <protection locked="0"/>
    </xf>
    <xf numFmtId="40" fontId="19" fillId="6" borderId="117" xfId="1" applyNumberFormat="1" applyFont="1" applyFill="1" applyBorder="1" applyAlignment="1" applyProtection="1">
      <alignment horizontal="center"/>
      <protection locked="0"/>
    </xf>
    <xf numFmtId="1" fontId="19" fillId="6" borderId="118" xfId="7" applyNumberFormat="1" applyFont="1" applyFill="1" applyBorder="1" applyAlignment="1">
      <alignment horizontal="center"/>
      <protection locked="0"/>
    </xf>
    <xf numFmtId="40" fontId="19" fillId="6" borderId="119" xfId="1" applyNumberFormat="1" applyFont="1" applyFill="1" applyBorder="1" applyAlignment="1" applyProtection="1">
      <alignment horizontal="center"/>
      <protection locked="0"/>
    </xf>
    <xf numFmtId="1" fontId="19" fillId="6" borderId="120" xfId="7" applyNumberFormat="1" applyFont="1" applyFill="1" applyBorder="1" applyAlignment="1">
      <alignment horizontal="center"/>
      <protection locked="0"/>
    </xf>
    <xf numFmtId="177" fontId="19" fillId="6" borderId="121" xfId="1" applyNumberFormat="1" applyFont="1" applyFill="1" applyBorder="1" applyAlignment="1" applyProtection="1">
      <alignment horizontal="center"/>
      <protection locked="0"/>
    </xf>
    <xf numFmtId="40" fontId="19" fillId="6" borderId="122" xfId="1" applyNumberFormat="1" applyFont="1" applyFill="1" applyBorder="1" applyAlignment="1" applyProtection="1">
      <alignment horizontal="center"/>
      <protection locked="0"/>
    </xf>
    <xf numFmtId="38" fontId="19" fillId="0" borderId="103" xfId="1" applyNumberFormat="1" applyFont="1" applyFill="1" applyBorder="1" applyAlignment="1" applyProtection="1">
      <alignment horizontal="center"/>
      <protection locked="0"/>
    </xf>
    <xf numFmtId="176" fontId="19" fillId="6" borderId="115" xfId="1" applyNumberFormat="1" applyFont="1" applyFill="1" applyBorder="1" applyAlignment="1" applyProtection="1">
      <alignment horizontal="center"/>
      <protection locked="0"/>
    </xf>
    <xf numFmtId="164" fontId="19" fillId="6" borderId="117" xfId="7" applyNumberFormat="1" applyFont="1" applyFill="1" applyBorder="1" applyAlignment="1">
      <alignment horizontal="center"/>
      <protection locked="0"/>
    </xf>
    <xf numFmtId="176" fontId="19" fillId="6" borderId="118" xfId="1" applyNumberFormat="1" applyFont="1" applyFill="1" applyBorder="1" applyAlignment="1" applyProtection="1">
      <alignment horizontal="center"/>
      <protection locked="0"/>
    </xf>
    <xf numFmtId="164" fontId="19" fillId="6" borderId="119" xfId="7" applyNumberFormat="1" applyFont="1" applyFill="1" applyBorder="1" applyAlignment="1">
      <alignment horizontal="center"/>
      <protection locked="0"/>
    </xf>
    <xf numFmtId="176" fontId="19" fillId="6" borderId="120" xfId="1" applyNumberFormat="1" applyFont="1" applyFill="1" applyBorder="1" applyAlignment="1" applyProtection="1">
      <alignment horizontal="center"/>
      <protection locked="0"/>
    </xf>
    <xf numFmtId="164" fontId="19" fillId="6" borderId="122" xfId="7" applyNumberFormat="1" applyFont="1" applyFill="1" applyBorder="1" applyAlignment="1">
      <alignment horizontal="center"/>
      <protection locked="0"/>
    </xf>
    <xf numFmtId="0" fontId="0" fillId="3" borderId="105" xfId="0" applyFont="1" applyFill="1" applyBorder="1"/>
    <xf numFmtId="0" fontId="0" fillId="13" borderId="104" xfId="0" applyFont="1" applyFill="1" applyBorder="1"/>
    <xf numFmtId="0" fontId="12" fillId="4" borderId="0" xfId="0" quotePrefix="1" applyFont="1" applyFill="1" applyAlignment="1">
      <alignment horizontal="left"/>
    </xf>
    <xf numFmtId="166" fontId="0" fillId="0" borderId="65" xfId="0" applyNumberFormat="1" applyFont="1" applyFill="1" applyBorder="1"/>
    <xf numFmtId="164" fontId="18" fillId="0" borderId="65" xfId="7" applyNumberFormat="1" applyFont="1" applyFill="1" applyBorder="1">
      <protection locked="0"/>
    </xf>
    <xf numFmtId="49" fontId="5" fillId="4" borderId="0" xfId="0" applyNumberFormat="1" applyFont="1" applyFill="1" applyAlignment="1">
      <alignment horizontal="left"/>
    </xf>
    <xf numFmtId="0" fontId="12" fillId="9" borderId="5" xfId="3" quotePrefix="1" applyFont="1" applyFill="1" applyBorder="1" applyAlignment="1">
      <alignment horizontal="left"/>
    </xf>
    <xf numFmtId="0" fontId="69" fillId="11" borderId="0" xfId="3" applyFont="1" applyFill="1" applyBorder="1" applyAlignment="1" applyProtection="1">
      <alignment horizontal="left"/>
    </xf>
    <xf numFmtId="0" fontId="70" fillId="11" borderId="0" xfId="3" applyFont="1" applyFill="1" applyBorder="1"/>
    <xf numFmtId="0" fontId="70" fillId="11" borderId="0" xfId="3" applyFont="1" applyFill="1" applyBorder="1" applyAlignment="1" applyProtection="1">
      <alignment horizontal="left"/>
    </xf>
    <xf numFmtId="169" fontId="70" fillId="11" borderId="0" xfId="3" quotePrefix="1" applyNumberFormat="1" applyFont="1" applyFill="1" applyBorder="1" applyAlignment="1" applyProtection="1">
      <alignment horizontal="right"/>
    </xf>
    <xf numFmtId="0" fontId="71" fillId="11" borderId="0" xfId="3" applyFont="1" applyFill="1" applyBorder="1"/>
    <xf numFmtId="0" fontId="71" fillId="11" borderId="0" xfId="3" applyFont="1" applyFill="1"/>
    <xf numFmtId="14" fontId="13" fillId="7" borderId="21" xfId="11" applyNumberFormat="1" applyFont="1" applyFill="1" applyBorder="1" applyAlignment="1">
      <alignment horizontal="center" vertical="center"/>
    </xf>
    <xf numFmtId="0" fontId="12" fillId="8" borderId="5" xfId="0" applyFont="1" applyFill="1" applyBorder="1" applyAlignment="1" applyProtection="1">
      <alignment horizontal="left"/>
      <protection locked="0"/>
    </xf>
    <xf numFmtId="166" fontId="5" fillId="6" borderId="36" xfId="7" applyNumberFormat="1" applyFont="1" applyFill="1" applyBorder="1">
      <protection locked="0"/>
    </xf>
    <xf numFmtId="0" fontId="12" fillId="9" borderId="8" xfId="0" applyNumberFormat="1" applyFont="1" applyFill="1" applyBorder="1" applyAlignment="1" applyProtection="1">
      <alignment horizontal="center"/>
      <protection locked="0"/>
    </xf>
    <xf numFmtId="0" fontId="5" fillId="7" borderId="30" xfId="8" applyFont="1" applyFill="1" applyBorder="1" applyAlignment="1">
      <protection locked="0"/>
    </xf>
    <xf numFmtId="0" fontId="12" fillId="0" borderId="0" xfId="13" applyAlignment="1">
      <alignment horizontal="center"/>
    </xf>
    <xf numFmtId="0" fontId="12" fillId="0" borderId="0" xfId="13"/>
    <xf numFmtId="20" fontId="12" fillId="0" borderId="0" xfId="13" applyNumberFormat="1" applyAlignment="1">
      <alignment horizontal="center"/>
    </xf>
    <xf numFmtId="1" fontId="12" fillId="0" borderId="0" xfId="13" applyNumberFormat="1" applyAlignment="1">
      <alignment horizontal="center"/>
    </xf>
    <xf numFmtId="0" fontId="12" fillId="0" borderId="0" xfId="13" applyAlignment="1">
      <alignment horizontal="left"/>
    </xf>
    <xf numFmtId="164" fontId="14" fillId="0" borderId="65" xfId="13" applyNumberFormat="1" applyFont="1" applyBorder="1" applyAlignment="1">
      <alignment horizontal="center"/>
    </xf>
    <xf numFmtId="1" fontId="14" fillId="0" borderId="65" xfId="13" applyNumberFormat="1" applyFont="1" applyBorder="1" applyAlignment="1">
      <alignment horizontal="center"/>
    </xf>
    <xf numFmtId="0" fontId="24" fillId="5" borderId="16" xfId="11" applyFont="1" applyFill="1" applyBorder="1" applyAlignment="1">
      <alignment horizontal="left" wrapText="1"/>
    </xf>
    <xf numFmtId="0" fontId="24" fillId="5" borderId="8" xfId="11" applyFont="1" applyFill="1" applyBorder="1" applyAlignment="1">
      <alignment horizontal="left" wrapText="1"/>
    </xf>
    <xf numFmtId="0" fontId="24" fillId="5" borderId="77" xfId="11" applyFont="1" applyFill="1" applyBorder="1" applyAlignment="1">
      <alignment horizontal="center" vertical="center" wrapText="1"/>
    </xf>
    <xf numFmtId="0" fontId="24" fillId="5" borderId="100" xfId="11" applyFont="1" applyFill="1" applyBorder="1" applyAlignment="1">
      <alignment horizontal="center" vertical="center" wrapText="1"/>
    </xf>
    <xf numFmtId="14" fontId="24" fillId="5" borderId="6" xfId="11" applyNumberFormat="1" applyFont="1" applyFill="1" applyBorder="1" applyAlignment="1">
      <alignment horizontal="center" vertical="center"/>
    </xf>
    <xf numFmtId="14" fontId="24" fillId="5" borderId="101" xfId="11" applyNumberFormat="1" applyFont="1" applyFill="1" applyBorder="1" applyAlignment="1">
      <alignment horizontal="center" vertical="center"/>
    </xf>
    <xf numFmtId="14" fontId="24" fillId="5" borderId="7" xfId="11" applyNumberFormat="1" applyFont="1" applyFill="1" applyBorder="1" applyAlignment="1">
      <alignment horizontal="center" vertical="center"/>
    </xf>
    <xf numFmtId="14" fontId="24" fillId="5" borderId="78" xfId="11" applyNumberFormat="1" applyFont="1" applyFill="1" applyBorder="1" applyAlignment="1">
      <alignment horizontal="center" vertical="center"/>
    </xf>
    <xf numFmtId="0" fontId="24" fillId="5" borderId="84" xfId="11" applyFont="1" applyFill="1" applyBorder="1" applyAlignment="1">
      <alignment horizontal="center"/>
    </xf>
    <xf numFmtId="0" fontId="24" fillId="5" borderId="85" xfId="11" applyFont="1" applyFill="1" applyBorder="1" applyAlignment="1">
      <alignment horizontal="center"/>
    </xf>
    <xf numFmtId="0" fontId="24" fillId="5" borderId="19" xfId="11" quotePrefix="1" applyFont="1" applyFill="1" applyBorder="1" applyAlignment="1">
      <alignment horizontal="center" vertical="center"/>
    </xf>
    <xf numFmtId="0" fontId="24" fillId="5" borderId="82" xfId="11" quotePrefix="1" applyFont="1" applyFill="1" applyBorder="1" applyAlignment="1">
      <alignment horizontal="center" vertical="center"/>
    </xf>
    <xf numFmtId="0" fontId="67" fillId="5" borderId="79" xfId="11" applyFont="1" applyFill="1" applyBorder="1" applyAlignment="1">
      <alignment horizontal="center" vertical="center"/>
    </xf>
    <xf numFmtId="0" fontId="67" fillId="5" borderId="81" xfId="11" applyFont="1" applyFill="1" applyBorder="1" applyAlignment="1">
      <alignment horizontal="center" vertical="center"/>
    </xf>
    <xf numFmtId="0" fontId="63" fillId="5" borderId="84" xfId="11" applyFont="1" applyFill="1" applyBorder="1" applyAlignment="1">
      <alignment horizontal="center" vertical="center"/>
    </xf>
    <xf numFmtId="0" fontId="63" fillId="5" borderId="86" xfId="11" applyFont="1" applyFill="1" applyBorder="1" applyAlignment="1">
      <alignment horizontal="center" vertical="center"/>
    </xf>
    <xf numFmtId="0" fontId="63" fillId="5" borderId="85" xfId="11" applyFont="1" applyFill="1" applyBorder="1" applyAlignment="1">
      <alignment horizontal="center" vertical="center"/>
    </xf>
    <xf numFmtId="0" fontId="63" fillId="5" borderId="19" xfId="11" applyFont="1" applyFill="1" applyBorder="1" applyAlignment="1">
      <alignment horizontal="center" vertical="center"/>
    </xf>
    <xf numFmtId="0" fontId="63" fillId="5" borderId="0" xfId="11" applyFont="1" applyFill="1" applyBorder="1" applyAlignment="1">
      <alignment horizontal="center" vertical="center"/>
    </xf>
    <xf numFmtId="0" fontId="63" fillId="5" borderId="82" xfId="11" applyFont="1" applyFill="1" applyBorder="1" applyAlignment="1">
      <alignment horizontal="center" vertical="center"/>
    </xf>
    <xf numFmtId="0" fontId="64" fillId="5" borderId="19" xfId="11" applyFont="1" applyFill="1" applyBorder="1" applyAlignment="1">
      <alignment horizontal="center" vertical="center" wrapText="1"/>
    </xf>
    <xf numFmtId="0" fontId="64" fillId="5" borderId="0" xfId="11" applyFont="1" applyFill="1" applyBorder="1" applyAlignment="1">
      <alignment horizontal="center" vertical="center" wrapText="1"/>
    </xf>
    <xf numFmtId="0" fontId="64" fillId="5" borderId="82" xfId="11" applyFont="1" applyFill="1" applyBorder="1" applyAlignment="1">
      <alignment horizontal="center" vertical="center" wrapText="1"/>
    </xf>
    <xf numFmtId="0" fontId="64" fillId="5" borderId="79" xfId="11" applyFont="1" applyFill="1" applyBorder="1" applyAlignment="1">
      <alignment horizontal="center" vertical="center" wrapText="1"/>
    </xf>
    <xf numFmtId="0" fontId="64" fillId="5" borderId="80" xfId="11" applyFont="1" applyFill="1" applyBorder="1" applyAlignment="1">
      <alignment horizontal="center" vertical="center" wrapText="1"/>
    </xf>
    <xf numFmtId="0" fontId="64" fillId="5" borderId="81" xfId="11" applyFont="1" applyFill="1" applyBorder="1" applyAlignment="1">
      <alignment horizontal="center" vertical="center" wrapText="1"/>
    </xf>
  </cellXfs>
  <cellStyles count="14">
    <cellStyle name="20% - Accent3" xfId="10" builtinId="38"/>
    <cellStyle name="Comma" xfId="1" builtinId="3"/>
    <cellStyle name="Input" xfId="2" builtinId="20" customBuiltin="1"/>
    <cellStyle name="Normal" xfId="0" builtinId="0"/>
    <cellStyle name="Normal 2" xfId="13"/>
    <cellStyle name="Normal_AAC assessment Rev3" xfId="11"/>
    <cellStyle name="Normal_Kiln Radiation &amp; Convection" xfId="3"/>
    <cellStyle name="Normal_LanguageSheet HBL" xfId="4"/>
    <cellStyle name="Normal_LanguageSheet R&amp;C" xfId="5"/>
    <cellStyle name="Normal_Prandtl" xfId="6"/>
    <cellStyle name="Normal_Sheet" xfId="12"/>
    <cellStyle name="Output" xfId="9" builtinId="21"/>
    <cellStyle name="Zelle" xfId="7"/>
    <cellStyle name="zelle_Kiln Radiation &amp; Convection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  <color rgb="FFCCFFFF"/>
      <color rgb="FF00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Kiln Heat Balance Inputs [kJ/kg cli]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333333333333329E-2"/>
          <c:y val="0.16192147856517936"/>
          <c:w val="0.48062489063867014"/>
          <c:h val="0.80104148439778367"/>
        </c:manualLayout>
      </c:layout>
      <c:pieChart>
        <c:varyColors val="1"/>
        <c:ser>
          <c:idx val="0"/>
          <c:order val="0"/>
          <c:tx>
            <c:strRef>
              <c:f>HBL!$B$580</c:f>
              <c:strCache>
                <c:ptCount val="1"/>
                <c:pt idx="0">
                  <c:v>INPUT</c:v>
                </c:pt>
              </c:strCache>
            </c:strRef>
          </c:tx>
          <c:explosion val="13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HBL!$B$581:$D$591</c:f>
              <c:multiLvlStrCache>
                <c:ptCount val="9"/>
                <c:lvl>
                  <c:pt idx="0">
                    <c:v>Conventional</c:v>
                  </c:pt>
                  <c:pt idx="1">
                    <c:v>Alternative</c:v>
                  </c:pt>
                  <c:pt idx="2">
                    <c:v>Sensible heat</c:v>
                  </c:pt>
                  <c:pt idx="3">
                    <c:v>Sensible heat</c:v>
                  </c:pt>
                  <c:pt idx="4">
                    <c:v>Combustible matter</c:v>
                  </c:pt>
                  <c:pt idx="5">
                    <c:v>Sensible heat</c:v>
                  </c:pt>
                  <c:pt idx="6">
                    <c:v>Sensible heat air</c:v>
                  </c:pt>
                  <c:pt idx="7">
                    <c:v>Sensible heat water</c:v>
                  </c:pt>
                </c:lvl>
                <c:lvl>
                  <c:pt idx="0">
                    <c:v>Fuel</c:v>
                  </c:pt>
                  <c:pt idx="3">
                    <c:v>Kiln feed</c:v>
                  </c:pt>
                  <c:pt idx="5">
                    <c:v>Primary air</c:v>
                  </c:pt>
                  <c:pt idx="6">
                    <c:v>Cooler</c:v>
                  </c:pt>
                  <c:pt idx="8">
                    <c:v>Preheater</c:v>
                  </c:pt>
                </c:lvl>
              </c:multiLvlStrCache>
            </c:multiLvlStrRef>
          </c:cat>
          <c:val>
            <c:numRef>
              <c:f>HBL!$I$581:$I$591</c:f>
              <c:numCache>
                <c:formatCode>0.0</c:formatCode>
                <c:ptCount val="11"/>
                <c:pt idx="0" formatCode="#,##0.0;[Red]\-#,##0.0">
                  <c:v>2946.9284693269801</c:v>
                </c:pt>
                <c:pt idx="1">
                  <c:v>402.65753424657532</c:v>
                </c:pt>
                <c:pt idx="2">
                  <c:v>3.504586063132817</c:v>
                </c:pt>
                <c:pt idx="3">
                  <c:v>47.654862272945572</c:v>
                </c:pt>
                <c:pt idx="4">
                  <c:v>0</c:v>
                </c:pt>
                <c:pt idx="5">
                  <c:v>3.2393752810947687</c:v>
                </c:pt>
                <c:pt idx="6">
                  <c:v>25.800546376152869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Kiln Heat Balance  Outputs [kJ/kg cli]</a:t>
            </a:r>
            <a:endParaRPr lang="en-US"/>
          </a:p>
        </c:rich>
      </c:tx>
      <c:overlay val="0"/>
    </c:title>
    <c:autoTitleDeleted val="0"/>
    <c:view3D>
      <c:rotX val="50"/>
      <c:rotY val="260"/>
      <c:rAngAx val="0"/>
      <c:perspective val="11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HBL!$B$593</c:f>
              <c:strCache>
                <c:ptCount val="1"/>
                <c:pt idx="0">
                  <c:v>OUTPUT</c:v>
                </c:pt>
              </c:strCache>
            </c:strRef>
          </c:tx>
          <c:explosion val="30"/>
          <c:dPt>
            <c:idx val="0"/>
            <c:bubble3D val="0"/>
            <c:spPr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0.1980299111181148"/>
                  <c:y val="7.05432390679637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7874622476173231E-2"/>
                  <c:y val="5.86427206992332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8.2030736468562251E-2"/>
                  <c:y val="0.146028465322592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Clinker exit Sensible heat; 106.2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Radiation &amp; Convection</a:t>
                    </a:r>
                    <a:r>
                      <a:rPr lang="en-US" baseline="0"/>
                      <a:t> </a:t>
                    </a:r>
                    <a:r>
                      <a:rPr lang="en-US"/>
                      <a:t>Preheater tower; 126.0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2.1163970492850879E-2"/>
                  <c:y val="-0.245119165073784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Radiation &amp; Convection Kiln shell; 105.0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HBL!$B$594:$E$618</c:f>
              <c:multiLvlStrCache>
                <c:ptCount val="25"/>
                <c:lvl>
                  <c:pt idx="2">
                    <c:v>Kiln feed</c:v>
                  </c:pt>
                  <c:pt idx="3">
                    <c:v>Preheater</c:v>
                  </c:pt>
                  <c:pt idx="4">
                    <c:v>Cooler</c:v>
                  </c:pt>
                  <c:pt idx="5">
                    <c:v>Sensible heat</c:v>
                  </c:pt>
                  <c:pt idx="6">
                    <c:v>CO</c:v>
                  </c:pt>
                  <c:pt idx="7">
                    <c:v>Sensible heat</c:v>
                  </c:pt>
                  <c:pt idx="11">
                    <c:v>Sensible heat</c:v>
                  </c:pt>
                  <c:pt idx="12">
                    <c:v>Sensible heat</c:v>
                  </c:pt>
                  <c:pt idx="13">
                    <c:v>Sensible heat</c:v>
                  </c:pt>
                  <c:pt idx="14">
                    <c:v>Sensible heat</c:v>
                  </c:pt>
                  <c:pt idx="19">
                    <c:v>Preheater tower</c:v>
                  </c:pt>
                  <c:pt idx="20">
                    <c:v>Kiln shell</c:v>
                  </c:pt>
                  <c:pt idx="21">
                    <c:v>Cooler and kiln hood</c:v>
                  </c:pt>
                  <c:pt idx="22">
                    <c:v>Tertiary air duct</c:v>
                  </c:pt>
                  <c:pt idx="24">
                    <c:v>%</c:v>
                  </c:pt>
                </c:lvl>
                <c:lvl>
                  <c:pt idx="7">
                    <c:v>dust</c:v>
                  </c:pt>
                  <c:pt idx="11">
                    <c:v>Waste air</c:v>
                  </c:pt>
                  <c:pt idx="12">
                    <c:v>Water vapor</c:v>
                  </c:pt>
                  <c:pt idx="13">
                    <c:v>Middle air</c:v>
                  </c:pt>
                  <c:pt idx="14">
                    <c:v>Clinker exit</c:v>
                  </c:pt>
                  <c:pt idx="24">
                    <c:v>#VALUE!</c:v>
                  </c:pt>
                </c:lvl>
                <c:lvl>
                  <c:pt idx="0">
                    <c:v>Heat of formation</c:v>
                  </c:pt>
                  <c:pt idx="1">
                    <c:v>(Information only: Sulfur-Alcali Reactions</c:v>
                  </c:pt>
                  <c:pt idx="2">
                    <c:v>Water evaporation</c:v>
                  </c:pt>
                  <c:pt idx="5">
                    <c:v>Kiln exhaust gas</c:v>
                  </c:pt>
                  <c:pt idx="11">
                    <c:v>Cooler</c:v>
                  </c:pt>
                  <c:pt idx="19">
                    <c:v>Radiation &amp;</c:v>
                  </c:pt>
                  <c:pt idx="20">
                    <c:v>Convection</c:v>
                  </c:pt>
                  <c:pt idx="24">
                    <c:v>Error</c:v>
                  </c:pt>
                </c:lvl>
              </c:multiLvlStrCache>
            </c:multiLvlStrRef>
          </c:cat>
          <c:val>
            <c:numRef>
              <c:f>HBL!$I$594:$I$618</c:f>
              <c:numCache>
                <c:formatCode>0.0</c:formatCode>
                <c:ptCount val="25"/>
                <c:pt idx="0" formatCode="#,##0.0;[Red]\-#,##0.0">
                  <c:v>1750</c:v>
                </c:pt>
                <c:pt idx="1">
                  <c:v>0</c:v>
                </c:pt>
                <c:pt idx="2">
                  <c:v>11.600655151876117</c:v>
                </c:pt>
                <c:pt idx="3">
                  <c:v>0</c:v>
                </c:pt>
                <c:pt idx="4">
                  <c:v>0</c:v>
                </c:pt>
                <c:pt idx="5">
                  <c:v>689.96863039621758</c:v>
                </c:pt>
                <c:pt idx="6">
                  <c:v>11.956649484037309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241</c:v>
                </c:pt>
                <c:pt idx="20">
                  <c:v>168</c:v>
                </c:pt>
                <c:pt idx="21">
                  <c:v>20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Cooler Energy Balance Outputs [kJ/kg cli]</a:t>
            </a:r>
          </a:p>
        </c:rich>
      </c:tx>
      <c:overlay val="0"/>
    </c:title>
    <c:autoTitleDeleted val="0"/>
    <c:view3D>
      <c:rotX val="50"/>
      <c:rotY val="150"/>
      <c:rAngAx val="0"/>
      <c:perspective val="1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069881889763781"/>
          <c:y val="7.1148330575185631E-2"/>
          <c:w val="0.49432030595929083"/>
          <c:h val="0.8243885717640218"/>
        </c:manualLayout>
      </c:layout>
      <c:pie3DChart>
        <c:varyColors val="1"/>
        <c:ser>
          <c:idx val="0"/>
          <c:order val="0"/>
          <c:tx>
            <c:strRef>
              <c:f>HBL!$B$540</c:f>
              <c:strCache>
                <c:ptCount val="1"/>
                <c:pt idx="0">
                  <c:v>OUTPUT</c:v>
                </c:pt>
              </c:strCache>
            </c:strRef>
          </c:tx>
          <c:explosion val="46"/>
          <c:dPt>
            <c:idx val="3"/>
            <c:bubble3D val="0"/>
            <c:explosion val="11"/>
          </c:dPt>
          <c:dLbls>
            <c:dLbl>
              <c:idx val="3"/>
              <c:layout>
                <c:manualLayout>
                  <c:x val="-7.3780296235710793E-2"/>
                  <c:y val="7.84262065032650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9"/>
              <c:delete val="1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HBL!$B$541:$B$551</c:f>
              <c:strCache>
                <c:ptCount val="11"/>
                <c:pt idx="0">
                  <c:v>Clinker</c:v>
                </c:pt>
                <c:pt idx="1">
                  <c:v>Secondary air incl. dust</c:v>
                </c:pt>
                <c:pt idx="2">
                  <c:v>and water vapor</c:v>
                </c:pt>
                <c:pt idx="3">
                  <c:v>Tertiary air (incl dust)</c:v>
                </c:pt>
                <c:pt idx="4">
                  <c:v>Cooler middle air</c:v>
                </c:pt>
                <c:pt idx="5">
                  <c:v>Cooler waste air</c:v>
                </c:pt>
                <c:pt idx="6">
                  <c:v>and water vapor</c:v>
                </c:pt>
                <c:pt idx="7">
                  <c:v>Water evaporation</c:v>
                </c:pt>
                <c:pt idx="8">
                  <c:v>Radiation losses</c:v>
                </c:pt>
                <c:pt idx="9">
                  <c:v>Other heat output</c:v>
                </c:pt>
                <c:pt idx="10">
                  <c:v>Error</c:v>
                </c:pt>
              </c:strCache>
            </c:strRef>
          </c:cat>
          <c:val>
            <c:numRef>
              <c:f>HBL!$I$541:$I$551</c:f>
              <c:numCache>
                <c:formatCode>#,##0.0;[Red]\-#,##0.0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20</c:v>
                </c:pt>
                <c:pt idx="9" formatCode="General">
                  <c:v>0</c:v>
                </c:pt>
                <c:pt idx="10" formatCode="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Cooler air balance Outputs [Nm3/kg cli]</a:t>
            </a:r>
          </a:p>
        </c:rich>
      </c:tx>
      <c:layout>
        <c:manualLayout>
          <c:xMode val="edge"/>
          <c:yMode val="edge"/>
          <c:x val="0.11446522309711288"/>
          <c:y val="9.2592558839108031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v>Cooler air balance Outputs</c:v>
          </c:tx>
          <c:explosion val="25"/>
          <c:cat>
            <c:strRef>
              <c:f>HBL!$B$504:$B$508</c:f>
              <c:strCache>
                <c:ptCount val="5"/>
                <c:pt idx="0">
                  <c:v>Secondary air</c:v>
                </c:pt>
                <c:pt idx="1">
                  <c:v>Tertiary air (incl dust)</c:v>
                </c:pt>
                <c:pt idx="2">
                  <c:v>Cooler middle air</c:v>
                </c:pt>
                <c:pt idx="3">
                  <c:v>Cooler waste air</c:v>
                </c:pt>
                <c:pt idx="4">
                  <c:v>Error</c:v>
                </c:pt>
              </c:strCache>
            </c:strRef>
          </c:cat>
          <c:val>
            <c:numRef>
              <c:f>HBL!$H$504:$H$508</c:f>
              <c:numCache>
                <c:formatCode>0.00</c:formatCode>
                <c:ptCount val="5"/>
                <c:pt idx="0">
                  <c:v>0.30585706752412273</c:v>
                </c:pt>
                <c:pt idx="1">
                  <c:v>0.44496716016984572</c:v>
                </c:pt>
                <c:pt idx="2">
                  <c:v>0</c:v>
                </c:pt>
                <c:pt idx="3">
                  <c:v>0</c:v>
                </c:pt>
                <c:pt idx="4">
                  <c:v>1.2635726952603255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profile along the kiln</a:t>
            </a:r>
          </a:p>
        </c:rich>
      </c:tx>
      <c:layout>
        <c:manualLayout>
          <c:xMode val="edge"/>
          <c:yMode val="edge"/>
          <c:x val="0.35187969924812029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87969924812026E-2"/>
          <c:y val="0.1396103896103896"/>
          <c:w val="0.86466165413533835"/>
          <c:h val="0.74675324675324672"/>
        </c:manualLayout>
      </c:layout>
      <c:lineChart>
        <c:grouping val="standard"/>
        <c:varyColors val="0"/>
        <c:ser>
          <c:idx val="1"/>
          <c:order val="0"/>
          <c:tx>
            <c:v>Temperature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('R&amp;C Kiln'!$C$42:$C$71,'R&amp;C Kiln'!$C$72:$C$118)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('R&amp;C Kiln'!$G$42:$G$71,'R&amp;C Kiln'!$G$72:$G$118)</c:f>
              <c:numCache>
                <c:formatCode>0</c:formatCode>
                <c:ptCount val="77"/>
                <c:pt idx="0">
                  <c:v>138</c:v>
                </c:pt>
                <c:pt idx="1">
                  <c:v>155</c:v>
                </c:pt>
                <c:pt idx="2">
                  <c:v>184</c:v>
                </c:pt>
                <c:pt idx="3">
                  <c:v>180</c:v>
                </c:pt>
                <c:pt idx="4">
                  <c:v>185</c:v>
                </c:pt>
                <c:pt idx="5">
                  <c:v>170</c:v>
                </c:pt>
                <c:pt idx="6">
                  <c:v>234</c:v>
                </c:pt>
                <c:pt idx="7">
                  <c:v>282</c:v>
                </c:pt>
                <c:pt idx="8">
                  <c:v>292</c:v>
                </c:pt>
                <c:pt idx="9">
                  <c:v>285</c:v>
                </c:pt>
                <c:pt idx="10">
                  <c:v>271</c:v>
                </c:pt>
                <c:pt idx="11">
                  <c:v>265</c:v>
                </c:pt>
                <c:pt idx="12">
                  <c:v>253</c:v>
                </c:pt>
                <c:pt idx="13">
                  <c:v>201</c:v>
                </c:pt>
                <c:pt idx="14">
                  <c:v>212</c:v>
                </c:pt>
                <c:pt idx="15">
                  <c:v>222</c:v>
                </c:pt>
                <c:pt idx="16">
                  <c:v>220</c:v>
                </c:pt>
                <c:pt idx="17">
                  <c:v>213</c:v>
                </c:pt>
                <c:pt idx="18">
                  <c:v>205</c:v>
                </c:pt>
                <c:pt idx="19">
                  <c:v>200</c:v>
                </c:pt>
                <c:pt idx="20">
                  <c:v>291</c:v>
                </c:pt>
                <c:pt idx="21">
                  <c:v>326</c:v>
                </c:pt>
                <c:pt idx="22">
                  <c:v>314</c:v>
                </c:pt>
                <c:pt idx="23">
                  <c:v>291</c:v>
                </c:pt>
                <c:pt idx="24">
                  <c:v>341</c:v>
                </c:pt>
                <c:pt idx="25">
                  <c:v>325</c:v>
                </c:pt>
                <c:pt idx="26">
                  <c:v>290</c:v>
                </c:pt>
                <c:pt idx="27">
                  <c:v>195</c:v>
                </c:pt>
                <c:pt idx="28">
                  <c:v>297</c:v>
                </c:pt>
                <c:pt idx="29">
                  <c:v>371</c:v>
                </c:pt>
                <c:pt idx="30">
                  <c:v>369</c:v>
                </c:pt>
                <c:pt idx="31">
                  <c:v>388</c:v>
                </c:pt>
                <c:pt idx="32">
                  <c:v>395</c:v>
                </c:pt>
                <c:pt idx="33">
                  <c:v>384</c:v>
                </c:pt>
                <c:pt idx="34">
                  <c:v>384</c:v>
                </c:pt>
                <c:pt idx="35">
                  <c:v>375</c:v>
                </c:pt>
                <c:pt idx="36">
                  <c:v>388</c:v>
                </c:pt>
                <c:pt idx="37">
                  <c:v>390</c:v>
                </c:pt>
                <c:pt idx="38">
                  <c:v>395</c:v>
                </c:pt>
                <c:pt idx="39">
                  <c:v>402</c:v>
                </c:pt>
                <c:pt idx="40">
                  <c:v>376</c:v>
                </c:pt>
                <c:pt idx="41">
                  <c:v>356</c:v>
                </c:pt>
                <c:pt idx="42">
                  <c:v>354</c:v>
                </c:pt>
                <c:pt idx="43">
                  <c:v>210</c:v>
                </c:pt>
                <c:pt idx="44">
                  <c:v>200</c:v>
                </c:pt>
                <c:pt idx="45">
                  <c:v>195</c:v>
                </c:pt>
                <c:pt idx="46">
                  <c:v>202</c:v>
                </c:pt>
                <c:pt idx="47">
                  <c:v>214</c:v>
                </c:pt>
                <c:pt idx="48">
                  <c:v>231</c:v>
                </c:pt>
                <c:pt idx="49">
                  <c:v>247</c:v>
                </c:pt>
                <c:pt idx="50">
                  <c:v>185</c:v>
                </c:pt>
                <c:pt idx="51">
                  <c:v>159</c:v>
                </c:pt>
                <c:pt idx="52">
                  <c:v>256</c:v>
                </c:pt>
                <c:pt idx="53">
                  <c:v>263</c:v>
                </c:pt>
                <c:pt idx="54">
                  <c:v>254</c:v>
                </c:pt>
                <c:pt idx="55">
                  <c:v>180</c:v>
                </c:pt>
                <c:pt idx="56">
                  <c:v>246</c:v>
                </c:pt>
                <c:pt idx="57">
                  <c:v>241</c:v>
                </c:pt>
                <c:pt idx="58">
                  <c:v>239</c:v>
                </c:pt>
                <c:pt idx="59">
                  <c:v>235</c:v>
                </c:pt>
                <c:pt idx="60">
                  <c:v>226</c:v>
                </c:pt>
                <c:pt idx="61">
                  <c:v>216</c:v>
                </c:pt>
                <c:pt idx="62">
                  <c:v>180</c:v>
                </c:pt>
                <c:pt idx="63">
                  <c:v>185</c:v>
                </c:pt>
                <c:pt idx="64">
                  <c:v>180</c:v>
                </c:pt>
                <c:pt idx="65">
                  <c:v>170</c:v>
                </c:pt>
                <c:pt idx="66">
                  <c:v>150</c:v>
                </c:pt>
                <c:pt idx="67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68512"/>
        <c:axId val="191170432"/>
      </c:lineChart>
      <c:catAx>
        <c:axId val="1911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Position [m]</a:t>
                </a:r>
              </a:p>
            </c:rich>
          </c:tx>
          <c:layout>
            <c:manualLayout>
              <c:xMode val="edge"/>
              <c:yMode val="edge"/>
              <c:x val="0.4556390977443609"/>
              <c:y val="0.915584415584415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17043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9117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3533834586466165E-2"/>
              <c:y val="0.347402597402597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168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profile along the tertiary air duct</a:t>
            </a:r>
          </a:p>
        </c:rich>
      </c:tx>
      <c:layout>
        <c:manualLayout>
          <c:xMode val="edge"/>
          <c:yMode val="edge"/>
          <c:x val="0.3007518796992481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706766917293228E-2"/>
          <c:y val="0.1396103896103896"/>
          <c:w val="0.85864661654135344"/>
          <c:h val="0.72727272727272729"/>
        </c:manualLayout>
      </c:layout>
      <c:lineChart>
        <c:grouping val="standard"/>
        <c:varyColors val="0"/>
        <c:ser>
          <c:idx val="1"/>
          <c:order val="0"/>
          <c:tx>
            <c:v>Temperature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('R&amp;C Tertiary Air Duct'!$C$42:$C$71,'R&amp;C Tertiary Air Duct'!$C$72:$C$118)</c:f>
              <c:numCache>
                <c:formatCode>0</c:formatCode>
                <c:ptCount val="77"/>
                <c:pt idx="0">
                  <c:v>28</c:v>
                </c:pt>
                <c:pt idx="1">
                  <c:v>63</c:v>
                </c:pt>
                <c:pt idx="2">
                  <c:v>79</c:v>
                </c:pt>
                <c:pt idx="3">
                  <c:v>89</c:v>
                </c:pt>
              </c:numCache>
            </c:numRef>
          </c:cat>
          <c:val>
            <c:numRef>
              <c:f>('R&amp;C Tertiary Air Duct'!$G$42:$G$71,'R&amp;C Tertiary Air Duct'!$G$72:$G$118)</c:f>
              <c:numCache>
                <c:formatCode>0</c:formatCode>
                <c:ptCount val="77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00192"/>
        <c:axId val="191402368"/>
      </c:lineChart>
      <c:catAx>
        <c:axId val="1914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Position [m]</a:t>
                </a:r>
              </a:p>
            </c:rich>
          </c:tx>
          <c:layout>
            <c:manualLayout>
              <c:xMode val="edge"/>
              <c:yMode val="edge"/>
              <c:x val="0.45864661654135336"/>
              <c:y val="0.912337662337662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40236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9140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2.2556390977443608E-2"/>
              <c:y val="0.3409090909090908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4001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Lines="4" dropStyle="combo" dx="16" fmlaLink="$X$13" fmlaRange="$X$7:$X$10" sel="2" val="0"/>
</file>

<file path=xl/ctrlProps/ctrlProp2.xml><?xml version="1.0" encoding="utf-8"?>
<formControlPr xmlns="http://schemas.microsoft.com/office/spreadsheetml/2009/9/main" objectType="Drop" dropLines="4" dropStyle="combo" dx="16" fmlaLink="$Y$9" fmlaRange="$Y$4:$Y$7" sel="2" val="0"/>
</file>

<file path=xl/ctrlProps/ctrlProp3.xml><?xml version="1.0" encoding="utf-8"?>
<formControlPr xmlns="http://schemas.microsoft.com/office/spreadsheetml/2009/9/main" objectType="Drop" dropLines="4" dropStyle="combo" dx="16" fmlaLink="$Y$9" fmlaRange="$Y$4:$Y$7" sel="2" val="0"/>
</file>

<file path=xl/ctrlProps/ctrlProp4.xml><?xml version="1.0" encoding="utf-8"?>
<formControlPr xmlns="http://schemas.microsoft.com/office/spreadsheetml/2009/9/main" objectType="Drop" dropLines="4" dropStyle="combo" dx="16" fmlaLink="$Y$9" fmlaRange="$Y$4:$Y$7" sel="2" val="0"/>
</file>

<file path=xl/ctrlProps/ctrlProp5.xml><?xml version="1.0" encoding="utf-8"?>
<formControlPr xmlns="http://schemas.microsoft.com/office/spreadsheetml/2009/9/main" objectType="Drop" dropLines="4" dropStyle="combo" dx="16" fmlaLink="$Y$9" fmlaRange="$Y$4:$Y$7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152400</xdr:rowOff>
    </xdr:from>
    <xdr:to>
      <xdr:col>10</xdr:col>
      <xdr:colOff>0</xdr:colOff>
      <xdr:row>21</xdr:row>
      <xdr:rowOff>200025</xdr:rowOff>
    </xdr:to>
    <xdr:sp macro="" textlink="">
      <xdr:nvSpPr>
        <xdr:cNvPr id="1326" name="Rectangle 302"/>
        <xdr:cNvSpPr>
          <a:spLocks noChangeArrowheads="1"/>
        </xdr:cNvSpPr>
      </xdr:nvSpPr>
      <xdr:spPr bwMode="auto">
        <a:xfrm>
          <a:off x="333375" y="152400"/>
          <a:ext cx="5476875" cy="3409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16</xdr:row>
          <xdr:rowOff>133350</xdr:rowOff>
        </xdr:from>
        <xdr:to>
          <xdr:col>5</xdr:col>
          <xdr:colOff>95250</xdr:colOff>
          <xdr:row>18</xdr:row>
          <xdr:rowOff>9525</xdr:rowOff>
        </xdr:to>
        <xdr:sp macro="" textlink="">
          <xdr:nvSpPr>
            <xdr:cNvPr id="1611" name="Drop Down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9525</xdr:colOff>
      <xdr:row>2</xdr:row>
      <xdr:rowOff>47625</xdr:rowOff>
    </xdr:from>
    <xdr:to>
      <xdr:col>6</xdr:col>
      <xdr:colOff>514350</xdr:colOff>
      <xdr:row>5</xdr:row>
      <xdr:rowOff>76200</xdr:rowOff>
    </xdr:to>
    <xdr:pic>
      <xdr:nvPicPr>
        <xdr:cNvPr id="1972" name="Picture 9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371475"/>
          <a:ext cx="28670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FFFF" mc:Ignorable="a14" a14:legacySpreadsheetColorIndex="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FF0000" mc:Ignorable="a14" a14:legacySpreadsheetColorIndex="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552450</xdr:colOff>
      <xdr:row>1128</xdr:row>
      <xdr:rowOff>85725</xdr:rowOff>
    </xdr:from>
    <xdr:to>
      <xdr:col>5</xdr:col>
      <xdr:colOff>19050</xdr:colOff>
      <xdr:row>1128</xdr:row>
      <xdr:rowOff>85725</xdr:rowOff>
    </xdr:to>
    <xdr:sp macro="" textlink="">
      <xdr:nvSpPr>
        <xdr:cNvPr id="2001" name="Line 977"/>
        <xdr:cNvSpPr>
          <a:spLocks noChangeShapeType="1"/>
        </xdr:cNvSpPr>
      </xdr:nvSpPr>
      <xdr:spPr bwMode="auto">
        <a:xfrm>
          <a:off x="2076450" y="18564225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66675</xdr:colOff>
      <xdr:row>1128</xdr:row>
      <xdr:rowOff>95250</xdr:rowOff>
    </xdr:from>
    <xdr:to>
      <xdr:col>6</xdr:col>
      <xdr:colOff>485775</xdr:colOff>
      <xdr:row>1128</xdr:row>
      <xdr:rowOff>95250</xdr:rowOff>
    </xdr:to>
    <xdr:sp macro="" textlink="">
      <xdr:nvSpPr>
        <xdr:cNvPr id="2002" name="Line 978"/>
        <xdr:cNvSpPr>
          <a:spLocks noChangeShapeType="1"/>
        </xdr:cNvSpPr>
      </xdr:nvSpPr>
      <xdr:spPr bwMode="auto">
        <a:xfrm>
          <a:off x="3362325" y="185651775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2</xdr:row>
      <xdr:rowOff>133350</xdr:rowOff>
    </xdr:from>
    <xdr:to>
      <xdr:col>6</xdr:col>
      <xdr:colOff>381000</xdr:colOff>
      <xdr:row>5</xdr:row>
      <xdr:rowOff>19050</xdr:rowOff>
    </xdr:to>
    <xdr:sp macro="" textlink="">
      <xdr:nvSpPr>
        <xdr:cNvPr id="8031" name="Text Box 1887"/>
        <xdr:cNvSpPr txBox="1">
          <a:spLocks noChangeArrowheads="1"/>
        </xdr:cNvSpPr>
      </xdr:nvSpPr>
      <xdr:spPr bwMode="auto">
        <a:xfrm>
          <a:off x="2028825" y="457200"/>
          <a:ext cx="16478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Holcim Group Support Ltd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Cement Manufacturing Services</a:t>
          </a:r>
          <a:endParaRPr lang="en-US"/>
        </a:p>
      </xdr:txBody>
    </xdr:sp>
    <xdr:clientData/>
  </xdr:twoCellAnchor>
  <xdr:twoCellAnchor>
    <xdr:from>
      <xdr:col>3</xdr:col>
      <xdr:colOff>0</xdr:colOff>
      <xdr:row>576</xdr:row>
      <xdr:rowOff>0</xdr:rowOff>
    </xdr:from>
    <xdr:to>
      <xdr:col>3</xdr:col>
      <xdr:colOff>123825</xdr:colOff>
      <xdr:row>577</xdr:row>
      <xdr:rowOff>0</xdr:rowOff>
    </xdr:to>
    <xdr:sp macro="" textlink="">
      <xdr:nvSpPr>
        <xdr:cNvPr id="9756" name="Text Box 3612"/>
        <xdr:cNvSpPr txBox="1">
          <a:spLocks noChangeArrowheads="1"/>
        </xdr:cNvSpPr>
      </xdr:nvSpPr>
      <xdr:spPr bwMode="auto">
        <a:xfrm>
          <a:off x="1524000" y="946499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F</a:t>
          </a:r>
          <a:endParaRPr lang="en-US"/>
        </a:p>
      </xdr:txBody>
    </xdr:sp>
    <xdr:clientData/>
  </xdr:twoCellAnchor>
  <xdr:twoCellAnchor>
    <xdr:from>
      <xdr:col>7</xdr:col>
      <xdr:colOff>0</xdr:colOff>
      <xdr:row>598</xdr:row>
      <xdr:rowOff>0</xdr:rowOff>
    </xdr:from>
    <xdr:to>
      <xdr:col>7</xdr:col>
      <xdr:colOff>123825</xdr:colOff>
      <xdr:row>599</xdr:row>
      <xdr:rowOff>0</xdr:rowOff>
    </xdr:to>
    <xdr:sp macro="" textlink="">
      <xdr:nvSpPr>
        <xdr:cNvPr id="9757" name="Text Box 3613"/>
        <xdr:cNvSpPr txBox="1">
          <a:spLocks noChangeArrowheads="1"/>
        </xdr:cNvSpPr>
      </xdr:nvSpPr>
      <xdr:spPr bwMode="auto">
        <a:xfrm>
          <a:off x="3886200" y="991838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G</a:t>
          </a:r>
          <a:endParaRPr lang="en-US"/>
        </a:p>
      </xdr:txBody>
    </xdr:sp>
    <xdr:clientData/>
  </xdr:twoCellAnchor>
  <xdr:twoCellAnchor>
    <xdr:from>
      <xdr:col>7</xdr:col>
      <xdr:colOff>619125</xdr:colOff>
      <xdr:row>541</xdr:row>
      <xdr:rowOff>0</xdr:rowOff>
    </xdr:from>
    <xdr:to>
      <xdr:col>8</xdr:col>
      <xdr:colOff>0</xdr:colOff>
      <xdr:row>542</xdr:row>
      <xdr:rowOff>0</xdr:rowOff>
    </xdr:to>
    <xdr:sp macro="" textlink="">
      <xdr:nvSpPr>
        <xdr:cNvPr id="9849" name="Text Box 3705"/>
        <xdr:cNvSpPr txBox="1">
          <a:spLocks noChangeArrowheads="1"/>
        </xdr:cNvSpPr>
      </xdr:nvSpPr>
      <xdr:spPr bwMode="auto">
        <a:xfrm>
          <a:off x="4505325" y="890682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D</a:t>
          </a:r>
          <a:endParaRPr lang="en-US"/>
        </a:p>
      </xdr:txBody>
    </xdr:sp>
    <xdr:clientData/>
  </xdr:twoCellAnchor>
  <xdr:twoCellAnchor>
    <xdr:from>
      <xdr:col>7</xdr:col>
      <xdr:colOff>609600</xdr:colOff>
      <xdr:row>532</xdr:row>
      <xdr:rowOff>0</xdr:rowOff>
    </xdr:from>
    <xdr:to>
      <xdr:col>7</xdr:col>
      <xdr:colOff>733425</xdr:colOff>
      <xdr:row>533</xdr:row>
      <xdr:rowOff>0</xdr:rowOff>
    </xdr:to>
    <xdr:sp macro="" textlink="">
      <xdr:nvSpPr>
        <xdr:cNvPr id="9850" name="Text Box 3706"/>
        <xdr:cNvSpPr txBox="1">
          <a:spLocks noChangeArrowheads="1"/>
        </xdr:cNvSpPr>
      </xdr:nvSpPr>
      <xdr:spPr bwMode="auto">
        <a:xfrm>
          <a:off x="4495800" y="874490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C</a:t>
          </a:r>
          <a:endParaRPr lang="en-US"/>
        </a:p>
      </xdr:txBody>
    </xdr:sp>
    <xdr:clientData/>
  </xdr:twoCellAnchor>
  <xdr:twoCellAnchor>
    <xdr:from>
      <xdr:col>1</xdr:col>
      <xdr:colOff>0</xdr:colOff>
      <xdr:row>554</xdr:row>
      <xdr:rowOff>0</xdr:rowOff>
    </xdr:from>
    <xdr:to>
      <xdr:col>1</xdr:col>
      <xdr:colOff>123825</xdr:colOff>
      <xdr:row>555</xdr:row>
      <xdr:rowOff>0</xdr:rowOff>
    </xdr:to>
    <xdr:sp macro="" textlink="">
      <xdr:nvSpPr>
        <xdr:cNvPr id="10054" name="Text Box 3910"/>
        <xdr:cNvSpPr txBox="1">
          <a:spLocks noChangeArrowheads="1"/>
        </xdr:cNvSpPr>
      </xdr:nvSpPr>
      <xdr:spPr bwMode="auto">
        <a:xfrm>
          <a:off x="333375" y="911733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C</a:t>
          </a:r>
          <a:endParaRPr lang="en-US"/>
        </a:p>
      </xdr:txBody>
    </xdr:sp>
    <xdr:clientData/>
  </xdr:twoCellAnchor>
  <xdr:twoCellAnchor>
    <xdr:from>
      <xdr:col>1</xdr:col>
      <xdr:colOff>0</xdr:colOff>
      <xdr:row>555</xdr:row>
      <xdr:rowOff>0</xdr:rowOff>
    </xdr:from>
    <xdr:to>
      <xdr:col>1</xdr:col>
      <xdr:colOff>123825</xdr:colOff>
      <xdr:row>556</xdr:row>
      <xdr:rowOff>0</xdr:rowOff>
    </xdr:to>
    <xdr:sp macro="" textlink="">
      <xdr:nvSpPr>
        <xdr:cNvPr id="10055" name="Text Box 3911"/>
        <xdr:cNvSpPr txBox="1">
          <a:spLocks noChangeArrowheads="1"/>
        </xdr:cNvSpPr>
      </xdr:nvSpPr>
      <xdr:spPr bwMode="auto">
        <a:xfrm>
          <a:off x="333375" y="913352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D</a:t>
          </a:r>
          <a:endParaRPr lang="en-US"/>
        </a:p>
      </xdr:txBody>
    </xdr:sp>
    <xdr:clientData/>
  </xdr:twoCellAnchor>
  <xdr:twoCellAnchor>
    <xdr:from>
      <xdr:col>5</xdr:col>
      <xdr:colOff>466725</xdr:colOff>
      <xdr:row>505</xdr:row>
      <xdr:rowOff>0</xdr:rowOff>
    </xdr:from>
    <xdr:to>
      <xdr:col>6</xdr:col>
      <xdr:colOff>0</xdr:colOff>
      <xdr:row>506</xdr:row>
      <xdr:rowOff>0</xdr:rowOff>
    </xdr:to>
    <xdr:sp macro="" textlink="">
      <xdr:nvSpPr>
        <xdr:cNvPr id="10056" name="Text Box 3912"/>
        <xdr:cNvSpPr txBox="1">
          <a:spLocks noChangeArrowheads="1"/>
        </xdr:cNvSpPr>
      </xdr:nvSpPr>
      <xdr:spPr bwMode="auto">
        <a:xfrm>
          <a:off x="3171825" y="828389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5</xdr:col>
      <xdr:colOff>466725</xdr:colOff>
      <xdr:row>506</xdr:row>
      <xdr:rowOff>0</xdr:rowOff>
    </xdr:from>
    <xdr:to>
      <xdr:col>6</xdr:col>
      <xdr:colOff>0</xdr:colOff>
      <xdr:row>507</xdr:row>
      <xdr:rowOff>0</xdr:rowOff>
    </xdr:to>
    <xdr:sp macro="" textlink="">
      <xdr:nvSpPr>
        <xdr:cNvPr id="10057" name="Text Box 3913"/>
        <xdr:cNvSpPr txBox="1">
          <a:spLocks noChangeArrowheads="1"/>
        </xdr:cNvSpPr>
      </xdr:nvSpPr>
      <xdr:spPr bwMode="auto">
        <a:xfrm>
          <a:off x="3171825" y="830008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B</a:t>
          </a:r>
          <a:endParaRPr lang="en-US"/>
        </a:p>
      </xdr:txBody>
    </xdr:sp>
    <xdr:clientData/>
  </xdr:twoCellAnchor>
  <xdr:twoCellAnchor>
    <xdr:from>
      <xdr:col>1</xdr:col>
      <xdr:colOff>0</xdr:colOff>
      <xdr:row>511</xdr:row>
      <xdr:rowOff>0</xdr:rowOff>
    </xdr:from>
    <xdr:to>
      <xdr:col>1</xdr:col>
      <xdr:colOff>123825</xdr:colOff>
      <xdr:row>512</xdr:row>
      <xdr:rowOff>0</xdr:rowOff>
    </xdr:to>
    <xdr:sp macro="" textlink="">
      <xdr:nvSpPr>
        <xdr:cNvPr id="10058" name="Text Box 3914"/>
        <xdr:cNvSpPr txBox="1">
          <a:spLocks noChangeArrowheads="1"/>
        </xdr:cNvSpPr>
      </xdr:nvSpPr>
      <xdr:spPr bwMode="auto">
        <a:xfrm>
          <a:off x="333375" y="838104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1</xdr:col>
      <xdr:colOff>0</xdr:colOff>
      <xdr:row>512</xdr:row>
      <xdr:rowOff>0</xdr:rowOff>
    </xdr:from>
    <xdr:to>
      <xdr:col>1</xdr:col>
      <xdr:colOff>123825</xdr:colOff>
      <xdr:row>513</xdr:row>
      <xdr:rowOff>0</xdr:rowOff>
    </xdr:to>
    <xdr:sp macro="" textlink="">
      <xdr:nvSpPr>
        <xdr:cNvPr id="10059" name="Text Box 3915"/>
        <xdr:cNvSpPr txBox="1">
          <a:spLocks noChangeArrowheads="1"/>
        </xdr:cNvSpPr>
      </xdr:nvSpPr>
      <xdr:spPr bwMode="auto">
        <a:xfrm>
          <a:off x="333375" y="839724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B</a:t>
          </a:r>
          <a:endParaRPr lang="en-US"/>
        </a:p>
      </xdr:txBody>
    </xdr:sp>
    <xdr:clientData/>
  </xdr:twoCellAnchor>
  <xdr:twoCellAnchor>
    <xdr:from>
      <xdr:col>1</xdr:col>
      <xdr:colOff>9525</xdr:colOff>
      <xdr:row>631</xdr:row>
      <xdr:rowOff>0</xdr:rowOff>
    </xdr:from>
    <xdr:to>
      <xdr:col>1</xdr:col>
      <xdr:colOff>133350</xdr:colOff>
      <xdr:row>632</xdr:row>
      <xdr:rowOff>0</xdr:rowOff>
    </xdr:to>
    <xdr:sp macro="" textlink="">
      <xdr:nvSpPr>
        <xdr:cNvPr id="10075" name="Text Box 3931"/>
        <xdr:cNvSpPr txBox="1">
          <a:spLocks noChangeArrowheads="1"/>
        </xdr:cNvSpPr>
      </xdr:nvSpPr>
      <xdr:spPr bwMode="auto">
        <a:xfrm>
          <a:off x="342900" y="1048512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H</a:t>
          </a:r>
          <a:endParaRPr lang="en-US"/>
        </a:p>
      </xdr:txBody>
    </xdr:sp>
    <xdr:clientData/>
  </xdr:twoCellAnchor>
  <xdr:twoCellAnchor>
    <xdr:from>
      <xdr:col>1</xdr:col>
      <xdr:colOff>0</xdr:colOff>
      <xdr:row>627</xdr:row>
      <xdr:rowOff>0</xdr:rowOff>
    </xdr:from>
    <xdr:to>
      <xdr:col>1</xdr:col>
      <xdr:colOff>123825</xdr:colOff>
      <xdr:row>628</xdr:row>
      <xdr:rowOff>0</xdr:rowOff>
    </xdr:to>
    <xdr:sp macro="" textlink="">
      <xdr:nvSpPr>
        <xdr:cNvPr id="10076" name="Text Box 3932"/>
        <xdr:cNvSpPr txBox="1">
          <a:spLocks noChangeArrowheads="1"/>
        </xdr:cNvSpPr>
      </xdr:nvSpPr>
      <xdr:spPr bwMode="auto">
        <a:xfrm>
          <a:off x="333375" y="1042035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G</a:t>
          </a:r>
          <a:endParaRPr lang="en-US"/>
        </a:p>
      </xdr:txBody>
    </xdr:sp>
    <xdr:clientData/>
  </xdr:twoCellAnchor>
  <xdr:twoCellAnchor>
    <xdr:from>
      <xdr:col>1</xdr:col>
      <xdr:colOff>0</xdr:colOff>
      <xdr:row>623</xdr:row>
      <xdr:rowOff>0</xdr:rowOff>
    </xdr:from>
    <xdr:to>
      <xdr:col>1</xdr:col>
      <xdr:colOff>123825</xdr:colOff>
      <xdr:row>624</xdr:row>
      <xdr:rowOff>0</xdr:rowOff>
    </xdr:to>
    <xdr:sp macro="" textlink="">
      <xdr:nvSpPr>
        <xdr:cNvPr id="10077" name="Text Box 3933"/>
        <xdr:cNvSpPr txBox="1">
          <a:spLocks noChangeArrowheads="1"/>
        </xdr:cNvSpPr>
      </xdr:nvSpPr>
      <xdr:spPr bwMode="auto">
        <a:xfrm>
          <a:off x="333375" y="1035558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F</a:t>
          </a:r>
          <a:endParaRPr lang="en-US"/>
        </a:p>
      </xdr:txBody>
    </xdr:sp>
    <xdr:clientData/>
  </xdr:twoCellAnchor>
  <xdr:twoCellAnchor>
    <xdr:from>
      <xdr:col>1</xdr:col>
      <xdr:colOff>9525</xdr:colOff>
      <xdr:row>633</xdr:row>
      <xdr:rowOff>0</xdr:rowOff>
    </xdr:from>
    <xdr:to>
      <xdr:col>1</xdr:col>
      <xdr:colOff>133350</xdr:colOff>
      <xdr:row>634</xdr:row>
      <xdr:rowOff>0</xdr:rowOff>
    </xdr:to>
    <xdr:sp macro="" textlink="">
      <xdr:nvSpPr>
        <xdr:cNvPr id="10078" name="Text Box 3934"/>
        <xdr:cNvSpPr txBox="1">
          <a:spLocks noChangeArrowheads="1"/>
        </xdr:cNvSpPr>
      </xdr:nvSpPr>
      <xdr:spPr bwMode="auto">
        <a:xfrm>
          <a:off x="342900" y="1051750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I</a:t>
          </a:r>
          <a:endParaRPr lang="en-US"/>
        </a:p>
      </xdr:txBody>
    </xdr:sp>
    <xdr:clientData/>
  </xdr:twoCellAnchor>
  <xdr:twoCellAnchor>
    <xdr:from>
      <xdr:col>7</xdr:col>
      <xdr:colOff>0</xdr:colOff>
      <xdr:row>604</xdr:row>
      <xdr:rowOff>0</xdr:rowOff>
    </xdr:from>
    <xdr:to>
      <xdr:col>7</xdr:col>
      <xdr:colOff>123825</xdr:colOff>
      <xdr:row>605</xdr:row>
      <xdr:rowOff>0</xdr:rowOff>
    </xdr:to>
    <xdr:sp macro="" textlink="">
      <xdr:nvSpPr>
        <xdr:cNvPr id="10079" name="Text Box 3935"/>
        <xdr:cNvSpPr txBox="1">
          <a:spLocks noChangeArrowheads="1"/>
        </xdr:cNvSpPr>
      </xdr:nvSpPr>
      <xdr:spPr bwMode="auto">
        <a:xfrm>
          <a:off x="3886200" y="1001553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H</a:t>
          </a:r>
          <a:endParaRPr lang="en-US"/>
        </a:p>
      </xdr:txBody>
    </xdr:sp>
    <xdr:clientData/>
  </xdr:twoCellAnchor>
  <xdr:twoCellAnchor>
    <xdr:from>
      <xdr:col>1</xdr:col>
      <xdr:colOff>9525</xdr:colOff>
      <xdr:row>635</xdr:row>
      <xdr:rowOff>0</xdr:rowOff>
    </xdr:from>
    <xdr:to>
      <xdr:col>1</xdr:col>
      <xdr:colOff>133350</xdr:colOff>
      <xdr:row>636</xdr:row>
      <xdr:rowOff>0</xdr:rowOff>
    </xdr:to>
    <xdr:sp macro="" textlink="">
      <xdr:nvSpPr>
        <xdr:cNvPr id="10080" name="Text Box 3936"/>
        <xdr:cNvSpPr txBox="1">
          <a:spLocks noChangeArrowheads="1"/>
        </xdr:cNvSpPr>
      </xdr:nvSpPr>
      <xdr:spPr bwMode="auto">
        <a:xfrm>
          <a:off x="342900" y="1054989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J</a:t>
          </a:r>
          <a:endParaRPr lang="en-US"/>
        </a:p>
      </xdr:txBody>
    </xdr:sp>
    <xdr:clientData/>
  </xdr:twoCellAnchor>
  <xdr:twoCellAnchor>
    <xdr:from>
      <xdr:col>1</xdr:col>
      <xdr:colOff>9525</xdr:colOff>
      <xdr:row>637</xdr:row>
      <xdr:rowOff>0</xdr:rowOff>
    </xdr:from>
    <xdr:to>
      <xdr:col>1</xdr:col>
      <xdr:colOff>133350</xdr:colOff>
      <xdr:row>638</xdr:row>
      <xdr:rowOff>0</xdr:rowOff>
    </xdr:to>
    <xdr:sp macro="" textlink="">
      <xdr:nvSpPr>
        <xdr:cNvPr id="10081" name="Text Box 3937"/>
        <xdr:cNvSpPr txBox="1">
          <a:spLocks noChangeArrowheads="1"/>
        </xdr:cNvSpPr>
      </xdr:nvSpPr>
      <xdr:spPr bwMode="auto">
        <a:xfrm>
          <a:off x="342900" y="1058227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K</a:t>
          </a:r>
          <a:endParaRPr lang="en-US"/>
        </a:p>
      </xdr:txBody>
    </xdr:sp>
    <xdr:clientData/>
  </xdr:twoCellAnchor>
  <xdr:twoCellAnchor>
    <xdr:from>
      <xdr:col>8</xdr:col>
      <xdr:colOff>0</xdr:colOff>
      <xdr:row>612</xdr:row>
      <xdr:rowOff>0</xdr:rowOff>
    </xdr:from>
    <xdr:to>
      <xdr:col>8</xdr:col>
      <xdr:colOff>123825</xdr:colOff>
      <xdr:row>613</xdr:row>
      <xdr:rowOff>0</xdr:rowOff>
    </xdr:to>
    <xdr:sp macro="" textlink="">
      <xdr:nvSpPr>
        <xdr:cNvPr id="10082" name="Text Box 3938"/>
        <xdr:cNvSpPr txBox="1">
          <a:spLocks noChangeArrowheads="1"/>
        </xdr:cNvSpPr>
      </xdr:nvSpPr>
      <xdr:spPr bwMode="auto">
        <a:xfrm>
          <a:off x="4629150" y="1014507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J</a:t>
          </a:r>
          <a:endParaRPr lang="en-US"/>
        </a:p>
      </xdr:txBody>
    </xdr:sp>
    <xdr:clientData/>
  </xdr:twoCellAnchor>
  <xdr:twoCellAnchor>
    <xdr:from>
      <xdr:col>8</xdr:col>
      <xdr:colOff>0</xdr:colOff>
      <xdr:row>613</xdr:row>
      <xdr:rowOff>0</xdr:rowOff>
    </xdr:from>
    <xdr:to>
      <xdr:col>8</xdr:col>
      <xdr:colOff>123825</xdr:colOff>
      <xdr:row>614</xdr:row>
      <xdr:rowOff>0</xdr:rowOff>
    </xdr:to>
    <xdr:sp macro="" textlink="">
      <xdr:nvSpPr>
        <xdr:cNvPr id="10083" name="Text Box 3939"/>
        <xdr:cNvSpPr txBox="1">
          <a:spLocks noChangeArrowheads="1"/>
        </xdr:cNvSpPr>
      </xdr:nvSpPr>
      <xdr:spPr bwMode="auto">
        <a:xfrm>
          <a:off x="4629150" y="1016127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K</a:t>
          </a:r>
          <a:endParaRPr lang="en-US"/>
        </a:p>
      </xdr:txBody>
    </xdr:sp>
    <xdr:clientData/>
  </xdr:twoCellAnchor>
  <xdr:twoCellAnchor>
    <xdr:from>
      <xdr:col>8</xdr:col>
      <xdr:colOff>0</xdr:colOff>
      <xdr:row>614</xdr:row>
      <xdr:rowOff>0</xdr:rowOff>
    </xdr:from>
    <xdr:to>
      <xdr:col>8</xdr:col>
      <xdr:colOff>123825</xdr:colOff>
      <xdr:row>615</xdr:row>
      <xdr:rowOff>0</xdr:rowOff>
    </xdr:to>
    <xdr:sp macro="" textlink="">
      <xdr:nvSpPr>
        <xdr:cNvPr id="10084" name="Text Box 3940"/>
        <xdr:cNvSpPr txBox="1">
          <a:spLocks noChangeArrowheads="1"/>
        </xdr:cNvSpPr>
      </xdr:nvSpPr>
      <xdr:spPr bwMode="auto">
        <a:xfrm>
          <a:off x="4629150" y="1017746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L</a:t>
          </a:r>
          <a:endParaRPr lang="en-US"/>
        </a:p>
      </xdr:txBody>
    </xdr:sp>
    <xdr:clientData/>
  </xdr:twoCellAnchor>
  <xdr:twoCellAnchor>
    <xdr:from>
      <xdr:col>1</xdr:col>
      <xdr:colOff>9525</xdr:colOff>
      <xdr:row>639</xdr:row>
      <xdr:rowOff>0</xdr:rowOff>
    </xdr:from>
    <xdr:to>
      <xdr:col>1</xdr:col>
      <xdr:colOff>133350</xdr:colOff>
      <xdr:row>640</xdr:row>
      <xdr:rowOff>0</xdr:rowOff>
    </xdr:to>
    <xdr:sp macro="" textlink="">
      <xdr:nvSpPr>
        <xdr:cNvPr id="10085" name="Text Box 3941"/>
        <xdr:cNvSpPr txBox="1">
          <a:spLocks noChangeArrowheads="1"/>
        </xdr:cNvSpPr>
      </xdr:nvSpPr>
      <xdr:spPr bwMode="auto">
        <a:xfrm>
          <a:off x="342900" y="1061466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L</a:t>
          </a:r>
          <a:endParaRPr lang="en-US"/>
        </a:p>
      </xdr:txBody>
    </xdr:sp>
    <xdr:clientData/>
  </xdr:twoCellAnchor>
  <xdr:twoCellAnchor>
    <xdr:from>
      <xdr:col>7</xdr:col>
      <xdr:colOff>0</xdr:colOff>
      <xdr:row>607</xdr:row>
      <xdr:rowOff>0</xdr:rowOff>
    </xdr:from>
    <xdr:to>
      <xdr:col>7</xdr:col>
      <xdr:colOff>123825</xdr:colOff>
      <xdr:row>608</xdr:row>
      <xdr:rowOff>0</xdr:rowOff>
    </xdr:to>
    <xdr:sp macro="" textlink="">
      <xdr:nvSpPr>
        <xdr:cNvPr id="10089" name="Text Box 3945"/>
        <xdr:cNvSpPr txBox="1">
          <a:spLocks noChangeArrowheads="1"/>
        </xdr:cNvSpPr>
      </xdr:nvSpPr>
      <xdr:spPr bwMode="auto">
        <a:xfrm>
          <a:off x="3886200" y="1006411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I</a:t>
          </a:r>
          <a:endParaRPr lang="en-US"/>
        </a:p>
      </xdr:txBody>
    </xdr:sp>
    <xdr:clientData/>
  </xdr:twoCellAnchor>
  <xdr:twoCellAnchor>
    <xdr:from>
      <xdr:col>8</xdr:col>
      <xdr:colOff>0</xdr:colOff>
      <xdr:row>615</xdr:row>
      <xdr:rowOff>0</xdr:rowOff>
    </xdr:from>
    <xdr:to>
      <xdr:col>8</xdr:col>
      <xdr:colOff>123825</xdr:colOff>
      <xdr:row>616</xdr:row>
      <xdr:rowOff>0</xdr:rowOff>
    </xdr:to>
    <xdr:sp macro="" textlink="">
      <xdr:nvSpPr>
        <xdr:cNvPr id="17495" name="Text Box 5207"/>
        <xdr:cNvSpPr txBox="1">
          <a:spLocks noChangeArrowheads="1"/>
        </xdr:cNvSpPr>
      </xdr:nvSpPr>
      <xdr:spPr bwMode="auto">
        <a:xfrm>
          <a:off x="4629150" y="1019365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M</a:t>
          </a:r>
          <a:endParaRPr lang="en-US"/>
        </a:p>
      </xdr:txBody>
    </xdr:sp>
    <xdr:clientData/>
  </xdr:twoCellAnchor>
  <xdr:twoCellAnchor>
    <xdr:from>
      <xdr:col>1</xdr:col>
      <xdr:colOff>9525</xdr:colOff>
      <xdr:row>642</xdr:row>
      <xdr:rowOff>0</xdr:rowOff>
    </xdr:from>
    <xdr:to>
      <xdr:col>1</xdr:col>
      <xdr:colOff>133350</xdr:colOff>
      <xdr:row>643</xdr:row>
      <xdr:rowOff>0</xdr:rowOff>
    </xdr:to>
    <xdr:sp macro="" textlink="">
      <xdr:nvSpPr>
        <xdr:cNvPr id="17496" name="Text Box 5208"/>
        <xdr:cNvSpPr txBox="1">
          <a:spLocks noChangeArrowheads="1"/>
        </xdr:cNvSpPr>
      </xdr:nvSpPr>
      <xdr:spPr bwMode="auto">
        <a:xfrm>
          <a:off x="342900" y="1066323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chemeClr val="accent1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66FF"/>
              </a:solidFill>
              <a:latin typeface="Arial Narrow"/>
            </a:rPr>
            <a:t>M</a:t>
          </a:r>
          <a:endParaRPr lang="en-US">
            <a:solidFill>
              <a:srgbClr val="0066FF"/>
            </a:solidFill>
          </a:endParaRPr>
        </a:p>
      </xdr:txBody>
    </xdr:sp>
    <xdr:clientData/>
  </xdr:twoCellAnchor>
  <xdr:twoCellAnchor>
    <xdr:from>
      <xdr:col>6</xdr:col>
      <xdr:colOff>457200</xdr:colOff>
      <xdr:row>559</xdr:row>
      <xdr:rowOff>0</xdr:rowOff>
    </xdr:from>
    <xdr:to>
      <xdr:col>6</xdr:col>
      <xdr:colOff>581025</xdr:colOff>
      <xdr:row>560</xdr:row>
      <xdr:rowOff>0</xdr:rowOff>
    </xdr:to>
    <xdr:sp macro="" textlink="">
      <xdr:nvSpPr>
        <xdr:cNvPr id="17498" name="Text Box 5210"/>
        <xdr:cNvSpPr txBox="1">
          <a:spLocks noChangeArrowheads="1"/>
        </xdr:cNvSpPr>
      </xdr:nvSpPr>
      <xdr:spPr bwMode="auto">
        <a:xfrm>
          <a:off x="3752850" y="919829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E</a:t>
          </a:r>
          <a:endParaRPr lang="en-US"/>
        </a:p>
      </xdr:txBody>
    </xdr:sp>
    <xdr:clientData/>
  </xdr:twoCellAnchor>
  <xdr:twoCellAnchor>
    <xdr:from>
      <xdr:col>1</xdr:col>
      <xdr:colOff>9525</xdr:colOff>
      <xdr:row>561</xdr:row>
      <xdr:rowOff>0</xdr:rowOff>
    </xdr:from>
    <xdr:to>
      <xdr:col>1</xdr:col>
      <xdr:colOff>133350</xdr:colOff>
      <xdr:row>562</xdr:row>
      <xdr:rowOff>0</xdr:rowOff>
    </xdr:to>
    <xdr:sp macro="" textlink="">
      <xdr:nvSpPr>
        <xdr:cNvPr id="17499" name="Text Box 5211"/>
        <xdr:cNvSpPr txBox="1">
          <a:spLocks noChangeArrowheads="1"/>
        </xdr:cNvSpPr>
      </xdr:nvSpPr>
      <xdr:spPr bwMode="auto">
        <a:xfrm>
          <a:off x="342900" y="923067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E</a:t>
          </a:r>
          <a:endParaRPr lang="en-US"/>
        </a:p>
      </xdr:txBody>
    </xdr:sp>
    <xdr:clientData/>
  </xdr:twoCellAnchor>
  <xdr:twoCellAnchor>
    <xdr:from>
      <xdr:col>2</xdr:col>
      <xdr:colOff>466725</xdr:colOff>
      <xdr:row>343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18086" name="Text Box 5798"/>
        <xdr:cNvSpPr txBox="1">
          <a:spLocks noChangeArrowheads="1"/>
        </xdr:cNvSpPr>
      </xdr:nvSpPr>
      <xdr:spPr bwMode="auto">
        <a:xfrm>
          <a:off x="1400175" y="554831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2</xdr:col>
      <xdr:colOff>466725</xdr:colOff>
      <xdr:row>344</xdr:row>
      <xdr:rowOff>0</xdr:rowOff>
    </xdr:from>
    <xdr:to>
      <xdr:col>3</xdr:col>
      <xdr:colOff>0</xdr:colOff>
      <xdr:row>345</xdr:row>
      <xdr:rowOff>0</xdr:rowOff>
    </xdr:to>
    <xdr:sp macro="" textlink="">
      <xdr:nvSpPr>
        <xdr:cNvPr id="18087" name="Text Box 5799"/>
        <xdr:cNvSpPr txBox="1">
          <a:spLocks noChangeArrowheads="1"/>
        </xdr:cNvSpPr>
      </xdr:nvSpPr>
      <xdr:spPr bwMode="auto">
        <a:xfrm>
          <a:off x="1400175" y="556450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2</xdr:col>
      <xdr:colOff>466725</xdr:colOff>
      <xdr:row>345</xdr:row>
      <xdr:rowOff>0</xdr:rowOff>
    </xdr:from>
    <xdr:to>
      <xdr:col>3</xdr:col>
      <xdr:colOff>0</xdr:colOff>
      <xdr:row>346</xdr:row>
      <xdr:rowOff>0</xdr:rowOff>
    </xdr:to>
    <xdr:sp macro="" textlink="">
      <xdr:nvSpPr>
        <xdr:cNvPr id="18088" name="Text Box 5800"/>
        <xdr:cNvSpPr txBox="1">
          <a:spLocks noChangeArrowheads="1"/>
        </xdr:cNvSpPr>
      </xdr:nvSpPr>
      <xdr:spPr bwMode="auto">
        <a:xfrm>
          <a:off x="1400175" y="558069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2</xdr:col>
      <xdr:colOff>466725</xdr:colOff>
      <xdr:row>346</xdr:row>
      <xdr:rowOff>0</xdr:rowOff>
    </xdr:from>
    <xdr:to>
      <xdr:col>3</xdr:col>
      <xdr:colOff>0</xdr:colOff>
      <xdr:row>347</xdr:row>
      <xdr:rowOff>0</xdr:rowOff>
    </xdr:to>
    <xdr:sp macro="" textlink="">
      <xdr:nvSpPr>
        <xdr:cNvPr id="18089" name="Text Box 5801"/>
        <xdr:cNvSpPr txBox="1">
          <a:spLocks noChangeArrowheads="1"/>
        </xdr:cNvSpPr>
      </xdr:nvSpPr>
      <xdr:spPr bwMode="auto">
        <a:xfrm>
          <a:off x="1400175" y="559689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1</xdr:col>
      <xdr:colOff>0</xdr:colOff>
      <xdr:row>372</xdr:row>
      <xdr:rowOff>0</xdr:rowOff>
    </xdr:from>
    <xdr:to>
      <xdr:col>1</xdr:col>
      <xdr:colOff>123825</xdr:colOff>
      <xdr:row>373</xdr:row>
      <xdr:rowOff>0</xdr:rowOff>
    </xdr:to>
    <xdr:sp macro="" textlink="">
      <xdr:nvSpPr>
        <xdr:cNvPr id="18154" name="Text Box 5866"/>
        <xdr:cNvSpPr txBox="1">
          <a:spLocks noChangeArrowheads="1"/>
        </xdr:cNvSpPr>
      </xdr:nvSpPr>
      <xdr:spPr bwMode="auto">
        <a:xfrm>
          <a:off x="333375" y="601789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8</xdr:col>
      <xdr:colOff>0</xdr:colOff>
      <xdr:row>843</xdr:row>
      <xdr:rowOff>0</xdr:rowOff>
    </xdr:from>
    <xdr:to>
      <xdr:col>9</xdr:col>
      <xdr:colOff>0</xdr:colOff>
      <xdr:row>844</xdr:row>
      <xdr:rowOff>0</xdr:rowOff>
    </xdr:to>
    <xdr:sp macro="" textlink="">
      <xdr:nvSpPr>
        <xdr:cNvPr id="19856" name="Rectangle 7568"/>
        <xdr:cNvSpPr>
          <a:spLocks noChangeArrowheads="1"/>
        </xdr:cNvSpPr>
      </xdr:nvSpPr>
      <xdr:spPr bwMode="auto">
        <a:xfrm>
          <a:off x="4629150" y="139255500"/>
          <a:ext cx="590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19050</xdr:colOff>
      <xdr:row>361</xdr:row>
      <xdr:rowOff>0</xdr:rowOff>
    </xdr:from>
    <xdr:to>
      <xdr:col>10</xdr:col>
      <xdr:colOff>142875</xdr:colOff>
      <xdr:row>362</xdr:row>
      <xdr:rowOff>0</xdr:rowOff>
    </xdr:to>
    <xdr:sp macro="" textlink="">
      <xdr:nvSpPr>
        <xdr:cNvPr id="20071" name="Text Box 7783"/>
        <xdr:cNvSpPr txBox="1">
          <a:spLocks noChangeArrowheads="1"/>
        </xdr:cNvSpPr>
      </xdr:nvSpPr>
      <xdr:spPr bwMode="auto">
        <a:xfrm>
          <a:off x="5829300" y="583977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B</a:t>
          </a:r>
          <a:endParaRPr lang="en-US"/>
        </a:p>
      </xdr:txBody>
    </xdr:sp>
    <xdr:clientData/>
  </xdr:twoCellAnchor>
  <xdr:twoCellAnchor>
    <xdr:from>
      <xdr:col>1</xdr:col>
      <xdr:colOff>0</xdr:colOff>
      <xdr:row>387</xdr:row>
      <xdr:rowOff>0</xdr:rowOff>
    </xdr:from>
    <xdr:to>
      <xdr:col>1</xdr:col>
      <xdr:colOff>123825</xdr:colOff>
      <xdr:row>388</xdr:row>
      <xdr:rowOff>0</xdr:rowOff>
    </xdr:to>
    <xdr:sp macro="" textlink="">
      <xdr:nvSpPr>
        <xdr:cNvPr id="20072" name="Text Box 7784"/>
        <xdr:cNvSpPr txBox="1">
          <a:spLocks noChangeArrowheads="1"/>
        </xdr:cNvSpPr>
      </xdr:nvSpPr>
      <xdr:spPr bwMode="auto">
        <a:xfrm>
          <a:off x="333375" y="626078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B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780286</xdr:colOff>
      <xdr:row>106</xdr:row>
      <xdr:rowOff>125345</xdr:rowOff>
    </xdr:from>
    <xdr:to>
      <xdr:col>9</xdr:col>
      <xdr:colOff>13043</xdr:colOff>
      <xdr:row>107</xdr:row>
      <xdr:rowOff>131885</xdr:rowOff>
    </xdr:to>
    <xdr:sp macro="" textlink="">
      <xdr:nvSpPr>
        <xdr:cNvPr id="54" name="Parallelogram 53"/>
        <xdr:cNvSpPr/>
      </xdr:nvSpPr>
      <xdr:spPr bwMode="auto">
        <a:xfrm rot="21265746">
          <a:off x="2271156" y="10296388"/>
          <a:ext cx="4980887" cy="197040"/>
        </a:xfrm>
        <a:prstGeom prst="parallelogram">
          <a:avLst>
            <a:gd name="adj" fmla="val 16398"/>
          </a:avLst>
        </a:prstGeom>
        <a:gradFill flip="none" rotWithShape="1">
          <a:gsLst>
            <a:gs pos="0">
              <a:srgbClr val="000082"/>
            </a:gs>
            <a:gs pos="30000">
              <a:srgbClr val="66008F"/>
            </a:gs>
            <a:gs pos="64999">
              <a:srgbClr val="BA0066"/>
            </a:gs>
            <a:gs pos="89999">
              <a:srgbClr val="FF0000"/>
            </a:gs>
            <a:gs pos="100000">
              <a:srgbClr val="FF8200"/>
            </a:gs>
          </a:gsLst>
          <a:lin ang="0" scaled="1"/>
          <a:tileRect/>
        </a:gra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373161</xdr:colOff>
      <xdr:row>27</xdr:row>
      <xdr:rowOff>9525</xdr:rowOff>
    </xdr:from>
    <xdr:to>
      <xdr:col>9</xdr:col>
      <xdr:colOff>741347</xdr:colOff>
      <xdr:row>36</xdr:row>
      <xdr:rowOff>52659</xdr:rowOff>
    </xdr:to>
    <xdr:pic>
      <xdr:nvPicPr>
        <xdr:cNvPr id="7" name="Picture 6" descr="D:\Users\cengmann\AppData\Local\Temp\SNAGHTMLb45c607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9705"/>
        <a:stretch/>
      </xdr:blipFill>
      <xdr:spPr bwMode="auto">
        <a:xfrm>
          <a:off x="906561" y="5095875"/>
          <a:ext cx="7083311" cy="1529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318215</xdr:colOff>
      <xdr:row>1</xdr:row>
      <xdr:rowOff>79375</xdr:rowOff>
    </xdr:from>
    <xdr:to>
      <xdr:col>2</xdr:col>
      <xdr:colOff>384735</xdr:colOff>
      <xdr:row>2</xdr:row>
      <xdr:rowOff>291352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097" y="247463"/>
          <a:ext cx="1030226" cy="3688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9525</xdr:colOff>
      <xdr:row>7</xdr:row>
      <xdr:rowOff>156881</xdr:rowOff>
    </xdr:from>
    <xdr:to>
      <xdr:col>10</xdr:col>
      <xdr:colOff>15757</xdr:colOff>
      <xdr:row>36</xdr:row>
      <xdr:rowOff>77872</xdr:rowOff>
    </xdr:to>
    <xdr:pic>
      <xdr:nvPicPr>
        <xdr:cNvPr id="8" name="Picture 7" descr="D:\Users\cengmann\AppData\Local\Temp\SNAGHTMLb45c607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992"/>
        <a:stretch/>
      </xdr:blipFill>
      <xdr:spPr bwMode="auto">
        <a:xfrm>
          <a:off x="6467475" y="1509431"/>
          <a:ext cx="1587382" cy="5140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616324</xdr:colOff>
      <xdr:row>102</xdr:row>
      <xdr:rowOff>66261</xdr:rowOff>
    </xdr:from>
    <xdr:to>
      <xdr:col>8</xdr:col>
      <xdr:colOff>621196</xdr:colOff>
      <xdr:row>105</xdr:row>
      <xdr:rowOff>145676</xdr:rowOff>
    </xdr:to>
    <xdr:cxnSp macro="">
      <xdr:nvCxnSpPr>
        <xdr:cNvPr id="16" name="Straight Arrow Connector 15"/>
        <xdr:cNvCxnSpPr/>
      </xdr:nvCxnSpPr>
      <xdr:spPr bwMode="auto">
        <a:xfrm flipH="1">
          <a:off x="7068476" y="9442174"/>
          <a:ext cx="4872" cy="626067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621196</xdr:colOff>
      <xdr:row>102</xdr:row>
      <xdr:rowOff>74544</xdr:rowOff>
    </xdr:from>
    <xdr:to>
      <xdr:col>9</xdr:col>
      <xdr:colOff>313766</xdr:colOff>
      <xdr:row>102</xdr:row>
      <xdr:rowOff>78446</xdr:rowOff>
    </xdr:to>
    <xdr:cxnSp macro="">
      <xdr:nvCxnSpPr>
        <xdr:cNvPr id="17" name="Straight Arrow Connector 16"/>
        <xdr:cNvCxnSpPr/>
      </xdr:nvCxnSpPr>
      <xdr:spPr bwMode="auto">
        <a:xfrm flipH="1" flipV="1">
          <a:off x="7073348" y="9450457"/>
          <a:ext cx="479418" cy="3902"/>
        </a:xfrm>
        <a:prstGeom prst="straightConnector1">
          <a:avLst/>
        </a:prstGeom>
        <a:ln>
          <a:headEnd type="none" w="med" len="med"/>
          <a:tailEnd type="none"/>
        </a:ln>
        <a:extLst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372717</xdr:colOff>
      <xdr:row>98</xdr:row>
      <xdr:rowOff>91106</xdr:rowOff>
    </xdr:from>
    <xdr:to>
      <xdr:col>9</xdr:col>
      <xdr:colOff>670891</xdr:colOff>
      <xdr:row>98</xdr:row>
      <xdr:rowOff>99389</xdr:rowOff>
    </xdr:to>
    <xdr:cxnSp macro="">
      <xdr:nvCxnSpPr>
        <xdr:cNvPr id="22" name="Straight Arrow Connector 21"/>
        <xdr:cNvCxnSpPr/>
      </xdr:nvCxnSpPr>
      <xdr:spPr bwMode="auto">
        <a:xfrm flipV="1">
          <a:off x="6824869" y="8779563"/>
          <a:ext cx="1085022" cy="8283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103</xdr:row>
      <xdr:rowOff>1</xdr:rowOff>
    </xdr:from>
    <xdr:to>
      <xdr:col>9</xdr:col>
      <xdr:colOff>612913</xdr:colOff>
      <xdr:row>105</xdr:row>
      <xdr:rowOff>66261</xdr:rowOff>
    </xdr:to>
    <xdr:cxnSp macro="">
      <xdr:nvCxnSpPr>
        <xdr:cNvPr id="25" name="Straight Arrow Connector 24"/>
        <xdr:cNvCxnSpPr/>
      </xdr:nvCxnSpPr>
      <xdr:spPr bwMode="auto">
        <a:xfrm flipH="1" flipV="1">
          <a:off x="7239000" y="9541566"/>
          <a:ext cx="612913" cy="447260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521806</xdr:colOff>
      <xdr:row>106</xdr:row>
      <xdr:rowOff>99390</xdr:rowOff>
    </xdr:from>
    <xdr:to>
      <xdr:col>9</xdr:col>
      <xdr:colOff>695739</xdr:colOff>
      <xdr:row>106</xdr:row>
      <xdr:rowOff>107673</xdr:rowOff>
    </xdr:to>
    <xdr:cxnSp macro="">
      <xdr:nvCxnSpPr>
        <xdr:cNvPr id="30" name="Straight Arrow Connector 29"/>
        <xdr:cNvCxnSpPr/>
      </xdr:nvCxnSpPr>
      <xdr:spPr bwMode="auto">
        <a:xfrm flipH="1" flipV="1">
          <a:off x="6973958" y="10212455"/>
          <a:ext cx="960781" cy="8283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331304</xdr:colOff>
      <xdr:row>94</xdr:row>
      <xdr:rowOff>99390</xdr:rowOff>
    </xdr:from>
    <xdr:to>
      <xdr:col>9</xdr:col>
      <xdr:colOff>629478</xdr:colOff>
      <xdr:row>94</xdr:row>
      <xdr:rowOff>107673</xdr:rowOff>
    </xdr:to>
    <xdr:cxnSp macro="">
      <xdr:nvCxnSpPr>
        <xdr:cNvPr id="33" name="Straight Arrow Connector 32"/>
        <xdr:cNvCxnSpPr/>
      </xdr:nvCxnSpPr>
      <xdr:spPr bwMode="auto">
        <a:xfrm flipV="1">
          <a:off x="6783456" y="8025847"/>
          <a:ext cx="1085022" cy="8283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364437</xdr:colOff>
      <xdr:row>94</xdr:row>
      <xdr:rowOff>115956</xdr:rowOff>
    </xdr:from>
    <xdr:to>
      <xdr:col>8</xdr:col>
      <xdr:colOff>372718</xdr:colOff>
      <xdr:row>104</xdr:row>
      <xdr:rowOff>182218</xdr:rowOff>
    </xdr:to>
    <xdr:cxnSp macro="">
      <xdr:nvCxnSpPr>
        <xdr:cNvPr id="34" name="Straight Arrow Connector 33"/>
        <xdr:cNvCxnSpPr/>
      </xdr:nvCxnSpPr>
      <xdr:spPr bwMode="auto">
        <a:xfrm>
          <a:off x="6816589" y="8042413"/>
          <a:ext cx="8281" cy="1871870"/>
        </a:xfrm>
        <a:prstGeom prst="straightConnector1">
          <a:avLst/>
        </a:prstGeom>
        <a:ln>
          <a:headEnd type="none" w="med" len="med"/>
          <a:tailEnd type="none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894522</xdr:colOff>
      <xdr:row>99</xdr:row>
      <xdr:rowOff>91108</xdr:rowOff>
    </xdr:from>
    <xdr:to>
      <xdr:col>9</xdr:col>
      <xdr:colOff>16565</xdr:colOff>
      <xdr:row>99</xdr:row>
      <xdr:rowOff>99391</xdr:rowOff>
    </xdr:to>
    <xdr:cxnSp macro="">
      <xdr:nvCxnSpPr>
        <xdr:cNvPr id="39" name="Straight Arrow Connector 38"/>
        <xdr:cNvCxnSpPr/>
      </xdr:nvCxnSpPr>
      <xdr:spPr bwMode="auto">
        <a:xfrm flipV="1">
          <a:off x="6245087" y="8945217"/>
          <a:ext cx="1010478" cy="8283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165652</xdr:colOff>
      <xdr:row>101</xdr:row>
      <xdr:rowOff>74544</xdr:rowOff>
    </xdr:from>
    <xdr:to>
      <xdr:col>2</xdr:col>
      <xdr:colOff>778565</xdr:colOff>
      <xdr:row>103</xdr:row>
      <xdr:rowOff>140804</xdr:rowOff>
    </xdr:to>
    <xdr:cxnSp macro="">
      <xdr:nvCxnSpPr>
        <xdr:cNvPr id="41" name="Straight Arrow Connector 40"/>
        <xdr:cNvCxnSpPr/>
      </xdr:nvCxnSpPr>
      <xdr:spPr bwMode="auto">
        <a:xfrm flipH="1" flipV="1">
          <a:off x="1656522" y="9309653"/>
          <a:ext cx="612913" cy="422412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248480</xdr:colOff>
      <xdr:row>94</xdr:row>
      <xdr:rowOff>41413</xdr:rowOff>
    </xdr:from>
    <xdr:to>
      <xdr:col>4</xdr:col>
      <xdr:colOff>256761</xdr:colOff>
      <xdr:row>102</xdr:row>
      <xdr:rowOff>157372</xdr:rowOff>
    </xdr:to>
    <xdr:cxnSp macro="">
      <xdr:nvCxnSpPr>
        <xdr:cNvPr id="42" name="Straight Arrow Connector 41"/>
        <xdr:cNvCxnSpPr/>
      </xdr:nvCxnSpPr>
      <xdr:spPr bwMode="auto">
        <a:xfrm flipV="1">
          <a:off x="3313045" y="7976152"/>
          <a:ext cx="8281" cy="1623394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376128</xdr:colOff>
      <xdr:row>110</xdr:row>
      <xdr:rowOff>33131</xdr:rowOff>
    </xdr:from>
    <xdr:to>
      <xdr:col>3</xdr:col>
      <xdr:colOff>381000</xdr:colOff>
      <xdr:row>112</xdr:row>
      <xdr:rowOff>21437</xdr:rowOff>
    </xdr:to>
    <xdr:cxnSp macro="">
      <xdr:nvCxnSpPr>
        <xdr:cNvPr id="47" name="Straight Arrow Connector 46"/>
        <xdr:cNvCxnSpPr/>
      </xdr:nvCxnSpPr>
      <xdr:spPr bwMode="auto">
        <a:xfrm flipH="1">
          <a:off x="2653845" y="10908196"/>
          <a:ext cx="4872" cy="319611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737160</xdr:colOff>
      <xdr:row>110</xdr:row>
      <xdr:rowOff>140804</xdr:rowOff>
    </xdr:from>
    <xdr:to>
      <xdr:col>5</xdr:col>
      <xdr:colOff>745442</xdr:colOff>
      <xdr:row>114</xdr:row>
      <xdr:rowOff>41413</xdr:rowOff>
    </xdr:to>
    <xdr:cxnSp macro="">
      <xdr:nvCxnSpPr>
        <xdr:cNvPr id="52" name="Straight Arrow Connector 51"/>
        <xdr:cNvCxnSpPr/>
      </xdr:nvCxnSpPr>
      <xdr:spPr bwMode="auto">
        <a:xfrm>
          <a:off x="4091617" y="11049000"/>
          <a:ext cx="8282" cy="604630"/>
        </a:xfrm>
        <a:prstGeom prst="straightConnector1">
          <a:avLst/>
        </a:prstGeom>
        <a:ln>
          <a:headEnd type="arrow" w="med" len="med"/>
          <a:tailEnd type="none"/>
        </a:ln>
        <a:extLst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202421</xdr:colOff>
      <xdr:row>88</xdr:row>
      <xdr:rowOff>85725</xdr:rowOff>
    </xdr:from>
    <xdr:to>
      <xdr:col>2</xdr:col>
      <xdr:colOff>268941</xdr:colOff>
      <xdr:row>90</xdr:row>
      <xdr:rowOff>0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821" y="10220325"/>
          <a:ext cx="1028545" cy="3981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212751</xdr:colOff>
      <xdr:row>36</xdr:row>
      <xdr:rowOff>152400</xdr:rowOff>
    </xdr:from>
    <xdr:to>
      <xdr:col>12</xdr:col>
      <xdr:colOff>493940</xdr:colOff>
      <xdr:row>54</xdr:row>
      <xdr:rowOff>62512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215153</xdr:colOff>
      <xdr:row>55</xdr:row>
      <xdr:rowOff>7685</xdr:rowOff>
    </xdr:from>
    <xdr:to>
      <xdr:col>12</xdr:col>
      <xdr:colOff>491538</xdr:colOff>
      <xdr:row>72</xdr:row>
      <xdr:rowOff>109097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243568</xdr:colOff>
      <xdr:row>55</xdr:row>
      <xdr:rowOff>7685</xdr:rowOff>
    </xdr:from>
    <xdr:to>
      <xdr:col>6</xdr:col>
      <xdr:colOff>1039185</xdr:colOff>
      <xdr:row>72</xdr:row>
      <xdr:rowOff>116784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243568</xdr:colOff>
      <xdr:row>36</xdr:row>
      <xdr:rowOff>152400</xdr:rowOff>
    </xdr:from>
    <xdr:to>
      <xdr:col>6</xdr:col>
      <xdr:colOff>1039185</xdr:colOff>
      <xdr:row>54</xdr:row>
      <xdr:rowOff>66676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657225</xdr:colOff>
      <xdr:row>23</xdr:row>
      <xdr:rowOff>0</xdr:rowOff>
    </xdr:from>
    <xdr:to>
      <xdr:col>8</xdr:col>
      <xdr:colOff>114300</xdr:colOff>
      <xdr:row>28</xdr:row>
      <xdr:rowOff>19050</xdr:rowOff>
    </xdr:to>
    <xdr:pic>
      <xdr:nvPicPr>
        <xdr:cNvPr id="26" name="Picture 25" descr="D:\Users\cengmann\AppData\Local\Temp\SNAGHTMLb45c607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91" t="54419" r="19475" b="26898"/>
        <a:stretch/>
      </xdr:blipFill>
      <xdr:spPr bwMode="auto">
        <a:xfrm>
          <a:off x="6010275" y="4324350"/>
          <a:ext cx="561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314325</xdr:colOff>
      <xdr:row>4</xdr:row>
      <xdr:rowOff>36795</xdr:rowOff>
    </xdr:from>
    <xdr:to>
      <xdr:col>17</xdr:col>
      <xdr:colOff>0</xdr:colOff>
      <xdr:row>34</xdr:row>
      <xdr:rowOff>85724</xdr:rowOff>
    </xdr:to>
    <xdr:pic>
      <xdr:nvPicPr>
        <xdr:cNvPr id="27" name="Picture 26" descr="D:\Users\cengmann\AppData\Local\Temp\SNAGHTML7dc89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611"/>
        <a:stretch/>
      </xdr:blipFill>
      <xdr:spPr bwMode="auto">
        <a:xfrm>
          <a:off x="11525250" y="855945"/>
          <a:ext cx="1285875" cy="547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6155" name="Rectangle 11"/>
        <xdr:cNvSpPr>
          <a:spLocks noChangeArrowheads="1"/>
        </xdr:cNvSpPr>
      </xdr:nvSpPr>
      <xdr:spPr bwMode="auto">
        <a:xfrm>
          <a:off x="219075" y="161925"/>
          <a:ext cx="6334125" cy="25717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12</xdr:row>
          <xdr:rowOff>133350</xdr:rowOff>
        </xdr:from>
        <xdr:to>
          <xdr:col>5</xdr:col>
          <xdr:colOff>561975</xdr:colOff>
          <xdr:row>14</xdr:row>
          <xdr:rowOff>9525</xdr:rowOff>
        </xdr:to>
        <xdr:sp macro="" textlink="">
          <xdr:nvSpPr>
            <xdr:cNvPr id="6161" name="Drop Down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9525</xdr:colOff>
      <xdr:row>118</xdr:row>
      <xdr:rowOff>142875</xdr:rowOff>
    </xdr:from>
    <xdr:to>
      <xdr:col>12</xdr:col>
      <xdr:colOff>9525</xdr:colOff>
      <xdr:row>137</xdr:row>
      <xdr:rowOff>0</xdr:rowOff>
    </xdr:to>
    <xdr:graphicFrame macro="">
      <xdr:nvGraphicFramePr>
        <xdr:cNvPr id="617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314325</xdr:colOff>
      <xdr:row>2</xdr:row>
      <xdr:rowOff>0</xdr:rowOff>
    </xdr:from>
    <xdr:to>
      <xdr:col>7</xdr:col>
      <xdr:colOff>333375</xdr:colOff>
      <xdr:row>5</xdr:row>
      <xdr:rowOff>28575</xdr:rowOff>
    </xdr:to>
    <xdr:pic>
      <xdr:nvPicPr>
        <xdr:cNvPr id="61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23850"/>
          <a:ext cx="28670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FFFF" mc:Ignorable="a14" a14:legacySpreadsheetColorIndex="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FF0000" mc:Ignorable="a14" a14:legacySpreadsheetColorIndex="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409575</xdr:colOff>
      <xdr:row>2</xdr:row>
      <xdr:rowOff>85725</xdr:rowOff>
    </xdr:from>
    <xdr:to>
      <xdr:col>7</xdr:col>
      <xdr:colOff>200025</xdr:colOff>
      <xdr:row>4</xdr:row>
      <xdr:rowOff>133350</xdr:rowOff>
    </xdr:to>
    <xdr:sp macro="" textlink="">
      <xdr:nvSpPr>
        <xdr:cNvPr id="6173" name="Text Box 29"/>
        <xdr:cNvSpPr txBox="1">
          <a:spLocks noChangeArrowheads="1"/>
        </xdr:cNvSpPr>
      </xdr:nvSpPr>
      <xdr:spPr bwMode="auto">
        <a:xfrm>
          <a:off x="1876425" y="409575"/>
          <a:ext cx="17145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Holcim Group Support Ltd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Manufacturing Services</a:t>
          </a:r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0251" name="Rectangle 11"/>
        <xdr:cNvSpPr>
          <a:spLocks noChangeArrowheads="1"/>
        </xdr:cNvSpPr>
      </xdr:nvSpPr>
      <xdr:spPr bwMode="auto">
        <a:xfrm>
          <a:off x="219075" y="161925"/>
          <a:ext cx="6334125" cy="25717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83</xdr:row>
      <xdr:rowOff>0</xdr:rowOff>
    </xdr:from>
    <xdr:to>
      <xdr:col>3</xdr:col>
      <xdr:colOff>561975</xdr:colOff>
      <xdr:row>84</xdr:row>
      <xdr:rowOff>0</xdr:rowOff>
    </xdr:to>
    <xdr:sp macro="" textlink="">
      <xdr:nvSpPr>
        <xdr:cNvPr id="10253" name="Rectangle 13"/>
        <xdr:cNvSpPr>
          <a:spLocks noChangeArrowheads="1"/>
        </xdr:cNvSpPr>
      </xdr:nvSpPr>
      <xdr:spPr bwMode="auto">
        <a:xfrm>
          <a:off x="219075" y="13620750"/>
          <a:ext cx="12096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12</xdr:row>
          <xdr:rowOff>133350</xdr:rowOff>
        </xdr:from>
        <xdr:to>
          <xdr:col>5</xdr:col>
          <xdr:colOff>561975</xdr:colOff>
          <xdr:row>14</xdr:row>
          <xdr:rowOff>9525</xdr:rowOff>
        </xdr:to>
        <xdr:sp macro="" textlink="">
          <xdr:nvSpPr>
            <xdr:cNvPr id="10257" name="Drop Down 17" hidden="1">
              <a:extLst>
                <a:ext uri="{63B3BB69-23CF-44E3-9099-C40C66FF867C}">
                  <a14:compatExt spid="_x0000_s10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314325</xdr:colOff>
      <xdr:row>2</xdr:row>
      <xdr:rowOff>0</xdr:rowOff>
    </xdr:from>
    <xdr:to>
      <xdr:col>7</xdr:col>
      <xdr:colOff>333375</xdr:colOff>
      <xdr:row>5</xdr:row>
      <xdr:rowOff>28575</xdr:rowOff>
    </xdr:to>
    <xdr:pic>
      <xdr:nvPicPr>
        <xdr:cNvPr id="11738" name="Picture 14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23850"/>
          <a:ext cx="28670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FFFF" mc:Ignorable="a14" a14:legacySpreadsheetColorIndex="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FF0000" mc:Ignorable="a14" a14:legacySpreadsheetColorIndex="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409575</xdr:colOff>
      <xdr:row>2</xdr:row>
      <xdr:rowOff>85725</xdr:rowOff>
    </xdr:from>
    <xdr:to>
      <xdr:col>7</xdr:col>
      <xdr:colOff>200025</xdr:colOff>
      <xdr:row>4</xdr:row>
      <xdr:rowOff>133350</xdr:rowOff>
    </xdr:to>
    <xdr:sp macro="" textlink="">
      <xdr:nvSpPr>
        <xdr:cNvPr id="11739" name="Text Box 1499"/>
        <xdr:cNvSpPr txBox="1">
          <a:spLocks noChangeArrowheads="1"/>
        </xdr:cNvSpPr>
      </xdr:nvSpPr>
      <xdr:spPr bwMode="auto">
        <a:xfrm>
          <a:off x="1876425" y="409575"/>
          <a:ext cx="17145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Holcim Group Support Ltd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Manufacturing Services</a:t>
          </a:r>
          <a:endParaRPr lang="en-US"/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3</xdr:col>
      <xdr:colOff>561975</xdr:colOff>
      <xdr:row>41</xdr:row>
      <xdr:rowOff>0</xdr:rowOff>
    </xdr:to>
    <xdr:sp macro="" textlink="">
      <xdr:nvSpPr>
        <xdr:cNvPr id="11741" name="Rectangle 1501"/>
        <xdr:cNvSpPr>
          <a:spLocks noChangeArrowheads="1"/>
        </xdr:cNvSpPr>
      </xdr:nvSpPr>
      <xdr:spPr bwMode="auto">
        <a:xfrm>
          <a:off x="219075" y="6657975"/>
          <a:ext cx="12096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14</xdr:col>
      <xdr:colOff>352425</xdr:colOff>
      <xdr:row>9</xdr:row>
      <xdr:rowOff>0</xdr:rowOff>
    </xdr:from>
    <xdr:ext cx="76200" cy="200025"/>
    <xdr:sp macro="" textlink="">
      <xdr:nvSpPr>
        <xdr:cNvPr id="11745" name="Text Box 1505"/>
        <xdr:cNvSpPr txBox="1">
          <a:spLocks noChangeArrowheads="1"/>
        </xdr:cNvSpPr>
      </xdr:nvSpPr>
      <xdr:spPr bwMode="auto">
        <a:xfrm>
          <a:off x="7743825" y="15906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5363" name="Rectangle 3"/>
        <xdr:cNvSpPr>
          <a:spLocks noChangeArrowheads="1"/>
        </xdr:cNvSpPr>
      </xdr:nvSpPr>
      <xdr:spPr bwMode="auto">
        <a:xfrm>
          <a:off x="219075" y="161925"/>
          <a:ext cx="6334125" cy="25717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12</xdr:row>
          <xdr:rowOff>133350</xdr:rowOff>
        </xdr:from>
        <xdr:to>
          <xdr:col>5</xdr:col>
          <xdr:colOff>561975</xdr:colOff>
          <xdr:row>14</xdr:row>
          <xdr:rowOff>9525</xdr:rowOff>
        </xdr:to>
        <xdr:sp macro="" textlink="">
          <xdr:nvSpPr>
            <xdr:cNvPr id="15364" name="Drop Down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0</xdr:colOff>
      <xdr:row>119</xdr:row>
      <xdr:rowOff>0</xdr:rowOff>
    </xdr:from>
    <xdr:to>
      <xdr:col>12</xdr:col>
      <xdr:colOff>0</xdr:colOff>
      <xdr:row>137</xdr:row>
      <xdr:rowOff>19050</xdr:rowOff>
    </xdr:to>
    <xdr:graphicFrame macro="">
      <xdr:nvGraphicFramePr>
        <xdr:cNvPr id="153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314325</xdr:colOff>
      <xdr:row>2</xdr:row>
      <xdr:rowOff>0</xdr:rowOff>
    </xdr:from>
    <xdr:to>
      <xdr:col>7</xdr:col>
      <xdr:colOff>333375</xdr:colOff>
      <xdr:row>5</xdr:row>
      <xdr:rowOff>28575</xdr:rowOff>
    </xdr:to>
    <xdr:pic>
      <xdr:nvPicPr>
        <xdr:cNvPr id="1536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23850"/>
          <a:ext cx="28670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FFFF" mc:Ignorable="a14" a14:legacySpreadsheetColorIndex="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FF0000" mc:Ignorable="a14" a14:legacySpreadsheetColorIndex="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409575</xdr:colOff>
      <xdr:row>2</xdr:row>
      <xdr:rowOff>85725</xdr:rowOff>
    </xdr:from>
    <xdr:to>
      <xdr:col>7</xdr:col>
      <xdr:colOff>200025</xdr:colOff>
      <xdr:row>4</xdr:row>
      <xdr:rowOff>133350</xdr:rowOff>
    </xdr:to>
    <xdr:sp macro="" textlink="">
      <xdr:nvSpPr>
        <xdr:cNvPr id="15367" name="Text Box 7"/>
        <xdr:cNvSpPr txBox="1">
          <a:spLocks noChangeArrowheads="1"/>
        </xdr:cNvSpPr>
      </xdr:nvSpPr>
      <xdr:spPr bwMode="auto">
        <a:xfrm>
          <a:off x="1876425" y="409575"/>
          <a:ext cx="17145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Holcim Group Support Ltd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Manufacturing Services</a:t>
          </a:r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5129" name="Rectangle 9"/>
        <xdr:cNvSpPr>
          <a:spLocks noChangeArrowheads="1"/>
        </xdr:cNvSpPr>
      </xdr:nvSpPr>
      <xdr:spPr bwMode="auto">
        <a:xfrm>
          <a:off x="219075" y="161925"/>
          <a:ext cx="6343650" cy="2562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12</xdr:row>
          <xdr:rowOff>133350</xdr:rowOff>
        </xdr:from>
        <xdr:to>
          <xdr:col>5</xdr:col>
          <xdr:colOff>561975</xdr:colOff>
          <xdr:row>14</xdr:row>
          <xdr:rowOff>9525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304800</xdr:colOff>
      <xdr:row>2</xdr:row>
      <xdr:rowOff>0</xdr:rowOff>
    </xdr:from>
    <xdr:to>
      <xdr:col>7</xdr:col>
      <xdr:colOff>323850</xdr:colOff>
      <xdr:row>5</xdr:row>
      <xdr:rowOff>28575</xdr:rowOff>
    </xdr:to>
    <xdr:pic>
      <xdr:nvPicPr>
        <xdr:cNvPr id="513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23850"/>
          <a:ext cx="28670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FFFF" mc:Ignorable="a14" a14:legacySpreadsheetColorIndex="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FF0000" mc:Ignorable="a14" a14:legacySpreadsheetColorIndex="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381000</xdr:colOff>
      <xdr:row>2</xdr:row>
      <xdr:rowOff>85725</xdr:rowOff>
    </xdr:from>
    <xdr:to>
      <xdr:col>7</xdr:col>
      <xdr:colOff>200025</xdr:colOff>
      <xdr:row>4</xdr:row>
      <xdr:rowOff>133350</xdr:rowOff>
    </xdr:to>
    <xdr:sp macro="" textlink="">
      <xdr:nvSpPr>
        <xdr:cNvPr id="5136" name="Text Box 16"/>
        <xdr:cNvSpPr txBox="1">
          <a:spLocks noChangeArrowheads="1"/>
        </xdr:cNvSpPr>
      </xdr:nvSpPr>
      <xdr:spPr bwMode="auto">
        <a:xfrm>
          <a:off x="1857375" y="409575"/>
          <a:ext cx="17430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Holcim Group Support Ltd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Manufacturing Services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adows_HeatBalance_TAS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c.program%20files.notes.data\~584995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L"/>
      <sheetName val="R&amp;C Kiln"/>
      <sheetName val="R&amp;C Preheater"/>
      <sheetName val="R&amp;C Tertiary Air Duct"/>
      <sheetName val="clinker temp"/>
      <sheetName val="R&amp;C Planetary Cooler"/>
    </sheetNames>
    <sheetDataSet>
      <sheetData sheetId="0">
        <row r="29">
          <cell r="D29">
            <v>1</v>
          </cell>
        </row>
        <row r="32">
          <cell r="D32">
            <v>41219</v>
          </cell>
        </row>
        <row r="33">
          <cell r="D33">
            <v>41219</v>
          </cell>
        </row>
        <row r="47">
          <cell r="F47">
            <v>3</v>
          </cell>
        </row>
        <row r="54">
          <cell r="F54">
            <v>1</v>
          </cell>
        </row>
        <row r="57">
          <cell r="F57">
            <v>0</v>
          </cell>
        </row>
        <row r="70">
          <cell r="I70">
            <v>50</v>
          </cell>
        </row>
        <row r="71">
          <cell r="E71">
            <v>1.2371710970460295E-2</v>
          </cell>
        </row>
        <row r="76">
          <cell r="D76">
            <v>265</v>
          </cell>
        </row>
        <row r="78">
          <cell r="D78">
            <v>55</v>
          </cell>
          <cell r="I78">
            <v>0.3</v>
          </cell>
        </row>
        <row r="79">
          <cell r="D79">
            <v>0.85268185750000003</v>
          </cell>
          <cell r="I79">
            <v>35</v>
          </cell>
        </row>
        <row r="80">
          <cell r="D80">
            <v>4.1816000000000004</v>
          </cell>
        </row>
        <row r="81">
          <cell r="D81">
            <v>0</v>
          </cell>
        </row>
        <row r="82">
          <cell r="E82">
            <v>33000</v>
          </cell>
        </row>
        <row r="83">
          <cell r="D83">
            <v>0</v>
          </cell>
        </row>
        <row r="84">
          <cell r="D84">
            <v>12930</v>
          </cell>
        </row>
        <row r="93">
          <cell r="D93">
            <v>0.2</v>
          </cell>
        </row>
        <row r="94">
          <cell r="D94">
            <v>36.5</v>
          </cell>
        </row>
        <row r="110">
          <cell r="D110" t="str">
            <v/>
          </cell>
        </row>
        <row r="112">
          <cell r="D112">
            <v>0</v>
          </cell>
        </row>
        <row r="115">
          <cell r="E115">
            <v>65.2</v>
          </cell>
          <cell r="F115">
            <v>1.4</v>
          </cell>
          <cell r="G115">
            <v>21.75</v>
          </cell>
          <cell r="H115">
            <v>3.55</v>
          </cell>
          <cell r="I115">
            <v>5.87</v>
          </cell>
        </row>
        <row r="120">
          <cell r="F120">
            <v>1750</v>
          </cell>
        </row>
        <row r="128">
          <cell r="E128" t="e">
            <v>#VALUE!</v>
          </cell>
        </row>
        <row r="150">
          <cell r="D150" t="str">
            <v/>
          </cell>
        </row>
        <row r="151">
          <cell r="D151" t="str">
            <v/>
          </cell>
        </row>
        <row r="159">
          <cell r="G159" t="str">
            <v/>
          </cell>
        </row>
        <row r="160">
          <cell r="G160" t="str">
            <v/>
          </cell>
        </row>
        <row r="165">
          <cell r="G165">
            <v>0.64776095354377605</v>
          </cell>
        </row>
        <row r="167">
          <cell r="G167" t="str">
            <v/>
          </cell>
        </row>
        <row r="170">
          <cell r="G170" t="str">
            <v/>
          </cell>
        </row>
        <row r="180">
          <cell r="D180">
            <v>1</v>
          </cell>
        </row>
        <row r="187">
          <cell r="D187">
            <v>340</v>
          </cell>
          <cell r="I187">
            <v>3</v>
          </cell>
        </row>
        <row r="188">
          <cell r="I188">
            <v>700</v>
          </cell>
        </row>
        <row r="189">
          <cell r="D189">
            <v>1.5009999999999999</v>
          </cell>
        </row>
        <row r="190">
          <cell r="D190">
            <v>1.00848352</v>
          </cell>
        </row>
        <row r="200">
          <cell r="D200" t="str">
            <v/>
          </cell>
        </row>
        <row r="216">
          <cell r="I216">
            <v>3000</v>
          </cell>
        </row>
        <row r="217">
          <cell r="I217">
            <v>50</v>
          </cell>
        </row>
        <row r="219">
          <cell r="I219">
            <v>2800</v>
          </cell>
        </row>
        <row r="220">
          <cell r="I220">
            <v>40</v>
          </cell>
        </row>
        <row r="222">
          <cell r="I222">
            <v>1000</v>
          </cell>
        </row>
        <row r="223">
          <cell r="I223">
            <v>40</v>
          </cell>
        </row>
        <row r="225">
          <cell r="I225">
            <v>3200</v>
          </cell>
        </row>
        <row r="226">
          <cell r="I226">
            <v>50</v>
          </cell>
        </row>
        <row r="234">
          <cell r="I234" t="str">
            <v/>
          </cell>
        </row>
        <row r="236">
          <cell r="I236">
            <v>46.2</v>
          </cell>
        </row>
        <row r="237">
          <cell r="I237">
            <v>1.3010804517580596</v>
          </cell>
        </row>
        <row r="240">
          <cell r="I240">
            <v>10000</v>
          </cell>
        </row>
        <row r="241">
          <cell r="I241">
            <v>10000</v>
          </cell>
        </row>
        <row r="247">
          <cell r="I247">
            <v>5200</v>
          </cell>
        </row>
        <row r="256">
          <cell r="I256" t="str">
            <v/>
          </cell>
        </row>
        <row r="258">
          <cell r="I258">
            <v>50</v>
          </cell>
        </row>
        <row r="259">
          <cell r="I259">
            <v>1.3013335341999999</v>
          </cell>
        </row>
        <row r="262">
          <cell r="I262">
            <v>5200</v>
          </cell>
        </row>
        <row r="263">
          <cell r="I263">
            <v>5200</v>
          </cell>
        </row>
        <row r="269">
          <cell r="I269" t="str">
            <v/>
          </cell>
        </row>
        <row r="271">
          <cell r="I271" t="str">
            <v/>
          </cell>
        </row>
        <row r="281">
          <cell r="I281" t="str">
            <v/>
          </cell>
        </row>
        <row r="282">
          <cell r="I282">
            <v>300</v>
          </cell>
        </row>
        <row r="283">
          <cell r="I283">
            <v>1.3223424992000001</v>
          </cell>
        </row>
        <row r="292">
          <cell r="G292">
            <v>30</v>
          </cell>
          <cell r="H292">
            <v>36166.001832123417</v>
          </cell>
        </row>
        <row r="293">
          <cell r="G293">
            <v>30</v>
          </cell>
          <cell r="H293">
            <v>37062.338124674825</v>
          </cell>
        </row>
        <row r="294">
          <cell r="G294">
            <v>30</v>
          </cell>
          <cell r="H294">
            <v>36727.33468066511</v>
          </cell>
        </row>
        <row r="295">
          <cell r="G295">
            <v>30</v>
          </cell>
          <cell r="H295">
            <v>38423.907082097539</v>
          </cell>
        </row>
        <row r="296">
          <cell r="G296">
            <v>30</v>
          </cell>
          <cell r="H296">
            <v>40052.221409147329</v>
          </cell>
        </row>
        <row r="297">
          <cell r="G297">
            <v>30</v>
          </cell>
          <cell r="H297">
            <v>37463.803377951837</v>
          </cell>
        </row>
        <row r="298">
          <cell r="G298">
            <v>30</v>
          </cell>
          <cell r="H298">
            <v>27934.616941107957</v>
          </cell>
        </row>
        <row r="299">
          <cell r="G299">
            <v>30</v>
          </cell>
          <cell r="H299">
            <v>25795.265188745798</v>
          </cell>
        </row>
        <row r="300">
          <cell r="G300">
            <v>30</v>
          </cell>
          <cell r="H300">
            <v>25084.842335631449</v>
          </cell>
        </row>
        <row r="301">
          <cell r="G301">
            <v>30</v>
          </cell>
          <cell r="H301">
            <v>28514.810573360654</v>
          </cell>
        </row>
        <row r="302">
          <cell r="H302" t="str">
            <v/>
          </cell>
        </row>
        <row r="303">
          <cell r="H303" t="str">
            <v/>
          </cell>
        </row>
        <row r="304">
          <cell r="H304" t="str">
            <v/>
          </cell>
        </row>
        <row r="307">
          <cell r="E307">
            <v>333225.1415455059</v>
          </cell>
        </row>
        <row r="308">
          <cell r="E308">
            <v>1.9846643332073013</v>
          </cell>
        </row>
        <row r="314">
          <cell r="I314">
            <v>0</v>
          </cell>
        </row>
        <row r="316">
          <cell r="I316" t="str">
            <v/>
          </cell>
        </row>
        <row r="321">
          <cell r="I321">
            <v>241</v>
          </cell>
        </row>
        <row r="322">
          <cell r="I322">
            <v>168</v>
          </cell>
        </row>
        <row r="323">
          <cell r="I323">
            <v>20</v>
          </cell>
        </row>
        <row r="324">
          <cell r="I324">
            <v>27</v>
          </cell>
        </row>
        <row r="337">
          <cell r="E337" t="str">
            <v>80% coal</v>
          </cell>
          <cell r="G337" t="str">
            <v>Plastics</v>
          </cell>
        </row>
        <row r="340">
          <cell r="E340">
            <v>26190</v>
          </cell>
          <cell r="F340">
            <v>20543</v>
          </cell>
          <cell r="G340">
            <v>15870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</row>
        <row r="344">
          <cell r="E344">
            <v>0.26</v>
          </cell>
          <cell r="F344">
            <v>0.26</v>
          </cell>
          <cell r="G344">
            <v>0.26</v>
          </cell>
        </row>
        <row r="345">
          <cell r="E345">
            <v>0.28000000000000003</v>
          </cell>
          <cell r="F345">
            <v>0.28999999999999998</v>
          </cell>
          <cell r="G345">
            <v>0.28999999999999998</v>
          </cell>
        </row>
        <row r="346">
          <cell r="E346">
            <v>6</v>
          </cell>
          <cell r="F346">
            <v>11</v>
          </cell>
          <cell r="G346">
            <v>11</v>
          </cell>
        </row>
        <row r="356">
          <cell r="E356">
            <v>7</v>
          </cell>
          <cell r="F356">
            <v>2.0299999999999998</v>
          </cell>
        </row>
        <row r="358">
          <cell r="E358">
            <v>7</v>
          </cell>
          <cell r="F358">
            <v>2.0299999999999998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</row>
        <row r="363">
          <cell r="E363" t="str">
            <v/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</row>
        <row r="366">
          <cell r="E366">
            <v>10.3</v>
          </cell>
          <cell r="G366">
            <v>4.26</v>
          </cell>
        </row>
        <row r="368">
          <cell r="E368">
            <v>10.3</v>
          </cell>
          <cell r="F368" t="str">
            <v/>
          </cell>
          <cell r="G368">
            <v>4.26</v>
          </cell>
          <cell r="H368" t="str">
            <v/>
          </cell>
          <cell r="I368" t="str">
            <v/>
          </cell>
          <cell r="J368" t="str">
            <v/>
          </cell>
        </row>
        <row r="370">
          <cell r="E370">
            <v>17.3</v>
          </cell>
          <cell r="F370">
            <v>2.0299999999999998</v>
          </cell>
          <cell r="G370">
            <v>4.26</v>
          </cell>
          <cell r="H370">
            <v>0</v>
          </cell>
          <cell r="I370">
            <v>0</v>
          </cell>
          <cell r="J370">
            <v>0</v>
          </cell>
        </row>
        <row r="413">
          <cell r="F413">
            <v>1340.275699821322</v>
          </cell>
          <cell r="I413">
            <v>40.013174714470054</v>
          </cell>
        </row>
        <row r="414">
          <cell r="F414" t="str">
            <v/>
          </cell>
        </row>
        <row r="415">
          <cell r="F415">
            <v>2009.3103037522335</v>
          </cell>
        </row>
        <row r="422">
          <cell r="I422">
            <v>58508.395400000001</v>
          </cell>
        </row>
        <row r="424">
          <cell r="I424">
            <v>5217.4408524500013</v>
          </cell>
        </row>
        <row r="426">
          <cell r="I426">
            <v>3000</v>
          </cell>
        </row>
        <row r="436">
          <cell r="F436">
            <v>2.9779630732578916E-2</v>
          </cell>
          <cell r="I436">
            <v>5000</v>
          </cell>
        </row>
        <row r="439">
          <cell r="F439">
            <v>0.30585706752412273</v>
          </cell>
          <cell r="I439">
            <v>51353.401637300209</v>
          </cell>
        </row>
        <row r="441">
          <cell r="F441">
            <v>0.44496716016984572</v>
          </cell>
          <cell r="I441">
            <v>74709.986192517099</v>
          </cell>
        </row>
        <row r="452">
          <cell r="I452">
            <v>3</v>
          </cell>
        </row>
        <row r="476">
          <cell r="C476">
            <v>1.5735854675402023</v>
          </cell>
        </row>
        <row r="489">
          <cell r="C489">
            <v>3.9167240123780833</v>
          </cell>
        </row>
        <row r="558">
          <cell r="C558" t="e">
            <v>#VALUE!</v>
          </cell>
        </row>
        <row r="630">
          <cell r="C630" t="e">
            <v>#VALUE!</v>
          </cell>
        </row>
        <row r="683">
          <cell r="E683">
            <v>2946.9284693269801</v>
          </cell>
          <cell r="G683">
            <v>402.65753424657532</v>
          </cell>
        </row>
        <row r="695">
          <cell r="I695">
            <v>3349.5860035735554</v>
          </cell>
        </row>
        <row r="697">
          <cell r="I697">
            <v>3.504586063132817</v>
          </cell>
        </row>
        <row r="712">
          <cell r="I712">
            <v>47.654862272945572</v>
          </cell>
        </row>
        <row r="721">
          <cell r="I721">
            <v>0</v>
          </cell>
        </row>
        <row r="734">
          <cell r="G734" t="str">
            <v/>
          </cell>
        </row>
        <row r="744">
          <cell r="G744" t="str">
            <v/>
          </cell>
        </row>
        <row r="747">
          <cell r="I747">
            <v>3.2393752810947687</v>
          </cell>
        </row>
        <row r="757">
          <cell r="I757" t="str">
            <v/>
          </cell>
        </row>
        <row r="773">
          <cell r="I773">
            <v>25.801157921328333</v>
          </cell>
        </row>
        <row r="781">
          <cell r="I781" t="str">
            <v/>
          </cell>
        </row>
        <row r="805">
          <cell r="I805">
            <v>0.79500000000000004</v>
          </cell>
        </row>
        <row r="807">
          <cell r="I807">
            <v>11.600655151876117</v>
          </cell>
        </row>
        <row r="810">
          <cell r="I810" t="str">
            <v/>
          </cell>
        </row>
        <row r="813">
          <cell r="I813">
            <v>0</v>
          </cell>
        </row>
        <row r="819">
          <cell r="G819">
            <v>158563.82209999999</v>
          </cell>
        </row>
        <row r="822">
          <cell r="E822">
            <v>0</v>
          </cell>
        </row>
        <row r="823">
          <cell r="G823">
            <v>2206.5667870466336</v>
          </cell>
        </row>
        <row r="824">
          <cell r="G824">
            <v>32133.003278166663</v>
          </cell>
        </row>
        <row r="825">
          <cell r="G825">
            <v>0</v>
          </cell>
        </row>
        <row r="829">
          <cell r="G829">
            <v>240901.19216521329</v>
          </cell>
          <cell r="I829">
            <v>1.434789709143617</v>
          </cell>
        </row>
        <row r="830">
          <cell r="G830">
            <v>224931.02294716667</v>
          </cell>
        </row>
        <row r="831">
          <cell r="G831">
            <v>192798.019669</v>
          </cell>
        </row>
        <row r="835">
          <cell r="I835">
            <v>689.15819309586209</v>
          </cell>
        </row>
        <row r="840">
          <cell r="G840">
            <v>157.45171606301665</v>
          </cell>
        </row>
        <row r="841">
          <cell r="G841">
            <v>12640</v>
          </cell>
        </row>
        <row r="843">
          <cell r="I843">
            <v>11.853422817370639</v>
          </cell>
        </row>
        <row r="850">
          <cell r="I850" t="str">
            <v/>
          </cell>
        </row>
        <row r="868">
          <cell r="E868" t="str">
            <v/>
          </cell>
        </row>
        <row r="872">
          <cell r="G872" t="str">
            <v/>
          </cell>
          <cell r="I872" t="str">
            <v/>
          </cell>
        </row>
        <row r="873">
          <cell r="G873" t="str">
            <v/>
          </cell>
        </row>
        <row r="874">
          <cell r="G874" t="str">
            <v/>
          </cell>
        </row>
        <row r="878">
          <cell r="I878" t="str">
            <v/>
          </cell>
        </row>
        <row r="883">
          <cell r="G883" t="str">
            <v/>
          </cell>
        </row>
        <row r="886">
          <cell r="I886" t="str">
            <v/>
          </cell>
        </row>
        <row r="903">
          <cell r="I903" t="str">
            <v/>
          </cell>
        </row>
        <row r="924">
          <cell r="I924" t="e">
            <v>#VALUE!</v>
          </cell>
        </row>
        <row r="931">
          <cell r="C931">
            <v>0</v>
          </cell>
        </row>
        <row r="932">
          <cell r="C932">
            <v>0</v>
          </cell>
        </row>
        <row r="933">
          <cell r="C933">
            <v>0</v>
          </cell>
        </row>
        <row r="934">
          <cell r="C934">
            <v>0</v>
          </cell>
        </row>
        <row r="937">
          <cell r="I937">
            <v>0</v>
          </cell>
        </row>
        <row r="942">
          <cell r="I942" t="str">
            <v/>
          </cell>
        </row>
        <row r="947">
          <cell r="G947" t="str">
            <v/>
          </cell>
        </row>
        <row r="950">
          <cell r="I950" t="str">
            <v/>
          </cell>
        </row>
        <row r="957">
          <cell r="I957" t="str">
            <v/>
          </cell>
        </row>
        <row r="962">
          <cell r="G962" t="str">
            <v/>
          </cell>
        </row>
        <row r="964">
          <cell r="I964" t="str">
            <v/>
          </cell>
        </row>
        <row r="980">
          <cell r="I980" t="str">
            <v/>
          </cell>
        </row>
        <row r="1008">
          <cell r="C1008">
            <v>62.727966568725243</v>
          </cell>
        </row>
        <row r="1025">
          <cell r="G1025" t="str">
            <v/>
          </cell>
        </row>
        <row r="1027">
          <cell r="I1027" t="e">
            <v>#VALUE!</v>
          </cell>
        </row>
        <row r="1050">
          <cell r="G1050">
            <v>1.2994207242721114</v>
          </cell>
        </row>
        <row r="1052">
          <cell r="I1052">
            <v>1.5478507734033434E-2</v>
          </cell>
        </row>
        <row r="1058">
          <cell r="I1058" t="str">
            <v/>
          </cell>
        </row>
        <row r="1078">
          <cell r="G1078" t="str">
            <v/>
          </cell>
        </row>
        <row r="1079">
          <cell r="G1079" t="str">
            <v/>
          </cell>
        </row>
        <row r="1082">
          <cell r="G1082">
            <v>2.0518811091787872</v>
          </cell>
        </row>
        <row r="1083">
          <cell r="G1083" t="str">
            <v>ERROR</v>
          </cell>
        </row>
        <row r="1086">
          <cell r="I1086" t="e">
            <v>#VALUE!</v>
          </cell>
        </row>
        <row r="1098">
          <cell r="G1098" t="str">
            <v/>
          </cell>
        </row>
        <row r="1099">
          <cell r="G1099" t="str">
            <v/>
          </cell>
        </row>
        <row r="1105">
          <cell r="I1105" t="e">
            <v>#VALUE!</v>
          </cell>
        </row>
        <row r="1114">
          <cell r="I1114" t="str">
            <v/>
          </cell>
        </row>
        <row r="1125">
          <cell r="I1125" t="str">
            <v/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L"/>
      <sheetName val="R&amp;C kiln and preheater"/>
      <sheetName val="R&amp;C cooler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Holcim">
      <a:dk1>
        <a:sysClr val="windowText" lastClr="000000"/>
      </a:dk1>
      <a:lt1>
        <a:sysClr val="window" lastClr="FFFFFF"/>
      </a:lt1>
      <a:dk2>
        <a:srgbClr val="FF1100"/>
      </a:dk2>
      <a:lt2>
        <a:srgbClr val="8B8D8E"/>
      </a:lt2>
      <a:accent1>
        <a:srgbClr val="8A7967"/>
      </a:accent1>
      <a:accent2>
        <a:srgbClr val="753F00"/>
      </a:accent2>
      <a:accent3>
        <a:srgbClr val="F38F1D"/>
      </a:accent3>
      <a:accent4>
        <a:srgbClr val="003D7E"/>
      </a:accent4>
      <a:accent5>
        <a:srgbClr val="387C2B"/>
      </a:accent5>
      <a:accent6>
        <a:srgbClr val="B20838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4.xml"/><Relationship Id="rId4" Type="http://schemas.openxmlformats.org/officeDocument/2006/relationships/ctrlProp" Target="../ctrlProps/ctrlProp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5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AE1691"/>
  <sheetViews>
    <sheetView tabSelected="1" zoomScaleNormal="100" workbookViewId="0"/>
  </sheetViews>
  <sheetFormatPr defaultRowHeight="12.75" outlineLevelRow="3"/>
  <cols>
    <col min="1" max="1" width="5.83203125" style="1074" customWidth="1"/>
    <col min="2" max="2" width="10.5" style="1" customWidth="1"/>
    <col min="3" max="7" width="10.33203125" style="1" customWidth="1"/>
    <col min="8" max="8" width="13" style="1" customWidth="1"/>
    <col min="9" max="10" width="10.33203125" style="1" customWidth="1"/>
    <col min="11" max="11" width="5.83203125" style="1" customWidth="1"/>
    <col min="12" max="20" width="10.83203125" style="1" customWidth="1"/>
    <col min="21" max="22" width="10.33203125" style="1" customWidth="1"/>
    <col min="23" max="23" width="4" style="4" customWidth="1"/>
    <col min="24" max="24" width="3.83203125" style="1" customWidth="1"/>
    <col min="25" max="26" width="9.33203125" style="1"/>
    <col min="27" max="31" width="35.83203125" style="1" customWidth="1"/>
    <col min="32" max="16384" width="9.33203125" style="1"/>
  </cols>
  <sheetData>
    <row r="1" spans="2:24" ht="12.75" customHeight="1"/>
    <row r="2" spans="2:24" ht="12.75" customHeight="1">
      <c r="B2" s="365"/>
      <c r="C2" s="366"/>
      <c r="D2" s="365"/>
      <c r="E2" s="365"/>
      <c r="F2" s="365"/>
      <c r="G2" s="365"/>
      <c r="H2" s="365"/>
      <c r="I2" s="365"/>
      <c r="J2" s="365"/>
    </row>
    <row r="3" spans="2:24" ht="12.75" customHeight="1">
      <c r="B3" s="365"/>
      <c r="C3" s="522"/>
      <c r="D3" s="365"/>
      <c r="E3" s="365"/>
      <c r="F3" s="365"/>
      <c r="G3" s="365"/>
      <c r="H3" s="365"/>
      <c r="I3" s="365"/>
      <c r="J3" s="365"/>
      <c r="M3" s="641" t="s">
        <v>1509</v>
      </c>
      <c r="N3" s="491"/>
      <c r="O3" s="491"/>
      <c r="P3" s="491"/>
    </row>
    <row r="4" spans="2:24" ht="12.75" customHeight="1">
      <c r="B4" s="365"/>
      <c r="C4" s="437"/>
      <c r="D4" s="365"/>
      <c r="E4" s="365"/>
      <c r="F4" s="365"/>
      <c r="G4" s="365"/>
      <c r="H4" s="365"/>
      <c r="I4" s="365"/>
      <c r="J4" s="365"/>
      <c r="M4" s="642">
        <v>36991</v>
      </c>
      <c r="N4" s="618" t="s">
        <v>122</v>
      </c>
      <c r="O4" s="491" t="s">
        <v>123</v>
      </c>
      <c r="P4" s="491"/>
    </row>
    <row r="5" spans="2:24" ht="12.75" customHeight="1">
      <c r="B5" s="365"/>
      <c r="C5" s="365"/>
      <c r="D5" s="365"/>
      <c r="E5" s="365"/>
      <c r="F5" s="365"/>
      <c r="G5" s="365"/>
      <c r="H5" s="365"/>
      <c r="I5" s="365"/>
      <c r="J5" s="365"/>
      <c r="M5" s="642">
        <v>37515</v>
      </c>
      <c r="N5" s="618" t="s">
        <v>2128</v>
      </c>
      <c r="O5" s="491" t="s">
        <v>130</v>
      </c>
      <c r="P5" s="491"/>
    </row>
    <row r="6" spans="2:24" ht="12.75" customHeight="1">
      <c r="B6" s="365"/>
      <c r="C6" s="365"/>
      <c r="D6" s="365"/>
      <c r="E6" s="365"/>
      <c r="F6" s="365"/>
      <c r="G6" s="365"/>
      <c r="H6" s="365"/>
      <c r="I6" s="365"/>
      <c r="J6" s="365"/>
      <c r="M6" s="642">
        <v>37671</v>
      </c>
      <c r="N6" s="618" t="s">
        <v>2128</v>
      </c>
      <c r="O6" s="491" t="s">
        <v>639</v>
      </c>
      <c r="P6" s="491"/>
    </row>
    <row r="7" spans="2:24" ht="25.5" customHeight="1">
      <c r="B7" s="365"/>
      <c r="C7" s="521" t="s">
        <v>100</v>
      </c>
      <c r="D7" s="365"/>
      <c r="E7" s="365"/>
      <c r="F7" s="365"/>
      <c r="G7" s="365"/>
      <c r="H7" s="365"/>
      <c r="I7" s="365"/>
      <c r="J7" s="365"/>
      <c r="M7" s="642">
        <v>38308</v>
      </c>
      <c r="N7" s="618" t="s">
        <v>122</v>
      </c>
      <c r="O7" s="643" t="s">
        <v>561</v>
      </c>
      <c r="P7" s="491"/>
      <c r="V7" s="4" t="s">
        <v>412</v>
      </c>
      <c r="W7" s="1"/>
      <c r="X7" s="363" t="s">
        <v>413</v>
      </c>
    </row>
    <row r="8" spans="2:24" ht="12.75" customHeight="1">
      <c r="B8" s="365"/>
      <c r="C8" s="365"/>
      <c r="D8" s="365"/>
      <c r="E8" s="365"/>
      <c r="F8" s="365"/>
      <c r="G8" s="365"/>
      <c r="H8" s="365"/>
      <c r="I8" s="365"/>
      <c r="J8" s="365"/>
      <c r="M8" s="642">
        <v>38309</v>
      </c>
      <c r="N8" s="618" t="s">
        <v>122</v>
      </c>
      <c r="O8" s="643" t="s">
        <v>1094</v>
      </c>
      <c r="P8" s="491"/>
      <c r="V8" s="4"/>
      <c r="W8" s="1"/>
      <c r="X8" t="s">
        <v>414</v>
      </c>
    </row>
    <row r="9" spans="2:24" ht="12.75" customHeight="1">
      <c r="B9" s="366"/>
      <c r="C9" s="590" t="s">
        <v>2032</v>
      </c>
      <c r="D9" s="365"/>
      <c r="E9" s="365"/>
      <c r="F9" s="365"/>
      <c r="G9" s="365"/>
      <c r="H9" s="365"/>
      <c r="I9" s="365"/>
      <c r="J9" s="365"/>
      <c r="M9" s="642">
        <v>38616</v>
      </c>
      <c r="N9" s="618" t="s">
        <v>955</v>
      </c>
      <c r="O9" s="491" t="s">
        <v>1509</v>
      </c>
      <c r="P9" s="491"/>
      <c r="V9"/>
      <c r="W9"/>
      <c r="X9" s="252" t="s">
        <v>415</v>
      </c>
    </row>
    <row r="10" spans="2:24" ht="12.75" customHeight="1">
      <c r="B10" s="365"/>
      <c r="C10" s="590" t="s">
        <v>1135</v>
      </c>
      <c r="D10" s="367"/>
      <c r="E10" s="365"/>
      <c r="F10" s="365"/>
      <c r="G10" s="365"/>
      <c r="H10" s="365"/>
      <c r="I10" s="365"/>
      <c r="J10" s="365"/>
      <c r="M10" s="642">
        <v>38834</v>
      </c>
      <c r="N10" s="618" t="s">
        <v>955</v>
      </c>
      <c r="O10" s="491" t="s">
        <v>1673</v>
      </c>
      <c r="P10" s="491"/>
      <c r="V10"/>
      <c r="W10" s="1"/>
      <c r="X10" s="252" t="s">
        <v>416</v>
      </c>
    </row>
    <row r="11" spans="2:24" ht="12.75" customHeight="1">
      <c r="B11" s="365"/>
      <c r="C11" s="590" t="s">
        <v>1136</v>
      </c>
      <c r="D11" s="367"/>
      <c r="E11" s="365"/>
      <c r="F11" s="365"/>
      <c r="G11" s="365"/>
      <c r="H11" s="365"/>
      <c r="I11" s="365"/>
      <c r="J11" s="365"/>
      <c r="M11" s="796">
        <v>39176</v>
      </c>
      <c r="N11" s="618" t="s">
        <v>1955</v>
      </c>
      <c r="O11" s="643" t="s">
        <v>1956</v>
      </c>
      <c r="V11"/>
      <c r="W11" s="1"/>
    </row>
    <row r="12" spans="2:24" ht="12.75" customHeight="1">
      <c r="B12" s="365"/>
      <c r="C12" s="365"/>
      <c r="D12" s="365"/>
      <c r="E12" s="365"/>
      <c r="F12" s="365"/>
      <c r="G12" s="365"/>
      <c r="H12" s="365"/>
      <c r="I12" s="365"/>
      <c r="J12" s="365"/>
      <c r="M12" s="796">
        <v>39405</v>
      </c>
      <c r="N12" s="618" t="s">
        <v>2128</v>
      </c>
      <c r="O12" s="797" t="s">
        <v>987</v>
      </c>
      <c r="V12"/>
      <c r="W12" s="1"/>
    </row>
    <row r="13" spans="2:24" ht="12.75" customHeight="1">
      <c r="B13" s="365"/>
      <c r="C13" s="830"/>
      <c r="D13" s="365" t="s">
        <v>417</v>
      </c>
      <c r="E13" s="365"/>
      <c r="F13" s="365"/>
      <c r="G13" s="365"/>
      <c r="H13" s="365"/>
      <c r="I13" s="365"/>
      <c r="J13" s="365"/>
      <c r="M13" s="796">
        <v>39405</v>
      </c>
      <c r="N13" s="618" t="s">
        <v>2128</v>
      </c>
      <c r="O13" s="798" t="s">
        <v>988</v>
      </c>
      <c r="V13" s="4" t="s">
        <v>418</v>
      </c>
      <c r="W13" s="1"/>
      <c r="X13" s="6">
        <v>2</v>
      </c>
    </row>
    <row r="14" spans="2:24" ht="12.75" customHeight="1">
      <c r="B14" s="365"/>
      <c r="C14" s="867"/>
      <c r="D14" s="367" t="s">
        <v>419</v>
      </c>
      <c r="E14" s="365"/>
      <c r="F14" s="365"/>
      <c r="G14" s="365"/>
      <c r="H14" s="365"/>
      <c r="I14" s="365"/>
      <c r="J14" s="365"/>
      <c r="M14" s="801">
        <v>39461</v>
      </c>
      <c r="N14" s="618" t="s">
        <v>23</v>
      </c>
      <c r="O14" s="798" t="s">
        <v>24</v>
      </c>
    </row>
    <row r="15" spans="2:24" ht="12.75" customHeight="1" thickBot="1">
      <c r="B15" s="365"/>
      <c r="C15" s="1295"/>
      <c r="D15" s="369" t="s">
        <v>1133</v>
      </c>
      <c r="E15" s="365"/>
      <c r="F15" s="365"/>
      <c r="G15" s="365"/>
      <c r="H15" s="365"/>
      <c r="I15" s="365"/>
      <c r="J15" s="365"/>
      <c r="M15" s="796">
        <v>39100</v>
      </c>
      <c r="N15" s="802" t="s">
        <v>23</v>
      </c>
      <c r="O15" s="803" t="s">
        <v>1184</v>
      </c>
      <c r="P15" s="798"/>
    </row>
    <row r="16" spans="2:24" ht="12.75" customHeight="1" thickTop="1" thickBot="1">
      <c r="B16" s="365"/>
      <c r="C16" s="1296"/>
      <c r="D16" s="1297" t="s">
        <v>2238</v>
      </c>
      <c r="E16" s="365"/>
      <c r="F16" s="365"/>
      <c r="G16" s="365"/>
      <c r="H16" s="365"/>
      <c r="I16" s="365"/>
      <c r="J16" s="365"/>
      <c r="M16" s="796"/>
      <c r="N16" s="802"/>
      <c r="O16" s="803"/>
      <c r="P16" s="798"/>
    </row>
    <row r="17" spans="1:25" ht="12.75" customHeight="1" thickTop="1">
      <c r="B17" s="365"/>
      <c r="C17" s="1098"/>
      <c r="D17" s="365"/>
      <c r="E17" s="365"/>
      <c r="F17" s="365"/>
      <c r="G17" s="365"/>
      <c r="H17" s="365"/>
      <c r="I17" s="365"/>
      <c r="J17" s="365"/>
      <c r="M17" s="796">
        <v>39100</v>
      </c>
      <c r="N17" s="802" t="s">
        <v>1955</v>
      </c>
      <c r="O17" s="798" t="s">
        <v>1185</v>
      </c>
      <c r="P17" s="798"/>
    </row>
    <row r="18" spans="1:25" ht="12.75" customHeight="1">
      <c r="B18" s="365"/>
      <c r="C18" s="369" t="s">
        <v>420</v>
      </c>
      <c r="D18" s="365"/>
      <c r="E18" s="365"/>
      <c r="F18" s="365"/>
      <c r="G18" s="692" t="s">
        <v>47</v>
      </c>
      <c r="H18" s="365"/>
      <c r="I18" s="365"/>
      <c r="J18" s="365"/>
      <c r="M18" s="796">
        <v>39100</v>
      </c>
      <c r="N18" s="802" t="s">
        <v>1955</v>
      </c>
      <c r="O18" s="798" t="s">
        <v>1183</v>
      </c>
      <c r="P18" s="798"/>
    </row>
    <row r="19" spans="1:25" ht="12.75" customHeight="1">
      <c r="B19" s="365"/>
      <c r="C19" s="365"/>
      <c r="D19" s="365"/>
      <c r="E19" s="365"/>
      <c r="F19" s="365"/>
      <c r="G19" s="365"/>
      <c r="H19" s="365"/>
      <c r="I19" s="365"/>
      <c r="J19" s="365"/>
      <c r="M19" s="796">
        <v>39738</v>
      </c>
      <c r="N19" s="802" t="s">
        <v>1955</v>
      </c>
      <c r="O19" s="798" t="s">
        <v>1405</v>
      </c>
      <c r="P19" s="798"/>
    </row>
    <row r="20" spans="1:25" ht="12.75" customHeight="1">
      <c r="B20" s="424"/>
      <c r="C20" s="365"/>
      <c r="D20" s="365"/>
      <c r="E20" s="365"/>
      <c r="F20" s="365"/>
      <c r="G20" s="365"/>
      <c r="H20" s="365"/>
      <c r="I20" s="365"/>
      <c r="J20" s="365"/>
      <c r="M20" s="796">
        <v>39738</v>
      </c>
      <c r="N20" s="802" t="s">
        <v>1955</v>
      </c>
      <c r="O20" s="798" t="s">
        <v>475</v>
      </c>
      <c r="P20"/>
      <c r="Q20"/>
    </row>
    <row r="21" spans="1:25" ht="12.75" customHeight="1">
      <c r="B21" s="424" t="s">
        <v>1134</v>
      </c>
      <c r="C21" s="365"/>
      <c r="D21" s="365"/>
      <c r="E21" s="365"/>
      <c r="F21" s="424" t="s">
        <v>714</v>
      </c>
      <c r="G21" s="365"/>
      <c r="H21" s="365"/>
      <c r="I21" s="365"/>
      <c r="J21" s="365"/>
      <c r="M21" s="796">
        <v>39827</v>
      </c>
      <c r="N21" s="802" t="s">
        <v>1955</v>
      </c>
      <c r="O21" s="798" t="s">
        <v>699</v>
      </c>
    </row>
    <row r="22" spans="1:25" ht="12.75" customHeight="1">
      <c r="B22" s="424" t="s">
        <v>421</v>
      </c>
      <c r="C22" s="365"/>
      <c r="D22" s="365"/>
      <c r="E22" s="365"/>
      <c r="F22" s="1300" t="s">
        <v>2240</v>
      </c>
      <c r="G22" s="365"/>
      <c r="H22" s="365"/>
      <c r="I22" s="365"/>
      <c r="J22" s="368"/>
      <c r="M22" s="796">
        <v>40183</v>
      </c>
      <c r="N22" s="802" t="s">
        <v>1955</v>
      </c>
      <c r="O22" s="798" t="s">
        <v>950</v>
      </c>
    </row>
    <row r="23" spans="1:25" ht="12.75" customHeight="1">
      <c r="B23" s="5"/>
      <c r="M23" s="796">
        <v>40183</v>
      </c>
      <c r="N23" s="802" t="s">
        <v>1955</v>
      </c>
      <c r="O23" s="798" t="s">
        <v>1836</v>
      </c>
    </row>
    <row r="24" spans="1:25" ht="12.75" customHeight="1">
      <c r="M24" s="796">
        <v>40183</v>
      </c>
      <c r="N24" s="802" t="s">
        <v>1955</v>
      </c>
      <c r="O24" s="798" t="s">
        <v>1837</v>
      </c>
    </row>
    <row r="25" spans="1:25" ht="12.7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796">
        <v>40513</v>
      </c>
      <c r="N25" s="802" t="s">
        <v>1955</v>
      </c>
      <c r="O25" s="798" t="s">
        <v>1029</v>
      </c>
      <c r="S25" s="6"/>
      <c r="T25" s="6"/>
      <c r="V25" s="6"/>
    </row>
    <row r="26" spans="1:25" s="8" customFormat="1" ht="18.75" customHeight="1">
      <c r="A26" s="1075"/>
      <c r="B26" s="908" t="str">
        <f>HBL!$AA$1609</f>
        <v>HEAT AND MASS BALANCE OF A PREHEATER KILN</v>
      </c>
      <c r="C26" s="909"/>
      <c r="D26" s="909"/>
      <c r="E26" s="909"/>
      <c r="F26" s="909"/>
      <c r="G26" s="909"/>
      <c r="H26" s="909"/>
      <c r="I26" s="910"/>
      <c r="J26" s="909"/>
      <c r="K26" s="909"/>
      <c r="L26"/>
      <c r="M26" s="796">
        <v>40514</v>
      </c>
      <c r="N26" s="802" t="s">
        <v>1955</v>
      </c>
      <c r="O26" s="798" t="s">
        <v>1030</v>
      </c>
      <c r="R26"/>
      <c r="S26"/>
      <c r="T26"/>
      <c r="U26"/>
      <c r="V26"/>
      <c r="W26"/>
      <c r="X26"/>
      <c r="Y26"/>
    </row>
    <row r="27" spans="1:25" ht="12.75" customHeight="1" outlineLevel="2">
      <c r="C27" s="3"/>
      <c r="D27" s="3"/>
      <c r="E27" s="3"/>
      <c r="F27" s="3"/>
      <c r="G27" s="3"/>
      <c r="H27" s="3"/>
      <c r="I27" s="3"/>
      <c r="J27" s="3"/>
      <c r="K27" s="3"/>
      <c r="L27"/>
      <c r="M27" s="796">
        <v>41100</v>
      </c>
      <c r="N27" s="802" t="s">
        <v>1955</v>
      </c>
      <c r="O27" s="798" t="s">
        <v>2174</v>
      </c>
      <c r="P27"/>
      <c r="Q27"/>
      <c r="R27"/>
      <c r="S27"/>
      <c r="T27"/>
      <c r="U27"/>
      <c r="V27"/>
      <c r="W27"/>
      <c r="X27"/>
      <c r="Y27"/>
    </row>
    <row r="28" spans="1:25" ht="12.75" customHeight="1" outlineLevel="2">
      <c r="B28" s="3"/>
      <c r="C28" s="3"/>
      <c r="D28" s="3"/>
      <c r="E28" s="9"/>
      <c r="F28" s="3"/>
      <c r="G28" s="3"/>
      <c r="H28" s="3"/>
      <c r="I28" s="3"/>
      <c r="J28" s="3"/>
      <c r="K28" s="3"/>
      <c r="L28"/>
      <c r="M28" s="796">
        <v>41100</v>
      </c>
      <c r="N28" s="802" t="s">
        <v>1955</v>
      </c>
      <c r="O28" s="798" t="s">
        <v>2175</v>
      </c>
      <c r="P28"/>
      <c r="Q28"/>
      <c r="R28"/>
      <c r="S28"/>
      <c r="T28"/>
      <c r="U28"/>
      <c r="V28"/>
      <c r="W28"/>
      <c r="X28"/>
      <c r="Y28"/>
    </row>
    <row r="29" spans="1:25" ht="12.75" customHeight="1" outlineLevel="2">
      <c r="B29" s="3" t="str">
        <f>HBL!$AA$1654</f>
        <v>Plant</v>
      </c>
      <c r="C29" s="3"/>
      <c r="D29" s="868" t="s">
        <v>2251</v>
      </c>
      <c r="E29" s="869"/>
      <c r="F29" s="3"/>
      <c r="G29" s="3" t="str">
        <f>HBL!$AA$1592</f>
        <v>Person in charge</v>
      </c>
      <c r="H29" s="3"/>
      <c r="I29" s="868" t="s">
        <v>2252</v>
      </c>
      <c r="J29" s="869"/>
      <c r="K29" s="3"/>
      <c r="L29"/>
      <c r="M29" s="796">
        <v>41100</v>
      </c>
      <c r="N29" s="802" t="s">
        <v>1955</v>
      </c>
      <c r="O29" s="798" t="s">
        <v>2188</v>
      </c>
      <c r="P29"/>
      <c r="Q29"/>
      <c r="R29"/>
      <c r="S29"/>
      <c r="T29"/>
      <c r="U29"/>
      <c r="V29"/>
      <c r="W29"/>
      <c r="X29"/>
      <c r="Y29"/>
    </row>
    <row r="30" spans="1:25" ht="12.75" customHeight="1" outlineLevel="2">
      <c r="B30" s="3" t="str">
        <f>HBL!$AA$1478</f>
        <v>Kiln No.</v>
      </c>
      <c r="C30" s="3"/>
      <c r="D30" s="870">
        <v>1</v>
      </c>
      <c r="F30" s="3"/>
      <c r="G30" s="251" t="s">
        <v>649</v>
      </c>
      <c r="H30" s="3"/>
      <c r="I30" s="871">
        <v>4241</v>
      </c>
      <c r="J30" s="9" t="str">
        <f>HBL!$AA$1562</f>
        <v>t/d</v>
      </c>
      <c r="K30" s="3"/>
      <c r="L30"/>
      <c r="M30" s="796">
        <v>41100</v>
      </c>
      <c r="N30" s="802" t="s">
        <v>1955</v>
      </c>
      <c r="O30" s="798" t="s">
        <v>2179</v>
      </c>
      <c r="P30"/>
      <c r="Q30"/>
      <c r="R30"/>
      <c r="S30"/>
      <c r="T30"/>
      <c r="U30"/>
      <c r="V30"/>
      <c r="W30"/>
      <c r="X30"/>
      <c r="Y30"/>
    </row>
    <row r="31" spans="1:25" ht="12.75" customHeight="1" outlineLevel="2">
      <c r="B31" s="9" t="str">
        <f>HBL!$AA$1378</f>
        <v>Altitude</v>
      </c>
      <c r="C31" s="3"/>
      <c r="D31" s="872">
        <v>300</v>
      </c>
      <c r="E31" s="9" t="s">
        <v>422</v>
      </c>
      <c r="F31" s="3"/>
      <c r="G31" s="3" t="str">
        <f>HBL!$AA$1230</f>
        <v>Actual production rate</v>
      </c>
      <c r="H31" s="3"/>
      <c r="I31" s="769">
        <f>IF(M_CLI="","",M_CLI*24)</f>
        <v>4029.6000000000004</v>
      </c>
      <c r="J31" s="9" t="str">
        <f>HBL!$AA$1562</f>
        <v>t/d</v>
      </c>
      <c r="K31" s="3"/>
      <c r="L31"/>
      <c r="M31" s="796">
        <v>41100</v>
      </c>
      <c r="N31" s="802" t="s">
        <v>1955</v>
      </c>
      <c r="O31" s="491" t="s">
        <v>2182</v>
      </c>
      <c r="P31"/>
      <c r="Q31"/>
      <c r="R31"/>
      <c r="S31"/>
      <c r="T31"/>
      <c r="U31"/>
      <c r="V31"/>
      <c r="W31"/>
      <c r="X31"/>
      <c r="Y31"/>
    </row>
    <row r="32" spans="1:25" ht="12.75" customHeight="1" outlineLevel="2">
      <c r="K32" s="3"/>
      <c r="L32"/>
      <c r="M32" s="796">
        <v>41100</v>
      </c>
      <c r="N32" s="802" t="s">
        <v>1955</v>
      </c>
      <c r="O32" s="798" t="s">
        <v>2241</v>
      </c>
      <c r="P32"/>
      <c r="Q32"/>
      <c r="R32"/>
      <c r="S32"/>
      <c r="T32"/>
      <c r="U32"/>
      <c r="V32"/>
      <c r="W32"/>
      <c r="X32"/>
      <c r="Y32"/>
    </row>
    <row r="33" spans="1:25" ht="12.75" customHeight="1" outlineLevel="2">
      <c r="B33" s="3" t="str">
        <f>HBL!$AA$1305</f>
        <v>Date</v>
      </c>
      <c r="C33" s="3" t="str">
        <f>HBL!$AA$1607</f>
        <v>from</v>
      </c>
      <c r="D33" s="873">
        <v>41219</v>
      </c>
      <c r="E33" s="874">
        <v>0.33333333333333331</v>
      </c>
      <c r="F33" s="9" t="s">
        <v>427</v>
      </c>
      <c r="G33"/>
      <c r="H33" s="415"/>
      <c r="I33" s="381"/>
      <c r="J33"/>
      <c r="K33" s="3"/>
      <c r="L33"/>
      <c r="M33" s="796">
        <v>41100</v>
      </c>
      <c r="N33" s="802" t="s">
        <v>1955</v>
      </c>
      <c r="O33" s="491" t="s">
        <v>2183</v>
      </c>
      <c r="P33"/>
      <c r="Q33"/>
      <c r="R33"/>
      <c r="S33"/>
      <c r="T33"/>
      <c r="U33"/>
      <c r="V33"/>
      <c r="W33"/>
      <c r="X33"/>
      <c r="Y33"/>
    </row>
    <row r="34" spans="1:25" ht="12.75" customHeight="1" outlineLevel="2">
      <c r="C34" s="3" t="str">
        <f>HBL!$AA$1262</f>
        <v>to</v>
      </c>
      <c r="D34" s="873">
        <v>41219</v>
      </c>
      <c r="E34" s="874">
        <v>0.83333333333333337</v>
      </c>
      <c r="F34" s="9" t="s">
        <v>427</v>
      </c>
      <c r="G34" s="251" t="s">
        <v>977</v>
      </c>
      <c r="H34" s="3"/>
      <c r="I34" s="559">
        <f>IF(((DAY(DATE2)-DAY(DATE1))*24*60+(HOUR(E34)-HOUR(E33))*60+(MINUTE(E34)-MINUTE(E33)))/60=0,"",((DAY(DATE2)-DAY(DATE1))*24*60+(HOUR(E34)-HOUR(E33))*60+(MINUTE(E34)-MINUTE(E33)))/60)</f>
        <v>12</v>
      </c>
      <c r="J34" s="9" t="s">
        <v>427</v>
      </c>
      <c r="K34" s="3"/>
      <c r="L34"/>
      <c r="M34" s="796">
        <v>41100</v>
      </c>
      <c r="N34" s="802" t="s">
        <v>1955</v>
      </c>
      <c r="O34" s="491" t="s">
        <v>2185</v>
      </c>
      <c r="P34"/>
      <c r="Q34"/>
      <c r="R34"/>
      <c r="S34"/>
      <c r="T34"/>
      <c r="U34"/>
      <c r="V34"/>
      <c r="W34"/>
      <c r="X34"/>
      <c r="Y34"/>
    </row>
    <row r="35" spans="1:25" ht="12.75" customHeight="1" outlineLevel="2">
      <c r="B35"/>
      <c r="C35"/>
      <c r="D35"/>
      <c r="E35"/>
      <c r="F35"/>
      <c r="G35"/>
      <c r="H35" s="415"/>
      <c r="I35"/>
      <c r="J35"/>
      <c r="K35" s="3"/>
      <c r="L35"/>
      <c r="M35" s="796">
        <v>41101</v>
      </c>
      <c r="N35" s="802" t="s">
        <v>1955</v>
      </c>
      <c r="O35" s="491" t="s">
        <v>2186</v>
      </c>
      <c r="P35"/>
      <c r="Q35"/>
      <c r="R35"/>
      <c r="S35"/>
      <c r="T35"/>
      <c r="U35"/>
      <c r="V35"/>
      <c r="W35"/>
      <c r="X35"/>
      <c r="Y35"/>
    </row>
    <row r="36" spans="1:25" ht="12.75" customHeight="1" outlineLevel="2">
      <c r="B36" s="14" t="str">
        <f>HBL!$AA$1250</f>
        <v>REMARKS &amp; COMMENTS</v>
      </c>
      <c r="E36" s="15"/>
      <c r="F36" s="15"/>
      <c r="G36" s="15"/>
      <c r="H36" s="15"/>
      <c r="I36" s="15"/>
      <c r="J36" s="15"/>
      <c r="K36" s="3"/>
      <c r="L36"/>
      <c r="M36" s="796">
        <v>41101</v>
      </c>
      <c r="N36" s="802" t="s">
        <v>1955</v>
      </c>
      <c r="O36" s="491" t="s">
        <v>2187</v>
      </c>
      <c r="P36"/>
      <c r="Q36"/>
      <c r="R36"/>
      <c r="S36"/>
      <c r="T36"/>
      <c r="U36"/>
      <c r="V36"/>
      <c r="W36"/>
      <c r="X36"/>
      <c r="Y36"/>
    </row>
    <row r="37" spans="1:25" ht="12.75" customHeight="1" outlineLevel="2">
      <c r="B37" s="1309" t="s">
        <v>2253</v>
      </c>
      <c r="C37" s="876"/>
      <c r="D37" s="876"/>
      <c r="E37" s="876"/>
      <c r="F37" s="876"/>
      <c r="G37" s="876"/>
      <c r="H37" s="876"/>
      <c r="I37" s="876"/>
      <c r="J37" s="876"/>
      <c r="K37" s="3"/>
      <c r="L37"/>
      <c r="M37" s="796">
        <v>41101</v>
      </c>
      <c r="N37" s="802" t="s">
        <v>1955</v>
      </c>
      <c r="O37" s="491" t="s">
        <v>2189</v>
      </c>
      <c r="P37"/>
      <c r="Q37"/>
      <c r="R37"/>
      <c r="S37"/>
      <c r="T37"/>
      <c r="U37"/>
      <c r="V37"/>
      <c r="W37"/>
      <c r="X37"/>
      <c r="Y37"/>
    </row>
    <row r="38" spans="1:25" ht="12.75" customHeight="1" outlineLevel="2">
      <c r="B38" s="875"/>
      <c r="C38" s="876"/>
      <c r="D38" s="876"/>
      <c r="E38" s="876"/>
      <c r="F38" s="876"/>
      <c r="G38" s="876"/>
      <c r="H38" s="876"/>
      <c r="I38" s="876"/>
      <c r="J38" s="876"/>
      <c r="K38" s="3"/>
      <c r="L38"/>
      <c r="M38" s="796">
        <v>41103</v>
      </c>
      <c r="N38" s="802" t="s">
        <v>1955</v>
      </c>
      <c r="O38" s="491" t="s">
        <v>2190</v>
      </c>
      <c r="P38"/>
      <c r="Q38"/>
      <c r="R38"/>
      <c r="S38"/>
      <c r="T38"/>
      <c r="U38"/>
      <c r="V38"/>
      <c r="W38"/>
      <c r="X38"/>
      <c r="Y38"/>
    </row>
    <row r="39" spans="1:25" ht="12.75" customHeight="1" outlineLevel="2">
      <c r="B39" s="875"/>
      <c r="C39" s="876"/>
      <c r="D39" s="876"/>
      <c r="E39" s="876"/>
      <c r="F39" s="876"/>
      <c r="G39" s="876"/>
      <c r="H39" s="876"/>
      <c r="I39" s="876"/>
      <c r="J39" s="876"/>
      <c r="K39" s="3"/>
      <c r="L39"/>
      <c r="P39"/>
      <c r="Q39"/>
      <c r="R39"/>
      <c r="S39"/>
      <c r="T39"/>
      <c r="U39"/>
      <c r="V39"/>
      <c r="W39"/>
      <c r="X39"/>
      <c r="Y39"/>
    </row>
    <row r="40" spans="1:25" ht="12.75" customHeight="1" outlineLevel="2">
      <c r="B40"/>
      <c r="C40"/>
      <c r="D40"/>
      <c r="E40"/>
      <c r="F40"/>
      <c r="G40"/>
      <c r="H40"/>
      <c r="I40"/>
      <c r="J40"/>
      <c r="K40" s="3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ht="12.75" customHeight="1" outlineLevel="1">
      <c r="B41" s="3"/>
      <c r="C41" s="3"/>
      <c r="D41" s="3"/>
      <c r="E41" s="3"/>
      <c r="F41" s="3"/>
      <c r="G41" s="3"/>
      <c r="H41" s="3"/>
      <c r="I41" s="3"/>
      <c r="J41" s="3"/>
      <c r="K41" s="3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ht="12.75" customHeight="1" outlineLevel="1">
      <c r="A42" s="1073">
        <v>1</v>
      </c>
      <c r="B42" s="905" t="str">
        <f>HBL!$AA$1484</f>
        <v>KILN DATA</v>
      </c>
      <c r="C42" s="907"/>
      <c r="D42" s="11" t="str">
        <f>HBL!$AA$1448</f>
        <v>Supplier / Type</v>
      </c>
      <c r="E42" s="11"/>
      <c r="F42" s="877" t="s">
        <v>2254</v>
      </c>
      <c r="G42" s="878"/>
      <c r="H42" s="878"/>
      <c r="I42" s="878"/>
      <c r="J42" s="879"/>
      <c r="K42" s="3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ht="12.75" customHeight="1" outlineLevel="2">
      <c r="K43" s="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ht="12.75" customHeight="1" outlineLevel="2">
      <c r="B44" s="3" t="str">
        <f>HBL!$AA$1489</f>
        <v>Kiln slope</v>
      </c>
      <c r="C44" s="3"/>
      <c r="D44" s="880">
        <v>3</v>
      </c>
      <c r="E44" s="9" t="s">
        <v>423</v>
      </c>
      <c r="F44" s="3" t="str">
        <f>HBL!$AA$1485</f>
        <v>Kiln speed at normal operation</v>
      </c>
      <c r="G44"/>
      <c r="H44" s="3"/>
      <c r="I44" s="880">
        <v>3.8</v>
      </c>
      <c r="J44" s="3" t="str">
        <f>HBL!$AA$1580</f>
        <v>rpm</v>
      </c>
      <c r="K44" s="3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ht="12.75" customHeight="1" outlineLevel="2">
      <c r="B45" s="3" t="str">
        <f>HBL!$AA$1446</f>
        <v>Kiln length</v>
      </c>
      <c r="C45" s="3"/>
      <c r="D45" s="881">
        <v>68</v>
      </c>
      <c r="E45" s="9" t="s">
        <v>422</v>
      </c>
      <c r="F45" s="3" t="str">
        <f>HBL!$AA$1458</f>
        <v>Maximum kiln speed</v>
      </c>
      <c r="G45"/>
      <c r="H45"/>
      <c r="I45" s="880">
        <v>4.5</v>
      </c>
      <c r="J45" s="3" t="str">
        <f>HBL!$AA$1580</f>
        <v>rpm</v>
      </c>
      <c r="K45" s="3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ht="12.75" customHeight="1" outlineLevel="2">
      <c r="B46" s="3"/>
      <c r="C46" s="3"/>
      <c r="D46" s="3"/>
      <c r="E46" s="9"/>
      <c r="F46" s="12" t="str">
        <f>HBL!$AA$1309</f>
        <v>Diameter burning zone</v>
      </c>
      <c r="G46"/>
      <c r="H46" s="3"/>
      <c r="I46" s="882">
        <v>4.5999999999999996</v>
      </c>
      <c r="J46" s="9" t="s">
        <v>422</v>
      </c>
      <c r="K46" s="3"/>
      <c r="L46"/>
      <c r="N46" s="252"/>
      <c r="O46"/>
      <c r="P46"/>
      <c r="Q46"/>
      <c r="R46"/>
      <c r="S46"/>
      <c r="T46"/>
      <c r="U46"/>
      <c r="V46"/>
      <c r="W46"/>
      <c r="X46"/>
      <c r="Y46"/>
    </row>
    <row r="47" spans="1:25" ht="12.75" customHeight="1" outlineLevel="2" thickBot="1">
      <c r="F47" s="3"/>
      <c r="G47" s="12"/>
      <c r="K47" s="3"/>
      <c r="L47"/>
      <c r="N47"/>
      <c r="O47"/>
      <c r="P47"/>
      <c r="Q47"/>
      <c r="R47"/>
      <c r="S47"/>
      <c r="T47"/>
      <c r="U47"/>
      <c r="V47"/>
      <c r="W47"/>
      <c r="X47"/>
      <c r="Y47"/>
    </row>
    <row r="48" spans="1:25" ht="12.75" customHeight="1" outlineLevel="2" thickTop="1" thickBot="1">
      <c r="A48" s="1076"/>
      <c r="B48" s="3" t="str">
        <f>HBL!$AA$1419</f>
        <v>Calciner system</v>
      </c>
      <c r="D48"/>
      <c r="F48" s="1215">
        <v>3</v>
      </c>
      <c r="H48" s="3" t="str">
        <f>HBL!$AA$1681</f>
        <v>0=none</v>
      </c>
      <c r="K48" s="3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2:25" ht="12.75" customHeight="1" outlineLevel="2" thickTop="1">
      <c r="B49" s="3" t="str">
        <f>HBL!$AA$1420</f>
        <v>or Secondary firing</v>
      </c>
      <c r="F49"/>
      <c r="H49" s="3" t="str">
        <f>HBL!$AA$1682</f>
        <v>1=secondary firing</v>
      </c>
      <c r="K49" s="3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2:25" ht="12.75" customHeight="1" outlineLevel="2">
      <c r="B50"/>
      <c r="F50"/>
      <c r="H50" s="3" t="str">
        <f>HBL!$AA$1683</f>
        <v>2=in-line calciner (air through)</v>
      </c>
      <c r="K50" s="3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2:25" ht="12.75" customHeight="1" outlineLevel="2">
      <c r="F51"/>
      <c r="H51" s="3" t="str">
        <f>HBL!$AA$1684</f>
        <v>3=in-line calciner (air separate)</v>
      </c>
      <c r="K51" s="3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2:25" ht="12.75" customHeight="1" outlineLevel="2">
      <c r="F52"/>
      <c r="H52" s="3" t="str">
        <f>HBL!$AA$1685</f>
        <v>4=off-line calciner</v>
      </c>
      <c r="K52" s="3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2:25" ht="12.75" customHeight="1" outlineLevel="2">
      <c r="F53"/>
      <c r="H53" s="3" t="str">
        <f>HBL!$AA$1686</f>
        <v>5=separate line calciner</v>
      </c>
      <c r="K53" s="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2:25" ht="12.75" customHeight="1" outlineLevel="2" thickBot="1">
      <c r="F54" s="251"/>
      <c r="H54" s="3"/>
      <c r="K54" s="3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2:25" ht="12.75" customHeight="1" outlineLevel="2" thickTop="1" thickBot="1">
      <c r="B55" s="1" t="str">
        <f>HBL!$AA$1444</f>
        <v>Cooler type</v>
      </c>
      <c r="D55"/>
      <c r="E55"/>
      <c r="F55" s="1216">
        <v>1</v>
      </c>
      <c r="H55" s="3" t="str">
        <f>HBL!$AA$1688</f>
        <v>1 = grate cooler</v>
      </c>
      <c r="K55" s="3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2:25" ht="12.75" customHeight="1" outlineLevel="2" thickTop="1">
      <c r="D56"/>
      <c r="E56"/>
      <c r="H56" s="3" t="str">
        <f>HBL!$AA$1689</f>
        <v>2 = planetary cooler</v>
      </c>
      <c r="K56" s="3"/>
      <c r="L56" s="3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2:25" ht="12.75" customHeight="1" outlineLevel="2">
      <c r="D57"/>
      <c r="E57"/>
      <c r="H57" s="3"/>
      <c r="K57" s="3"/>
      <c r="L57" s="3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2:25" ht="12.75" customHeight="1" outlineLevel="2">
      <c r="B58" t="s">
        <v>1104</v>
      </c>
      <c r="D58"/>
      <c r="E58"/>
      <c r="F58" s="832">
        <v>0</v>
      </c>
      <c r="H58" s="251" t="s">
        <v>1105</v>
      </c>
      <c r="K58" s="3"/>
      <c r="L58" s="3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2:25" ht="12.75" customHeight="1" outlineLevel="2">
      <c r="D59"/>
      <c r="E59"/>
      <c r="H59" s="251" t="s">
        <v>1106</v>
      </c>
      <c r="K59" s="3"/>
      <c r="L59" s="3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2:25" ht="12.75" customHeight="1" outlineLevel="2">
      <c r="B60" t="s">
        <v>1112</v>
      </c>
      <c r="K60" s="3"/>
      <c r="L60" s="3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2:25" ht="12.75" customHeight="1" outlineLevel="2">
      <c r="C61"/>
      <c r="D61"/>
      <c r="E61" t="s">
        <v>1109</v>
      </c>
      <c r="F61" t="s">
        <v>1115</v>
      </c>
      <c r="G61" s="251"/>
      <c r="H61" t="s">
        <v>289</v>
      </c>
      <c r="I61"/>
      <c r="J61"/>
      <c r="K61" s="3"/>
      <c r="L61" s="3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2:25" ht="12.75" customHeight="1" outlineLevel="2">
      <c r="B62" t="s">
        <v>1107</v>
      </c>
      <c r="C62"/>
      <c r="D62"/>
      <c r="E62" t="s">
        <v>1110</v>
      </c>
      <c r="F62" t="s">
        <v>1116</v>
      </c>
      <c r="G62"/>
      <c r="H62" t="s">
        <v>490</v>
      </c>
      <c r="I62"/>
      <c r="J62"/>
      <c r="K62" s="3"/>
      <c r="L62" s="3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2:25" ht="12.75" customHeight="1" outlineLevel="2">
      <c r="B63" t="s">
        <v>1111</v>
      </c>
      <c r="D63"/>
      <c r="E63" s="832"/>
      <c r="F63" s="832"/>
      <c r="G63" s="42"/>
      <c r="H63" s="813">
        <f>IF(E63="",,IF(M_CLI="","",E63*F63*0.9*3600/(1000*M_CLI)))</f>
        <v>0</v>
      </c>
      <c r="I63" s="42"/>
      <c r="K63" s="3"/>
      <c r="L63" s="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2:25" ht="12.75" customHeight="1" outlineLevel="2">
      <c r="B64" t="s">
        <v>1108</v>
      </c>
      <c r="D64"/>
      <c r="E64" s="832"/>
      <c r="F64" s="832"/>
      <c r="G64" s="42"/>
      <c r="H64" s="813">
        <f>IF(E64="",,IF(M_CLI="","",E64*F64*0.9*3600/(1000*M_CLI)))</f>
        <v>0</v>
      </c>
      <c r="I64" s="42"/>
      <c r="K64" s="3"/>
      <c r="L64" s="3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ht="12.75" customHeight="1" outlineLevel="2">
      <c r="B65"/>
      <c r="D65"/>
      <c r="E65" s="42"/>
      <c r="F65" t="s">
        <v>1113</v>
      </c>
      <c r="G65" s="42"/>
      <c r="H65" s="28"/>
      <c r="I65" s="42"/>
      <c r="K65" s="3"/>
      <c r="L65" s="3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ht="12.75" customHeight="1" outlineLevel="2">
      <c r="C66"/>
      <c r="F66" s="809" t="s">
        <v>1114</v>
      </c>
      <c r="H66" s="3"/>
      <c r="K66" s="3"/>
      <c r="L66" s="3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ht="12.75" customHeight="1" outlineLevel="1">
      <c r="I67"/>
      <c r="K67" s="3"/>
      <c r="L67" s="3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ht="12.75" customHeight="1" outlineLevel="1">
      <c r="A68" s="1073">
        <v>2</v>
      </c>
      <c r="B68" s="905" t="s">
        <v>2162</v>
      </c>
      <c r="C68" s="907"/>
      <c r="D68" s="904"/>
      <c r="E68" s="904"/>
      <c r="F68" s="984"/>
      <c r="G68" s="3"/>
      <c r="K68" s="3"/>
      <c r="L68" s="3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ht="12.75" customHeight="1" outlineLevel="2" thickBot="1">
      <c r="K69" s="3"/>
      <c r="L69" s="3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ht="12.75" customHeight="1" outlineLevel="2" thickTop="1" thickBot="1">
      <c r="B70" s="3" t="str">
        <f>HBL!$AA$1583</f>
        <v>Ambient pressure (calculated)</v>
      </c>
      <c r="C70" s="3"/>
      <c r="E70" s="1217">
        <f>IF(ALTITUDE="","",1.03323*((288-6.5*ALTITUDE/1000)/288)^5.255*980.665)</f>
        <v>977.71576555840886</v>
      </c>
      <c r="F70" s="9" t="s">
        <v>424</v>
      </c>
      <c r="G70" s="3" t="str">
        <f>HBL!$AA$1585</f>
        <v>Ambient temperature</v>
      </c>
      <c r="H70" s="3"/>
      <c r="I70" s="1215">
        <v>20.399999999999999</v>
      </c>
      <c r="J70" s="9" t="s">
        <v>425</v>
      </c>
      <c r="L70" s="3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ht="12.75" customHeight="1" outlineLevel="2" thickTop="1" thickBot="1">
      <c r="B71" s="3" t="str">
        <f>HBL!$AA$1584</f>
        <v>Ambient pressure (actual)</v>
      </c>
      <c r="C71" s="3"/>
      <c r="E71" s="1219">
        <v>980</v>
      </c>
      <c r="F71" s="376" t="s">
        <v>424</v>
      </c>
      <c r="G71" s="3" t="str">
        <f>HBL!$AA$1518</f>
        <v>Relative humidity</v>
      </c>
      <c r="H71" s="3"/>
      <c r="I71" s="1215">
        <v>50</v>
      </c>
      <c r="J71" s="376" t="s">
        <v>423</v>
      </c>
      <c r="L71" s="3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ht="15" customHeight="1" outlineLevel="2" thickTop="1">
      <c r="B72" s="3" t="str">
        <f>HBL!$AA$1229</f>
        <v>Absolute humidity</v>
      </c>
      <c r="C72"/>
      <c r="D72"/>
      <c r="E72" s="1218">
        <f>IF(PAMB="","",(0.622*(EXP(11.4297-3591/(TAMB+179)+113216/(TAMB+179)^2))/(PAMB/1000-RELHUM/100*EXP(11.4297-3591/(TAMB+179)+113216/(TAMB+179)^2))*RELHUM/100)*1.608)</f>
        <v>1.2371710970460295E-2</v>
      </c>
      <c r="F72" s="252" t="s">
        <v>426</v>
      </c>
      <c r="G72"/>
      <c r="H72"/>
      <c r="I72"/>
      <c r="J72"/>
      <c r="K72"/>
      <c r="L72" s="3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ht="12.75" customHeight="1" outlineLevel="2">
      <c r="B73" s="3"/>
      <c r="C73"/>
      <c r="D73"/>
      <c r="E73" s="33"/>
      <c r="F73" s="5"/>
      <c r="G73"/>
      <c r="H73" s="33"/>
      <c r="I73"/>
      <c r="J73"/>
      <c r="K73"/>
      <c r="L73" s="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ht="12.75" customHeight="1" outlineLevel="1">
      <c r="K74" s="3"/>
      <c r="L74" s="3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ht="12.75" customHeight="1" outlineLevel="1">
      <c r="A75" s="1073">
        <v>3</v>
      </c>
      <c r="B75" s="905" t="str">
        <f>HBL!$AA$1311</f>
        <v>KILN FEED PROPERTIES</v>
      </c>
      <c r="C75" s="907"/>
      <c r="D75" s="904"/>
      <c r="E75" s="904"/>
      <c r="F75" s="984"/>
      <c r="G75" s="3"/>
      <c r="H75" s="3"/>
      <c r="I75" s="3"/>
      <c r="J75" s="3"/>
      <c r="K75" s="3"/>
      <c r="L75" s="3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ht="12.75" customHeight="1" outlineLevel="2">
      <c r="B76" s="18"/>
      <c r="C76" s="3"/>
      <c r="D76" s="3"/>
      <c r="E76" s="9"/>
      <c r="F76" s="3"/>
      <c r="G76" s="3"/>
      <c r="H76" s="3"/>
      <c r="I76" s="3"/>
      <c r="J76" s="3"/>
      <c r="K76" s="3"/>
      <c r="L76" s="3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ht="12.75" customHeight="1" outlineLevel="2">
      <c r="B77" s="251" t="s">
        <v>979</v>
      </c>
      <c r="C77" s="22"/>
      <c r="D77" s="833">
        <v>265</v>
      </c>
      <c r="E77" s="380" t="s">
        <v>493</v>
      </c>
      <c r="F77" s="3"/>
      <c r="G77" s="3"/>
      <c r="H77" s="3"/>
      <c r="I77" s="3"/>
      <c r="K77" s="3"/>
      <c r="L77" s="3"/>
      <c r="M77" s="62"/>
      <c r="N77"/>
      <c r="O77"/>
      <c r="P77"/>
      <c r="Q77"/>
      <c r="R77"/>
      <c r="S77"/>
      <c r="T77"/>
      <c r="U77"/>
      <c r="V77"/>
      <c r="W77"/>
      <c r="X77"/>
      <c r="Y77"/>
    </row>
    <row r="78" spans="1:25" ht="12.75" customHeight="1" outlineLevel="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ht="12.75" customHeight="1" outlineLevel="2">
      <c r="B79" s="3" t="str">
        <f>HBL!$AA$1564</f>
        <v>Temperature</v>
      </c>
      <c r="C79" s="3"/>
      <c r="D79" s="834">
        <v>55</v>
      </c>
      <c r="E79" s="9" t="s">
        <v>425</v>
      </c>
      <c r="F79" s="3"/>
      <c r="G79" s="3" t="str">
        <f>HBL!$AA$1357</f>
        <v>Moisture content</v>
      </c>
      <c r="H79" s="3"/>
      <c r="I79" s="833">
        <v>0.3</v>
      </c>
      <c r="J79" s="9" t="s">
        <v>423</v>
      </c>
      <c r="K79" s="3"/>
      <c r="L79" s="3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ht="12.75" customHeight="1" outlineLevel="2">
      <c r="B80" s="3" t="str">
        <f>HBL!$AA$1299</f>
        <v>cp feed (dry)</v>
      </c>
      <c r="C80" s="3"/>
      <c r="D80" s="528">
        <f>IF(T_FEED="","",IF(OR(T_FEED&gt;200,T_FEED&lt; 21),"ERROR",((0.8+7.3*10^-4*T_FEED-4.6*10^-7*T_FEED^2+5.2*10^-11*T_FEED^3)*T_FEED-(0.8+7.3*10^-4*20-4.6*10^-7*20^2+5.2*10^-11*20^3)*20)/(T_FEED-20)))</f>
        <v>0.85268185750000003</v>
      </c>
      <c r="E80" s="9" t="s">
        <v>429</v>
      </c>
      <c r="F80" s="3"/>
      <c r="G80" s="3" t="str">
        <f>HBL!$AA$1374</f>
        <v>LOI</v>
      </c>
      <c r="H80" s="3"/>
      <c r="I80" s="835">
        <v>35</v>
      </c>
      <c r="J80" s="9" t="s">
        <v>423</v>
      </c>
      <c r="K80" s="3"/>
      <c r="L80" s="3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ht="12.75" customHeight="1" outlineLevel="2">
      <c r="B81" s="3" t="str">
        <f>HBL!$AA$1301</f>
        <v>cp water</v>
      </c>
      <c r="C81" s="3"/>
      <c r="D81" s="528">
        <f>IF(H2O_FEED="","",4.1816)</f>
        <v>4.1816000000000004</v>
      </c>
      <c r="E81" s="9" t="s">
        <v>429</v>
      </c>
      <c r="F81" s="3"/>
      <c r="G81" s="3" t="str">
        <f>HBL!$AA$1525</f>
        <v>SO3 kiln feed</v>
      </c>
      <c r="H81" s="3"/>
      <c r="I81" s="883"/>
      <c r="J81" s="29" t="s">
        <v>423</v>
      </c>
      <c r="K81" s="3"/>
      <c r="L81" s="3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ht="12.75" customHeight="1" outlineLevel="2">
      <c r="B82" s="3" t="str">
        <f>HBL!$AA$1491</f>
        <v>Organic carbon content</v>
      </c>
      <c r="C82" s="30"/>
      <c r="D82" s="836">
        <v>0</v>
      </c>
      <c r="E82" s="9" t="s">
        <v>423</v>
      </c>
      <c r="G82" t="str">
        <f>HBL!$AA$1466</f>
        <v>Na2O kiln feed</v>
      </c>
      <c r="H82"/>
      <c r="I82" s="883"/>
      <c r="J82" s="29" t="s">
        <v>423</v>
      </c>
      <c r="K82" s="3"/>
      <c r="L82" s="3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ht="12.75" customHeight="1" outlineLevel="2">
      <c r="B83" s="251" t="s">
        <v>110</v>
      </c>
      <c r="C83" s="3"/>
      <c r="E83" s="837">
        <v>33000</v>
      </c>
      <c r="F83" s="9" t="s">
        <v>430</v>
      </c>
      <c r="G83" s="3" t="str">
        <f>HBL!$AA$1394</f>
        <v>K2O kiln feed</v>
      </c>
      <c r="H83" s="3"/>
      <c r="I83" s="883"/>
      <c r="J83" s="29" t="s">
        <v>423</v>
      </c>
      <c r="K83" s="3"/>
      <c r="L83" s="3"/>
      <c r="M83"/>
      <c r="N83" s="407"/>
      <c r="O83"/>
      <c r="P83"/>
      <c r="Q83"/>
      <c r="R83"/>
      <c r="S83"/>
      <c r="T83"/>
      <c r="U83"/>
      <c r="V83"/>
      <c r="W83"/>
      <c r="X83"/>
      <c r="Y83"/>
    </row>
    <row r="84" spans="1:25" ht="12.75" customHeight="1" outlineLevel="2" thickBot="1">
      <c r="B84" s="3" t="str">
        <f>HBL!$AA$1506</f>
        <v>Pyrite content as S</v>
      </c>
      <c r="C84"/>
      <c r="D84" s="838">
        <v>0</v>
      </c>
      <c r="E84" s="9" t="s">
        <v>423</v>
      </c>
      <c r="G84" s="3"/>
      <c r="H84" s="3"/>
      <c r="I84" s="3"/>
      <c r="J84" s="3"/>
      <c r="K84" s="3"/>
      <c r="L84" s="3"/>
      <c r="N84" s="251"/>
      <c r="O84"/>
      <c r="P84"/>
      <c r="Q84"/>
      <c r="R84"/>
      <c r="S84"/>
      <c r="T84"/>
      <c r="U84"/>
      <c r="V84"/>
      <c r="W84"/>
      <c r="X84"/>
      <c r="Y84"/>
    </row>
    <row r="85" spans="1:25" ht="12.75" customHeight="1" outlineLevel="2" thickBot="1">
      <c r="B85" s="3" t="str">
        <f>HBL!$AA$1588</f>
        <v>Low heat value LHV</v>
      </c>
      <c r="D85" s="529">
        <v>12930</v>
      </c>
      <c r="E85" s="9" t="s">
        <v>430</v>
      </c>
      <c r="G85" s="1" t="str">
        <f>HBL!$AA$1354</f>
        <v>Mass balance error</v>
      </c>
      <c r="I85" s="972">
        <f>IF(MASBAL_ERROR="","",MASBAL_ERROR)</f>
        <v>3.9167240123780833</v>
      </c>
      <c r="J85" s="5" t="s">
        <v>431</v>
      </c>
      <c r="K85" s="3"/>
      <c r="L85" s="3"/>
      <c r="M85"/>
      <c r="N85" s="380"/>
      <c r="O85"/>
      <c r="P85"/>
      <c r="Q85"/>
      <c r="R85"/>
      <c r="S85"/>
      <c r="T85"/>
      <c r="U85"/>
      <c r="V85"/>
      <c r="W85"/>
      <c r="X85"/>
      <c r="Y85"/>
    </row>
    <row r="86" spans="1:25" ht="12.75" customHeight="1" outlineLevel="2">
      <c r="B86" s="3"/>
      <c r="D86" s="778"/>
      <c r="E86" s="9"/>
      <c r="I86" s="31"/>
      <c r="J86" s="5"/>
      <c r="K86" s="3"/>
      <c r="L86" s="3"/>
      <c r="M86"/>
      <c r="N86" s="380"/>
      <c r="O86"/>
      <c r="P86"/>
      <c r="Q86"/>
      <c r="R86"/>
      <c r="S86"/>
      <c r="T86"/>
      <c r="U86"/>
      <c r="V86"/>
      <c r="W86"/>
      <c r="X86"/>
      <c r="Y86"/>
    </row>
    <row r="87" spans="1:25" ht="12.75" customHeight="1" outlineLevel="2">
      <c r="B87" s="519" t="s">
        <v>811</v>
      </c>
      <c r="D87" s="778"/>
      <c r="E87" s="9"/>
      <c r="I87" s="31"/>
      <c r="J87" s="5"/>
      <c r="K87" s="3"/>
      <c r="L87" s="3"/>
      <c r="M87"/>
      <c r="N87" s="380"/>
      <c r="O87"/>
      <c r="P87"/>
      <c r="Q87"/>
      <c r="R87"/>
      <c r="S87"/>
      <c r="T87"/>
      <c r="U87"/>
      <c r="V87"/>
      <c r="W87"/>
      <c r="X87"/>
      <c r="Y87"/>
    </row>
    <row r="88" spans="1:25" ht="12.75" customHeight="1" outlineLevel="2">
      <c r="B88" s="3" t="str">
        <f>HBL!$AA$1501</f>
        <v>Percent of kiln feed into calciner string</v>
      </c>
      <c r="C88" s="22"/>
      <c r="D88" s="27"/>
      <c r="E88" s="831"/>
      <c r="F88" s="405" t="s">
        <v>423</v>
      </c>
      <c r="K88" s="3"/>
      <c r="L88" s="3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ht="12.75" customHeight="1" outlineLevel="2">
      <c r="B89" s="3"/>
      <c r="C89" s="22"/>
      <c r="D89" s="27"/>
      <c r="E89" t="str">
        <f>IF(PRECAL=5,"This considers just the meal distribution on top. All meal is considered to pass the precalciner","")</f>
        <v/>
      </c>
      <c r="F89" s="405"/>
      <c r="K89" s="3"/>
      <c r="L89" s="3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ht="12.75" customHeight="1" outlineLevel="1">
      <c r="K90" s="3"/>
      <c r="L90" s="3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ht="12.75" customHeight="1" outlineLevel="1">
      <c r="A91" s="1073">
        <v>4</v>
      </c>
      <c r="B91" s="905" t="str">
        <f>HBL!$AA$1552</f>
        <v>DUST LOSS  IN DIRECT OPERATION</v>
      </c>
      <c r="C91" s="907"/>
      <c r="D91" s="904"/>
      <c r="E91" s="904"/>
      <c r="F91" s="984"/>
      <c r="H91" s="3"/>
      <c r="I91" s="3"/>
      <c r="J91" s="3"/>
      <c r="K91" s="3"/>
      <c r="L91" s="3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ht="12.75" customHeight="1" outlineLevel="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ht="12.75" customHeight="1" outlineLevel="2">
      <c r="B93" s="251" t="s">
        <v>978</v>
      </c>
      <c r="C93" s="22"/>
      <c r="D93" s="835"/>
      <c r="E93" s="380" t="s">
        <v>493</v>
      </c>
      <c r="F93" s="3"/>
      <c r="G93" s="3"/>
      <c r="H93" s="3"/>
      <c r="I93" s="3"/>
      <c r="J93" s="3"/>
      <c r="K93" s="3"/>
      <c r="L93" s="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ht="12.75" customHeight="1" outlineLevel="2">
      <c r="B94" s="3" t="str">
        <f>HBL!$AA$1357</f>
        <v>Moisture content</v>
      </c>
      <c r="C94" s="3"/>
      <c r="D94" s="833">
        <v>0.2</v>
      </c>
      <c r="E94" s="9" t="s">
        <v>423</v>
      </c>
      <c r="F94" s="3"/>
      <c r="G94" t="str">
        <f>HBL!$AA$1527</f>
        <v>SO3 kiln dust</v>
      </c>
      <c r="H94"/>
      <c r="I94" s="883"/>
      <c r="J94" s="29" t="s">
        <v>423</v>
      </c>
      <c r="K94" s="3"/>
      <c r="L94" s="3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ht="12.75" customHeight="1" outlineLevel="2">
      <c r="B95" s="3" t="str">
        <f>HBL!$AA$1374</f>
        <v>LOI</v>
      </c>
      <c r="C95" s="3"/>
      <c r="D95" s="835">
        <v>36.5</v>
      </c>
      <c r="E95" s="9" t="s">
        <v>423</v>
      </c>
      <c r="F95" s="3"/>
      <c r="G95" s="1" t="str">
        <f>HBL!$AA$1468</f>
        <v>Na2O kiln dust</v>
      </c>
      <c r="I95" s="883"/>
      <c r="J95" s="29" t="s">
        <v>423</v>
      </c>
      <c r="K95" s="3"/>
      <c r="L95" s="3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ht="12.75" customHeight="1" outlineLevel="2">
      <c r="B96" s="3" t="str">
        <f>HBL!$AA$1284</f>
        <v>CaO content</v>
      </c>
      <c r="C96" s="3"/>
      <c r="D96" s="884"/>
      <c r="E96" s="9" t="s">
        <v>423</v>
      </c>
      <c r="F96" s="3"/>
      <c r="G96" s="1" t="str">
        <f>HBL!$AA$1396</f>
        <v>K2O kiln dust</v>
      </c>
      <c r="I96" s="883"/>
      <c r="J96" s="29" t="s">
        <v>423</v>
      </c>
      <c r="K96" s="3"/>
      <c r="L96" s="3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ht="12.75" customHeight="1" outlineLevel="2" thickBot="1">
      <c r="F97" s="3"/>
      <c r="K97" s="3"/>
      <c r="L97" s="3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ht="12.75" customHeight="1" outlineLevel="2" thickBot="1">
      <c r="B98" s="3" t="str">
        <f>HBL!$AA$1550</f>
        <v>Dust in exhaust gases</v>
      </c>
      <c r="C98" s="3"/>
      <c r="D98" s="1298" t="str">
        <f>IF(M_DUSTFILTER="","",M_DUSTFILTER/M_FEED)</f>
        <v/>
      </c>
      <c r="E98" s="380" t="s">
        <v>432</v>
      </c>
      <c r="H98"/>
      <c r="K98" s="3"/>
      <c r="L98" s="3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ht="12.75" customHeight="1" outlineLevel="2" thickBot="1">
      <c r="B99" s="3"/>
      <c r="C99" s="3"/>
      <c r="E99" s="29"/>
      <c r="F99" s="33"/>
      <c r="G99" s="380"/>
      <c r="H99"/>
      <c r="I99" s="34"/>
      <c r="J99" s="3"/>
      <c r="K99" s="3"/>
      <c r="L99" s="3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ht="12.75" customHeight="1" outlineLevel="2" thickBot="1">
      <c r="B100" s="251" t="s">
        <v>1881</v>
      </c>
      <c r="C100" s="3"/>
      <c r="D100" s="1059" t="str">
        <f>IF(D98="","",D98*100)</f>
        <v/>
      </c>
      <c r="E100" s="3" t="s">
        <v>431</v>
      </c>
      <c r="F100" s="33"/>
      <c r="G100" s="251" t="s">
        <v>1137</v>
      </c>
      <c r="H100" s="3"/>
      <c r="I100" s="1299" t="str">
        <f>IF(D100="","",100-D100)</f>
        <v/>
      </c>
      <c r="J100" s="3" t="s">
        <v>431</v>
      </c>
      <c r="K100" s="3"/>
      <c r="L100" s="3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ht="12.75" customHeight="1" outlineLevel="2">
      <c r="B101" s="3"/>
      <c r="C101" s="3"/>
      <c r="E101" s="29"/>
      <c r="F101" s="33"/>
      <c r="G101" s="380"/>
      <c r="H101"/>
      <c r="I101" s="34"/>
      <c r="J101" s="3"/>
      <c r="K101" s="3"/>
      <c r="L101" s="3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ht="12.75" customHeight="1" outlineLevel="2">
      <c r="B102" s="497" t="s">
        <v>880</v>
      </c>
      <c r="C102" s="497" t="s">
        <v>596</v>
      </c>
      <c r="D102" s="492"/>
      <c r="E102" s="523"/>
      <c r="F102" s="524"/>
      <c r="G102" s="525">
        <v>0.95</v>
      </c>
      <c r="H102" s="492" t="s">
        <v>599</v>
      </c>
      <c r="I102" s="526"/>
      <c r="J102" s="3"/>
      <c r="K102" s="3"/>
      <c r="L102" s="3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ht="12.75" customHeight="1" outlineLevel="2">
      <c r="B103" s="497"/>
      <c r="C103" s="497"/>
      <c r="D103" s="492"/>
      <c r="E103" s="523"/>
      <c r="F103" s="524"/>
      <c r="G103" s="525">
        <v>0.93</v>
      </c>
      <c r="H103" s="492" t="s">
        <v>597</v>
      </c>
      <c r="I103" s="526"/>
      <c r="J103" s="3"/>
      <c r="K103" s="3"/>
      <c r="L103" s="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ht="12.75" customHeight="1" outlineLevel="2">
      <c r="B104" s="497"/>
      <c r="C104" s="497"/>
      <c r="D104" s="492"/>
      <c r="E104" s="523"/>
      <c r="F104" s="524"/>
      <c r="G104" s="516">
        <v>0.9</v>
      </c>
      <c r="H104" s="492" t="s">
        <v>598</v>
      </c>
      <c r="I104" s="526"/>
      <c r="J104" s="3"/>
      <c r="K104" s="3"/>
      <c r="L104" s="3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ht="12.75" customHeight="1" outlineLevel="2">
      <c r="B105" s="497"/>
      <c r="C105" s="497"/>
      <c r="D105" s="492"/>
      <c r="E105" s="523"/>
      <c r="F105" s="524"/>
      <c r="G105" s="516"/>
      <c r="H105" s="492"/>
      <c r="I105" s="526"/>
      <c r="J105" s="3"/>
      <c r="K105" s="3"/>
      <c r="L105" s="3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ht="12.75" customHeight="1" outlineLevel="1">
      <c r="B106" s="491"/>
      <c r="C106" s="491"/>
      <c r="D106" s="491"/>
      <c r="E106" s="491"/>
      <c r="F106" s="491"/>
      <c r="I106" s="491"/>
      <c r="K106" s="3"/>
      <c r="L106" s="3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ht="12.75" customHeight="1" outlineLevel="1">
      <c r="A107" s="1073">
        <v>5</v>
      </c>
      <c r="B107" s="905" t="str">
        <f>HBL!$AA$1428</f>
        <v>CLINKER PROPERTIES</v>
      </c>
      <c r="C107" s="907"/>
      <c r="D107" s="904"/>
      <c r="E107" s="904"/>
      <c r="F107" s="984"/>
      <c r="G107" s="3"/>
      <c r="H107" s="3"/>
      <c r="I107" s="3"/>
      <c r="J107" s="3"/>
      <c r="K107" s="3"/>
      <c r="L107" s="3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ht="12.75" customHeight="1" outlineLevel="2" thickBo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ht="12.75" customHeight="1" outlineLevel="2" thickTop="1" thickBot="1">
      <c r="A109" s="1077"/>
      <c r="B109" s="407" t="s">
        <v>980</v>
      </c>
      <c r="C109" s="22"/>
      <c r="D109" s="1220">
        <v>167.9</v>
      </c>
      <c r="E109" s="380" t="s">
        <v>493</v>
      </c>
      <c r="F109" s="3"/>
      <c r="G109" s="3" t="str">
        <f>HBL!$AA$1526</f>
        <v>SO3 clinker</v>
      </c>
      <c r="H109"/>
      <c r="I109" s="885"/>
      <c r="J109" s="29" t="s">
        <v>423</v>
      </c>
      <c r="K109" s="3"/>
      <c r="L109" s="3"/>
      <c r="M109" s="62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ht="12.75" customHeight="1" outlineLevel="2" thickTop="1" thickBot="1">
      <c r="B110" s="3" t="str">
        <f>HBL!$AA$1564</f>
        <v>Temperature</v>
      </c>
      <c r="C110" s="3"/>
      <c r="D110" s="1219"/>
      <c r="E110" s="9" t="s">
        <v>425</v>
      </c>
      <c r="F110" s="3"/>
      <c r="G110" t="str">
        <f>HBL!$AA$1467</f>
        <v>Na2O clinker</v>
      </c>
      <c r="H110" s="3"/>
      <c r="I110" s="885"/>
      <c r="J110" s="29" t="s">
        <v>423</v>
      </c>
      <c r="K110" s="3"/>
      <c r="L110" s="3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ht="12.75" customHeight="1" outlineLevel="2" thickTop="1">
      <c r="B111" s="3" t="str">
        <f>HBL!$AA$1293</f>
        <v>cp clinker</v>
      </c>
      <c r="C111" s="3"/>
      <c r="D111" s="1221" t="str">
        <f>IF(T_CLI="","",IF(T_CLI&gt;300,"ERROR",((0.729+5.921*10^-4*T_CLI-5.369*10^-7*T_CLI^2+2.124*10^-10*T_CLI^3)*T_CLI-(0.729+5.921*10^-4*20-5.369*10^-7*20^2+2.124*10^-10*20^3)*20)/(T_CLI-20)))</f>
        <v/>
      </c>
      <c r="E111" s="9" t="s">
        <v>429</v>
      </c>
      <c r="F111" s="3"/>
      <c r="G111" s="3" t="str">
        <f>HBL!$AA$1395</f>
        <v>K2O clinker</v>
      </c>
      <c r="H111" s="3"/>
      <c r="I111" s="885"/>
      <c r="J111" s="29" t="s">
        <v>423</v>
      </c>
      <c r="K111" s="3"/>
      <c r="L111" s="3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ht="12.75" customHeight="1" outlineLevel="2" thickBot="1">
      <c r="F112" s="3"/>
      <c r="K112" s="3"/>
      <c r="L112" s="3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2:25" ht="12.75" customHeight="1" outlineLevel="2" thickTop="1" thickBot="1">
      <c r="B113" s="3" t="str">
        <f>HBL!$AA$1374</f>
        <v>LOI</v>
      </c>
      <c r="C113" s="3"/>
      <c r="D113" s="1222">
        <v>0</v>
      </c>
      <c r="E113" s="9" t="s">
        <v>423</v>
      </c>
      <c r="F113" s="3"/>
      <c r="K113" s="3"/>
      <c r="L113" s="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2:25" ht="12.75" customHeight="1" outlineLevel="2" thickTop="1">
      <c r="B114" s="3"/>
      <c r="C114" s="3"/>
      <c r="D114" s="35"/>
      <c r="E114" s="9"/>
      <c r="F114" s="3"/>
      <c r="G114" s="3"/>
      <c r="H114" s="3"/>
      <c r="I114" s="3"/>
      <c r="J114" s="3"/>
      <c r="K114" s="3"/>
      <c r="L114" s="3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2:25" ht="12.75" customHeight="1" outlineLevel="2">
      <c r="B115" s="407" t="s">
        <v>1138</v>
      </c>
      <c r="D115" s="738"/>
      <c r="E115" s="739" t="s">
        <v>433</v>
      </c>
      <c r="F115" s="739" t="s">
        <v>434</v>
      </c>
      <c r="G115" s="739" t="s">
        <v>435</v>
      </c>
      <c r="H115" s="739" t="s">
        <v>436</v>
      </c>
      <c r="I115" s="739" t="s">
        <v>437</v>
      </c>
      <c r="J115" s="739" t="str">
        <f>HBL!$AA$1517</f>
        <v>Error</v>
      </c>
      <c r="K115" s="3"/>
      <c r="L115" s="3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2:25" ht="12.75" customHeight="1" outlineLevel="2">
      <c r="D116" s="698" t="s">
        <v>438</v>
      </c>
      <c r="E116" s="886">
        <v>65.2</v>
      </c>
      <c r="F116" s="886">
        <v>1.4</v>
      </c>
      <c r="G116" s="886">
        <v>21.75</v>
      </c>
      <c r="H116" s="886">
        <v>3.55</v>
      </c>
      <c r="I116" s="886">
        <v>5.87</v>
      </c>
      <c r="J116" s="250">
        <f>100-SUM(E116:I116)-SUM(I109:I111)</f>
        <v>2.2299999999999898</v>
      </c>
      <c r="K116" s="3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2:25" ht="12.75" customHeight="1" outlineLevel="2">
      <c r="D117" s="36" t="s">
        <v>439</v>
      </c>
      <c r="E117" s="37">
        <v>3200</v>
      </c>
      <c r="F117" s="37">
        <v>2710</v>
      </c>
      <c r="G117" s="37">
        <v>2140</v>
      </c>
      <c r="H117" s="37">
        <v>250</v>
      </c>
      <c r="I117" s="37">
        <v>1720</v>
      </c>
      <c r="J117" s="887"/>
      <c r="K117" s="3"/>
      <c r="L117" s="3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2:25" ht="12.75" customHeight="1" outlineLevel="2">
      <c r="D118" s="38"/>
      <c r="E118" s="39"/>
      <c r="F118" s="39"/>
      <c r="G118" s="39"/>
      <c r="H118" s="39"/>
      <c r="I118" s="39"/>
      <c r="J118" s="39"/>
      <c r="K118" s="3"/>
      <c r="L118" s="3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2:25" ht="12.75" customHeight="1" outlineLevel="2">
      <c r="B119" s="38" t="str">
        <f>HBL!$AA$1432&amp;" (calculated value)"</f>
        <v>Heat of formation (calculated value)</v>
      </c>
      <c r="F119" s="768">
        <f>IF((CaO*3200+MgO*2710-SiO2_CLI*2140-Fe2O3*250+Al2O3*1720+J116*J117)/100=0,"",(CaO*3200+MgO*2710-SiO2_CLI*2140-Fe2O3*250+Al2O3*1720+J116*J117)/100)</f>
        <v>1750.979</v>
      </c>
      <c r="G119" s="5" t="s">
        <v>442</v>
      </c>
      <c r="H119" s="492"/>
      <c r="K119" s="3"/>
      <c r="L119" s="3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2:25" ht="12.75" customHeight="1" outlineLevel="2" thickBot="1">
      <c r="B120" s="492" t="s">
        <v>1048</v>
      </c>
      <c r="F120" s="40"/>
      <c r="H120" s="492"/>
      <c r="K120" s="3"/>
      <c r="L120" s="3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2:25" ht="12.75" customHeight="1" outlineLevel="2" thickTop="1" thickBot="1">
      <c r="B121" s="38" t="str">
        <f>HBL!$AA$1432&amp;" (input value)"</f>
        <v>Heat of formation (input value)</v>
      </c>
      <c r="D121"/>
      <c r="F121" s="1223">
        <v>1750</v>
      </c>
      <c r="G121" s="41" t="s">
        <v>443</v>
      </c>
      <c r="H121" s="492"/>
      <c r="K121" s="3"/>
      <c r="L121" s="3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2:25" ht="12.75" customHeight="1" outlineLevel="2" thickTop="1">
      <c r="B122" s="492" t="s">
        <v>1049</v>
      </c>
      <c r="F122" s="492"/>
      <c r="G122" s="491"/>
      <c r="H122" s="492"/>
      <c r="K122" s="3"/>
      <c r="L122" s="3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2:25" ht="12.75" customHeight="1" outlineLevel="2">
      <c r="B123" s="492"/>
      <c r="F123" s="492"/>
      <c r="G123" s="491"/>
      <c r="H123" s="492"/>
      <c r="K123" s="3"/>
      <c r="L123" s="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2:25" ht="12.75" customHeight="1" outlineLevel="2">
      <c r="B124" s="492" t="s">
        <v>981</v>
      </c>
      <c r="E124" s="492"/>
      <c r="H124" s="31"/>
      <c r="L124" s="3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2:25" ht="12.75" customHeight="1" outlineLevel="2">
      <c r="B125" s="492"/>
      <c r="E125" s="492"/>
      <c r="H125" s="31"/>
      <c r="L125" s="3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2:25" ht="12.75" customHeight="1" outlineLevel="2">
      <c r="B126" s="4" t="s">
        <v>1288</v>
      </c>
      <c r="E126" s="31"/>
      <c r="G126"/>
      <c r="K126" s="3"/>
      <c r="L126" s="3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2:25" ht="12.75" customHeight="1" outlineLevel="2">
      <c r="B127" s="1" t="s">
        <v>2038</v>
      </c>
      <c r="E127" s="550" t="e">
        <f>IF(M_CLI="","",-8.37*($E$135+$F$135-$C$135))</f>
        <v>#VALUE!</v>
      </c>
      <c r="F127" s="1" t="s">
        <v>442</v>
      </c>
      <c r="K127" s="3"/>
      <c r="L127" s="3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2:25" ht="12.75" customHeight="1" outlineLevel="2">
      <c r="B128" s="1" t="s">
        <v>1639</v>
      </c>
      <c r="E128" s="550" t="e">
        <f>IF(M_CLI="","",IF(-10.8*($C$137-$E$137-$F$137)-7.12*($C$136-$E$136-$F$136)+8.37*($C$135-$E$135-$F$135)=0,"",-10.8*($C$137-$E$137-$F$137)-7.12*($C$136-$E$136-$F$136)+8.37*($C$135-$E$135-$F$135)))</f>
        <v>#VALUE!</v>
      </c>
      <c r="F128" s="1" t="s">
        <v>442</v>
      </c>
      <c r="K128" s="3"/>
      <c r="L128" s="3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ht="12.75" customHeight="1" outlineLevel="2">
      <c r="B129" t="s">
        <v>812</v>
      </c>
      <c r="E129" s="785" t="e">
        <f>IF(E127="","",(E127+E128)/2)</f>
        <v>#VALUE!</v>
      </c>
      <c r="F129" s="41" t="s">
        <v>443</v>
      </c>
      <c r="K129" s="3"/>
      <c r="L129" s="3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ht="12.75" customHeight="1" outlineLevel="2">
      <c r="K130" s="3"/>
      <c r="L130" s="3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ht="12.75" customHeight="1" outlineLevel="2">
      <c r="B131" s="252" t="s">
        <v>1289</v>
      </c>
      <c r="I131"/>
      <c r="J131" s="41"/>
      <c r="K131" s="3"/>
      <c r="L131" s="3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ht="12.75" customHeight="1" outlineLevel="2">
      <c r="B132" s="252"/>
      <c r="I132"/>
      <c r="J132" s="41"/>
      <c r="K132" s="3"/>
      <c r="L132" s="3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ht="12.75" customHeight="1" outlineLevel="2">
      <c r="C133" s="719" t="s">
        <v>1551</v>
      </c>
      <c r="D133" s="718"/>
      <c r="E133" s="719" t="s">
        <v>1552</v>
      </c>
      <c r="F133" s="718"/>
      <c r="G133" s="718"/>
      <c r="H133" s="720"/>
      <c r="I133"/>
      <c r="J133" s="41"/>
      <c r="K133" s="3"/>
      <c r="L133" s="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ht="12.75" customHeight="1" outlineLevel="2">
      <c r="B134" s="4" t="s">
        <v>444</v>
      </c>
      <c r="C134" s="548" t="s">
        <v>445</v>
      </c>
      <c r="D134" s="733" t="s">
        <v>446</v>
      </c>
      <c r="E134" s="737" t="s">
        <v>447</v>
      </c>
      <c r="F134" s="548" t="s">
        <v>1553</v>
      </c>
      <c r="G134" s="548" t="s">
        <v>1554</v>
      </c>
      <c r="H134" s="729" t="s">
        <v>1555</v>
      </c>
      <c r="I134" s="731" t="s">
        <v>1556</v>
      </c>
      <c r="J134" s="41"/>
      <c r="K134" s="3"/>
      <c r="L134" s="3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ht="12.75" customHeight="1" outlineLevel="2">
      <c r="B135" s="726" t="s">
        <v>448</v>
      </c>
      <c r="C135" s="723" t="str">
        <f>IF(SO3_FEED="","",SO3_FEED*CLI_FACTOR*10)</f>
        <v/>
      </c>
      <c r="D135" s="734">
        <f>IF(M_CLI="","",($E$348*10*M_FUEL1*1000/(M_CLI*1000)+$F$348*10*M_FUEL2*1000/(M_CLI*1000)+$G$348*10*M_FUEL3*1000/(M_CLI*1000)+$H$348*10*M_FUEL4*1000/(M_CLI*1000)+$I$348*10*M_FUEL5*1000/(M_CLI*1000)+$J$348*10*M_FUEL6*1000/(M_CLI*1000))*2.5)</f>
        <v>0</v>
      </c>
      <c r="E135" s="694" t="str">
        <f>IF(SO3_CLINKER="","",SO3_CLINKER*10)</f>
        <v/>
      </c>
      <c r="F135" s="694" t="str">
        <f>IF(SO3_KILNDUST="","",SO3_KILNDUST*10*M_DUSTFILTER/M_CLI)</f>
        <v/>
      </c>
      <c r="G135" s="695" t="str">
        <f>IF(M_BYPASS="","",SO3_BYPASS*10*M_BYPASS/M_CLI)</f>
        <v/>
      </c>
      <c r="H135" s="730" t="str">
        <f>IF(SO2_STACK="","",IF(VNSP_EXHAUSTWETCALCINER="", VNSP_EXHAUSTWET*(1+(O2_STACK-O2_EXHAUST)/(21-O2_STACK))*SO2_STACK*2.86/1000, (VNSP_EXHAUSTWET+VNSP_EXHAUSTWETCALCINER)*(1+(O2_STACK-O2_EXHAUST)/(21-O2_STACK))*SO2_STACK*2.86/1000))</f>
        <v/>
      </c>
      <c r="I135" s="732" t="e">
        <f>IF(M_CLI="","",(1-((C135+D135)/(SUM(E135,F135,G135,H135))))*100)</f>
        <v>#VALUE!</v>
      </c>
      <c r="J135" s="41"/>
      <c r="K135" s="3"/>
      <c r="L135" s="3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ht="12.75" customHeight="1" outlineLevel="2">
      <c r="B136" s="727" t="s">
        <v>449</v>
      </c>
      <c r="C136" s="724" t="str">
        <f>IF(K2O_FEED="","",K2O_FEED*CLI_FACTOR*10)</f>
        <v/>
      </c>
      <c r="D136" s="735">
        <f>IF(M_CLI="","",($E$349*10*M_FUEL1*1000/(M_CLI*1000)+$F$349*10*M_FUEL2*1000/(M_CLI*1000)+$G$349*10*M_FUEL3*1000/(M_CLI*1000)+$H$349*10*M_FUEL4*1000/(M_CLI*1000)+$I$349*10*M_FUEL5*1000/(M_CLI*1000)+$J$349*10*M_FUEL6*1000/(M_CLI*1000))*1)</f>
        <v>0</v>
      </c>
      <c r="E136" s="696" t="str">
        <f>IF(K2O_CLINKER="","",K2O_CLINKER*10)</f>
        <v/>
      </c>
      <c r="F136" s="696" t="str">
        <f>IF(K2O_KILNDUST="","",K2O_KILNDUST*10*M_DUSTFILTER/M_CLI)</f>
        <v/>
      </c>
      <c r="G136" s="697" t="str">
        <f>IF(M_BYPASS="","",K2O_BYPASS*10*M_BYPASS/M_CLI)</f>
        <v/>
      </c>
      <c r="H136" s="1084"/>
      <c r="I136" s="696" t="e">
        <f>IF(M_CLI="","",(1-((C136+D136)/(E136+F136+G136)))*100)</f>
        <v>#VALUE!</v>
      </c>
      <c r="J136" s="41"/>
      <c r="K136" s="3"/>
      <c r="L136" s="3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ht="12.75" customHeight="1" outlineLevel="2">
      <c r="B137" s="728" t="s">
        <v>450</v>
      </c>
      <c r="C137" s="725" t="str">
        <f>IF(Na2O_FEED="","",Na2O_FEED*CLI_FACTOR*10)</f>
        <v/>
      </c>
      <c r="D137" s="736">
        <f>IF(M_CLI="","",($E$350*10*M_FUEL1*1000/(M_CLI*1000)+$F$350*10*M_FUEL2*1000/(M_CLI*1000)+$G$350*10*M_FUEL3*1000/(M_CLI*1000)+$H$350*10*M_FUEL4*1000/(M_CLI*1000)+$I$350*10*M_FUEL5*1000/(M_CLI*1000)+$J$350*10*M_FUEL6*1000/(M_CLI*1000))*1)</f>
        <v>0</v>
      </c>
      <c r="E137" s="721" t="str">
        <f>IF(Na2O_CLINKER="","",Na2O_CLINKER*10)</f>
        <v/>
      </c>
      <c r="F137" s="721" t="str">
        <f>IF(Na2O_KILNDUST="","",Na2O_KILNDUST*10*M_DUSTFILTER/M_CLI)</f>
        <v/>
      </c>
      <c r="G137" s="722" t="str">
        <f>IF(M_BYPASS="","",Na2O_BYPASS*10*M_BYPASS/M_CLI)</f>
        <v/>
      </c>
      <c r="H137" s="1085"/>
      <c r="I137" s="721" t="e">
        <f>IF(M_CLI="","",(1-((C137+D137)/(E137+F137+G137)))*100)</f>
        <v>#VALUE!</v>
      </c>
      <c r="J137" s="41"/>
      <c r="K137" s="3"/>
      <c r="L137" s="3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ht="12.75" customHeight="1" outlineLevel="2">
      <c r="B138"/>
      <c r="I138"/>
      <c r="J138" s="41"/>
      <c r="K138" s="3"/>
      <c r="L138" s="3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ht="12.75" customHeight="1" outlineLevel="2">
      <c r="B139" t="s">
        <v>1557</v>
      </c>
      <c r="C139" s="638" t="e">
        <f>IF(M_CLI="","",((C136+D136)/94+(C137+D137)/62)/((C135+D135)/80))</f>
        <v>#VALUE!</v>
      </c>
      <c r="I139"/>
      <c r="J139" s="41"/>
      <c r="K139" s="3"/>
      <c r="L139" s="3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ht="12.75" customHeight="1" outlineLevel="2">
      <c r="B140" s="492"/>
      <c r="E140" s="492"/>
      <c r="H140" s="31"/>
      <c r="L140" s="3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ht="12.75" customHeight="1" outlineLevel="1">
      <c r="B141" s="3"/>
      <c r="C141" s="3"/>
      <c r="E141" s="29"/>
      <c r="F141" s="3"/>
      <c r="G141" s="3"/>
      <c r="I141" s="3"/>
      <c r="J141" s="3"/>
      <c r="K141" s="3"/>
      <c r="L141" s="3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ht="12.75" customHeight="1" outlineLevel="1">
      <c r="A142" s="1073">
        <v>6</v>
      </c>
      <c r="B142" s="905" t="s">
        <v>769</v>
      </c>
      <c r="C142" s="907"/>
      <c r="D142" s="904"/>
      <c r="E142" s="904"/>
      <c r="F142" s="984"/>
      <c r="G142" s="3"/>
      <c r="H142" s="3"/>
      <c r="I142" s="3"/>
      <c r="J142" s="3"/>
      <c r="K142" s="3"/>
      <c r="L142" s="3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ht="12.75" customHeight="1" outlineLevel="2">
      <c r="B143" s="3"/>
      <c r="C143" s="3"/>
      <c r="E143" s="29"/>
      <c r="F143" s="3"/>
      <c r="G143" s="3"/>
      <c r="H143" s="3"/>
      <c r="I143" s="3"/>
      <c r="J143" s="3"/>
      <c r="K143" s="3"/>
      <c r="L143" s="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ht="12.75" customHeight="1" outlineLevel="2">
      <c r="B144" s="407" t="s">
        <v>982</v>
      </c>
      <c r="C144" s="22"/>
      <c r="D144" s="833"/>
      <c r="E144" s="407" t="s">
        <v>493</v>
      </c>
      <c r="G144" s="44"/>
      <c r="H144" s="44"/>
      <c r="I144" s="44"/>
      <c r="J144" s="44"/>
      <c r="K144" s="3"/>
      <c r="L144" s="3"/>
      <c r="M144"/>
      <c r="N144" s="3"/>
      <c r="O144" s="3"/>
    </row>
    <row r="145" spans="2:24" ht="12.75" customHeight="1" outlineLevel="2">
      <c r="B145" s="3"/>
      <c r="C145" s="3"/>
      <c r="D145" s="3"/>
      <c r="E145" s="9"/>
      <c r="F145" s="3"/>
      <c r="G145" s="1" t="s">
        <v>448</v>
      </c>
      <c r="I145" s="870"/>
      <c r="J145" s="1" t="s">
        <v>423</v>
      </c>
      <c r="K145" s="3"/>
      <c r="L145"/>
      <c r="M145"/>
      <c r="N145"/>
      <c r="O145"/>
      <c r="P145"/>
    </row>
    <row r="146" spans="2:24" ht="12.75" customHeight="1" outlineLevel="2">
      <c r="B146" s="3" t="str">
        <f>HBL!$AA$1357</f>
        <v>Moisture content</v>
      </c>
      <c r="C146" s="3"/>
      <c r="D146" s="831"/>
      <c r="E146" s="9" t="s">
        <v>423</v>
      </c>
      <c r="F146" s="3"/>
      <c r="G146" s="1" t="s">
        <v>449</v>
      </c>
      <c r="I146" s="870"/>
      <c r="J146" s="1" t="s">
        <v>423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2:24" ht="12.75" customHeight="1" outlineLevel="2">
      <c r="B147" s="3" t="str">
        <f>HBL!$AA$1374</f>
        <v>LOI</v>
      </c>
      <c r="C147" s="3"/>
      <c r="D147" s="831"/>
      <c r="E147" s="9" t="s">
        <v>423</v>
      </c>
      <c r="F147" s="3"/>
      <c r="G147" s="45" t="s">
        <v>450</v>
      </c>
      <c r="I147" s="870"/>
      <c r="J147" s="1" t="s">
        <v>423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2:24" ht="12.75" customHeight="1" outlineLevel="2">
      <c r="B148" s="3" t="str">
        <f>HBL!$AA$1284</f>
        <v>CaO content</v>
      </c>
      <c r="C148" s="3"/>
      <c r="D148" s="831"/>
      <c r="E148" s="9" t="s">
        <v>423</v>
      </c>
      <c r="F148" s="3"/>
      <c r="G148" s="3" t="s">
        <v>451</v>
      </c>
      <c r="H148" s="3"/>
      <c r="I148" s="870"/>
      <c r="J148" s="1" t="s">
        <v>423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2:24" ht="12.75" customHeight="1" outlineLevel="2">
      <c r="F149" s="3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2:24" ht="12.75" customHeight="1" outlineLevel="2">
      <c r="B150" s="3" t="str">
        <f>HBL!$AA$1567</f>
        <v>Temperature at gas extraction point</v>
      </c>
      <c r="C150" s="3"/>
      <c r="F150" s="3"/>
      <c r="G150" s="837"/>
      <c r="H150" s="9" t="s">
        <v>425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2:24" ht="12.75" customHeight="1" outlineLevel="2">
      <c r="B151" s="3" t="str">
        <f>HBL!$AA$1295</f>
        <v>cp gas</v>
      </c>
      <c r="C151" s="3"/>
      <c r="D151" s="28" t="str">
        <f>IF(T_BYPASSEXTRAC="","",IF(T_BYPASSEXTRAC&gt;1400,"ERROR",1.61+(1.74-1.61)/(1400-800)*(T_BYPASSEXTRAC-800)))</f>
        <v/>
      </c>
      <c r="E151" s="29" t="s">
        <v>456</v>
      </c>
      <c r="F151" s="3"/>
      <c r="G151" s="3" t="str">
        <f>HBL!$AA$1472</f>
        <v>O2 content</v>
      </c>
      <c r="H151" s="3"/>
      <c r="I151" s="840"/>
      <c r="J151" s="376" t="s">
        <v>423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2:24" ht="12.75" customHeight="1" outlineLevel="2">
      <c r="B152" s="3" t="str">
        <f>HBL!$AA$1300</f>
        <v>cp dust</v>
      </c>
      <c r="C152" s="3"/>
      <c r="D152" s="28" t="str">
        <f>IF(T_BYPASSEXTRAC="","",IF(T_BYPASSEXTRAC&lt;900,"ERROR",IF(T_BYPASSEXTRAC&gt;1400,"ERROR",((0.8+7.3*10^-4*T_BYPASSEXTRAC-4.6*10^-7*T_BYPASSEXTRAC^2+5.2*10^-11*T_BYPASSEXTRAC^3)*T_BYPASSEXTRAC-(0.8+7.3*10^-4*20-4.6*10^-7*20^2+5.2*10^-11*20^3)*20)/(T_BYPASSEXTRAC-20))))</f>
        <v/>
      </c>
      <c r="E152" s="29" t="s">
        <v>429</v>
      </c>
      <c r="F152" s="3"/>
      <c r="G152" s="3" t="str">
        <f>HBL!$AA$1288</f>
        <v>CO content</v>
      </c>
      <c r="H152" s="3"/>
      <c r="I152" s="831"/>
      <c r="J152" s="29" t="s">
        <v>457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2:24" ht="12.75" customHeight="1" outlineLevel="2">
      <c r="F153" s="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2:24" ht="12.75" customHeight="1" outlineLevel="2">
      <c r="B154"/>
      <c r="E154"/>
      <c r="F154"/>
      <c r="G154" s="299" t="s">
        <v>452</v>
      </c>
      <c r="H154" s="425" t="s">
        <v>453</v>
      </c>
      <c r="I154" s="425" t="s">
        <v>454</v>
      </c>
      <c r="J154" s="425" t="s">
        <v>455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2:24" ht="12.75" customHeight="1" outlineLevel="2">
      <c r="B155" s="3" t="str">
        <f>HBL!$AA$1441</f>
        <v>Concentrations at kiln inlet (hot meal)</v>
      </c>
      <c r="E155"/>
      <c r="F155"/>
      <c r="G155" s="888"/>
      <c r="H155" s="888"/>
      <c r="I155" s="888"/>
      <c r="J155" s="888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2:24" ht="12.75" customHeight="1" outlineLevel="2">
      <c r="K156" s="3"/>
      <c r="M156"/>
      <c r="N156"/>
      <c r="O156"/>
      <c r="P156"/>
      <c r="Q156"/>
      <c r="R156"/>
      <c r="S156"/>
      <c r="T156"/>
      <c r="U156"/>
      <c r="V156"/>
      <c r="W156"/>
      <c r="X156"/>
    </row>
    <row r="157" spans="2:24" ht="12.75" customHeight="1" outlineLevel="2">
      <c r="B157" s="442" t="s">
        <v>813</v>
      </c>
      <c r="K157" s="3"/>
      <c r="M157"/>
      <c r="N157"/>
      <c r="O157"/>
      <c r="P157"/>
      <c r="Q157"/>
      <c r="R157"/>
      <c r="S157"/>
      <c r="T157"/>
      <c r="U157"/>
      <c r="V157"/>
      <c r="W157"/>
      <c r="X157"/>
    </row>
    <row r="158" spans="2:24" ht="12.75" customHeight="1" outlineLevel="2">
      <c r="B158" s="251" t="s">
        <v>815</v>
      </c>
      <c r="C158" s="3"/>
      <c r="E158" s="29"/>
      <c r="F158" s="3"/>
      <c r="G158" s="872"/>
      <c r="H158" s="9" t="s">
        <v>425</v>
      </c>
      <c r="I158" s="3"/>
      <c r="J158" s="3"/>
      <c r="K158" s="3"/>
      <c r="M158"/>
      <c r="N158"/>
      <c r="O158"/>
      <c r="P158"/>
      <c r="Q158"/>
      <c r="R158"/>
      <c r="S158"/>
      <c r="T158"/>
      <c r="U158"/>
      <c r="V158"/>
      <c r="W158"/>
      <c r="X158"/>
    </row>
    <row r="159" spans="2:24" ht="12.75" customHeight="1" outlineLevel="2">
      <c r="B159" s="251" t="s">
        <v>814</v>
      </c>
      <c r="C159" s="3"/>
      <c r="E159" s="29"/>
      <c r="F159" s="3"/>
      <c r="G159" s="889"/>
      <c r="H159" s="9" t="s">
        <v>423</v>
      </c>
      <c r="I159" s="3"/>
      <c r="J159" s="3"/>
      <c r="K159" s="3"/>
      <c r="M159"/>
      <c r="N159"/>
      <c r="O159"/>
      <c r="P159"/>
      <c r="Q159"/>
      <c r="R159"/>
      <c r="S159"/>
      <c r="T159"/>
      <c r="U159"/>
      <c r="V159"/>
      <c r="W159"/>
      <c r="X159"/>
    </row>
    <row r="160" spans="2:24" ht="12.75" customHeight="1" outlineLevel="2">
      <c r="B160" s="3" t="str">
        <f>HBL!$AA$1295</f>
        <v>cp gas</v>
      </c>
      <c r="C160" s="3"/>
      <c r="F160" s="3"/>
      <c r="G160" s="528" t="str">
        <f>IF(T_BYPASSQUENCH="","",IF(T_BYPASSQUENCH&gt;1200,"ERROR",1.54+(1.655-1.54)/(1000-500)*(T_BYPASSQUENCH-500)))</f>
        <v/>
      </c>
      <c r="H160" s="29" t="s">
        <v>456</v>
      </c>
      <c r="K160" s="3"/>
      <c r="M160"/>
      <c r="N160"/>
      <c r="O160"/>
      <c r="P160"/>
      <c r="Q160"/>
      <c r="R160"/>
      <c r="S160"/>
      <c r="T160"/>
      <c r="U160"/>
      <c r="V160"/>
      <c r="W160"/>
      <c r="X160"/>
    </row>
    <row r="161" spans="2:24" ht="12.75" customHeight="1" outlineLevel="2">
      <c r="B161" s="3" t="str">
        <f>HBL!$AA$1300</f>
        <v>cp dust</v>
      </c>
      <c r="C161" s="3"/>
      <c r="F161" s="3"/>
      <c r="G161" s="528" t="str">
        <f>IF(T_BYPASSQUENCH="","",IF(T_BYPASSQUENCH&lt;300,"ERROR",IF(T_BYPASSQUENCH&gt;800,"ERROR",IF(T_BYPASSQUENCH&lt;700,((0.8+7.3*10^-4*T_BYPASSQUENCH-4.6*10^-7*T_BYPASSQUENCH^2+5.2*10^-11*T_BYPASSQUENCH^3)*T_BYPASSQUENCH-(0.8+7.3*10^-4*20-4.6*10^-7*20^2+5.2*10^-11*20^3)*20)/(T_BYPASSQUENCH-20)))))</f>
        <v/>
      </c>
      <c r="H161" s="29" t="s">
        <v>429</v>
      </c>
      <c r="J161" s="9"/>
      <c r="K161" s="3"/>
      <c r="M161"/>
      <c r="N161"/>
      <c r="O161"/>
      <c r="P161"/>
      <c r="Q161"/>
      <c r="R161"/>
      <c r="S161"/>
      <c r="T161"/>
      <c r="U161"/>
      <c r="V161"/>
      <c r="W161"/>
      <c r="X161"/>
    </row>
    <row r="162" spans="2:24" ht="12.75" customHeight="1" outlineLevel="2">
      <c r="B162" s="251" t="s">
        <v>816</v>
      </c>
      <c r="C162" s="3"/>
      <c r="D162" s="28"/>
      <c r="E162" s="29"/>
      <c r="F162" s="3"/>
      <c r="G162" s="890"/>
      <c r="H162" s="251" t="s">
        <v>442</v>
      </c>
      <c r="J162" s="9"/>
      <c r="K162" s="3"/>
      <c r="M162"/>
      <c r="N162"/>
      <c r="O162"/>
      <c r="P162"/>
      <c r="Q162"/>
      <c r="R162"/>
      <c r="S162"/>
      <c r="T162"/>
      <c r="U162"/>
      <c r="V162"/>
      <c r="W162"/>
      <c r="X162"/>
    </row>
    <row r="163" spans="2:24" ht="12.75" customHeight="1" outlineLevel="2">
      <c r="B163" s="251" t="s">
        <v>1050</v>
      </c>
      <c r="C163" s="3"/>
      <c r="E163" s="29"/>
      <c r="F163" s="3"/>
      <c r="G163" s="891"/>
      <c r="H163" s="9" t="s">
        <v>458</v>
      </c>
      <c r="K163" s="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2:24" ht="12.75" customHeight="1" outlineLevel="2">
      <c r="B164" s="251" t="s">
        <v>1051</v>
      </c>
      <c r="C164" s="3"/>
      <c r="D164" s="12"/>
      <c r="E164" s="29"/>
      <c r="F164" s="3"/>
      <c r="G164" s="890"/>
      <c r="H164" s="380" t="s">
        <v>425</v>
      </c>
      <c r="I164" s="3"/>
      <c r="J164" s="3"/>
      <c r="K164" s="3"/>
      <c r="M164"/>
      <c r="N164"/>
      <c r="O164"/>
      <c r="P164"/>
      <c r="Q164"/>
      <c r="R164"/>
      <c r="S164"/>
      <c r="T164"/>
      <c r="U164"/>
      <c r="V164"/>
      <c r="W164"/>
      <c r="X164"/>
    </row>
    <row r="165" spans="2:24" ht="12.75" customHeight="1" outlineLevel="2">
      <c r="B165" s="3" t="str">
        <f>HBL!$AA$1397</f>
        <v>Heat of condensation of the alcalis</v>
      </c>
      <c r="C165" s="3"/>
      <c r="D165" s="3"/>
      <c r="E165" s="29"/>
      <c r="F165" s="3"/>
      <c r="G165" s="530" t="str">
        <f>IF(Q_CONDALK&gt;0, Q_CONDALK,"")</f>
        <v/>
      </c>
      <c r="H165" s="376" t="s">
        <v>442</v>
      </c>
      <c r="I165" s="10"/>
      <c r="J165" s="9"/>
      <c r="K165" s="3"/>
      <c r="M165"/>
      <c r="N165"/>
      <c r="O165"/>
      <c r="P165"/>
      <c r="Q165"/>
      <c r="R165"/>
      <c r="S165"/>
      <c r="T165"/>
      <c r="U165"/>
      <c r="V165"/>
      <c r="W165"/>
      <c r="X165"/>
    </row>
    <row r="166" spans="2:24" ht="12.75" customHeight="1" outlineLevel="2">
      <c r="B166" s="252" t="s">
        <v>459</v>
      </c>
      <c r="D166" s="3"/>
      <c r="G166" s="531">
        <f>IF(M_CLI="","", SUM((SUM($E$404:$J$404)+SUM(E406:J406))/M_CLI/1000,0.27*(100-CALCINATION)/100,(SUM($E$405:$J$405)/M_CLI/1000+0.27*(100-CALCINATION)/100)*O2_BYPASSEXTRAC/(21-O2_BYPASSEXTRAC),$I$808,$I$811))</f>
        <v>0.64776095354377605</v>
      </c>
      <c r="H166" s="1054" t="s">
        <v>2181</v>
      </c>
      <c r="I166" s="409" t="s">
        <v>642</v>
      </c>
      <c r="K166" s="3"/>
      <c r="M166"/>
      <c r="N166"/>
      <c r="O166"/>
      <c r="P166"/>
      <c r="Q166"/>
      <c r="R166"/>
      <c r="S166"/>
      <c r="T166"/>
      <c r="U166"/>
      <c r="V166"/>
      <c r="W166"/>
      <c r="X166"/>
    </row>
    <row r="167" spans="2:24" ht="12.75" customHeight="1" outlineLevel="2">
      <c r="D167"/>
      <c r="G167"/>
      <c r="H167"/>
      <c r="K167" s="3"/>
      <c r="M167"/>
      <c r="N167"/>
      <c r="O167"/>
      <c r="P167"/>
      <c r="Q167"/>
      <c r="R167"/>
      <c r="S167"/>
      <c r="T167"/>
      <c r="U167"/>
      <c r="V167"/>
      <c r="W167"/>
      <c r="X167"/>
    </row>
    <row r="168" spans="2:24" ht="12.75" customHeight="1" outlineLevel="2">
      <c r="B168" s="3" t="str">
        <f>HBL!$AA$1257</f>
        <v>Calculated bypass flowrate based on a heat balance</v>
      </c>
      <c r="C168" s="3"/>
      <c r="D168" s="3"/>
      <c r="E168" s="29"/>
      <c r="F168" s="3"/>
      <c r="G168" s="754" t="str">
        <f>IF(VN_QUENCHAIR="", "", VN_QUENCHAIR*((T_BYPASSQUENCH-20)*(1.29+T_BYPASSQUENCH/9300)-(T_QUENCHAIR-20)*(1.29+T_QUENCHAIR/9300))/((T_BYPASSEXTRAC-20)*CP_BYPASSEXTRAC-(T_BYPASSQUENCH-20)*CP_BYPASSQUENCH)+M_BYPASS*((T_BYPASSQUENCH-20)*CP_BYDUSTQUENCH-(T_BYPASSEXTRAC-20)*CP_BYDUSTEXTRAC)/((T_BYPASSEXTRAC-20)*CP_BYPASSEXTRAC-(T_BYPASSQUENCH-20)*CP_BYPASSQUENCH)+(BYPRAD-Q_CONDALK)*M_CLI*1000/((T_BYPASSEXTRAC-20)*CP_BYPASSEXTRAC-(T_BYPASSQUENCH-20)*CP_BYPASSQUENCH))</f>
        <v/>
      </c>
      <c r="H168" s="9" t="s">
        <v>461</v>
      </c>
      <c r="I168" s="527" t="str">
        <f>IF(VN_BYPASSBALANCE="", "", VN_BYPASSBALANCE/(M_CLI*1000)/VNSP_INLET*100)</f>
        <v/>
      </c>
      <c r="J168" s="29" t="str">
        <f>HBL!$AA$1675</f>
        <v xml:space="preserve"> % of kiln gases</v>
      </c>
      <c r="K168" s="3"/>
      <c r="M168"/>
      <c r="N168"/>
      <c r="O168"/>
      <c r="P168"/>
      <c r="Q168"/>
      <c r="R168"/>
      <c r="S168"/>
      <c r="T168"/>
      <c r="U168"/>
      <c r="V168"/>
      <c r="W168"/>
      <c r="X168"/>
    </row>
    <row r="169" spans="2:24" ht="12.75" customHeight="1" outlineLevel="2">
      <c r="B169" s="497" t="s">
        <v>1139</v>
      </c>
      <c r="C169" s="3"/>
      <c r="D169" s="3"/>
      <c r="E169" s="29"/>
      <c r="F169" s="3"/>
      <c r="G169" s="191"/>
      <c r="H169" s="9"/>
      <c r="I169" s="6"/>
      <c r="J169" s="29"/>
      <c r="K169" s="3"/>
      <c r="M169"/>
      <c r="N169"/>
      <c r="O169"/>
      <c r="P169"/>
      <c r="Q169"/>
      <c r="R169"/>
      <c r="S169"/>
      <c r="T169"/>
      <c r="U169"/>
      <c r="V169"/>
      <c r="W169"/>
      <c r="X169"/>
    </row>
    <row r="170" spans="2:24" ht="12.75" customHeight="1" outlineLevel="2">
      <c r="B170" s="497"/>
      <c r="C170" s="3"/>
      <c r="D170" s="3"/>
      <c r="E170" s="29"/>
      <c r="F170" s="3"/>
      <c r="G170" s="191"/>
      <c r="H170" s="9"/>
      <c r="I170" s="6"/>
      <c r="J170" s="29"/>
      <c r="K170" s="3"/>
      <c r="M170"/>
      <c r="N170"/>
      <c r="O170"/>
      <c r="P170"/>
      <c r="Q170"/>
      <c r="R170"/>
      <c r="S170"/>
      <c r="T170"/>
      <c r="U170"/>
      <c r="V170"/>
      <c r="W170"/>
      <c r="X170"/>
    </row>
    <row r="171" spans="2:24" ht="12.75" customHeight="1" outlineLevel="2">
      <c r="B171" s="3" t="str">
        <f>HBL!$AA$1256</f>
        <v>Calculated bypass flowrate based on O2 measurement</v>
      </c>
      <c r="C171" s="3"/>
      <c r="D171" s="3"/>
      <c r="E171" s="29"/>
      <c r="F171" s="3"/>
      <c r="G171" s="754" t="str">
        <f>IF(O2_BYPASSQUENCH="","",VN_QUENCHAIR*(O2_BYPASSQUENCH/100-0.21)/(O2_BYPASSEXTRAC/100-O2_BYPASSQUENCH/100))</f>
        <v/>
      </c>
      <c r="H171" s="9" t="s">
        <v>461</v>
      </c>
      <c r="I171" s="527" t="str">
        <f>IF(VN_BYPASSO2="", "", VN_BYPASSO2/(M_CLI*1000)/VNSP_INLET*100)</f>
        <v/>
      </c>
      <c r="J171" s="29" t="str">
        <f>HBL!$AA$1675</f>
        <v xml:space="preserve"> % of kiln gases</v>
      </c>
      <c r="K171" s="3"/>
      <c r="M171"/>
      <c r="N171"/>
      <c r="O171"/>
      <c r="P171"/>
      <c r="Q171"/>
      <c r="R171"/>
      <c r="S171"/>
      <c r="T171"/>
      <c r="U171"/>
      <c r="V171"/>
      <c r="W171"/>
      <c r="X171"/>
    </row>
    <row r="172" spans="2:24" ht="12.75" customHeight="1" outlineLevel="2">
      <c r="B172" s="497" t="s">
        <v>1139</v>
      </c>
      <c r="C172" s="3"/>
      <c r="D172" s="3"/>
      <c r="E172" s="29"/>
      <c r="F172" s="3"/>
      <c r="H172" s="46"/>
      <c r="I172" s="9"/>
      <c r="J172" s="29"/>
      <c r="K172" s="3"/>
      <c r="M172"/>
      <c r="N172"/>
      <c r="O172"/>
      <c r="P172"/>
      <c r="Q172"/>
      <c r="R172"/>
      <c r="S172"/>
      <c r="T172"/>
      <c r="U172"/>
      <c r="V172"/>
      <c r="W172"/>
      <c r="X172"/>
    </row>
    <row r="173" spans="2:24" ht="12.75" customHeight="1" outlineLevel="2">
      <c r="B173" s="497"/>
      <c r="C173" s="3"/>
      <c r="D173" s="3"/>
      <c r="E173" s="29"/>
      <c r="F173" s="3"/>
      <c r="H173" s="46"/>
      <c r="I173" s="9"/>
      <c r="J173" s="29"/>
      <c r="K173" s="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2:24" ht="12.75" customHeight="1" outlineLevel="2" thickBot="1">
      <c r="B174" s="497"/>
      <c r="C174" s="3"/>
      <c r="D174" s="3"/>
      <c r="E174" s="29"/>
      <c r="F174" s="3"/>
      <c r="H174" s="46"/>
      <c r="I174" s="9"/>
      <c r="J174" s="29"/>
      <c r="K174" s="3"/>
      <c r="M174"/>
      <c r="N174"/>
      <c r="O174"/>
      <c r="P174"/>
      <c r="Q174"/>
      <c r="R174"/>
      <c r="S174"/>
      <c r="T174"/>
      <c r="U174"/>
      <c r="V174"/>
      <c r="W174"/>
      <c r="X174"/>
    </row>
    <row r="175" spans="2:24" ht="12.75" customHeight="1" outlineLevel="2" thickTop="1" thickBot="1">
      <c r="B175" s="3" t="str">
        <f>HBL!$AA$1280</f>
        <v>Bypass flowrate (wet)</v>
      </c>
      <c r="C175" s="3"/>
      <c r="D175" s="3"/>
      <c r="E175" s="29"/>
      <c r="F175" s="3"/>
      <c r="G175" s="1224"/>
      <c r="H175" s="9" t="s">
        <v>461</v>
      </c>
      <c r="I175" s="527" t="str">
        <f>IF(VN_BYPASS="", "", VN_BYPASS/(M_CLI*1000)/VNSP_INLET*100)</f>
        <v/>
      </c>
      <c r="J175" s="29" t="str">
        <f>HBL!$AA$1675</f>
        <v xml:space="preserve"> % of kiln gases</v>
      </c>
      <c r="K175" s="3"/>
      <c r="M175"/>
      <c r="N175"/>
      <c r="O175"/>
      <c r="P175"/>
      <c r="Q175"/>
      <c r="R175"/>
      <c r="S175"/>
      <c r="T175"/>
      <c r="U175"/>
      <c r="V175"/>
      <c r="W175"/>
      <c r="X175"/>
    </row>
    <row r="176" spans="2:24" ht="12.75" customHeight="1" outlineLevel="2" thickTop="1">
      <c r="B176" s="497" t="s">
        <v>1140</v>
      </c>
      <c r="C176" s="3"/>
      <c r="D176" s="3"/>
      <c r="E176" s="29"/>
      <c r="F176" s="3"/>
      <c r="G176" s="3"/>
      <c r="H176" s="9"/>
      <c r="I176" s="536"/>
      <c r="J176" s="29"/>
      <c r="K176" s="3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ht="12.75" customHeight="1" outlineLevel="2">
      <c r="F177" s="3"/>
      <c r="G177"/>
      <c r="H177" s="3"/>
      <c r="K177" s="3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ht="12.75" customHeight="1" outlineLevel="1">
      <c r="K178" s="3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ht="12.75" customHeight="1" outlineLevel="1">
      <c r="A179" s="1073">
        <v>7</v>
      </c>
      <c r="B179" s="905" t="str">
        <f>HBL!$AA$1362</f>
        <v>GAS PROPERTIES AT KILN INLET</v>
      </c>
      <c r="C179" s="907"/>
      <c r="D179" s="904"/>
      <c r="E179" s="904"/>
      <c r="F179" s="984"/>
      <c r="H179" s="48"/>
      <c r="I179" s="48"/>
      <c r="J179" s="3"/>
      <c r="K179" s="3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ht="12.75" customHeight="1" outlineLevel="2" thickBot="1">
      <c r="B180" s="44"/>
      <c r="C180" s="3"/>
      <c r="D180" s="49"/>
      <c r="E180" s="3"/>
      <c r="F180" s="50"/>
      <c r="G180" s="50"/>
      <c r="H180" s="48"/>
      <c r="I180" s="48"/>
      <c r="J180" s="3"/>
      <c r="K180" s="3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ht="12.75" customHeight="1" outlineLevel="2" thickTop="1" thickBot="1">
      <c r="B181" s="3" t="str">
        <f>HBL!$AA$1472</f>
        <v>O2 content</v>
      </c>
      <c r="C181" s="48"/>
      <c r="D181" s="1226">
        <v>1</v>
      </c>
      <c r="E181" s="380" t="s">
        <v>462</v>
      </c>
      <c r="F181" s="50"/>
      <c r="K181" s="3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ht="12.75" customHeight="1" outlineLevel="2" thickTop="1">
      <c r="B182" s="3" t="str">
        <f>HBL!$AA$1288</f>
        <v>CO content</v>
      </c>
      <c r="C182" s="48"/>
      <c r="D182" s="1225">
        <v>5500</v>
      </c>
      <c r="E182" s="9" t="s">
        <v>457</v>
      </c>
      <c r="F182" s="50"/>
      <c r="G182" s="3"/>
      <c r="K182" s="3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ht="12.75" customHeight="1" outlineLevel="2">
      <c r="B183" s="3" t="str">
        <f>HBL!$AA$1470</f>
        <v>NOx content</v>
      </c>
      <c r="D183" s="882">
        <v>540</v>
      </c>
      <c r="E183" s="9" t="s">
        <v>457</v>
      </c>
      <c r="F183" s="50"/>
      <c r="G183" s="31"/>
      <c r="K183" s="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ht="12.75" customHeight="1" outlineLevel="2">
      <c r="F184" s="50"/>
      <c r="G184" s="31"/>
      <c r="K184" s="3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ht="12.75" customHeight="1" outlineLevel="1">
      <c r="K185" s="3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ht="12.75" customHeight="1" outlineLevel="1">
      <c r="A186" s="1073">
        <v>8</v>
      </c>
      <c r="B186" s="905" t="str">
        <f>HBL!$AA$1363</f>
        <v>GAS PROPERTIES AT PREHEATER OUTLET</v>
      </c>
      <c r="C186" s="907"/>
      <c r="D186" s="904"/>
      <c r="E186" s="904"/>
      <c r="F186" s="914"/>
      <c r="G186" s="356"/>
      <c r="H186" s="15"/>
      <c r="K186" s="3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ht="12.75" customHeight="1" outlineLevel="2">
      <c r="K187" s="3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ht="12.75" customHeight="1" outlineLevel="2">
      <c r="B188" s="3" t="str">
        <f>HBL!$AA$1564</f>
        <v>Temperature</v>
      </c>
      <c r="C188" s="3"/>
      <c r="D188" s="837">
        <v>340</v>
      </c>
      <c r="E188" s="9" t="s">
        <v>425</v>
      </c>
      <c r="G188" s="3" t="str">
        <f>HBL!$AA$1472</f>
        <v>O2 content</v>
      </c>
      <c r="I188" s="835">
        <v>3</v>
      </c>
      <c r="J188" s="386" t="s">
        <v>463</v>
      </c>
      <c r="K188" s="3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ht="12.75" customHeight="1" outlineLevel="2">
      <c r="B189" s="251" t="s">
        <v>1052</v>
      </c>
      <c r="C189" s="3"/>
      <c r="D189" s="534">
        <f>IF(T_EXHAUST="","",IF(T_EXHAUST&lt;50,"ERROR",IF(T_EXHAUST&gt;500,"ERROR",-0.0000000000012626 * T_EXHAUST ^ 3 - 0.000000018696 * T_EXHAUST ^ 2 + 0.00026402 * T_EXHAUST + 1.414)))</f>
        <v>1.5015559171696</v>
      </c>
      <c r="E189" s="5" t="s">
        <v>456</v>
      </c>
      <c r="G189" s="3" t="str">
        <f>HBL!$AA$1288</f>
        <v>CO content</v>
      </c>
      <c r="H189" s="3"/>
      <c r="I189" s="841">
        <v>700</v>
      </c>
      <c r="J189" s="386" t="s">
        <v>464</v>
      </c>
      <c r="K189" s="3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ht="12.75" customHeight="1" outlineLevel="2">
      <c r="B190" s="251" t="s">
        <v>1053</v>
      </c>
      <c r="D190" s="1310">
        <v>1.5009999999999999</v>
      </c>
      <c r="E190" s="5" t="s">
        <v>456</v>
      </c>
      <c r="G190" s="3" t="str">
        <f>HBL!$AA$1470</f>
        <v>NOx content</v>
      </c>
      <c r="H190" s="3"/>
      <c r="I190" s="892"/>
      <c r="J190" s="9" t="s">
        <v>457</v>
      </c>
      <c r="K190" s="3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ht="12.75" customHeight="1" outlineLevel="2">
      <c r="B191" s="52" t="str">
        <f>HBL!$AA$1300</f>
        <v>cp dust</v>
      </c>
      <c r="C191" s="3"/>
      <c r="D191" s="534">
        <f>IF(T_EXHAUST="","",IF(T_EXHAUST&lt;50,"ERROR",IF(T_EXHAUST&gt;500,"ERROR",((0.8+7.3*10^-4*T_EXHAUST-4.6*10^-7*T_EXHAUST^2+5.2*10^-11*T_EXHAUST^3)*T_EXHAUST-(0.8+7.3*10^-4*20-4.6*10^-7*20^2+5.2*10^-11*20^3)*20)/(T_EXHAUST-20))))</f>
        <v>1.00848352</v>
      </c>
      <c r="E191" s="3" t="s">
        <v>429</v>
      </c>
      <c r="K191" s="3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ht="12.75" customHeight="1" outlineLevel="2">
      <c r="B192" s="52"/>
      <c r="C192" s="3"/>
      <c r="D192" s="51"/>
      <c r="E192" s="3"/>
      <c r="G192" s="3"/>
      <c r="H192" s="3"/>
      <c r="I192"/>
      <c r="J192" s="9"/>
      <c r="K192" s="3"/>
      <c r="M192"/>
      <c r="N192"/>
      <c r="O192"/>
      <c r="P192"/>
      <c r="Q192"/>
      <c r="R192"/>
      <c r="S192"/>
      <c r="T192"/>
      <c r="U192"/>
      <c r="V192"/>
      <c r="W192"/>
      <c r="X192"/>
    </row>
    <row r="193" spans="2:24" ht="12.75" customHeight="1" outlineLevel="2">
      <c r="B193" s="549" t="s">
        <v>1558</v>
      </c>
      <c r="C193" s="3"/>
      <c r="D193" s="872"/>
      <c r="E193" s="251" t="s">
        <v>423</v>
      </c>
      <c r="K193" s="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2:24" ht="12.75" customHeight="1" outlineLevel="2">
      <c r="B194" s="380" t="s">
        <v>1559</v>
      </c>
      <c r="C194" s="3"/>
      <c r="D194" s="872"/>
      <c r="E194" s="376" t="s">
        <v>457</v>
      </c>
      <c r="F194" s="549"/>
      <c r="G194" s="549"/>
      <c r="H194" s="549"/>
      <c r="I194" s="549"/>
      <c r="J194" s="549"/>
      <c r="K194" s="3"/>
      <c r="M194"/>
      <c r="N194"/>
      <c r="O194"/>
      <c r="P194"/>
      <c r="Q194"/>
      <c r="R194"/>
      <c r="S194"/>
      <c r="T194"/>
      <c r="U194"/>
      <c r="V194"/>
      <c r="W194"/>
      <c r="X194"/>
    </row>
    <row r="195" spans="2:24" ht="12.75" customHeight="1" outlineLevel="2">
      <c r="B195" s="549"/>
      <c r="C195" s="549"/>
      <c r="D195" s="549"/>
      <c r="E195" s="549"/>
      <c r="F195" s="549"/>
      <c r="G195" s="549"/>
      <c r="H195" s="549"/>
      <c r="I195" s="549"/>
      <c r="J195" s="549"/>
      <c r="K195" s="3"/>
      <c r="M195"/>
      <c r="N195"/>
      <c r="O195"/>
      <c r="P195"/>
      <c r="Q195"/>
      <c r="R195"/>
      <c r="S195"/>
      <c r="T195"/>
      <c r="U195"/>
      <c r="V195"/>
      <c r="W195"/>
      <c r="X195"/>
    </row>
    <row r="196" spans="2:24" ht="12.75" customHeight="1" outlineLevel="2">
      <c r="B196" s="517" t="s">
        <v>1126</v>
      </c>
      <c r="C196" s="497" t="s">
        <v>1141</v>
      </c>
      <c r="D196" s="51"/>
      <c r="E196" s="3"/>
      <c r="G196" s="3"/>
      <c r="H196" s="3"/>
      <c r="I196"/>
      <c r="J196" s="9"/>
      <c r="K196" s="3"/>
      <c r="M196"/>
      <c r="N196"/>
      <c r="O196"/>
      <c r="P196"/>
      <c r="Q196"/>
      <c r="R196"/>
      <c r="S196"/>
      <c r="T196"/>
      <c r="U196"/>
      <c r="V196"/>
      <c r="W196"/>
      <c r="X196"/>
    </row>
    <row r="197" spans="2:24" ht="12.75" customHeight="1" outlineLevel="2">
      <c r="B197" s="518"/>
      <c r="C197" s="497" t="s">
        <v>1142</v>
      </c>
      <c r="D197" s="51"/>
      <c r="E197" s="3"/>
      <c r="G197" s="3"/>
      <c r="H197" s="3"/>
      <c r="I197"/>
      <c r="J197" s="9"/>
      <c r="K197" s="3"/>
      <c r="M197"/>
      <c r="N197"/>
      <c r="O197"/>
      <c r="P197"/>
      <c r="Q197"/>
      <c r="R197"/>
      <c r="S197"/>
      <c r="T197"/>
      <c r="U197"/>
      <c r="V197"/>
      <c r="W197"/>
      <c r="X197"/>
    </row>
    <row r="198" spans="2:24" ht="12.75" customHeight="1" outlineLevel="2">
      <c r="B198" s="52"/>
      <c r="C198" s="3"/>
      <c r="D198" s="51"/>
      <c r="E198" s="3"/>
      <c r="G198" s="3"/>
      <c r="H198" s="3"/>
      <c r="I198"/>
      <c r="J198" s="9"/>
      <c r="K198" s="3"/>
      <c r="M198"/>
      <c r="N198"/>
      <c r="O198"/>
      <c r="P198"/>
      <c r="Q198"/>
      <c r="R198"/>
      <c r="S198"/>
      <c r="T198"/>
      <c r="U198"/>
      <c r="V198"/>
      <c r="W198"/>
      <c r="X198"/>
    </row>
    <row r="199" spans="2:24" ht="12.75" customHeight="1" outlineLevel="2">
      <c r="B199" s="519" t="s">
        <v>1054</v>
      </c>
      <c r="C199" s="3"/>
      <c r="D199" s="28"/>
      <c r="E199" s="3"/>
      <c r="G199" s="3"/>
      <c r="H199" s="3"/>
      <c r="I199"/>
      <c r="J199" s="9"/>
      <c r="K199" s="3"/>
      <c r="M199"/>
      <c r="N199"/>
      <c r="O199"/>
      <c r="P199"/>
      <c r="Q199"/>
      <c r="R199"/>
      <c r="S199"/>
      <c r="T199"/>
      <c r="U199"/>
      <c r="V199"/>
      <c r="W199"/>
      <c r="X199"/>
    </row>
    <row r="200" spans="2:24" ht="12.75" customHeight="1" outlineLevel="2">
      <c r="B200" s="3" t="str">
        <f>IF(PRECAL=5, HBL!$AA$1564, HBL!$AA$1447)</f>
        <v>leave empty</v>
      </c>
      <c r="C200" s="3"/>
      <c r="D200" s="837"/>
      <c r="E200" s="9" t="s">
        <v>425</v>
      </c>
      <c r="G200" s="3" t="str">
        <f>IF(PRECAL=5, HBL!$AA$1472, HBL!$AA$1447)</f>
        <v>leave empty</v>
      </c>
      <c r="I200" s="835"/>
      <c r="J200" s="9" t="s">
        <v>423</v>
      </c>
      <c r="K200" s="3"/>
      <c r="M200"/>
      <c r="N200"/>
      <c r="O200"/>
      <c r="P200"/>
      <c r="Q200"/>
      <c r="R200"/>
      <c r="S200"/>
      <c r="T200"/>
      <c r="U200"/>
      <c r="V200"/>
      <c r="W200"/>
      <c r="X200"/>
    </row>
    <row r="201" spans="2:24" ht="12.75" customHeight="1" outlineLevel="2">
      <c r="B201" s="3" t="str">
        <f>IF(PRECAL=5, HBL!$AA$1295,"")</f>
        <v/>
      </c>
      <c r="C201" s="3" t="str">
        <f>IF(PRECAL=5, HBL!$AA$1251,"")</f>
        <v/>
      </c>
      <c r="D201" s="51" t="str">
        <f>IF(T_EXHAUSTCALCINER="","",IF(T_EXHAUSTCALCINER&lt;100,"ERROR",IF(T_EXHAUSTCALCINER&gt;500,"ERROR",1.445+(1.545-1.445)/(500-100)*(T_EXHAUSTCALCINER-100))))</f>
        <v/>
      </c>
      <c r="E201" s="5" t="str">
        <f>IF(PRECAL=5, "kJ/Nm3°C", "")</f>
        <v/>
      </c>
      <c r="G201" s="3" t="str">
        <f>IF(PRECAL=5, HBL!$AA$1288, HBL!$AA$1447)</f>
        <v>leave empty</v>
      </c>
      <c r="H201" s="3"/>
      <c r="I201" s="841"/>
      <c r="J201" s="9" t="s">
        <v>457</v>
      </c>
      <c r="K201" s="3"/>
      <c r="M201"/>
      <c r="N201"/>
      <c r="O201"/>
      <c r="P201"/>
      <c r="Q201"/>
      <c r="R201"/>
      <c r="S201"/>
      <c r="T201"/>
      <c r="U201"/>
      <c r="V201"/>
      <c r="W201"/>
      <c r="X201"/>
    </row>
    <row r="202" spans="2:24" ht="12.75" customHeight="1" outlineLevel="2">
      <c r="B202" s="3" t="str">
        <f>IF(PRECAL=5, HBL!$AA$1296, HBL!$AA$1447)</f>
        <v>leave empty</v>
      </c>
      <c r="D202" s="842"/>
      <c r="E202" s="5" t="s">
        <v>456</v>
      </c>
      <c r="G202" s="3"/>
      <c r="H202" s="3"/>
      <c r="I202"/>
      <c r="J202" s="9"/>
      <c r="K202" s="3"/>
      <c r="M202"/>
      <c r="N202"/>
      <c r="O202"/>
      <c r="P202"/>
      <c r="Q202"/>
      <c r="R202"/>
      <c r="S202"/>
      <c r="T202"/>
      <c r="U202"/>
      <c r="V202"/>
      <c r="W202"/>
      <c r="X202"/>
    </row>
    <row r="203" spans="2:24" ht="12.75" customHeight="1" outlineLevel="2">
      <c r="B203" s="3"/>
      <c r="C203" s="3"/>
      <c r="D203" s="3"/>
      <c r="E203" s="3"/>
      <c r="F203" s="3"/>
      <c r="G203" s="3"/>
      <c r="H203" s="3"/>
      <c r="I203" s="3"/>
      <c r="J203" s="3"/>
      <c r="K203" s="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2:24" ht="12.75" customHeight="1" outlineLevel="1">
      <c r="K204" s="3"/>
      <c r="N204"/>
      <c r="O204"/>
      <c r="P204"/>
      <c r="Q204"/>
      <c r="R204"/>
      <c r="S204"/>
      <c r="T204"/>
      <c r="U204"/>
      <c r="V204"/>
      <c r="W204"/>
      <c r="X204"/>
    </row>
    <row r="205" spans="2:24" ht="12.75" customHeight="1" outlineLevel="1">
      <c r="B205" s="216" t="str">
        <f>$AA$1634</f>
        <v>WATERINJECTION INTO PREHEATER</v>
      </c>
      <c r="C205" s="387"/>
      <c r="D205" s="391"/>
      <c r="E205" s="392"/>
      <c r="F205" s="391"/>
      <c r="G205" s="385"/>
      <c r="H205" s="385"/>
      <c r="I205" s="385"/>
      <c r="J205" s="385"/>
      <c r="K205" s="3"/>
      <c r="N205"/>
      <c r="O205"/>
      <c r="P205"/>
      <c r="Q205"/>
      <c r="R205"/>
      <c r="S205"/>
      <c r="T205"/>
      <c r="U205"/>
      <c r="V205"/>
      <c r="W205"/>
      <c r="X205"/>
    </row>
    <row r="206" spans="2:24" ht="12.75" customHeight="1" outlineLevel="2">
      <c r="B206" s="18"/>
      <c r="C206" s="385"/>
      <c r="D206" s="385"/>
      <c r="E206" s="386"/>
      <c r="F206" s="385"/>
      <c r="G206" s="385"/>
      <c r="H206" s="385"/>
      <c r="I206" s="385"/>
      <c r="J206" s="385"/>
      <c r="K206" s="3"/>
      <c r="N206"/>
      <c r="O206"/>
      <c r="P206"/>
      <c r="Q206"/>
      <c r="R206"/>
      <c r="S206"/>
      <c r="T206"/>
      <c r="U206"/>
      <c r="V206"/>
      <c r="W206"/>
      <c r="X206"/>
    </row>
    <row r="207" spans="2:24" ht="12.75" customHeight="1" outlineLevel="2">
      <c r="B207" s="385" t="s">
        <v>983</v>
      </c>
      <c r="C207" s="387"/>
      <c r="D207" s="833"/>
      <c r="E207" s="386" t="s">
        <v>493</v>
      </c>
      <c r="I207" s="385"/>
      <c r="K207" s="3"/>
      <c r="N207"/>
      <c r="O207"/>
      <c r="P207"/>
      <c r="Q207"/>
      <c r="R207"/>
      <c r="S207"/>
      <c r="T207"/>
      <c r="U207"/>
      <c r="V207"/>
      <c r="W207"/>
      <c r="X207"/>
    </row>
    <row r="208" spans="2:24" ht="12.75" customHeight="1" outlineLevel="2">
      <c r="B208" s="1" t="str">
        <f>HBL!$AA$1564</f>
        <v>Temperature</v>
      </c>
      <c r="C208" s="385"/>
      <c r="D208" s="831"/>
      <c r="E208" s="386" t="s">
        <v>425</v>
      </c>
      <c r="F208" s="385"/>
      <c r="K208" s="3"/>
      <c r="N208"/>
      <c r="O208"/>
      <c r="P208"/>
      <c r="Q208"/>
      <c r="R208"/>
      <c r="S208"/>
      <c r="T208"/>
      <c r="U208"/>
      <c r="V208"/>
      <c r="W208"/>
      <c r="X208"/>
    </row>
    <row r="209" spans="1:24" ht="12.75" customHeight="1" outlineLevel="2">
      <c r="B209" s="385" t="s">
        <v>872</v>
      </c>
      <c r="C209" s="385"/>
      <c r="D209" s="532" t="str">
        <f>IF(D208="","",4.18+(D208-50)^2*0.04/2500)</f>
        <v/>
      </c>
      <c r="E209" s="389" t="s">
        <v>429</v>
      </c>
      <c r="F209" s="385"/>
      <c r="G209" s="385"/>
      <c r="H209" s="385"/>
      <c r="I209" s="390"/>
      <c r="J209" s="389"/>
      <c r="K209" s="3"/>
      <c r="N209"/>
      <c r="O209"/>
      <c r="P209"/>
      <c r="Q209"/>
      <c r="R209"/>
      <c r="S209"/>
      <c r="T209"/>
      <c r="U209"/>
      <c r="V209"/>
      <c r="W209"/>
      <c r="X209"/>
    </row>
    <row r="210" spans="1:24" ht="12.75" customHeight="1" outlineLevel="2">
      <c r="B210" s="385"/>
      <c r="C210" s="385"/>
      <c r="D210" s="561"/>
      <c r="E210" s="389"/>
      <c r="F210" s="385"/>
      <c r="G210" s="385"/>
      <c r="H210" s="385"/>
      <c r="I210" s="390"/>
      <c r="J210" s="389"/>
      <c r="K210" s="3"/>
      <c r="N210"/>
      <c r="O210"/>
      <c r="P210"/>
      <c r="Q210"/>
      <c r="R210"/>
      <c r="S210"/>
      <c r="T210"/>
      <c r="U210"/>
      <c r="V210"/>
      <c r="W210"/>
      <c r="X210"/>
    </row>
    <row r="211" spans="1:24" ht="12.75" customHeight="1" outlineLevel="1">
      <c r="K211" s="3"/>
      <c r="N211"/>
      <c r="O211"/>
      <c r="P211"/>
      <c r="Q211"/>
      <c r="R211"/>
      <c r="S211"/>
      <c r="T211"/>
      <c r="U211"/>
      <c r="V211"/>
      <c r="W211"/>
      <c r="X211"/>
    </row>
    <row r="212" spans="1:24" ht="12.75" customHeight="1" outlineLevel="1">
      <c r="A212" s="1073">
        <v>9</v>
      </c>
      <c r="B212" s="905" t="str">
        <f>HBL!$AA$1495</f>
        <v>PRIMARY AIR</v>
      </c>
      <c r="C212" s="907"/>
      <c r="D212" s="904"/>
      <c r="E212" s="904"/>
      <c r="F212" s="984"/>
      <c r="G212" s="3"/>
      <c r="H212" s="3"/>
      <c r="I212" s="3"/>
      <c r="J212" s="3"/>
      <c r="K212" s="3"/>
      <c r="N212"/>
      <c r="O212"/>
      <c r="P212"/>
      <c r="Q212"/>
      <c r="R212"/>
      <c r="S212"/>
      <c r="T212"/>
      <c r="U212"/>
      <c r="V212"/>
      <c r="W212"/>
      <c r="X212"/>
    </row>
    <row r="213" spans="1:24" ht="12.75" customHeight="1" outlineLevel="2">
      <c r="B213" s="53"/>
      <c r="C213" s="3"/>
      <c r="D213" s="3"/>
      <c r="E213" s="3"/>
      <c r="F213" s="3"/>
      <c r="G213" s="3"/>
      <c r="H213" s="3"/>
      <c r="I213" s="3"/>
      <c r="J213" s="3"/>
      <c r="K213" s="3"/>
      <c r="N213"/>
      <c r="O213"/>
      <c r="P213"/>
      <c r="Q213"/>
      <c r="R213"/>
      <c r="S213"/>
      <c r="T213"/>
      <c r="U213"/>
      <c r="V213"/>
      <c r="W213"/>
      <c r="X213"/>
    </row>
    <row r="214" spans="1:24" ht="12.75" customHeight="1" outlineLevel="2">
      <c r="B214" s="4" t="str">
        <f>HBL!$AA$1497</f>
        <v>PRIMARY AIR MAIN BURNER</v>
      </c>
      <c r="K214" s="3"/>
      <c r="N214"/>
      <c r="O214"/>
      <c r="P214"/>
      <c r="Q214"/>
      <c r="R214"/>
      <c r="S214"/>
      <c r="T214"/>
      <c r="U214"/>
      <c r="V214"/>
      <c r="W214"/>
      <c r="X214"/>
    </row>
    <row r="215" spans="1:24" ht="12.75" customHeight="1" outlineLevel="2">
      <c r="H215"/>
      <c r="K215" s="3"/>
      <c r="N215"/>
      <c r="O215"/>
      <c r="P215"/>
      <c r="Q215"/>
      <c r="R215"/>
      <c r="S215"/>
      <c r="T215"/>
      <c r="U215"/>
      <c r="V215"/>
      <c r="W215"/>
      <c r="X215"/>
    </row>
    <row r="216" spans="1:24" ht="12.75" customHeight="1" outlineLevel="2" thickBot="1">
      <c r="B216" s="14" t="str">
        <f>HBL!$AA$1391</f>
        <v>Indirect firing system</v>
      </c>
      <c r="C216" s="3"/>
      <c r="D216" s="497" t="s">
        <v>984</v>
      </c>
      <c r="E216" s="3"/>
      <c r="F216" s="3"/>
      <c r="G216" s="3"/>
      <c r="H216" s="3"/>
      <c r="I216" s="3"/>
      <c r="J216" s="3"/>
      <c r="K216" s="3"/>
      <c r="N216"/>
      <c r="O216"/>
      <c r="P216"/>
      <c r="Q216"/>
      <c r="R216"/>
      <c r="S216"/>
      <c r="T216"/>
      <c r="U216"/>
      <c r="V216"/>
      <c r="W216"/>
      <c r="X216"/>
    </row>
    <row r="217" spans="1:24" ht="12.75" customHeight="1" outlineLevel="2" thickTop="1" thickBot="1">
      <c r="B217" s="3" t="str">
        <f>HBL!$AA$1247</f>
        <v>Axial air</v>
      </c>
      <c r="C217" s="12" t="str">
        <f>HBL!$AA$1602</f>
        <v>Flowrate air</v>
      </c>
      <c r="H217" s="252"/>
      <c r="I217" s="1223">
        <v>3000</v>
      </c>
      <c r="J217" s="9" t="s">
        <v>458</v>
      </c>
      <c r="K217" s="3"/>
      <c r="N217"/>
      <c r="O217"/>
      <c r="P217"/>
      <c r="Q217"/>
      <c r="R217"/>
      <c r="S217"/>
      <c r="T217"/>
      <c r="U217"/>
      <c r="V217"/>
      <c r="W217"/>
      <c r="X217"/>
    </row>
    <row r="218" spans="1:24" ht="12.75" customHeight="1" outlineLevel="2" thickTop="1" thickBot="1">
      <c r="B218" s="53"/>
      <c r="C218" s="1" t="str">
        <f>HBL!$AA$1564</f>
        <v>Temperature</v>
      </c>
      <c r="D218" s="12"/>
      <c r="H218" s="376"/>
      <c r="I218" s="1215">
        <v>50</v>
      </c>
      <c r="J218" s="1" t="s">
        <v>425</v>
      </c>
      <c r="K218" s="3"/>
      <c r="N218"/>
      <c r="O218"/>
      <c r="P218"/>
      <c r="Q218"/>
      <c r="R218"/>
      <c r="S218"/>
      <c r="T218"/>
      <c r="U218"/>
      <c r="V218"/>
      <c r="W218"/>
      <c r="X218"/>
    </row>
    <row r="219" spans="1:24" ht="12.75" customHeight="1" outlineLevel="2" thickTop="1">
      <c r="G219" s="252"/>
      <c r="K219" s="3"/>
      <c r="N219"/>
      <c r="O219"/>
      <c r="P219"/>
      <c r="Q219"/>
      <c r="R219"/>
      <c r="S219"/>
      <c r="T219"/>
      <c r="U219"/>
      <c r="V219"/>
      <c r="W219"/>
      <c r="X219"/>
    </row>
    <row r="220" spans="1:24" ht="12.75" customHeight="1" outlineLevel="2">
      <c r="B220" s="3" t="str">
        <f>HBL!$AA$1515</f>
        <v>Swirl air</v>
      </c>
      <c r="C220" s="12" t="str">
        <f>HBL!$AA$1602</f>
        <v>Flowrate air</v>
      </c>
      <c r="H220" s="252"/>
      <c r="I220" s="839">
        <v>2800</v>
      </c>
      <c r="J220" s="9" t="s">
        <v>458</v>
      </c>
      <c r="K220" s="3"/>
      <c r="N220"/>
      <c r="O220"/>
      <c r="P220"/>
      <c r="Q220"/>
      <c r="R220"/>
      <c r="S220"/>
      <c r="T220"/>
      <c r="U220"/>
      <c r="V220"/>
      <c r="W220"/>
      <c r="X220"/>
    </row>
    <row r="221" spans="1:24" ht="12.75" customHeight="1" outlineLevel="2">
      <c r="B221" s="12"/>
      <c r="C221" s="1" t="str">
        <f>HBL!$AA$1564</f>
        <v>Temperature</v>
      </c>
      <c r="D221" s="12"/>
      <c r="H221" s="376"/>
      <c r="I221" s="831">
        <v>40</v>
      </c>
      <c r="J221" s="1" t="s">
        <v>425</v>
      </c>
      <c r="K221" s="3"/>
      <c r="N221"/>
      <c r="O221"/>
      <c r="P221"/>
      <c r="Q221"/>
      <c r="R221"/>
      <c r="S221"/>
      <c r="T221"/>
      <c r="U221"/>
      <c r="V221"/>
      <c r="W221"/>
      <c r="X221"/>
    </row>
    <row r="222" spans="1:24" ht="12.75" customHeight="1" outlineLevel="2">
      <c r="K222" s="3"/>
      <c r="L222" s="3"/>
    </row>
    <row r="223" spans="1:24" ht="12.75" customHeight="1" outlineLevel="2">
      <c r="B223" t="s">
        <v>1055</v>
      </c>
      <c r="C223" t="s">
        <v>2093</v>
      </c>
      <c r="I223" s="839">
        <v>1000</v>
      </c>
      <c r="J223" s="9" t="s">
        <v>458</v>
      </c>
      <c r="K223" s="3"/>
      <c r="L223" s="3"/>
    </row>
    <row r="224" spans="1:24" ht="12.75" customHeight="1" outlineLevel="2">
      <c r="C224" t="s">
        <v>1954</v>
      </c>
      <c r="I224" s="831">
        <v>40</v>
      </c>
      <c r="J224" s="1" t="s">
        <v>425</v>
      </c>
      <c r="K224" s="3"/>
      <c r="L224" s="3"/>
    </row>
    <row r="225" spans="2:15" ht="12.75" customHeight="1" outlineLevel="2" thickBot="1">
      <c r="K225" s="3"/>
      <c r="L225" s="3"/>
    </row>
    <row r="226" spans="2:15" ht="12.75" customHeight="1" outlineLevel="2" thickTop="1" thickBot="1">
      <c r="B226" s="3" t="str">
        <f>HBL!$AA$1576</f>
        <v>Transport air</v>
      </c>
      <c r="C226" s="12" t="str">
        <f>HBL!$AA$1602</f>
        <v>Flowrate air</v>
      </c>
      <c r="H226" s="252"/>
      <c r="I226" s="1223">
        <v>3200</v>
      </c>
      <c r="J226" s="9" t="s">
        <v>458</v>
      </c>
      <c r="K226" s="3"/>
      <c r="L226" s="3"/>
      <c r="M226" s="3"/>
      <c r="N226" s="3"/>
      <c r="O226" s="3"/>
    </row>
    <row r="227" spans="2:15" ht="12.75" customHeight="1" outlineLevel="2" thickTop="1" thickBot="1">
      <c r="B227" s="3"/>
      <c r="C227" s="1" t="str">
        <f>HBL!$AA$1564</f>
        <v>Temperature</v>
      </c>
      <c r="D227" s="12"/>
      <c r="H227" s="363"/>
      <c r="I227" s="1215">
        <v>50</v>
      </c>
      <c r="J227" s="1" t="s">
        <v>425</v>
      </c>
      <c r="K227" s="3"/>
      <c r="L227" s="3"/>
      <c r="M227" s="3"/>
      <c r="N227" s="3"/>
      <c r="O227" s="3"/>
    </row>
    <row r="228" spans="2:15" ht="12.75" customHeight="1" outlineLevel="2" thickTop="1">
      <c r="B228" s="3"/>
      <c r="K228" s="3"/>
      <c r="L228" s="188"/>
      <c r="M228" s="3"/>
      <c r="N228" s="3"/>
      <c r="O228" s="3"/>
    </row>
    <row r="229" spans="2:15" ht="12.75" customHeight="1" outlineLevel="2">
      <c r="B229" s="14" t="s">
        <v>986</v>
      </c>
      <c r="C229" s="3"/>
      <c r="D229" s="3"/>
      <c r="E229" s="497" t="s">
        <v>985</v>
      </c>
      <c r="F229" s="3"/>
      <c r="G229" s="3"/>
      <c r="H229" s="3"/>
      <c r="I229" s="3"/>
      <c r="J229" s="3"/>
      <c r="K229" s="3"/>
      <c r="L229" s="188"/>
      <c r="M229" s="3"/>
      <c r="N229" s="3"/>
      <c r="O229" s="3"/>
    </row>
    <row r="230" spans="2:15" ht="12.75" customHeight="1" outlineLevel="2">
      <c r="B230" s="251" t="s">
        <v>225</v>
      </c>
      <c r="C230" s="3"/>
      <c r="D230" s="3"/>
      <c r="E230" s="3"/>
      <c r="F230" s="54"/>
      <c r="G230" s="3"/>
      <c r="H230" s="3"/>
      <c r="I230" s="839"/>
      <c r="J230" s="9" t="s">
        <v>458</v>
      </c>
      <c r="K230" s="3"/>
      <c r="L230" s="188"/>
      <c r="M230" s="3"/>
      <c r="N230" s="3"/>
      <c r="O230" s="3"/>
    </row>
    <row r="231" spans="2:15" ht="12.75" customHeight="1" outlineLevel="2">
      <c r="B231" s="251" t="s">
        <v>829</v>
      </c>
      <c r="C231" s="3"/>
      <c r="D231" s="3"/>
      <c r="E231" s="3"/>
      <c r="F231" s="54"/>
      <c r="G231" s="3"/>
      <c r="H231" s="3"/>
      <c r="I231" s="843"/>
      <c r="J231" s="1" t="s">
        <v>425</v>
      </c>
      <c r="K231" s="3"/>
      <c r="L231" s="188"/>
      <c r="M231" s="3"/>
      <c r="N231" s="3"/>
      <c r="O231" s="3"/>
    </row>
    <row r="232" spans="2:15" ht="12.75" customHeight="1" outlineLevel="2">
      <c r="B232" s="9" t="str">
        <f>HBL!$AA$1359</f>
        <v>Moisture content of the raw coal/coke as fed to the coal mill</v>
      </c>
      <c r="I232" s="831"/>
      <c r="J232" s="1" t="s">
        <v>423</v>
      </c>
      <c r="K232" s="3"/>
      <c r="L232" s="188"/>
      <c r="M232" s="3"/>
      <c r="N232" s="3"/>
      <c r="O232" s="3"/>
    </row>
    <row r="233" spans="2:15" ht="12.75" customHeight="1" outlineLevel="2">
      <c r="B233" s="1" t="str">
        <f>HBL!$AA$1358</f>
        <v>Moisture content of the coal fed to the burner</v>
      </c>
      <c r="C233" s="3"/>
      <c r="D233" s="3"/>
      <c r="E233" s="3"/>
      <c r="F233" s="54"/>
      <c r="G233" s="3"/>
      <c r="H233" s="3"/>
      <c r="I233" s="831"/>
      <c r="J233" s="1" t="s">
        <v>423</v>
      </c>
      <c r="K233" s="3"/>
      <c r="L233" s="188"/>
      <c r="M233" s="3"/>
      <c r="N233" s="3"/>
      <c r="O233" s="3"/>
    </row>
    <row r="234" spans="2:15" ht="12.75" customHeight="1" outlineLevel="2">
      <c r="B234" s="5" t="str">
        <f>HBL!$AA$1243</f>
        <v>Feedrate to the coal mill</v>
      </c>
      <c r="I234" s="831"/>
      <c r="J234" s="1" t="s">
        <v>465</v>
      </c>
      <c r="K234" s="3"/>
      <c r="L234" s="188"/>
      <c r="M234" s="3"/>
      <c r="N234" s="3"/>
      <c r="O234" s="3"/>
    </row>
    <row r="235" spans="2:15" ht="12.75" customHeight="1" outlineLevel="2">
      <c r="B235" s="3" t="str">
        <f>HBL!$AA$1642</f>
        <v>Water vapor from coal mill (part of primary air)</v>
      </c>
      <c r="C235" s="3"/>
      <c r="D235" s="3"/>
      <c r="E235" s="3"/>
      <c r="F235" s="54"/>
      <c r="I235" s="639" t="str">
        <f>IF(H2O_DRYCOAL="","",M_COALMILL*(H2O_RAWCOAL-H2O_DRYCOAL)/(100-H2O_DRYCOAL)/0.804)</f>
        <v/>
      </c>
      <c r="J235" s="3" t="s">
        <v>458</v>
      </c>
      <c r="K235" s="3"/>
      <c r="L235" s="188"/>
      <c r="M235" s="3"/>
      <c r="N235" s="3"/>
      <c r="O235" s="3"/>
    </row>
    <row r="236" spans="2:15" ht="12.75" customHeight="1" outlineLevel="2">
      <c r="B236" s="3"/>
      <c r="C236" s="3"/>
      <c r="D236" s="3"/>
      <c r="E236" s="3"/>
      <c r="F236" s="54"/>
      <c r="I236" s="404"/>
      <c r="J236" s="3"/>
      <c r="K236" s="3"/>
      <c r="L236" s="188"/>
      <c r="M236" s="3"/>
      <c r="N236" s="3"/>
      <c r="O236" s="3"/>
    </row>
    <row r="237" spans="2:15" ht="12.75" customHeight="1" outlineLevel="2">
      <c r="B237" s="439" t="s">
        <v>1056</v>
      </c>
      <c r="C237" s="3"/>
      <c r="I237" s="537">
        <f>IF(AND(VN_JETAIR="",VN_PRIMDIRECT="",VN_SWIRLAIR="",VN_CENTRALAIR="",VN_BZTRANSAIR=""),"",     IF(VN_PRIMDIRECT="",   (VN_JETAIR*T_PRIMAIRJET+VN_SWIRLAIR*T_PRIMAIRSWIRL+VN_CENTRALAIR*T_CENTRALAIR+VN_BZTRANSAIR*T_PRIMAIRTRANS)/(VN_JETAIR+VN_SWIRLAIR+VN_CENTRALAIR+VN_BZTRANSAIR),   I231)    )</f>
        <v>46.2</v>
      </c>
      <c r="J237" s="9" t="s">
        <v>425</v>
      </c>
      <c r="K237" s="3"/>
      <c r="L237" s="188"/>
      <c r="M237" s="3"/>
      <c r="N237" s="3"/>
      <c r="O237" s="3"/>
    </row>
    <row r="238" spans="2:15" ht="12.75" customHeight="1" outlineLevel="2">
      <c r="B238" s="3" t="str">
        <f>HBL!$AA$1297</f>
        <v>cp air</v>
      </c>
      <c r="H238" s="3"/>
      <c r="I238" s="533">
        <f>IF(T_PRIMAIR="","",IF(T_PRIMAIR=20,1.29,((1.297+0.0000575*T_PRIMAIR+0.0000000806*T_PRIMAIR^2-0.0000000000286*T_PRIMAIR^3)*T_PRIMAIR-(1.297+0.0000575*20+0.0000000806*20^2-0.0000000000286*20^3)*20)/(T_PRIMAIR-20)))</f>
        <v>1.3010804517580596</v>
      </c>
      <c r="J238" s="5" t="s">
        <v>456</v>
      </c>
      <c r="K238" s="3"/>
      <c r="L238" s="188"/>
      <c r="M238" s="3"/>
      <c r="N238" s="3"/>
      <c r="O238" s="3"/>
    </row>
    <row r="239" spans="2:15" ht="12.75" customHeight="1" outlineLevel="2">
      <c r="B239" s="3"/>
      <c r="C239" s="3"/>
      <c r="D239" s="3"/>
      <c r="E239" s="3"/>
      <c r="F239" s="54"/>
      <c r="I239" s="404"/>
      <c r="J239" s="3"/>
      <c r="K239" s="3"/>
      <c r="L239" s="188"/>
      <c r="M239" s="3"/>
      <c r="N239" s="3"/>
      <c r="O239" s="3"/>
    </row>
    <row r="240" spans="2:15" ht="12.75" customHeight="1" outlineLevel="2" thickBot="1">
      <c r="B240" s="14" t="str">
        <f>HBL!$AA$1367</f>
        <v>Total primary air main burner</v>
      </c>
      <c r="I240"/>
      <c r="J240"/>
      <c r="K240" s="3"/>
      <c r="L240" s="3"/>
      <c r="M240" s="3"/>
      <c r="N240" s="3"/>
      <c r="O240" s="3"/>
    </row>
    <row r="241" spans="2:24" ht="12.75" customHeight="1" outlineLevel="2" thickBot="1">
      <c r="B241" s="1" t="str">
        <f>HBL!$AA$1601</f>
        <v>Flowrate</v>
      </c>
      <c r="D241" s="972">
        <f>IF(VN_PRIMCOMB="","",VN_PRIMCOMB/SUM(E401:J401)*100)</f>
        <v>17.091564264638848</v>
      </c>
      <c r="E241" s="3" t="str">
        <f>HBL!$AA$1676</f>
        <v xml:space="preserve"> % of minimum combustion air primary firing</v>
      </c>
      <c r="I241" s="981">
        <f>IF(VN_PRIMDIRECT="",    IF((VN_JETAIR+VN_SWIRLAIR+VN_CENTRALAIR+VN_BZTRANSAIR)=0,"",(VN_JETAIR+VN_SWIRLAIR+VN_CENTRALAIR+VN_BZTRANSAIR)),   VN_PRIMDIRECT)</f>
        <v>10000</v>
      </c>
      <c r="J241" s="9" t="s">
        <v>461</v>
      </c>
      <c r="K241" s="3"/>
      <c r="L241" s="3"/>
      <c r="M241" s="3"/>
      <c r="N241" s="3"/>
      <c r="O241" s="3"/>
    </row>
    <row r="242" spans="2:24" ht="12.75" customHeight="1" outlineLevel="2" thickBot="1">
      <c r="D242" s="31"/>
      <c r="E242" s="3"/>
      <c r="F242" t="s">
        <v>466</v>
      </c>
      <c r="I242" s="982">
        <f>IF(VN_PRIMAIR="","",IF(H2OVAPOR_COALMILL="",VN_PRIMAIR,VN_PRIMAIR-H2OVAPOR_COALMILL))</f>
        <v>10000</v>
      </c>
      <c r="J242" s="5" t="s">
        <v>461</v>
      </c>
      <c r="K242" s="3"/>
      <c r="L242" s="3"/>
      <c r="M242" s="3"/>
      <c r="N242" s="3"/>
      <c r="O242" s="3"/>
    </row>
    <row r="243" spans="2:24" ht="12.75" customHeight="1" outlineLevel="2">
      <c r="E243" s="5"/>
      <c r="K243" s="3"/>
      <c r="L243" s="3"/>
      <c r="M243" s="3"/>
      <c r="N243" s="3"/>
      <c r="O243" s="3"/>
    </row>
    <row r="244" spans="2:24" ht="12.75" customHeight="1" outlineLevel="2">
      <c r="E244" s="5"/>
      <c r="K244" s="3"/>
      <c r="L244" s="3"/>
      <c r="M244" s="3"/>
      <c r="N244" s="3"/>
      <c r="O244" s="3"/>
    </row>
    <row r="245" spans="2:24" ht="12.75" customHeight="1" outlineLevel="2">
      <c r="B245" s="4" t="str">
        <f>HBL!$AA$1502</f>
        <v>PRIMARY AIR CALCINER OR SECONDARY FIRING</v>
      </c>
      <c r="K245" s="3"/>
      <c r="L245" s="3"/>
      <c r="M245" s="3"/>
      <c r="N245" s="3"/>
      <c r="O245" s="3"/>
    </row>
    <row r="246" spans="2:24" ht="12.75" customHeight="1" outlineLevel="2">
      <c r="B246" s="4"/>
      <c r="K246" s="3"/>
      <c r="L246" s="3"/>
      <c r="M246" s="3"/>
      <c r="N246" s="3"/>
      <c r="O246" s="3"/>
    </row>
    <row r="247" spans="2:24" ht="12.75" customHeight="1" outlineLevel="2" thickBot="1">
      <c r="B247" s="14" t="str">
        <f>HBL!$AA$1391</f>
        <v>Indirect firing system</v>
      </c>
      <c r="C247" s="3"/>
      <c r="D247" s="497" t="s">
        <v>984</v>
      </c>
      <c r="E247" s="3"/>
      <c r="F247" s="3"/>
      <c r="G247" s="3"/>
      <c r="H247" s="3"/>
      <c r="I247" s="3"/>
      <c r="J247" s="3"/>
      <c r="K247" s="3"/>
      <c r="N247"/>
      <c r="O247"/>
      <c r="P247"/>
      <c r="Q247"/>
      <c r="R247"/>
      <c r="S247"/>
      <c r="T247"/>
      <c r="U247"/>
      <c r="V247"/>
      <c r="W247"/>
      <c r="X247"/>
    </row>
    <row r="248" spans="2:24" ht="12.75" customHeight="1" outlineLevel="2" thickTop="1" thickBot="1">
      <c r="B248" s="549" t="s">
        <v>2063</v>
      </c>
      <c r="C248"/>
      <c r="D248"/>
      <c r="E248"/>
      <c r="F248"/>
      <c r="H248" s="252"/>
      <c r="I248" s="1223">
        <v>5200</v>
      </c>
      <c r="J248" s="380" t="s">
        <v>458</v>
      </c>
      <c r="K248" s="3"/>
      <c r="L248" s="3"/>
      <c r="M248" s="3"/>
      <c r="N248" s="3"/>
      <c r="O248" s="3"/>
    </row>
    <row r="249" spans="2:24" ht="12.75" customHeight="1" outlineLevel="2" thickTop="1" thickBot="1">
      <c r="B249" s="251" t="s">
        <v>829</v>
      </c>
      <c r="C249"/>
      <c r="D249"/>
      <c r="E249"/>
      <c r="F249"/>
      <c r="H249" s="252"/>
      <c r="I249" s="1227">
        <v>50</v>
      </c>
      <c r="J249" s="1" t="s">
        <v>425</v>
      </c>
      <c r="K249" s="3"/>
      <c r="L249" s="3"/>
      <c r="M249" s="3"/>
      <c r="N249" s="3"/>
      <c r="O249" s="3"/>
    </row>
    <row r="250" spans="2:24" ht="12.75" customHeight="1" outlineLevel="2" thickTop="1">
      <c r="K250" s="3"/>
      <c r="L250" s="3"/>
      <c r="M250" s="3"/>
      <c r="N250" s="3"/>
      <c r="O250" s="3"/>
    </row>
    <row r="251" spans="2:24" ht="12.75" customHeight="1" outlineLevel="2">
      <c r="B251" s="14" t="s">
        <v>986</v>
      </c>
      <c r="C251" s="3"/>
      <c r="D251" s="3"/>
      <c r="E251" s="497" t="s">
        <v>985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24" ht="12.75" customHeight="1" outlineLevel="2">
      <c r="B252" s="251" t="s">
        <v>225</v>
      </c>
      <c r="C252" s="3"/>
      <c r="D252" s="3"/>
      <c r="E252" s="3"/>
      <c r="F252" s="54"/>
      <c r="G252" s="3"/>
      <c r="H252" s="3"/>
      <c r="I252" s="839"/>
      <c r="J252" s="9" t="s">
        <v>458</v>
      </c>
      <c r="K252" s="3"/>
      <c r="L252" s="3"/>
      <c r="M252" s="3"/>
      <c r="N252" s="3"/>
      <c r="O252" s="3"/>
    </row>
    <row r="253" spans="2:24" ht="12.75" customHeight="1" outlineLevel="2">
      <c r="B253" s="251" t="s">
        <v>829</v>
      </c>
      <c r="C253" s="3"/>
      <c r="D253" s="3"/>
      <c r="E253" s="3"/>
      <c r="F253" s="54"/>
      <c r="G253" s="3"/>
      <c r="H253" s="3"/>
      <c r="I253" s="843"/>
      <c r="J253" s="1" t="s">
        <v>425</v>
      </c>
      <c r="K253" s="3"/>
      <c r="L253" s="3"/>
      <c r="M253" s="3"/>
      <c r="N253" s="3"/>
      <c r="O253" s="3"/>
    </row>
    <row r="254" spans="2:24" ht="12.75" customHeight="1" outlineLevel="2">
      <c r="B254" s="9" t="str">
        <f>HBL!$AA$1359</f>
        <v>Moisture content of the raw coal/coke as fed to the coal mill</v>
      </c>
      <c r="I254" s="831"/>
      <c r="J254" s="1" t="s">
        <v>423</v>
      </c>
      <c r="K254" s="3"/>
      <c r="L254" s="3"/>
      <c r="M254" s="3"/>
      <c r="N254" s="3"/>
      <c r="O254" s="3"/>
    </row>
    <row r="255" spans="2:24" ht="12.75" customHeight="1" outlineLevel="2">
      <c r="B255" s="1" t="str">
        <f>HBL!$AA$1358</f>
        <v>Moisture content of the coal fed to the burner</v>
      </c>
      <c r="C255" s="3"/>
      <c r="D255" s="3"/>
      <c r="E255" s="3"/>
      <c r="F255" s="54"/>
      <c r="G255" s="3"/>
      <c r="H255" s="3"/>
      <c r="I255" s="831"/>
      <c r="J255" s="1" t="s">
        <v>423</v>
      </c>
      <c r="K255" s="3"/>
      <c r="L255" s="3"/>
      <c r="M255" s="3"/>
      <c r="N255" s="3"/>
      <c r="O255" s="3"/>
    </row>
    <row r="256" spans="2:24" ht="12.75" customHeight="1" outlineLevel="2">
      <c r="B256" s="5" t="str">
        <f>HBL!$AA$1243</f>
        <v>Feedrate to the coal mill</v>
      </c>
      <c r="I256" s="831"/>
      <c r="J256" s="1" t="s">
        <v>465</v>
      </c>
      <c r="K256" s="3"/>
      <c r="L256" s="3"/>
      <c r="M256" s="3"/>
      <c r="N256" s="3"/>
      <c r="O256" s="3"/>
    </row>
    <row r="257" spans="1:15" ht="12.75" customHeight="1" outlineLevel="2">
      <c r="B257" s="3" t="str">
        <f>HBL!$AA$1642</f>
        <v>Water vapor from coal mill (part of primary air)</v>
      </c>
      <c r="C257" s="3"/>
      <c r="D257" s="3"/>
      <c r="E257" s="3"/>
      <c r="F257" s="54"/>
      <c r="I257" s="639" t="str">
        <f>IF(H2O_DRYCOALCAL="","",M_COALMILLCAL*(H2O_RAWCOALCAL-H2O_DRYCOALCAL)/(100-H2O_DRYCOALCAL)/0.804)</f>
        <v/>
      </c>
      <c r="J257" s="3" t="s">
        <v>458</v>
      </c>
      <c r="K257" s="3"/>
      <c r="L257" s="3"/>
      <c r="M257" s="3"/>
      <c r="N257" s="3"/>
      <c r="O257" s="3"/>
    </row>
    <row r="258" spans="1:15" ht="12.75" customHeight="1" outlineLevel="2">
      <c r="K258" s="3"/>
      <c r="L258" s="3"/>
      <c r="M258" s="3"/>
      <c r="N258" s="3"/>
      <c r="O258" s="3"/>
    </row>
    <row r="259" spans="1:15" ht="12.75" customHeight="1" outlineLevel="2">
      <c r="B259" s="442" t="s">
        <v>1057</v>
      </c>
      <c r="I259" s="537">
        <f>IF(VN_PRIMDIRECTCAL="",I249,I253)</f>
        <v>50</v>
      </c>
      <c r="J259" s="1" t="s">
        <v>425</v>
      </c>
      <c r="L259" s="3"/>
      <c r="M259" s="3"/>
      <c r="N259" s="3"/>
      <c r="O259" s="3"/>
    </row>
    <row r="260" spans="1:15" ht="12.75" customHeight="1" outlineLevel="2">
      <c r="B260" s="3" t="str">
        <f>HBL!$AA$1297</f>
        <v>cp air</v>
      </c>
      <c r="G260" s="3"/>
      <c r="I260" s="533">
        <f>IF(T_PRIMAIRPRECAL="","",IF(T_PRIMAIRPRECAL=20,1.29,((1.297+0.0000575*T_PRIMAIRPRECAL+0.0000000806*T_PRIMAIRPRECAL^2-0.0000000000286*T_PRIMAIRPRECAL^3)*T_PRIMAIRPRECAL-(1.297+0.0000575*20+0.0000000806*20^2-0.0000000000286*20^3)*20)/(T_PRIMAIRPRECAL-20)))</f>
        <v>1.3013335341999999</v>
      </c>
      <c r="J260" s="5" t="s">
        <v>456</v>
      </c>
      <c r="L260" s="3"/>
      <c r="M260" s="3"/>
      <c r="N260" s="3"/>
      <c r="O260" s="3"/>
    </row>
    <row r="261" spans="1:15" ht="12.75" customHeight="1" outlineLevel="2">
      <c r="K261" s="3"/>
      <c r="L261" s="3"/>
      <c r="M261" s="3"/>
      <c r="N261" s="3"/>
      <c r="O261" s="3"/>
    </row>
    <row r="262" spans="1:15" ht="12.75" customHeight="1" outlineLevel="2" thickBot="1">
      <c r="B262" s="14" t="str">
        <f>HBL!$AA$1368</f>
        <v>Total primary air precalciner or secondary firing</v>
      </c>
      <c r="I262"/>
      <c r="J262"/>
      <c r="K262" s="3"/>
      <c r="L262" s="3"/>
      <c r="M262" s="3"/>
      <c r="N262" s="3"/>
      <c r="O262" s="3"/>
    </row>
    <row r="263" spans="1:15" ht="12.75" customHeight="1" outlineLevel="2" thickBot="1">
      <c r="B263" s="1" t="str">
        <f>HBL!$AA$1601</f>
        <v>Flowrate</v>
      </c>
      <c r="D263" s="972">
        <f>IF(VN_PRIMCOMBCAL="","",IF(SUM(E403:J403)=0,"",VN_PRIMCOMBCAL/SUM(E403:J403)*100))</f>
        <v>5.9283288752300187</v>
      </c>
      <c r="E263" s="3" t="str">
        <f>HBL!$AA$1676</f>
        <v xml:space="preserve"> % of minimum combustion air primary firing</v>
      </c>
      <c r="I263" s="981">
        <f>IF(VN_PRIMDIRECTCAL="",VN_PRIMINDIRECTCAL,VN_PRIMDIRECTCAL)</f>
        <v>5200</v>
      </c>
      <c r="J263" s="9" t="s">
        <v>461</v>
      </c>
      <c r="K263" s="3"/>
      <c r="L263" s="3"/>
      <c r="M263" s="3"/>
      <c r="N263" s="3"/>
      <c r="O263" s="3"/>
    </row>
    <row r="264" spans="1:15" ht="12.75" customHeight="1" outlineLevel="2" thickBot="1">
      <c r="D264" s="31"/>
      <c r="E264" s="3"/>
      <c r="F264" t="s">
        <v>466</v>
      </c>
      <c r="I264" s="982">
        <f>IF(VN_PRIMAIRCAL="","",IF(H2OVAPOR_COALMILLCAL="",VN_PRIMAIRCAL,VN_PRIMAIRCAL-H2OVAPOR_COALMILLCAL))</f>
        <v>5200</v>
      </c>
      <c r="J264" s="5" t="s">
        <v>461</v>
      </c>
      <c r="K264" s="3"/>
      <c r="L264" s="3"/>
      <c r="M264" s="3"/>
      <c r="N264" s="3"/>
      <c r="O264" s="3"/>
    </row>
    <row r="265" spans="1:15" ht="12.75" customHeight="1" outlineLevel="2">
      <c r="E265" s="5"/>
      <c r="K265" s="3"/>
      <c r="L265" s="3"/>
      <c r="M265" s="3"/>
      <c r="N265" s="3"/>
      <c r="O265" s="3"/>
    </row>
    <row r="266" spans="1:15" ht="12.75" customHeight="1" outlineLevel="1">
      <c r="G266" s="44"/>
      <c r="K266" s="3"/>
      <c r="L266" s="3"/>
      <c r="M266" s="3"/>
      <c r="N266" s="3"/>
      <c r="O266" s="3"/>
    </row>
    <row r="267" spans="1:15" ht="12.75" customHeight="1" outlineLevel="1">
      <c r="A267" s="1073">
        <v>10</v>
      </c>
      <c r="B267" s="905" t="str">
        <f>HBL!$AA$1410</f>
        <v>COOLER MIDDLE AIR</v>
      </c>
      <c r="C267" s="907"/>
      <c r="D267" s="904"/>
      <c r="E267" s="904"/>
      <c r="F267" s="984"/>
      <c r="G267" s="50"/>
      <c r="H267" s="56"/>
      <c r="I267" s="56"/>
      <c r="J267" s="3"/>
      <c r="K267" s="3"/>
      <c r="L267" s="3"/>
      <c r="M267" s="3"/>
      <c r="N267" s="3"/>
      <c r="O267" s="3"/>
    </row>
    <row r="268" spans="1:15" ht="12.75" customHeight="1" outlineLevel="2">
      <c r="B268" s="44"/>
      <c r="C268" s="3"/>
      <c r="D268" s="49"/>
      <c r="E268" s="3"/>
      <c r="F268" s="55"/>
      <c r="G268" s="50"/>
      <c r="H268" s="56"/>
      <c r="I268" s="56"/>
      <c r="J268" s="3"/>
      <c r="K268" s="3"/>
      <c r="L268" s="3"/>
      <c r="M268" s="3"/>
      <c r="N268" s="3"/>
      <c r="O268" s="3"/>
    </row>
    <row r="269" spans="1:15" ht="12.75" customHeight="1" outlineLevel="2">
      <c r="B269" s="3" t="str">
        <f>HBL!$AA$1411&amp;" (flowrate)"</f>
        <v>Cooler middle air (flowrate)</v>
      </c>
      <c r="C269" s="3"/>
      <c r="D269" s="49"/>
      <c r="E269" s="3"/>
      <c r="F269" s="55"/>
      <c r="I269" s="844"/>
      <c r="J269" s="773" t="s">
        <v>458</v>
      </c>
      <c r="K269" s="3"/>
      <c r="L269" s="3"/>
      <c r="M269" s="3"/>
      <c r="N269" s="3"/>
      <c r="O269" s="3"/>
    </row>
    <row r="270" spans="1:15" ht="12.75" customHeight="1" outlineLevel="2">
      <c r="B270" s="3" t="str">
        <f>HBL!$AA$1411&amp;" (flowrate)"</f>
        <v>Cooler middle air (flowrate)</v>
      </c>
      <c r="C270" s="3"/>
      <c r="D270" s="49"/>
      <c r="E270" s="3"/>
      <c r="F270" s="55"/>
      <c r="I270" s="538">
        <f>IF(VN_MIDDLE="",,VN_MIDDLE/(M_CLI*1000))</f>
        <v>0</v>
      </c>
      <c r="J270" s="252" t="s">
        <v>460</v>
      </c>
      <c r="K270" s="3"/>
      <c r="L270" s="3"/>
      <c r="M270" s="3"/>
      <c r="N270" s="3"/>
      <c r="O270" s="3"/>
    </row>
    <row r="271" spans="1:15" ht="12.75" customHeight="1" outlineLevel="2">
      <c r="B271" s="3" t="str">
        <f>HBL!$AA$1566</f>
        <v>Temperature at cooler takeout (or balance boundary)</v>
      </c>
      <c r="C271" s="3"/>
      <c r="D271" s="49"/>
      <c r="H271" s="3"/>
      <c r="I271" s="845"/>
      <c r="J271" s="773" t="s">
        <v>425</v>
      </c>
      <c r="K271" s="3"/>
      <c r="L271" s="3"/>
      <c r="M271" s="3"/>
      <c r="N271" s="3"/>
      <c r="O271" s="3"/>
    </row>
    <row r="272" spans="1:15" ht="12.75" customHeight="1" outlineLevel="2">
      <c r="B272" s="251" t="s">
        <v>989</v>
      </c>
      <c r="C272" s="3"/>
      <c r="D272" s="49"/>
      <c r="E272" s="3"/>
      <c r="F272" s="55"/>
      <c r="I272" s="534" t="str">
        <f>IF(T_MIDDLE="","",IF(T_MIDDLE&lt;20.01,"ERROR",((1.297+0.0000575*T_MIDDLE+0.0000000806*T_MIDDLE^2-0.0000000000286*T_MIDDLE^3)*T_MIDDLE-(1.297+0.0000575*20+0.0000000806*20^2-0.0000000000286*20^3)*20)/(T_MIDDLE-20)))</f>
        <v/>
      </c>
      <c r="J272" s="252" t="s">
        <v>456</v>
      </c>
      <c r="K272" s="3"/>
      <c r="L272" s="3"/>
      <c r="M272" s="3"/>
      <c r="N272" s="3"/>
      <c r="O272" s="3"/>
    </row>
    <row r="273" spans="1:25" ht="12.75" customHeight="1" outlineLevel="2">
      <c r="B273" s="44"/>
      <c r="C273" s="3"/>
      <c r="D273" s="49"/>
      <c r="E273" s="3"/>
      <c r="F273" s="55"/>
      <c r="I273" s="56"/>
      <c r="J273" s="3"/>
      <c r="K273" s="3"/>
      <c r="L273" s="3"/>
      <c r="M273" s="3"/>
      <c r="N273" s="3"/>
      <c r="O273" s="3"/>
    </row>
    <row r="274" spans="1:25" ht="12.75" customHeight="1" outlineLevel="1">
      <c r="B274" s="44"/>
      <c r="C274" s="3"/>
      <c r="D274" s="49"/>
      <c r="E274" s="3"/>
      <c r="F274" s="55"/>
      <c r="I274" s="56"/>
      <c r="J274" s="3"/>
      <c r="K274" s="3"/>
      <c r="L274" s="3"/>
      <c r="M274" s="3"/>
      <c r="N274" s="3"/>
      <c r="O274" s="3"/>
    </row>
    <row r="275" spans="1:25" ht="12.75" customHeight="1" outlineLevel="1">
      <c r="A275" s="1073">
        <v>11</v>
      </c>
      <c r="B275" s="905" t="str">
        <f>HBL!$AA$1403</f>
        <v>COOLER WASTE AIR</v>
      </c>
      <c r="C275" s="907"/>
      <c r="D275" s="904"/>
      <c r="E275" s="904"/>
      <c r="F275" s="984"/>
      <c r="G275" s="252"/>
      <c r="I275" s="55"/>
      <c r="J275" s="251"/>
      <c r="K275" s="3"/>
      <c r="L275" s="3"/>
      <c r="M275" s="3"/>
      <c r="N275" s="3"/>
      <c r="O275" s="3"/>
    </row>
    <row r="276" spans="1:25" ht="12.75" customHeight="1" outlineLevel="2">
      <c r="B276" s="44"/>
      <c r="C276" s="3"/>
      <c r="D276" s="49"/>
      <c r="E276" s="3"/>
      <c r="F276"/>
      <c r="G276"/>
      <c r="I276" s="56"/>
      <c r="J276" s="3"/>
      <c r="K276" s="3"/>
      <c r="L276" s="3"/>
      <c r="M276" s="3"/>
      <c r="N276" s="3"/>
      <c r="O276" s="3"/>
    </row>
    <row r="277" spans="1:25" ht="12.75" customHeight="1" outlineLevel="2">
      <c r="B277" s="44" t="str">
        <f>HBL!$AA$1245&amp;" *"</f>
        <v>Dry cooler waste air flow, calculated by an air balance *</v>
      </c>
      <c r="C277" s="3"/>
      <c r="D277" s="49"/>
      <c r="E277" s="3"/>
      <c r="F277"/>
      <c r="G277"/>
      <c r="I277" s="535">
        <f>IF(OR(Cooler=2, VN_COOLAIR=""),"", IF(ISNUMBER(VN_MIDDLE), VN_COOLAIR+VN_FALSECOOLER-VN_SECONDAIR-VN_TERTAIR-VN_MIDDLE, IF(ISNUMBER(VN_TERTAIR), VN_COOLAIR+VN_FALSECOOLER-VN_SECONDAIR-VN_TERTAIR, VN_COOLAIR+VN_FALSECOOLER-VN_SECONDAIR)))</f>
        <v>212153.85553420865</v>
      </c>
      <c r="J277" s="57" t="s">
        <v>458</v>
      </c>
      <c r="K277" s="3"/>
      <c r="L277" s="3"/>
      <c r="M277" s="3"/>
      <c r="N277" s="3"/>
      <c r="O277" s="3"/>
    </row>
    <row r="278" spans="1:25" ht="12.75" customHeight="1" outlineLevel="2">
      <c r="B278" s="44" t="str">
        <f>HBL!$AA$1304&amp;" *"</f>
        <v>Vapor from waterinjection *</v>
      </c>
      <c r="C278" s="3"/>
      <c r="D278" s="49"/>
      <c r="E278" s="3"/>
      <c r="F278"/>
      <c r="G278"/>
      <c r="I278" s="774">
        <f>IF(M_CLI="","", IF(OR(Cooler=2, M_H2OCOOLER=""), 0, M_H2OCOOLER*1.24))</f>
        <v>0</v>
      </c>
      <c r="J278" s="57" t="s">
        <v>458</v>
      </c>
      <c r="K278" s="3"/>
      <c r="L278" s="3"/>
      <c r="M278" s="3"/>
      <c r="N278" s="3"/>
      <c r="O278" s="3"/>
    </row>
    <row r="279" spans="1:25" ht="12.75" customHeight="1" outlineLevel="2">
      <c r="B279" s="544" t="s">
        <v>226</v>
      </c>
      <c r="C279" s="3"/>
      <c r="D279" s="49"/>
      <c r="E279" s="3"/>
      <c r="F279"/>
      <c r="G279"/>
      <c r="I279" s="58"/>
      <c r="J279" s="57"/>
      <c r="K279" s="3"/>
      <c r="L279" s="3"/>
      <c r="M279" s="3"/>
      <c r="N279" s="3"/>
      <c r="O279" s="3"/>
    </row>
    <row r="280" spans="1:25" ht="12.75" customHeight="1" outlineLevel="2" thickBot="1">
      <c r="B280" s="3"/>
      <c r="C280" s="3"/>
      <c r="D280" s="49"/>
      <c r="E280" s="3"/>
      <c r="F280" s="55"/>
      <c r="H280" s="57"/>
      <c r="I280" s="58"/>
      <c r="J280" s="57"/>
      <c r="K280" s="3"/>
      <c r="L280" s="382"/>
      <c r="M280" s="31"/>
      <c r="N280"/>
      <c r="O280" s="3"/>
    </row>
    <row r="281" spans="1:25" ht="12.75" customHeight="1" outlineLevel="2" thickTop="1" thickBot="1">
      <c r="B281" s="543" t="str">
        <f>HBL!$AA$1406</f>
        <v>Cooler waste air (without water vapor)</v>
      </c>
      <c r="C281" s="3"/>
      <c r="D281" s="49"/>
      <c r="E281" s="3"/>
      <c r="H281"/>
      <c r="I281" s="1228"/>
      <c r="J281" s="540" t="s">
        <v>458</v>
      </c>
      <c r="K281" s="3"/>
      <c r="L281" s="3"/>
      <c r="M281" s="3"/>
      <c r="N281" s="3"/>
      <c r="O281" s="3"/>
    </row>
    <row r="282" spans="1:25" ht="12.75" customHeight="1" outlineLevel="2" thickTop="1" thickBot="1">
      <c r="B282" s="543" t="str">
        <f>HBL!$AA$1406</f>
        <v>Cooler waste air (without water vapor)</v>
      </c>
      <c r="C282" s="251"/>
      <c r="D282" s="49"/>
      <c r="E282" s="3"/>
      <c r="F282" s="55"/>
      <c r="G282" s="50"/>
      <c r="H282" s="56"/>
      <c r="I282" s="1229" t="str">
        <f>IF(VN_WASTE="","",VN_WASTE/(M_CLI*1000))</f>
        <v/>
      </c>
      <c r="J282" s="541" t="s">
        <v>460</v>
      </c>
      <c r="K282" s="3"/>
      <c r="L282" s="3"/>
      <c r="M282" s="3"/>
      <c r="N282" s="3"/>
      <c r="O282" s="3"/>
    </row>
    <row r="283" spans="1:25" ht="12.75" customHeight="1" outlineLevel="2" thickTop="1" thickBot="1">
      <c r="B283" s="3" t="str">
        <f>HBL!$AA$1566</f>
        <v>Temperature at cooler takeout (or balance boundary)</v>
      </c>
      <c r="C283" s="3"/>
      <c r="D283" s="49"/>
      <c r="E283" s="3"/>
      <c r="F283"/>
      <c r="I283" s="1219">
        <v>300</v>
      </c>
      <c r="J283" s="542" t="s">
        <v>425</v>
      </c>
      <c r="K283" s="3"/>
      <c r="L283" s="3"/>
      <c r="M283" s="3"/>
      <c r="N283" s="3"/>
      <c r="O283" s="3"/>
    </row>
    <row r="284" spans="1:25" ht="12.75" customHeight="1" outlineLevel="2" thickTop="1">
      <c r="B284" s="251" t="s">
        <v>989</v>
      </c>
      <c r="C284" s="251"/>
      <c r="D284" s="49"/>
      <c r="E284" s="3"/>
      <c r="F284" s="55"/>
      <c r="G284" s="50"/>
      <c r="H284" s="56"/>
      <c r="I284" s="1230">
        <f>IF(T_WASTE="","",IF(T_WASTE&lt;20.01,"ERROR",((1.297+0.0000575*T_WASTE+0.0000000806*T_WASTE^2-0.0000000000286*T_WASTE^3)*T_WASTE-(1.297+0.0000575*20+0.0000000806*20^2-0.0000000000286*20^3)*20)/(T_WASTE-20)))</f>
        <v>1.3223424992000001</v>
      </c>
      <c r="J284" s="541" t="s">
        <v>456</v>
      </c>
      <c r="K284" s="3"/>
      <c r="L284" s="3"/>
      <c r="M284" s="3"/>
      <c r="N284" s="3"/>
      <c r="O284" s="3"/>
    </row>
    <row r="285" spans="1:25" ht="12.75" customHeight="1" outlineLevel="2">
      <c r="B285" s="431"/>
      <c r="C285" s="251"/>
      <c r="D285" s="49"/>
      <c r="E285" s="3"/>
      <c r="F285" s="55"/>
      <c r="G285" s="50"/>
      <c r="H285" s="56"/>
      <c r="I285" s="539"/>
      <c r="J285" s="5"/>
      <c r="K285" s="3"/>
      <c r="L285" s="3"/>
      <c r="M285" s="3"/>
      <c r="N285" s="3"/>
      <c r="O285" s="3"/>
    </row>
    <row r="286" spans="1:25" ht="12.75" customHeight="1" outlineLevel="1">
      <c r="B286" s="44"/>
      <c r="C286" s="3"/>
      <c r="D286" s="49"/>
      <c r="E286" s="3"/>
      <c r="F286" s="55"/>
      <c r="G286" s="50"/>
      <c r="H286" s="56"/>
      <c r="I286" s="56"/>
      <c r="J286" s="3"/>
      <c r="K286" s="3"/>
      <c r="L286" s="3"/>
      <c r="M286" s="3"/>
      <c r="N286" s="3"/>
      <c r="O286" s="3"/>
    </row>
    <row r="287" spans="1:25" ht="12.75" customHeight="1" outlineLevel="1">
      <c r="A287" s="1073">
        <v>12</v>
      </c>
      <c r="B287" s="905" t="str">
        <f>HBL!$AA$1412</f>
        <v>COOLER AIR FANS</v>
      </c>
      <c r="C287" s="907"/>
      <c r="D287" s="904"/>
      <c r="E287" s="904"/>
      <c r="F287" s="984"/>
      <c r="G287" s="3"/>
      <c r="H287" s="59"/>
      <c r="I287" s="3"/>
      <c r="J287" s="3"/>
      <c r="K287" s="3"/>
      <c r="L287" s="381"/>
      <c r="M287" s="3"/>
      <c r="N287" s="381"/>
      <c r="O287" s="381"/>
      <c r="P287" s="191"/>
      <c r="Q287" s="191"/>
      <c r="R287" s="191"/>
      <c r="S287" s="191"/>
      <c r="T287" s="191"/>
      <c r="U287" s="191"/>
      <c r="V287" s="191"/>
      <c r="Y287" s="191"/>
    </row>
    <row r="288" spans="1:25" ht="12.75" customHeight="1" outlineLevel="2">
      <c r="B288" s="53"/>
      <c r="C288" s="3"/>
      <c r="D288" s="3"/>
      <c r="E288" s="3"/>
      <c r="F288" s="3"/>
      <c r="G288" s="3"/>
      <c r="H288" s="3"/>
      <c r="I288" s="3"/>
      <c r="J288" s="3"/>
      <c r="K288" s="3"/>
      <c r="L288" s="381"/>
      <c r="M288" s="3"/>
      <c r="N288" s="381"/>
      <c r="O288" s="381"/>
      <c r="P288" s="191"/>
      <c r="Q288" s="191"/>
      <c r="R288" s="191"/>
      <c r="S288" s="191"/>
      <c r="T288" s="191"/>
      <c r="U288" s="191"/>
      <c r="V288" s="191"/>
      <c r="Y288" s="191"/>
    </row>
    <row r="289" spans="2:26" ht="12.75" customHeight="1" outlineLevel="2">
      <c r="B289" s="953" t="str">
        <f>HBL!$AA$1591</f>
        <v>Fan</v>
      </c>
      <c r="C289" s="953" t="s">
        <v>1150</v>
      </c>
      <c r="D289" s="953" t="s">
        <v>1251</v>
      </c>
      <c r="E289" s="953" t="s">
        <v>2090</v>
      </c>
      <c r="F289" s="953" t="s">
        <v>1151</v>
      </c>
      <c r="G289" s="953" t="str">
        <f>HBL!$AA$1450</f>
        <v>Air</v>
      </c>
      <c r="H289" s="953" t="str">
        <f>HBL!$AA$1601</f>
        <v>Flowrate</v>
      </c>
      <c r="I289" s="953" t="s">
        <v>2090</v>
      </c>
      <c r="J289" s="953" t="s">
        <v>1446</v>
      </c>
      <c r="L289" s="3"/>
      <c r="M289" s="381"/>
      <c r="N289" s="3"/>
      <c r="O289" s="381"/>
      <c r="P289" s="381"/>
      <c r="Q289" s="191"/>
      <c r="R289" s="191"/>
      <c r="S289" s="191"/>
      <c r="T289" s="191"/>
      <c r="U289" s="191"/>
      <c r="V289" s="191"/>
      <c r="W289" s="191"/>
      <c r="X289" s="4"/>
      <c r="Z289" s="191"/>
    </row>
    <row r="290" spans="2:26" ht="12.75" customHeight="1" outlineLevel="2">
      <c r="B290" s="947" t="s">
        <v>468</v>
      </c>
      <c r="C290" s="947" t="s">
        <v>1760</v>
      </c>
      <c r="D290" s="947"/>
      <c r="E290" s="947"/>
      <c r="F290" s="1086" t="s">
        <v>1147</v>
      </c>
      <c r="G290" s="947" t="s">
        <v>325</v>
      </c>
      <c r="H290" s="947" t="str">
        <f>HBL!$AA$1556</f>
        <v xml:space="preserve"> </v>
      </c>
      <c r="I290" s="947" t="s">
        <v>1149</v>
      </c>
      <c r="J290" s="947" t="s">
        <v>1897</v>
      </c>
      <c r="L290" s="3"/>
      <c r="M290" s="381"/>
      <c r="N290" s="3"/>
      <c r="O290" s="381"/>
      <c r="P290" s="381"/>
      <c r="Q290" s="191"/>
      <c r="R290" s="191"/>
      <c r="S290" s="191"/>
      <c r="T290" s="191"/>
      <c r="U290" s="191"/>
      <c r="V290" s="191"/>
      <c r="W290" s="191"/>
      <c r="X290" s="4"/>
      <c r="Z290" s="191"/>
    </row>
    <row r="291" spans="2:26" ht="12.75" customHeight="1" outlineLevel="2">
      <c r="B291" s="1087" t="s">
        <v>469</v>
      </c>
      <c r="C291" s="1087" t="s">
        <v>471</v>
      </c>
      <c r="D291" s="1087" t="s">
        <v>472</v>
      </c>
      <c r="E291" s="1087" t="s">
        <v>1146</v>
      </c>
      <c r="F291" s="1087" t="s">
        <v>1148</v>
      </c>
      <c r="G291" s="1087" t="s">
        <v>473</v>
      </c>
      <c r="H291" s="1088" t="s">
        <v>474</v>
      </c>
      <c r="I291" s="1087" t="s">
        <v>1146</v>
      </c>
      <c r="J291" s="1087" t="s">
        <v>423</v>
      </c>
      <c r="L291" s="3"/>
      <c r="M291" s="251"/>
      <c r="N291" s="3"/>
      <c r="O291" s="3"/>
      <c r="P291" s="3"/>
      <c r="W291" s="1"/>
      <c r="X291" s="4"/>
    </row>
    <row r="292" spans="2:26" ht="12.75" customHeight="1" outlineLevel="2" thickBot="1">
      <c r="B292" s="60"/>
      <c r="C292" s="60"/>
      <c r="D292" s="60"/>
      <c r="E292" s="121"/>
      <c r="F292" s="60"/>
      <c r="G292" s="60"/>
      <c r="H292" s="60"/>
      <c r="I292" s="60"/>
      <c r="J292" s="21"/>
      <c r="L292" s="3"/>
      <c r="M292" s="3"/>
      <c r="N292" s="3"/>
      <c r="O292" s="3"/>
      <c r="P292" s="3"/>
      <c r="W292" s="1"/>
      <c r="X292" s="4"/>
    </row>
    <row r="293" spans="2:26" ht="12.75" customHeight="1" outlineLevel="2" thickTop="1">
      <c r="B293" s="1280"/>
      <c r="C293" s="1281">
        <v>0.28299999999999997</v>
      </c>
      <c r="D293" s="1282">
        <v>40.72</v>
      </c>
      <c r="E293" s="1288">
        <f>IF(C293="","",C293*D293*3600)</f>
        <v>41485.536</v>
      </c>
      <c r="F293" s="1289">
        <v>0</v>
      </c>
      <c r="G293" s="1290">
        <v>30</v>
      </c>
      <c r="H293" s="1288">
        <f>IF(G293="","",E293*(PAMB+F293)/1013*273.16/(T_FAN1+273.16))</f>
        <v>36162.507906142178</v>
      </c>
      <c r="I293" s="893"/>
      <c r="J293" s="893"/>
      <c r="L293" s="3"/>
      <c r="M293" s="381"/>
      <c r="N293" s="381"/>
      <c r="O293" s="3"/>
      <c r="P293" s="3"/>
      <c r="W293" s="1"/>
      <c r="X293" s="4"/>
    </row>
    <row r="294" spans="2:26" ht="12.75" customHeight="1" outlineLevel="2">
      <c r="B294" s="1283"/>
      <c r="C294" s="846">
        <v>0.28299999999999997</v>
      </c>
      <c r="D294" s="1284">
        <v>41.73</v>
      </c>
      <c r="E294" s="1288">
        <f t="shared" ref="E294:E305" si="0">IF(C294="","",C294*D294*3600)</f>
        <v>42514.52399999999</v>
      </c>
      <c r="F294" s="1291">
        <v>0</v>
      </c>
      <c r="G294" s="1292">
        <v>30</v>
      </c>
      <c r="H294" s="1288">
        <f>IF(G294="","",E294*(PAMB+F294)/1013*273.16/(T_FAN2+273.16))</f>
        <v>37059.465985346571</v>
      </c>
      <c r="I294" s="893"/>
      <c r="J294" s="893"/>
      <c r="L294" s="3"/>
      <c r="M294" s="381"/>
      <c r="N294" s="381"/>
      <c r="O294" s="3"/>
      <c r="P294" s="3"/>
      <c r="W294" s="1"/>
      <c r="X294" s="4"/>
    </row>
    <row r="295" spans="2:26" ht="12.75" customHeight="1" outlineLevel="2">
      <c r="B295" s="1283"/>
      <c r="C295" s="846">
        <v>0.28299999999999997</v>
      </c>
      <c r="D295" s="1284">
        <v>41.36</v>
      </c>
      <c r="E295" s="1288">
        <f t="shared" si="0"/>
        <v>42137.567999999999</v>
      </c>
      <c r="F295" s="1291">
        <v>0</v>
      </c>
      <c r="G295" s="1292">
        <v>30</v>
      </c>
      <c r="H295" s="1288">
        <f>IF(G295="","",E295*(PAMB+F295)/1013*273.16/(T_FAN3+273.16))</f>
        <v>36730.877382073675</v>
      </c>
      <c r="I295" s="893"/>
      <c r="J295" s="893"/>
      <c r="L295" s="3"/>
      <c r="M295" s="381"/>
      <c r="N295" s="381"/>
      <c r="O295" s="3"/>
      <c r="P295" s="3"/>
      <c r="W295" s="1"/>
      <c r="X295" s="4"/>
    </row>
    <row r="296" spans="2:26" ht="12.75" customHeight="1" outlineLevel="2">
      <c r="B296" s="1283"/>
      <c r="C296" s="846">
        <v>0.28299999999999997</v>
      </c>
      <c r="D296" s="1284">
        <v>43.27</v>
      </c>
      <c r="E296" s="1288">
        <f t="shared" si="0"/>
        <v>44083.476000000002</v>
      </c>
      <c r="F296" s="1291">
        <v>0</v>
      </c>
      <c r="G296" s="1292">
        <v>30</v>
      </c>
      <c r="H296" s="1288">
        <f>IF(G296="","",E296*(PAMB+F296)/1013*273.16/(T_FAN4+273.16))</f>
        <v>38427.105036806781</v>
      </c>
      <c r="I296" s="893"/>
      <c r="J296" s="893"/>
      <c r="L296" s="3"/>
      <c r="M296" s="381"/>
      <c r="N296" s="381"/>
      <c r="O296" s="3"/>
      <c r="P296" s="3"/>
      <c r="W296" s="1"/>
      <c r="X296" s="4"/>
    </row>
    <row r="297" spans="2:26" ht="12.75" customHeight="1" outlineLevel="2">
      <c r="B297" s="1283"/>
      <c r="C297" s="846">
        <v>0.38500000000000001</v>
      </c>
      <c r="D297" s="1284">
        <v>33.15</v>
      </c>
      <c r="E297" s="1288">
        <f t="shared" si="0"/>
        <v>45945.9</v>
      </c>
      <c r="F297" s="1291">
        <v>0</v>
      </c>
      <c r="G297" s="1292">
        <v>30</v>
      </c>
      <c r="H297" s="1288">
        <f>IF(G297="","",E297*(PAMB+F297)/1013*273.16/(T_FAN5+273.16))</f>
        <v>40050.560561753802</v>
      </c>
      <c r="I297" s="893"/>
      <c r="J297" s="893"/>
      <c r="L297" s="3"/>
      <c r="M297" s="3"/>
      <c r="N297" s="3"/>
      <c r="O297" s="3"/>
      <c r="P297" s="3"/>
      <c r="W297" s="1"/>
      <c r="X297" s="4"/>
    </row>
    <row r="298" spans="2:26" ht="12.75" customHeight="1" outlineLevel="2">
      <c r="B298" s="1283"/>
      <c r="C298" s="846">
        <v>0.38500000000000001</v>
      </c>
      <c r="D298" s="1284">
        <v>31.01</v>
      </c>
      <c r="E298" s="1288">
        <f t="shared" si="0"/>
        <v>42979.86</v>
      </c>
      <c r="F298" s="1291">
        <v>0</v>
      </c>
      <c r="G298" s="1292">
        <v>30</v>
      </c>
      <c r="H298" s="1288">
        <f>IF(G298="","",E298*(PAMB+F298)/1013*273.16/(T_FAN6+273.16))</f>
        <v>37465.094510406801</v>
      </c>
      <c r="I298" s="893"/>
      <c r="J298" s="893"/>
      <c r="L298" s="3"/>
      <c r="M298" s="3"/>
      <c r="N298" s="3"/>
      <c r="O298" s="3"/>
      <c r="P298" s="3"/>
      <c r="W298" s="1"/>
      <c r="X298" s="4"/>
    </row>
    <row r="299" spans="2:26" ht="12.75" customHeight="1" outlineLevel="2">
      <c r="B299" s="1283"/>
      <c r="C299" s="846">
        <v>0.39500000000000002</v>
      </c>
      <c r="D299" s="1284">
        <v>22.54</v>
      </c>
      <c r="E299" s="1288">
        <f t="shared" si="0"/>
        <v>32051.879999999997</v>
      </c>
      <c r="F299" s="1291">
        <v>0</v>
      </c>
      <c r="G299" s="1292">
        <v>30</v>
      </c>
      <c r="H299" s="1288">
        <f>IF(G299="","",E299*(PAMB+F299)/1013*273.16/(T_FAN7+273.16))</f>
        <v>27939.288621140637</v>
      </c>
      <c r="I299" s="893"/>
      <c r="J299" s="893"/>
      <c r="L299" s="3"/>
      <c r="M299" s="3"/>
      <c r="N299" s="3"/>
      <c r="O299" s="3"/>
      <c r="P299" s="3"/>
      <c r="W299" s="1"/>
      <c r="X299" s="4"/>
    </row>
    <row r="300" spans="2:26" ht="12.75" customHeight="1" outlineLevel="2">
      <c r="B300" s="1283"/>
      <c r="C300" s="846">
        <v>0.39500000000000002</v>
      </c>
      <c r="D300" s="1284">
        <v>20.81</v>
      </c>
      <c r="E300" s="1288">
        <f t="shared" si="0"/>
        <v>29591.819999999996</v>
      </c>
      <c r="F300" s="1291">
        <v>0</v>
      </c>
      <c r="G300" s="1292">
        <v>30</v>
      </c>
      <c r="H300" s="1288">
        <f>IF(G300="","",E300*(PAMB+F300)/1013*273.16/(T_FAN8+273.16))</f>
        <v>25794.880044628953</v>
      </c>
      <c r="I300" s="893"/>
      <c r="J300" s="893"/>
      <c r="L300" s="3"/>
      <c r="M300" s="3"/>
      <c r="N300" s="3"/>
      <c r="O300" s="3"/>
      <c r="P300" s="3"/>
      <c r="W300" s="1"/>
      <c r="X300" s="4"/>
    </row>
    <row r="301" spans="2:26" ht="12.75" customHeight="1" outlineLevel="2">
      <c r="B301" s="1283"/>
      <c r="C301" s="846">
        <v>0.49</v>
      </c>
      <c r="D301" s="1284">
        <v>16.309999999999999</v>
      </c>
      <c r="E301" s="1288">
        <f t="shared" si="0"/>
        <v>28770.839999999997</v>
      </c>
      <c r="F301" s="1291">
        <v>0</v>
      </c>
      <c r="G301" s="1292">
        <v>30</v>
      </c>
      <c r="H301" s="1288">
        <f>IF(G301="","",E301*(PAMB+F301)/1013*273.16/(T_FAN9+273.16))</f>
        <v>25079.240363830693</v>
      </c>
      <c r="I301" s="893"/>
      <c r="J301" s="893"/>
      <c r="L301" s="3"/>
      <c r="M301" s="3"/>
      <c r="N301" s="3"/>
      <c r="O301" s="3"/>
      <c r="P301" s="3"/>
      <c r="W301" s="1"/>
      <c r="X301" s="4"/>
    </row>
    <row r="302" spans="2:26" ht="12.75" customHeight="1" outlineLevel="2">
      <c r="B302" s="1283"/>
      <c r="C302" s="846">
        <v>0.49</v>
      </c>
      <c r="D302" s="1284">
        <v>18.54</v>
      </c>
      <c r="E302" s="1288">
        <f t="shared" si="0"/>
        <v>32704.560000000001</v>
      </c>
      <c r="F302" s="1291">
        <v>0</v>
      </c>
      <c r="G302" s="1292">
        <v>30</v>
      </c>
      <c r="H302" s="1288">
        <f>IF(G302="","",E302*(PAMB+F302)/1013*273.16/(T_FAN10+273.16))</f>
        <v>28508.222951895837</v>
      </c>
      <c r="I302" s="893"/>
      <c r="J302" s="893"/>
      <c r="L302" s="3"/>
      <c r="M302" s="3"/>
      <c r="N302" s="3"/>
      <c r="O302" s="3"/>
      <c r="P302" s="3"/>
      <c r="W302" s="1"/>
      <c r="X302" s="4"/>
    </row>
    <row r="303" spans="2:26" ht="12.75" customHeight="1" outlineLevel="2">
      <c r="B303" s="1283"/>
      <c r="C303" s="846"/>
      <c r="D303" s="1284"/>
      <c r="E303" s="1288" t="str">
        <f t="shared" si="0"/>
        <v/>
      </c>
      <c r="F303" s="1291"/>
      <c r="G303" s="1292"/>
      <c r="H303" s="1288" t="str">
        <f>IF(G303="","",E303*(PAMB+F303)/1013*273.16/(T_FAN11+273.16))</f>
        <v/>
      </c>
      <c r="I303" s="893"/>
      <c r="J303" s="893"/>
      <c r="L303" s="3"/>
      <c r="M303" s="3"/>
      <c r="N303" s="3"/>
      <c r="O303" s="3"/>
      <c r="P303" s="3"/>
      <c r="W303" s="1"/>
      <c r="X303" s="4"/>
    </row>
    <row r="304" spans="2:26" ht="12.75" customHeight="1" outlineLevel="2">
      <c r="B304" s="1283"/>
      <c r="C304" s="846"/>
      <c r="D304" s="1284"/>
      <c r="E304" s="1288" t="str">
        <f t="shared" si="0"/>
        <v/>
      </c>
      <c r="F304" s="1291"/>
      <c r="G304" s="1292"/>
      <c r="H304" s="1288" t="str">
        <f>IF(G304="","",E304*(PAMB+F304)/1013*273.16/(T_FAN12+273.16))</f>
        <v/>
      </c>
      <c r="I304" s="893"/>
      <c r="J304" s="893"/>
      <c r="L304" s="3"/>
      <c r="M304" s="3"/>
      <c r="N304" s="3"/>
      <c r="O304" s="3"/>
      <c r="P304" s="3"/>
      <c r="W304" s="1"/>
      <c r="X304" s="4"/>
    </row>
    <row r="305" spans="1:25" ht="12.75" customHeight="1" outlineLevel="2" thickBot="1">
      <c r="B305" s="1285"/>
      <c r="C305" s="1286" t="s">
        <v>70</v>
      </c>
      <c r="D305" s="1287" t="s">
        <v>70</v>
      </c>
      <c r="E305" s="1288" t="str">
        <f t="shared" si="0"/>
        <v/>
      </c>
      <c r="F305" s="1293"/>
      <c r="G305" s="1294"/>
      <c r="H305" s="1288" t="str">
        <f>IF(G305="","",E305*(PAMB+F305)/1013*273.16/(T_FAN13+273.16))</f>
        <v/>
      </c>
      <c r="I305" s="893"/>
      <c r="J305" s="893"/>
      <c r="L305" s="3"/>
      <c r="M305" s="3"/>
      <c r="N305" s="3"/>
      <c r="O305" s="3"/>
      <c r="P305" s="3"/>
      <c r="W305" s="1"/>
      <c r="X305" s="4"/>
    </row>
    <row r="306" spans="1:25" ht="12.75" customHeight="1" outlineLevel="2" thickTop="1">
      <c r="B306" s="25"/>
      <c r="C306" s="61"/>
      <c r="D306" s="61"/>
      <c r="E306" s="61"/>
      <c r="F306" s="61"/>
      <c r="G306" s="493"/>
      <c r="H306" s="793"/>
      <c r="I306" s="794"/>
      <c r="J306" s="794"/>
      <c r="L306" s="3"/>
      <c r="M306" s="7"/>
      <c r="N306" s="3"/>
      <c r="O306" s="3"/>
      <c r="P306" s="3"/>
      <c r="W306" s="1"/>
      <c r="X306" s="4"/>
      <c r="Y306" s="8"/>
    </row>
    <row r="307" spans="1:25" ht="12.75" customHeight="1" outlineLevel="2" thickBot="1">
      <c r="B307" s="27"/>
      <c r="C307" s="3"/>
      <c r="D307" s="48"/>
      <c r="E307" s="3"/>
      <c r="F307" s="62"/>
      <c r="G307" s="3"/>
      <c r="H307" s="48"/>
      <c r="I307" s="48"/>
      <c r="J307" s="3"/>
      <c r="K307" s="3"/>
      <c r="L307" s="3"/>
      <c r="M307" s="7"/>
      <c r="N307" s="7"/>
      <c r="O307" s="7"/>
      <c r="P307" s="8"/>
      <c r="Q307" s="8"/>
      <c r="R307" s="8"/>
      <c r="S307" s="8"/>
      <c r="T307" s="8"/>
      <c r="U307" s="8"/>
      <c r="V307" s="8"/>
      <c r="W307" s="63"/>
    </row>
    <row r="308" spans="1:25" ht="12.75" customHeight="1" outlineLevel="2">
      <c r="B308" s="251" t="s">
        <v>643</v>
      </c>
      <c r="C308" s="3"/>
      <c r="E308" s="979">
        <f>IF(AND(SUM(VN_FAN1:VN_FAN13)&gt;0, Cooler=1), SUM(VN_FAN1:VN_FAN13), IF(Cooler=2, VN_SECONDAIR-M_H2OCOOLER*1.24-VN_FALSEKILNHOOD, "" ))</f>
        <v>333217.24336402596</v>
      </c>
      <c r="F308" s="380" t="s">
        <v>461</v>
      </c>
      <c r="G308" s="3"/>
      <c r="H308" s="48"/>
      <c r="K308" s="3"/>
      <c r="L308" s="3"/>
      <c r="M308" s="3"/>
      <c r="N308" s="3"/>
      <c r="O308" s="3"/>
    </row>
    <row r="309" spans="1:25" ht="12.75" customHeight="1" outlineLevel="2" thickBot="1">
      <c r="B309" s="251" t="s">
        <v>644</v>
      </c>
      <c r="C309" s="3"/>
      <c r="E309" s="980">
        <f>IF(VN_COOLAIR="","",VN_COOLAIR/(M_CLI*1000))</f>
        <v>1.9846172922217151</v>
      </c>
      <c r="F309" s="9" t="s">
        <v>476</v>
      </c>
      <c r="G309" s="3" t="str">
        <f>HBL!$AA$1674</f>
        <v xml:space="preserve"> </v>
      </c>
      <c r="H309" s="48"/>
      <c r="I309" s="64"/>
      <c r="J309" s="9"/>
      <c r="K309" s="3"/>
      <c r="L309" s="3"/>
      <c r="M309" s="3"/>
      <c r="N309" s="3"/>
      <c r="O309" s="3"/>
    </row>
    <row r="310" spans="1:25" ht="12.75" customHeight="1" outlineLevel="2">
      <c r="B310" s="3"/>
      <c r="C310" s="3"/>
      <c r="E310" s="58"/>
      <c r="F310" s="9"/>
      <c r="G310" s="3"/>
      <c r="H310" s="48"/>
      <c r="I310" s="64"/>
      <c r="J310" s="9"/>
      <c r="K310" s="3"/>
      <c r="L310" s="3"/>
      <c r="M310" s="3"/>
      <c r="N310" s="3"/>
      <c r="O310" s="3"/>
    </row>
    <row r="311" spans="1:25" s="8" customFormat="1" ht="12.75" customHeight="1" outlineLevel="1">
      <c r="A311" s="1078"/>
      <c r="B311" s="7"/>
      <c r="C311" s="7"/>
      <c r="D311" s="65"/>
      <c r="E311" s="7"/>
      <c r="F311" s="66"/>
      <c r="G311" s="7"/>
      <c r="H311" s="67"/>
      <c r="I311" s="67"/>
      <c r="J311"/>
      <c r="K311" s="7"/>
      <c r="L311" s="3"/>
      <c r="M311" s="3"/>
      <c r="N311" s="3"/>
      <c r="O311" s="3"/>
      <c r="P311" s="1"/>
      <c r="Q311" s="1"/>
      <c r="R311" s="1"/>
      <c r="S311" s="1"/>
      <c r="T311" s="1"/>
      <c r="U311" s="1"/>
      <c r="V311" s="1"/>
      <c r="W311" s="4"/>
      <c r="X311" s="1"/>
    </row>
    <row r="312" spans="1:25" ht="12.75" customHeight="1" outlineLevel="1">
      <c r="A312" s="1073">
        <v>13</v>
      </c>
      <c r="B312" s="905" t="str">
        <f>HBL!$AA$1633</f>
        <v>WATERINJECTION INTO COOLER</v>
      </c>
      <c r="C312" s="907"/>
      <c r="D312" s="904"/>
      <c r="E312" s="904"/>
      <c r="F312" s="984"/>
      <c r="G312" s="385"/>
      <c r="H312" s="385"/>
      <c r="I312" s="385"/>
      <c r="J312" s="385"/>
      <c r="K312" s="3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5" ht="12.75" customHeight="1" outlineLevel="2">
      <c r="B313" s="18"/>
      <c r="C313" s="385"/>
      <c r="D313" s="385"/>
      <c r="E313" s="386"/>
      <c r="F313" s="385"/>
      <c r="G313" s="385"/>
      <c r="H313" s="385"/>
      <c r="I313" s="385"/>
      <c r="J313" s="385"/>
      <c r="K313" s="3"/>
      <c r="L313" s="3"/>
      <c r="M313" s="3"/>
      <c r="N313" s="3"/>
      <c r="O313" s="3"/>
      <c r="W313" s="384"/>
    </row>
    <row r="314" spans="1:25" ht="12.75" customHeight="1" outlineLevel="2">
      <c r="B314" s="545" t="s">
        <v>227</v>
      </c>
      <c r="C314" s="387"/>
      <c r="F314" s="385"/>
      <c r="G314" s="385"/>
      <c r="H314" s="385"/>
      <c r="I314" s="847"/>
      <c r="J314" t="s">
        <v>493</v>
      </c>
      <c r="K314" s="3"/>
      <c r="L314" s="3"/>
      <c r="M314" s="3"/>
      <c r="N314" s="3"/>
      <c r="O314" s="3"/>
      <c r="W314" s="384"/>
    </row>
    <row r="315" spans="1:25" ht="12.75" customHeight="1" outlineLevel="2">
      <c r="B315" s="545" t="s">
        <v>228</v>
      </c>
      <c r="C315" s="385"/>
      <c r="F315" s="385"/>
      <c r="G315" s="385"/>
      <c r="H315" s="385"/>
      <c r="I315" s="494">
        <f>IF(I314="",,I314*1000)</f>
        <v>0</v>
      </c>
      <c r="J315" s="386" t="s">
        <v>502</v>
      </c>
      <c r="K315" s="3"/>
      <c r="L315" s="3"/>
      <c r="M315" s="3"/>
      <c r="N315" s="3"/>
      <c r="O315" s="3"/>
      <c r="W315" s="384"/>
    </row>
    <row r="316" spans="1:25" ht="12.75" customHeight="1" outlineLevel="2">
      <c r="B316" t="s">
        <v>1058</v>
      </c>
      <c r="C316" s="385"/>
      <c r="F316" s="385"/>
      <c r="I316" s="831"/>
      <c r="J316" s="386" t="s">
        <v>425</v>
      </c>
      <c r="K316" s="3"/>
      <c r="L316" s="3"/>
      <c r="M316" s="3"/>
      <c r="N316" s="3"/>
      <c r="O316" s="3"/>
      <c r="W316" s="384"/>
    </row>
    <row r="317" spans="1:25" ht="12.75" customHeight="1" outlineLevel="2">
      <c r="B317" s="251" t="s">
        <v>872</v>
      </c>
      <c r="C317" s="385"/>
      <c r="F317" s="385"/>
      <c r="G317" s="385"/>
      <c r="H317" s="385"/>
      <c r="I317" s="532" t="str">
        <f>IF(T_H2OCOOLER="","",4.18+(T_H2OCOOLER-50)^2*0.04/2500)</f>
        <v/>
      </c>
      <c r="J317" s="389" t="s">
        <v>429</v>
      </c>
      <c r="K317" s="3"/>
      <c r="L317" s="3"/>
      <c r="M317" s="3"/>
      <c r="N317" s="3"/>
      <c r="O317" s="3"/>
      <c r="W317" s="384"/>
    </row>
    <row r="318" spans="1:25" ht="12.75" customHeight="1" outlineLevel="2">
      <c r="C318" s="385"/>
      <c r="D318" s="385"/>
      <c r="E318" s="386"/>
      <c r="F318" s="385"/>
      <c r="G318" s="385"/>
      <c r="H318" s="385"/>
      <c r="I318" s="390"/>
      <c r="J318" s="389"/>
      <c r="K318" s="3"/>
      <c r="L318" s="3"/>
      <c r="M318" s="3"/>
      <c r="N318" s="3"/>
      <c r="O318" s="3"/>
      <c r="W318" s="384"/>
    </row>
    <row r="319" spans="1:25" ht="12.75" customHeight="1" outlineLevel="1">
      <c r="B319" s="3"/>
      <c r="C319" s="3"/>
      <c r="D319" s="49"/>
      <c r="E319" s="3"/>
      <c r="F319" s="55"/>
      <c r="G319" s="3"/>
      <c r="H319" s="56"/>
      <c r="I319" s="56"/>
      <c r="J319" s="3"/>
      <c r="K319" s="3"/>
      <c r="M319" s="18"/>
      <c r="N319" s="3"/>
      <c r="O319" s="3"/>
    </row>
    <row r="320" spans="1:25" ht="12.75" customHeight="1" outlineLevel="1">
      <c r="A320" s="1073">
        <v>14</v>
      </c>
      <c r="B320" s="905" t="str">
        <f>HBL!$AA$1638</f>
        <v>HEAT LOSS FROM RADIATION &amp; CONVECTION</v>
      </c>
      <c r="C320" s="907"/>
      <c r="D320" s="904"/>
      <c r="E320" s="904"/>
      <c r="F320" s="983"/>
      <c r="G320" s="15"/>
      <c r="K320" s="3"/>
      <c r="L320"/>
      <c r="M320"/>
      <c r="N320" s="3"/>
      <c r="O320" s="3"/>
    </row>
    <row r="321" spans="1:15" ht="12.75" customHeight="1" outlineLevel="2">
      <c r="F321" s="39"/>
      <c r="K321" s="3"/>
      <c r="L321"/>
      <c r="M321"/>
      <c r="N321" s="3"/>
      <c r="O321" s="3"/>
    </row>
    <row r="322" spans="1:15" ht="12.75" customHeight="1" outlineLevel="2">
      <c r="B322" s="1" t="str">
        <f>HBL!$AA$1629&amp;" *"</f>
        <v>Preheater tower incl. Calciner *</v>
      </c>
      <c r="G322" s="46"/>
      <c r="H322" s="68"/>
      <c r="I322" s="845">
        <v>241</v>
      </c>
      <c r="J322" s="68" t="s">
        <v>443</v>
      </c>
      <c r="K322" s="3"/>
      <c r="L322"/>
      <c r="M322"/>
      <c r="N322" s="3"/>
      <c r="O322" s="3"/>
    </row>
    <row r="323" spans="1:15" ht="12.75" customHeight="1" outlineLevel="2" thickBot="1">
      <c r="B323" s="69" t="str">
        <f>HBL!$AA$1487&amp;" *"</f>
        <v>Kiln shell *</v>
      </c>
      <c r="F323" s="70"/>
      <c r="G323" s="71"/>
      <c r="H323" s="68"/>
      <c r="I323" s="837">
        <v>168</v>
      </c>
      <c r="J323" s="68" t="s">
        <v>443</v>
      </c>
      <c r="K323" s="3"/>
      <c r="L323"/>
      <c r="M323"/>
      <c r="N323" s="3"/>
      <c r="O323" s="3"/>
    </row>
    <row r="324" spans="1:15" ht="12.75" customHeight="1" outlineLevel="2" thickTop="1" thickBot="1">
      <c r="B324" s="68" t="str">
        <f>HBL!$AA$1400&amp;" **"</f>
        <v>Cooler and kiln hood **</v>
      </c>
      <c r="E324" s="72"/>
      <c r="F324" s="70"/>
      <c r="G324" s="71"/>
      <c r="H324" s="68"/>
      <c r="I324" s="1219">
        <v>20</v>
      </c>
      <c r="J324" s="68" t="s">
        <v>443</v>
      </c>
      <c r="K324" s="3"/>
      <c r="L324"/>
      <c r="M324"/>
      <c r="N324" s="3"/>
      <c r="O324" s="3"/>
    </row>
    <row r="325" spans="1:15" ht="12.75" customHeight="1" outlineLevel="2" thickTop="1">
      <c r="B325" s="69" t="str">
        <f>HBL!$AA$1573&amp;" *"</f>
        <v>Tertiary air duct *</v>
      </c>
      <c r="E325" s="72"/>
      <c r="F325" s="70"/>
      <c r="G325" s="46"/>
      <c r="H325" s="68"/>
      <c r="I325" s="837">
        <v>27</v>
      </c>
      <c r="J325" s="68" t="s">
        <v>443</v>
      </c>
      <c r="K325" s="3"/>
      <c r="L325"/>
      <c r="M325"/>
      <c r="N325" s="3"/>
      <c r="O325" s="3"/>
    </row>
    <row r="326" spans="1:15" ht="12.75" customHeight="1" outlineLevel="2">
      <c r="B326" s="497" t="s">
        <v>1060</v>
      </c>
      <c r="C326" s="497" t="s">
        <v>818</v>
      </c>
      <c r="D326" s="49"/>
      <c r="E326" s="3"/>
      <c r="F326" s="55"/>
      <c r="G326" s="3"/>
      <c r="H326" s="56"/>
      <c r="I326" s="56"/>
      <c r="J326" s="3"/>
      <c r="K326" s="3"/>
      <c r="L326"/>
      <c r="M326"/>
      <c r="N326" s="3"/>
      <c r="O326" s="3"/>
    </row>
    <row r="327" spans="1:15" ht="12.75" customHeight="1" outlineLevel="2">
      <c r="B327" s="497" t="s">
        <v>1059</v>
      </c>
      <c r="C327" s="497" t="s">
        <v>817</v>
      </c>
      <c r="D327" s="497"/>
      <c r="I327" s="497"/>
      <c r="J327" s="3"/>
      <c r="K327" s="3"/>
      <c r="L327"/>
      <c r="M327"/>
      <c r="N327" s="3"/>
      <c r="O327" s="3"/>
    </row>
    <row r="328" spans="1:15" ht="12.75" customHeight="1" outlineLevel="2">
      <c r="B328" s="497"/>
      <c r="C328" s="497" t="s">
        <v>819</v>
      </c>
      <c r="D328" s="497"/>
      <c r="I328" s="497"/>
      <c r="J328" s="3"/>
      <c r="K328" s="3"/>
      <c r="L328"/>
      <c r="M328"/>
      <c r="N328" s="3"/>
      <c r="O328" s="3"/>
    </row>
    <row r="329" spans="1:15" ht="12.75" customHeight="1" outlineLevel="2">
      <c r="B329" s="497"/>
      <c r="C329" s="497"/>
      <c r="D329" s="497"/>
      <c r="F329" s="497"/>
      <c r="G329" s="497"/>
      <c r="H329" s="497"/>
      <c r="I329" s="56"/>
      <c r="J329" s="3"/>
      <c r="K329" s="3"/>
      <c r="L329"/>
      <c r="M329"/>
      <c r="N329" s="3"/>
      <c r="O329" s="3"/>
    </row>
    <row r="330" spans="1:15" ht="12.75" customHeight="1" outlineLevel="1">
      <c r="K330" s="3"/>
      <c r="L330"/>
      <c r="M330"/>
      <c r="N330" s="3"/>
      <c r="O330" s="3"/>
    </row>
    <row r="331" spans="1:15" ht="12.75" customHeight="1" outlineLevel="1">
      <c r="A331" s="1073">
        <v>15</v>
      </c>
      <c r="B331" s="905" t="str">
        <f>HBL!$AA$1271</f>
        <v>FUEL DATA</v>
      </c>
      <c r="C331" s="907"/>
      <c r="D331" s="904"/>
      <c r="E331" s="904"/>
      <c r="F331" s="984"/>
      <c r="G331" s="3"/>
      <c r="H331" s="3"/>
      <c r="I331" s="3"/>
      <c r="J331" s="3"/>
      <c r="K331" s="3"/>
      <c r="L331"/>
      <c r="M331"/>
      <c r="N331" s="3"/>
      <c r="O331" s="3"/>
    </row>
    <row r="332" spans="1:15" ht="12.75" customHeight="1" outlineLevel="2">
      <c r="C332" s="22"/>
      <c r="D332" s="22"/>
      <c r="E332" s="22"/>
      <c r="G332" s="3"/>
      <c r="H332" s="3"/>
      <c r="I332" s="3"/>
      <c r="J332" s="3"/>
      <c r="K332" s="3"/>
      <c r="L332"/>
      <c r="M332"/>
      <c r="N332" s="3"/>
      <c r="O332" s="3"/>
    </row>
    <row r="333" spans="1:15" ht="12.75" customHeight="1" outlineLevel="2">
      <c r="B333" s="405" t="s">
        <v>1067</v>
      </c>
      <c r="C333" s="22"/>
      <c r="D333" s="22"/>
      <c r="E333" s="22"/>
      <c r="G333" s="3"/>
      <c r="H333" s="3"/>
      <c r="I333" s="3"/>
      <c r="J333" s="3"/>
      <c r="K333" s="3"/>
      <c r="L333"/>
      <c r="M333"/>
      <c r="N333" s="3"/>
      <c r="O333" s="3"/>
    </row>
    <row r="334" spans="1:15" ht="12.75" customHeight="1" outlineLevel="2">
      <c r="B334" s="22"/>
      <c r="C334" s="3"/>
      <c r="D334" s="3"/>
      <c r="E334" s="3"/>
      <c r="F334" s="3"/>
      <c r="G334" s="3"/>
      <c r="H334" s="3"/>
      <c r="I334" s="3"/>
      <c r="J334" s="3"/>
      <c r="K334" s="3"/>
      <c r="L334"/>
      <c r="M334"/>
      <c r="N334" s="3"/>
      <c r="O334" s="3"/>
    </row>
    <row r="335" spans="1:15" ht="12.75" customHeight="1" outlineLevel="2">
      <c r="B335" s="940"/>
      <c r="C335" s="962"/>
      <c r="D335" s="964"/>
      <c r="E335" s="962"/>
      <c r="F335" s="962"/>
      <c r="G335" s="1089"/>
      <c r="H335" s="962"/>
      <c r="I335" s="962"/>
      <c r="J335" s="964"/>
      <c r="K335" s="3"/>
      <c r="L335"/>
      <c r="M335"/>
      <c r="N335" s="3"/>
      <c r="O335" s="3"/>
    </row>
    <row r="336" spans="1:15" ht="12.75" customHeight="1" outlineLevel="2">
      <c r="B336" s="965"/>
      <c r="C336" s="1098"/>
      <c r="D336" s="1097"/>
      <c r="E336" s="1090" t="str">
        <f>HBL!$AA$1439</f>
        <v>CONVENTIONAL</v>
      </c>
      <c r="F336" s="1091"/>
      <c r="G336" s="1092" t="str">
        <f>HBL!$AA$1231</f>
        <v>ALTERNATIVE FUELS</v>
      </c>
      <c r="H336" s="1091"/>
      <c r="I336" s="1091"/>
      <c r="J336" s="1093"/>
      <c r="K336" s="3"/>
      <c r="L336"/>
      <c r="M336"/>
      <c r="N336" s="3"/>
      <c r="O336" s="3"/>
    </row>
    <row r="337" spans="2:15" ht="12.75" customHeight="1" outlineLevel="2">
      <c r="B337" s="1099"/>
      <c r="C337" s="1098"/>
      <c r="D337" s="1097"/>
      <c r="E337" s="1090" t="str">
        <f>HBL!$AA$1265</f>
        <v>FUEL</v>
      </c>
      <c r="F337" s="1094"/>
      <c r="G337" s="1095"/>
      <c r="H337" s="1096"/>
      <c r="I337" s="1096"/>
      <c r="J337" s="1097"/>
      <c r="K337" s="3"/>
      <c r="L337"/>
      <c r="M337"/>
      <c r="N337" s="3"/>
      <c r="O337" s="3"/>
    </row>
    <row r="338" spans="2:15" ht="12.75" customHeight="1" outlineLevel="2">
      <c r="B338" s="1099"/>
      <c r="C338" s="1096"/>
      <c r="D338" s="1100"/>
      <c r="E338" s="894" t="s">
        <v>2255</v>
      </c>
      <c r="F338" s="1311" t="s">
        <v>2257</v>
      </c>
      <c r="G338" s="895" t="s">
        <v>2258</v>
      </c>
      <c r="H338" s="896"/>
      <c r="I338" s="894"/>
      <c r="J338" s="894"/>
      <c r="K338" s="3"/>
      <c r="L338" s="251"/>
      <c r="M338" s="3"/>
      <c r="N338" s="3"/>
      <c r="O338" s="3"/>
    </row>
    <row r="339" spans="2:15" ht="12.75" customHeight="1" outlineLevel="2" thickBot="1">
      <c r="B339" s="1101"/>
      <c r="C339" s="1102"/>
      <c r="D339" s="1103"/>
      <c r="E339" s="1258" t="s">
        <v>2256</v>
      </c>
      <c r="F339" s="897"/>
      <c r="G339" s="898"/>
      <c r="H339" s="897"/>
      <c r="I339" s="897"/>
      <c r="J339" s="897"/>
      <c r="K339" s="3"/>
      <c r="L339" s="514"/>
      <c r="M339" s="3"/>
      <c r="N339" s="3"/>
      <c r="O339" s="3"/>
    </row>
    <row r="340" spans="2:15" ht="12.75" customHeight="1" outlineLevel="2" thickTop="1">
      <c r="B340" s="73"/>
      <c r="C340" s="15"/>
      <c r="D340" s="73"/>
      <c r="E340" s="1260"/>
      <c r="F340" s="1238"/>
      <c r="G340" s="76"/>
      <c r="H340" s="75"/>
      <c r="I340" s="75"/>
      <c r="J340" s="75"/>
      <c r="K340" s="3"/>
      <c r="L340" s="3"/>
      <c r="M340" s="3"/>
      <c r="N340" s="3"/>
      <c r="O340" s="3"/>
    </row>
    <row r="341" spans="2:15" outlineLevel="2">
      <c r="B341" s="775" t="s">
        <v>29</v>
      </c>
      <c r="C341" s="680"/>
      <c r="D341" s="1231" t="s">
        <v>478</v>
      </c>
      <c r="E341" s="1261">
        <v>26190</v>
      </c>
      <c r="F341" s="1239">
        <v>20543</v>
      </c>
      <c r="G341" s="849">
        <v>15870</v>
      </c>
      <c r="H341" s="848"/>
      <c r="I341" s="848"/>
      <c r="J341" s="848"/>
      <c r="K341" s="3"/>
      <c r="L341" s="3"/>
      <c r="M341" s="3"/>
      <c r="N341" s="3"/>
      <c r="O341" s="3"/>
    </row>
    <row r="342" spans="2:15" outlineLevel="2">
      <c r="B342" s="749" t="s">
        <v>672</v>
      </c>
      <c r="C342" s="669"/>
      <c r="D342" s="1232" t="s">
        <v>438</v>
      </c>
      <c r="E342" s="1262">
        <v>0</v>
      </c>
      <c r="F342" s="1240">
        <v>0</v>
      </c>
      <c r="G342" s="851">
        <v>0</v>
      </c>
      <c r="H342" s="850"/>
      <c r="I342" s="850"/>
      <c r="J342" s="850"/>
      <c r="K342" s="3"/>
      <c r="L342" s="3"/>
      <c r="M342" s="3"/>
      <c r="N342" s="3"/>
      <c r="O342" s="3"/>
    </row>
    <row r="343" spans="2:15" outlineLevel="2">
      <c r="B343" s="668" t="str">
        <f>HBL!$AA$1563</f>
        <v>Temp. at burner</v>
      </c>
      <c r="C343" s="669"/>
      <c r="D343" s="1232" t="s">
        <v>473</v>
      </c>
      <c r="E343" s="1263">
        <v>50</v>
      </c>
      <c r="F343" s="1241">
        <v>50</v>
      </c>
      <c r="G343" s="853">
        <v>22</v>
      </c>
      <c r="H343" s="852"/>
      <c r="I343" s="852"/>
      <c r="J343" s="852"/>
      <c r="K343" s="3"/>
      <c r="L343" s="3"/>
      <c r="M343" s="3"/>
      <c r="N343" s="3"/>
      <c r="O343" s="3"/>
    </row>
    <row r="344" spans="2:15" ht="12.75" customHeight="1" outlineLevel="2">
      <c r="B344" s="681" t="str">
        <f>HBL!$AA$1292</f>
        <v>cp fuel</v>
      </c>
      <c r="C344" s="669"/>
      <c r="D344" s="1233" t="s">
        <v>479</v>
      </c>
      <c r="E344" s="1262">
        <v>1</v>
      </c>
      <c r="F344" s="1240">
        <v>1</v>
      </c>
      <c r="G344" s="851">
        <v>1</v>
      </c>
      <c r="H344" s="850"/>
      <c r="I344" s="850"/>
      <c r="J344" s="850"/>
      <c r="K344" s="3"/>
      <c r="L344" s="3"/>
      <c r="M344" s="3"/>
      <c r="N344" s="3"/>
      <c r="O344" s="3"/>
    </row>
    <row r="345" spans="2:15" ht="12.75" customHeight="1" outlineLevel="2">
      <c r="B345" s="681" t="s">
        <v>480</v>
      </c>
      <c r="C345" s="669"/>
      <c r="D345" s="1234" t="s">
        <v>481</v>
      </c>
      <c r="E345" s="1264">
        <v>0.26</v>
      </c>
      <c r="F345" s="1242">
        <v>0.26</v>
      </c>
      <c r="G345" s="855">
        <v>0.26</v>
      </c>
      <c r="H345" s="854"/>
      <c r="I345" s="854"/>
      <c r="J345" s="854"/>
      <c r="K345" s="3"/>
      <c r="L345" s="3"/>
      <c r="M345" s="3"/>
      <c r="N345" s="3"/>
      <c r="O345" s="3"/>
    </row>
    <row r="346" spans="2:15" ht="12.75" customHeight="1" outlineLevel="2">
      <c r="B346" s="681" t="s">
        <v>482</v>
      </c>
      <c r="C346" s="669"/>
      <c r="D346" s="1234" t="s">
        <v>481</v>
      </c>
      <c r="E346" s="1264">
        <v>0.28000000000000003</v>
      </c>
      <c r="F346" s="1242">
        <v>0.28999999999999998</v>
      </c>
      <c r="G346" s="855">
        <v>0.28999999999999998</v>
      </c>
      <c r="H346" s="854"/>
      <c r="I346" s="854"/>
      <c r="J346" s="854"/>
      <c r="K346" s="3"/>
      <c r="L346" s="3"/>
      <c r="M346" s="3"/>
      <c r="N346" s="3"/>
      <c r="O346" s="3"/>
    </row>
    <row r="347" spans="2:15" ht="12.75" customHeight="1" outlineLevel="2">
      <c r="B347" s="668" t="str">
        <f>HBL!$AA$1382</f>
        <v>H2O in Vmin</v>
      </c>
      <c r="C347" s="669"/>
      <c r="D347" s="1235" t="s">
        <v>438</v>
      </c>
      <c r="E347" s="1262">
        <v>6</v>
      </c>
      <c r="F347" s="1242">
        <v>11</v>
      </c>
      <c r="G347" s="855">
        <v>11</v>
      </c>
      <c r="H347" s="854"/>
      <c r="I347" s="854"/>
      <c r="J347" s="854"/>
      <c r="K347" s="3"/>
      <c r="L347" s="3"/>
      <c r="M347" s="3"/>
      <c r="N347" s="3"/>
      <c r="O347" s="3"/>
    </row>
    <row r="348" spans="2:15" ht="12.75" customHeight="1" outlineLevel="2">
      <c r="B348" s="668" t="str">
        <f>HBL!$AA$1531</f>
        <v>Sulfur content (S)</v>
      </c>
      <c r="C348" s="669"/>
      <c r="D348" s="1232" t="s">
        <v>438</v>
      </c>
      <c r="E348" s="1265"/>
      <c r="F348" s="1243"/>
      <c r="G348" s="900"/>
      <c r="H348" s="899"/>
      <c r="I348" s="899"/>
      <c r="J348" s="899"/>
      <c r="K348" s="3"/>
      <c r="L348" s="3"/>
      <c r="M348" s="3"/>
      <c r="N348" s="3"/>
      <c r="O348" s="3"/>
    </row>
    <row r="349" spans="2:15" ht="12.75" customHeight="1" outlineLevel="2">
      <c r="B349" s="682" t="s">
        <v>483</v>
      </c>
      <c r="C349" s="669"/>
      <c r="D349" s="1232" t="s">
        <v>438</v>
      </c>
      <c r="E349" s="1266"/>
      <c r="F349" s="1243"/>
      <c r="G349" s="900"/>
      <c r="H349" s="899"/>
      <c r="I349" s="899"/>
      <c r="J349" s="899"/>
      <c r="K349" s="3"/>
      <c r="L349" s="3"/>
      <c r="M349" s="3"/>
      <c r="N349" s="3"/>
      <c r="O349" s="3"/>
    </row>
    <row r="350" spans="2:15" ht="12.75" customHeight="1" outlineLevel="2">
      <c r="B350" s="682" t="s">
        <v>484</v>
      </c>
      <c r="C350" s="669"/>
      <c r="D350" s="1232" t="s">
        <v>438</v>
      </c>
      <c r="E350" s="1266"/>
      <c r="F350" s="1243"/>
      <c r="G350" s="900"/>
      <c r="H350" s="899"/>
      <c r="I350" s="899"/>
      <c r="J350" s="899"/>
      <c r="K350" s="3"/>
      <c r="L350" s="3"/>
      <c r="M350" s="3"/>
      <c r="N350" s="3"/>
      <c r="O350" s="3"/>
    </row>
    <row r="351" spans="2:15" ht="12.75" customHeight="1" outlineLevel="2">
      <c r="B351" s="668" t="str">
        <f>HBL!$AA$1286</f>
        <v>Chlor content (Cl)</v>
      </c>
      <c r="C351" s="669"/>
      <c r="D351" s="1232" t="s">
        <v>438</v>
      </c>
      <c r="E351" s="1267"/>
      <c r="F351" s="1244"/>
      <c r="G351" s="902"/>
      <c r="H351" s="901"/>
      <c r="I351" s="901"/>
      <c r="J351" s="901"/>
      <c r="K351" s="3"/>
      <c r="L351" s="3"/>
      <c r="M351" s="3"/>
      <c r="N351" s="3"/>
      <c r="O351" s="3"/>
    </row>
    <row r="352" spans="2:15" ht="12.75" customHeight="1" outlineLevel="2">
      <c r="B352" s="681" t="str">
        <f>HBL!$AA$1239</f>
        <v>Ash content</v>
      </c>
      <c r="C352" s="669"/>
      <c r="D352" s="1232" t="s">
        <v>438</v>
      </c>
      <c r="E352" s="1262">
        <v>15</v>
      </c>
      <c r="F352" s="1240">
        <v>10</v>
      </c>
      <c r="G352" s="851">
        <v>5</v>
      </c>
      <c r="H352" s="850"/>
      <c r="I352" s="850"/>
      <c r="J352" s="850"/>
      <c r="K352" s="3"/>
      <c r="L352" s="3"/>
      <c r="M352" s="3"/>
      <c r="N352" s="3"/>
      <c r="O352" s="3"/>
    </row>
    <row r="353" spans="2:15" ht="12.75" customHeight="1" outlineLevel="2">
      <c r="B353" s="78"/>
      <c r="C353" s="22"/>
      <c r="D353" s="1236"/>
      <c r="E353" s="1268"/>
      <c r="F353" s="1245"/>
      <c r="G353" s="80"/>
      <c r="H353" s="79"/>
      <c r="I353" s="79"/>
      <c r="J353" s="79"/>
      <c r="K353" s="3"/>
      <c r="L353" s="3"/>
      <c r="M353" s="3"/>
      <c r="N353" s="3"/>
      <c r="O353" s="3"/>
    </row>
    <row r="354" spans="2:15" ht="12.75" customHeight="1" outlineLevel="2">
      <c r="B354" s="19"/>
      <c r="C354" s="20"/>
      <c r="D354" s="1237"/>
      <c r="E354" s="1269"/>
      <c r="F354" s="1246"/>
      <c r="G354" s="83"/>
      <c r="H354" s="82"/>
      <c r="I354" s="82"/>
      <c r="J354" s="82"/>
      <c r="K354" s="3"/>
      <c r="L354" s="3"/>
      <c r="M354" s="3"/>
      <c r="N354" s="3"/>
      <c r="O354" s="3"/>
    </row>
    <row r="355" spans="2:15" ht="12.75" customHeight="1" outlineLevel="2">
      <c r="B355" s="84" t="str">
        <f>HBL!$AA$1660</f>
        <v>COUNTER READING</v>
      </c>
      <c r="C355" s="22"/>
      <c r="D355" s="78"/>
      <c r="E355" s="1270"/>
      <c r="F355" s="1247"/>
      <c r="G355" s="86"/>
      <c r="H355" s="85"/>
      <c r="I355" s="85"/>
      <c r="J355" s="85"/>
      <c r="K355" s="3"/>
      <c r="L355" s="3"/>
      <c r="M355" s="3"/>
      <c r="N355" s="3"/>
      <c r="O355" s="3"/>
    </row>
    <row r="356" spans="2:15" ht="12.75" customHeight="1" outlineLevel="2">
      <c r="B356" s="84" t="str">
        <f>HBL!$AA$1385</f>
        <v>MAIN BURNER</v>
      </c>
      <c r="C356" s="22"/>
      <c r="D356" s="78"/>
      <c r="E356" s="1271"/>
      <c r="F356" s="1248"/>
      <c r="G356" s="88"/>
      <c r="H356" s="87"/>
      <c r="I356" s="87"/>
      <c r="J356" s="87"/>
      <c r="K356" s="3"/>
      <c r="L356" s="3"/>
      <c r="M356" s="3"/>
      <c r="N356" s="3"/>
      <c r="O356" s="3"/>
    </row>
    <row r="357" spans="2:15" ht="12.75" customHeight="1" outlineLevel="2">
      <c r="B357" s="683" t="str">
        <f>HBL!$AA$1267</f>
        <v>Fuelrate main burner</v>
      </c>
      <c r="C357" s="684"/>
      <c r="D357" s="1231" t="s">
        <v>428</v>
      </c>
      <c r="E357" s="1272">
        <v>7</v>
      </c>
      <c r="F357" s="1249">
        <v>2.0299999999999998</v>
      </c>
      <c r="G357" s="857"/>
      <c r="H357" s="856"/>
      <c r="I357" s="856"/>
      <c r="J357" s="856"/>
      <c r="K357" s="3"/>
      <c r="L357" s="3"/>
      <c r="M357" s="3"/>
      <c r="N357" s="3"/>
      <c r="O357" s="3"/>
    </row>
    <row r="358" spans="2:15" ht="12.75" customHeight="1" outlineLevel="2">
      <c r="B358" s="668" t="str">
        <f>HBL!$AA$1443</f>
        <v>Correction factor</v>
      </c>
      <c r="C358" s="669"/>
      <c r="D358" s="1232" t="s">
        <v>469</v>
      </c>
      <c r="E358" s="1273">
        <v>1</v>
      </c>
      <c r="F358" s="1250">
        <v>1</v>
      </c>
      <c r="G358" s="859"/>
      <c r="H358" s="858"/>
      <c r="I358" s="858"/>
      <c r="J358" s="858"/>
      <c r="K358" s="3"/>
      <c r="L358" s="3"/>
      <c r="M358" s="3"/>
      <c r="N358" s="3"/>
      <c r="O358" s="3"/>
    </row>
    <row r="359" spans="2:15" ht="12.75" customHeight="1" outlineLevel="2">
      <c r="B359" s="685" t="str">
        <f>HBL!$AA$1267</f>
        <v>Fuelrate main burner</v>
      </c>
      <c r="C359" s="669"/>
      <c r="D359" s="1233" t="s">
        <v>428</v>
      </c>
      <c r="E359" s="1274">
        <f>IF(FUELBZ1_R2="","",FUELBZ1_R2*E358)</f>
        <v>7</v>
      </c>
      <c r="F359" s="1251">
        <f>IF(FUELBZ2_R2="","",FUELBZ2_R2*F358)</f>
        <v>2.0299999999999998</v>
      </c>
      <c r="G359" s="687" t="str">
        <f>IF(FUELBZ3_R2="","",FUELBZ3_R2*G358)</f>
        <v/>
      </c>
      <c r="H359" s="686" t="str">
        <f>IF(FUELBZ4_R2="","",FUELBZ4_R2*H358)</f>
        <v/>
      </c>
      <c r="I359" s="686" t="str">
        <f>IF(FUELBZ5_R2="","",FUELBZ5_R2*I358)</f>
        <v/>
      </c>
      <c r="J359" s="686" t="str">
        <f>IF(FUELBZ6_R2="","",FUELBZ6_R2*J358)</f>
        <v/>
      </c>
      <c r="K359" s="3"/>
      <c r="L359" s="3"/>
      <c r="M359" s="3"/>
      <c r="N359" s="3"/>
      <c r="O359" s="3"/>
    </row>
    <row r="360" spans="2:15" ht="12.75" customHeight="1" outlineLevel="2">
      <c r="B360" s="77"/>
      <c r="C360" s="22"/>
      <c r="D360" s="1236"/>
      <c r="E360" s="1275"/>
      <c r="F360" s="49"/>
      <c r="G360" s="90"/>
      <c r="H360" s="89"/>
      <c r="I360" s="89"/>
      <c r="J360" s="89"/>
      <c r="K360" s="3"/>
      <c r="L360" s="3"/>
      <c r="M360" s="3"/>
      <c r="N360" s="3"/>
      <c r="O360" s="3"/>
    </row>
    <row r="361" spans="2:15" ht="12.75" customHeight="1" outlineLevel="2">
      <c r="B361" s="435" t="str">
        <f>$AA$1522</f>
        <v>SECONDARY FIRING</v>
      </c>
      <c r="C361" s="22"/>
      <c r="D361" s="1236"/>
      <c r="E361" s="1275"/>
      <c r="F361" s="49"/>
      <c r="G361" s="90"/>
      <c r="H361" s="89"/>
      <c r="I361" s="89"/>
      <c r="J361" s="89"/>
      <c r="K361" s="3"/>
      <c r="L361" s="3"/>
      <c r="M361" s="3"/>
      <c r="N361" s="3"/>
      <c r="O361" s="3"/>
    </row>
    <row r="362" spans="2:15" ht="12.75" customHeight="1" outlineLevel="2">
      <c r="B362" s="688" t="s">
        <v>1948</v>
      </c>
      <c r="C362" s="684"/>
      <c r="D362" s="1231" t="s">
        <v>428</v>
      </c>
      <c r="E362" s="1276"/>
      <c r="F362" s="1252"/>
      <c r="G362" s="860"/>
      <c r="H362" s="861"/>
      <c r="I362" s="861"/>
      <c r="J362" s="861"/>
      <c r="K362" s="3"/>
      <c r="L362" s="3"/>
      <c r="M362" s="3"/>
      <c r="N362" s="3"/>
      <c r="O362" s="3"/>
    </row>
    <row r="363" spans="2:15" ht="12.75" customHeight="1" outlineLevel="2">
      <c r="B363" s="668" t="str">
        <f>HBL!$AA$1443</f>
        <v>Correction factor</v>
      </c>
      <c r="C363" s="669"/>
      <c r="D363" s="1232" t="s">
        <v>469</v>
      </c>
      <c r="E363" s="1273"/>
      <c r="F363" s="1253"/>
      <c r="G363" s="862"/>
      <c r="H363" s="858"/>
      <c r="I363" s="858"/>
      <c r="J363" s="858"/>
      <c r="K363" s="3"/>
      <c r="L363" s="3"/>
      <c r="M363" s="3"/>
      <c r="N363" s="3"/>
      <c r="O363" s="3"/>
    </row>
    <row r="364" spans="2:15" ht="12.75" customHeight="1" outlineLevel="2">
      <c r="B364" s="689" t="s">
        <v>1948</v>
      </c>
      <c r="C364" s="669"/>
      <c r="D364" s="1233" t="s">
        <v>428</v>
      </c>
      <c r="E364" s="1277" t="str">
        <f>IF(FUELSF1_R2="","",FUELSF1_R2*E363)</f>
        <v/>
      </c>
      <c r="F364" s="1254" t="str">
        <f>IF(FUELSF2_R2="","",FUELSF2_R2*F363)</f>
        <v/>
      </c>
      <c r="G364" s="690" t="str">
        <f>IF(FUELSF3_R2="","",FUELSF3_R2*G363)</f>
        <v/>
      </c>
      <c r="H364" s="691" t="str">
        <f>IF(FUELSF4_R2="","",FUELSF4_R2*H363)</f>
        <v/>
      </c>
      <c r="I364" s="691" t="str">
        <f>IF(FUELSF5_R2="","",FUELSF5_R2*I363)</f>
        <v/>
      </c>
      <c r="J364" s="691" t="str">
        <f>IF(FUELSF6_R2="","",FUELSF6_R2*J363)</f>
        <v/>
      </c>
      <c r="K364" s="3"/>
      <c r="L364" s="3"/>
      <c r="M364" s="3"/>
      <c r="N364" s="3"/>
      <c r="O364" s="3"/>
    </row>
    <row r="365" spans="2:15" ht="12.75" customHeight="1" outlineLevel="2">
      <c r="B365" s="77"/>
      <c r="C365" s="22"/>
      <c r="D365" s="1236"/>
      <c r="E365" s="1275"/>
      <c r="F365" s="1255"/>
      <c r="G365" s="90"/>
      <c r="H365" s="89"/>
      <c r="I365" s="89"/>
      <c r="J365" s="89"/>
      <c r="K365" s="3"/>
      <c r="L365" s="3"/>
      <c r="M365" s="3"/>
      <c r="N365" s="3"/>
      <c r="O365" s="3"/>
    </row>
    <row r="366" spans="2:15" ht="12.75" customHeight="1" outlineLevel="2">
      <c r="B366" s="91" t="str">
        <f>HBL!$AA$1416</f>
        <v>CALCINER</v>
      </c>
      <c r="C366" s="22"/>
      <c r="D366" s="1236"/>
      <c r="E366" s="1275"/>
      <c r="F366" s="1255"/>
      <c r="G366" s="90"/>
      <c r="H366" s="89"/>
      <c r="I366" s="89"/>
      <c r="J366" s="89"/>
      <c r="K366" s="3"/>
      <c r="L366" s="3"/>
      <c r="M366" s="3"/>
      <c r="N366" s="3"/>
      <c r="O366" s="3"/>
    </row>
    <row r="367" spans="2:15" ht="12.75" customHeight="1" outlineLevel="2">
      <c r="B367" s="679" t="str">
        <f>HBL!$AA$1269</f>
        <v>Fuelrate calciner</v>
      </c>
      <c r="C367" s="684"/>
      <c r="D367" s="1231" t="s">
        <v>428</v>
      </c>
      <c r="E367" s="1272">
        <v>10.3</v>
      </c>
      <c r="F367" s="1256"/>
      <c r="G367" s="857">
        <v>4.26</v>
      </c>
      <c r="H367" s="856"/>
      <c r="I367" s="856"/>
      <c r="J367" s="856"/>
      <c r="K367" s="3"/>
      <c r="L367" s="3"/>
      <c r="M367" s="3"/>
      <c r="N367" s="3"/>
      <c r="O367" s="3"/>
    </row>
    <row r="368" spans="2:15" ht="12.75" customHeight="1" outlineLevel="2">
      <c r="B368" s="668" t="str">
        <f>HBL!$AA$1443</f>
        <v>Correction factor</v>
      </c>
      <c r="C368" s="669"/>
      <c r="D368" s="1232" t="s">
        <v>469</v>
      </c>
      <c r="E368" s="1278">
        <v>1</v>
      </c>
      <c r="F368" s="1257"/>
      <c r="G368" s="864">
        <v>1</v>
      </c>
      <c r="H368" s="863"/>
      <c r="I368" s="863"/>
      <c r="J368" s="863"/>
      <c r="K368" s="3"/>
      <c r="L368" s="3"/>
      <c r="M368" s="3"/>
      <c r="N368" s="3"/>
      <c r="O368" s="3"/>
    </row>
    <row r="369" spans="2:15" ht="12.75" customHeight="1" outlineLevel="2">
      <c r="B369" s="668" t="str">
        <f>HBL!$AA$1269</f>
        <v>Fuelrate calciner</v>
      </c>
      <c r="C369" s="669"/>
      <c r="D369" s="1233" t="s">
        <v>428</v>
      </c>
      <c r="E369" s="1274">
        <f>IF(FUELCZ1_R2="","",FUELCZ1_R2*E368)</f>
        <v>10.3</v>
      </c>
      <c r="F369" s="1251" t="str">
        <f>IF(FUELCZ2_R2="","",FUELCZ2_R2*F368)</f>
        <v/>
      </c>
      <c r="G369" s="687">
        <f>IF(FUELCZ3_R2="","",FUELCZ3_R2*G368)</f>
        <v>4.26</v>
      </c>
      <c r="H369" s="686" t="str">
        <f>IF(FUELCZ4_R2="","",FUELCZ4_R2*H368)</f>
        <v/>
      </c>
      <c r="I369" s="686" t="str">
        <f>IF(FUELCZ5_R2="","",FUELCZ5_R2*I368)</f>
        <v/>
      </c>
      <c r="J369" s="686" t="str">
        <f>IF(FUELCZ6_R2="","",FUELCZ6_R2*J368)</f>
        <v/>
      </c>
      <c r="K369" s="3"/>
      <c r="L369" s="3"/>
      <c r="M369" s="3"/>
      <c r="N369" s="3"/>
      <c r="O369" s="3"/>
    </row>
    <row r="370" spans="2:15" ht="12.75" customHeight="1" outlineLevel="2" thickBot="1">
      <c r="B370" s="77"/>
      <c r="C370" s="22"/>
      <c r="D370" s="1236"/>
      <c r="E370" s="1279"/>
      <c r="F370" s="49"/>
      <c r="G370" s="90"/>
      <c r="H370" s="89"/>
      <c r="I370" s="89"/>
      <c r="J370" s="89"/>
      <c r="K370" s="3"/>
      <c r="L370" s="3"/>
      <c r="M370" s="3"/>
      <c r="N370" s="3"/>
      <c r="O370" s="3"/>
    </row>
    <row r="371" spans="2:15" ht="12.75" customHeight="1" outlineLevel="2" thickTop="1">
      <c r="B371" s="16" t="str">
        <f>HBL!$AA$1273</f>
        <v>TOTAL FEEDRATE</v>
      </c>
      <c r="C371" s="17"/>
      <c r="D371" s="359" t="s">
        <v>428</v>
      </c>
      <c r="E371" s="1259">
        <f>IF((SUM(MBZ_FUEL1,MSF_FUEL1,MCZ_FUEL1)=0),0, SUM(MBZ_FUEL1,MSF_FUEL1,MCZ_FUEL1))</f>
        <v>17.3</v>
      </c>
      <c r="F371" s="496">
        <f>IF((SUM(MBZ_FUEL2,MSF_FUEL2,MCZ_FUEL2)=0),0, SUM(MBZ_FUEL2,MSF_FUEL2,MCZ_FUEL2))</f>
        <v>2.0299999999999998</v>
      </c>
      <c r="G371" s="495">
        <f>IF((SUM(MBZ_FUEL3,MSF_FUEL3,MCZ_FUEL3)=0),0, SUM(MBZ_FUEL3,MSF_FUEL3,MCZ_FUEL3))</f>
        <v>4.26</v>
      </c>
      <c r="H371" s="495">
        <f>IF((SUM(MBZ_FUEL4,MSF_FUEL4,MCZ_FUEL4)=0),0, SUM(MBZ_FUEL4,MSF_FUEL4,MCZ_FUEL4))</f>
        <v>0</v>
      </c>
      <c r="I371" s="495">
        <f>IF((SUM(MBZ_FUEL5,MSF_FUEL5,MCZ_FUEL5)=0),0, SUM(MBZ_FUEL5,MSF_FUEL5,MCZ_FUEL5))</f>
        <v>0</v>
      </c>
      <c r="J371" s="495">
        <f>IF((SUM(MBZ_FUEL6,MSF_FUEL6,MCZ_FUEL6)=0),0, SUM(MBZ_FUEL6,MSF_FUEL6,MCZ_FUEL6))</f>
        <v>0</v>
      </c>
      <c r="K371" s="3"/>
      <c r="L371" s="3"/>
      <c r="M371" s="3"/>
      <c r="N371" s="3"/>
      <c r="O371" s="3"/>
    </row>
    <row r="372" spans="2:15" ht="12.75" customHeight="1" outlineLevel="2">
      <c r="B372" s="42"/>
      <c r="C372" s="22"/>
      <c r="D372" s="27"/>
      <c r="E372" s="49"/>
      <c r="F372" s="49"/>
      <c r="G372" s="49"/>
      <c r="H372" s="49"/>
      <c r="I372" s="49"/>
      <c r="J372" s="49"/>
      <c r="K372" s="3"/>
      <c r="L372" s="3"/>
      <c r="M372" s="3"/>
      <c r="N372" s="3"/>
      <c r="O372" s="3"/>
    </row>
    <row r="373" spans="2:15" ht="12.75" customHeight="1" outlineLevel="2">
      <c r="B373" s="505" t="s">
        <v>258</v>
      </c>
      <c r="C373" s="22"/>
      <c r="D373" s="27"/>
      <c r="E373" s="49"/>
      <c r="F373" s="49"/>
      <c r="G373" s="49"/>
      <c r="H373" s="49"/>
      <c r="I373" s="49"/>
      <c r="J373" s="49"/>
      <c r="K373" s="3"/>
      <c r="L373" s="3"/>
      <c r="M373" s="3"/>
      <c r="N373" s="3"/>
      <c r="O373" s="3"/>
    </row>
    <row r="374" spans="2:15" ht="12.75" customHeight="1" outlineLevel="2">
      <c r="B374" s="42"/>
      <c r="C374" s="22"/>
      <c r="D374" s="27"/>
      <c r="E374" s="49"/>
      <c r="F374" s="49"/>
      <c r="G374" s="49"/>
      <c r="H374" s="49"/>
      <c r="I374" s="49"/>
      <c r="J374" s="49"/>
      <c r="K374" s="3"/>
      <c r="L374" s="3"/>
      <c r="M374" s="3"/>
      <c r="N374" s="3"/>
      <c r="O374" s="3"/>
    </row>
    <row r="375" spans="2:15" ht="12.75" customHeight="1" outlineLevel="2">
      <c r="B375" s="649" t="s">
        <v>1081</v>
      </c>
      <c r="C375" s="653"/>
      <c r="D375" s="654"/>
      <c r="E375" s="648"/>
      <c r="F375" s="648"/>
      <c r="G375" s="648"/>
      <c r="H375" s="648"/>
      <c r="J375" s="49"/>
      <c r="K375" s="3"/>
      <c r="L375" s="3"/>
      <c r="M375" s="3"/>
      <c r="N375" s="3"/>
      <c r="O375" s="3"/>
    </row>
    <row r="376" spans="2:15" ht="12.75" customHeight="1" outlineLevel="2">
      <c r="B376" s="702"/>
      <c r="C376" s="699"/>
      <c r="D376" s="700"/>
      <c r="E376" s="701"/>
      <c r="F376" s="742" t="s">
        <v>838</v>
      </c>
      <c r="G376" s="743" t="s">
        <v>480</v>
      </c>
      <c r="H376" s="743" t="s">
        <v>482</v>
      </c>
      <c r="I376" s="704" t="s">
        <v>671</v>
      </c>
      <c r="J376" s="565"/>
      <c r="K376" s="3"/>
      <c r="M376" s="3"/>
      <c r="N376" s="3"/>
      <c r="O376" s="3"/>
    </row>
    <row r="377" spans="2:15" ht="12.75" customHeight="1" outlineLevel="2">
      <c r="B377" s="703"/>
      <c r="C377" s="650"/>
      <c r="D377" s="651"/>
      <c r="E377" s="652"/>
      <c r="F377" s="744" t="s">
        <v>479</v>
      </c>
      <c r="G377" s="744" t="s">
        <v>481</v>
      </c>
      <c r="H377" s="744" t="s">
        <v>481</v>
      </c>
      <c r="I377" s="705" t="s">
        <v>670</v>
      </c>
      <c r="J377" s="622"/>
      <c r="K377" s="3"/>
      <c r="M377" s="3"/>
      <c r="N377" s="3"/>
      <c r="O377" s="3"/>
    </row>
    <row r="378" spans="2:15" ht="12.75" customHeight="1" outlineLevel="2">
      <c r="B378" s="706" t="s">
        <v>1069</v>
      </c>
      <c r="C378" s="714" t="s">
        <v>1918</v>
      </c>
      <c r="D378" s="707"/>
      <c r="E378" s="708"/>
      <c r="F378" s="748" t="s">
        <v>1921</v>
      </c>
      <c r="G378" s="745">
        <v>0.26</v>
      </c>
      <c r="H378" s="745">
        <v>0.27</v>
      </c>
      <c r="I378" s="709">
        <v>6</v>
      </c>
      <c r="J378" s="564"/>
      <c r="K378" s="3"/>
      <c r="L378" s="3"/>
      <c r="M378" s="3"/>
      <c r="N378" s="3"/>
      <c r="O378" s="3"/>
    </row>
    <row r="379" spans="2:15" ht="12.75" customHeight="1" outlineLevel="2">
      <c r="B379" s="710"/>
      <c r="C379" s="715" t="s">
        <v>1919</v>
      </c>
      <c r="D379" s="711"/>
      <c r="E379" s="712"/>
      <c r="F379" s="712" t="s">
        <v>1922</v>
      </c>
      <c r="G379" s="746">
        <v>0.26</v>
      </c>
      <c r="H379" s="746">
        <v>0.28000000000000003</v>
      </c>
      <c r="I379" s="713">
        <v>8</v>
      </c>
      <c r="J379" s="564"/>
      <c r="K379" s="3"/>
      <c r="L379" s="3"/>
      <c r="M379" s="3"/>
      <c r="N379" s="3"/>
      <c r="O379" s="3"/>
    </row>
    <row r="380" spans="2:15" ht="12.75" customHeight="1" outlineLevel="2">
      <c r="B380" s="710"/>
      <c r="C380" s="715" t="s">
        <v>1920</v>
      </c>
      <c r="D380" s="711"/>
      <c r="E380" s="712"/>
      <c r="F380" s="712" t="s">
        <v>1923</v>
      </c>
      <c r="G380" s="746">
        <v>0.26</v>
      </c>
      <c r="H380" s="746">
        <v>0.28999999999999998</v>
      </c>
      <c r="I380" s="713">
        <v>11</v>
      </c>
      <c r="J380" s="564"/>
      <c r="K380" s="3"/>
      <c r="L380" s="3"/>
      <c r="M380" s="3"/>
      <c r="N380" s="3"/>
      <c r="O380" s="3"/>
    </row>
    <row r="381" spans="2:15" ht="12.75" customHeight="1" outlineLevel="2">
      <c r="B381" s="710" t="s">
        <v>1070</v>
      </c>
      <c r="C381" s="715" t="s">
        <v>1077</v>
      </c>
      <c r="D381" s="711"/>
      <c r="E381" s="712"/>
      <c r="F381" s="712" t="s">
        <v>1925</v>
      </c>
      <c r="G381" s="746">
        <v>0.26</v>
      </c>
      <c r="H381" s="746">
        <v>0.28000000000000003</v>
      </c>
      <c r="I381" s="713">
        <v>12</v>
      </c>
      <c r="J381" s="564"/>
      <c r="K381" s="3"/>
      <c r="L381" s="3"/>
      <c r="M381" s="3"/>
      <c r="N381" s="3"/>
      <c r="O381" s="3"/>
    </row>
    <row r="382" spans="2:15" ht="12.75" customHeight="1" outlineLevel="2">
      <c r="B382" s="710"/>
      <c r="C382" s="715" t="s">
        <v>1078</v>
      </c>
      <c r="D382" s="711"/>
      <c r="E382" s="712"/>
      <c r="F382" s="712" t="s">
        <v>1924</v>
      </c>
      <c r="G382" s="746">
        <v>0.26</v>
      </c>
      <c r="H382" s="746">
        <v>0.28999999999999998</v>
      </c>
      <c r="I382" s="713">
        <v>13</v>
      </c>
      <c r="J382" s="564"/>
      <c r="K382" s="3"/>
      <c r="L382" s="3"/>
      <c r="M382" s="3"/>
      <c r="N382" s="3"/>
      <c r="O382" s="3"/>
    </row>
    <row r="383" spans="2:15" ht="12.75" customHeight="1" outlineLevel="2">
      <c r="B383" s="710" t="s">
        <v>1071</v>
      </c>
      <c r="C383" s="715" t="s">
        <v>1079</v>
      </c>
      <c r="D383" s="711"/>
      <c r="E383" s="712"/>
      <c r="F383" s="712" t="s">
        <v>998</v>
      </c>
      <c r="G383" s="746">
        <v>0.27</v>
      </c>
      <c r="H383" s="746">
        <v>0.3</v>
      </c>
      <c r="I383" s="713">
        <v>20</v>
      </c>
      <c r="J383" s="564"/>
      <c r="K383" s="3"/>
      <c r="L383" s="3"/>
      <c r="M383" s="3"/>
      <c r="N383" s="3"/>
      <c r="O383" s="3"/>
    </row>
    <row r="384" spans="2:15" ht="12.75" customHeight="1" outlineLevel="2">
      <c r="B384" s="710" t="s">
        <v>1072</v>
      </c>
      <c r="C384" s="715" t="s">
        <v>1080</v>
      </c>
      <c r="D384" s="711"/>
      <c r="E384" s="712"/>
      <c r="F384" s="712" t="s">
        <v>999</v>
      </c>
      <c r="G384" s="746">
        <v>0.26</v>
      </c>
      <c r="H384" s="746">
        <v>0.27</v>
      </c>
      <c r="I384" s="713">
        <v>8</v>
      </c>
      <c r="J384" s="564"/>
      <c r="K384" s="3"/>
      <c r="L384" s="3"/>
      <c r="M384" s="3"/>
      <c r="N384" s="3"/>
      <c r="O384" s="3"/>
    </row>
    <row r="385" spans="2:15" ht="12.75" customHeight="1" outlineLevel="2">
      <c r="B385" s="710"/>
      <c r="C385" s="715" t="s">
        <v>1213</v>
      </c>
      <c r="D385" s="711"/>
      <c r="E385" s="712"/>
      <c r="F385" s="712" t="s">
        <v>1211</v>
      </c>
      <c r="G385" s="746">
        <v>0.26</v>
      </c>
      <c r="H385" s="746">
        <v>0.3</v>
      </c>
      <c r="I385" s="713">
        <v>11</v>
      </c>
      <c r="J385" s="564"/>
      <c r="K385" s="3"/>
      <c r="L385" s="3"/>
      <c r="M385" s="3"/>
      <c r="N385" s="3"/>
      <c r="O385" s="3"/>
    </row>
    <row r="386" spans="2:15" ht="12.75" customHeight="1" outlineLevel="2">
      <c r="B386" s="703"/>
      <c r="C386" s="716" t="s">
        <v>1212</v>
      </c>
      <c r="D386" s="651"/>
      <c r="E386" s="652"/>
      <c r="F386" s="776" t="s">
        <v>997</v>
      </c>
      <c r="G386" s="747">
        <v>0.28000000000000003</v>
      </c>
      <c r="H386" s="747">
        <v>0.33</v>
      </c>
      <c r="I386" s="777">
        <v>20</v>
      </c>
      <c r="J386" s="564"/>
      <c r="K386" s="3"/>
      <c r="L386" s="3"/>
      <c r="M386" s="3"/>
      <c r="N386" s="3"/>
      <c r="O386" s="3"/>
    </row>
    <row r="387" spans="2:15" ht="12.75" customHeight="1" outlineLevel="2">
      <c r="B387" s="42"/>
      <c r="C387" s="22"/>
      <c r="D387" s="27"/>
      <c r="E387" s="49"/>
      <c r="F387" s="49"/>
      <c r="G387" s="49"/>
      <c r="H387" s="49"/>
      <c r="I387" s="49"/>
      <c r="J387" s="49"/>
      <c r="K387" s="3"/>
      <c r="L387" s="3"/>
      <c r="M387" s="3"/>
      <c r="N387" s="3"/>
      <c r="O387" s="3"/>
    </row>
    <row r="388" spans="2:15" ht="12.75" customHeight="1" outlineLevel="2">
      <c r="B388" s="42"/>
      <c r="C388" s="505" t="s">
        <v>2013</v>
      </c>
      <c r="D388" s="27"/>
      <c r="E388" s="49"/>
      <c r="F388" s="49"/>
      <c r="G388" s="49"/>
      <c r="H388" s="49"/>
      <c r="I388" s="49"/>
      <c r="J388" s="49"/>
      <c r="K388" s="3"/>
      <c r="L388" s="3"/>
      <c r="M388" s="3"/>
      <c r="N388" s="3"/>
      <c r="O388" s="3"/>
    </row>
    <row r="389" spans="2:15" ht="12.75" customHeight="1" outlineLevel="2">
      <c r="B389" s="42"/>
      <c r="C389" s="505" t="s">
        <v>2184</v>
      </c>
      <c r="D389" s="27"/>
      <c r="E389" s="49"/>
      <c r="F389" s="49"/>
      <c r="G389" s="49"/>
      <c r="H389" s="49"/>
      <c r="I389" s="49"/>
      <c r="J389" s="49"/>
      <c r="K389" s="3"/>
      <c r="L389" s="3"/>
      <c r="M389" s="3"/>
      <c r="N389" s="3"/>
      <c r="O389" s="3"/>
    </row>
    <row r="390" spans="2:15" ht="12.75" customHeight="1" outlineLevel="2">
      <c r="B390" s="42"/>
      <c r="C390" s="505" t="s">
        <v>2242</v>
      </c>
      <c r="D390" s="27"/>
      <c r="E390" s="49"/>
      <c r="F390" s="49"/>
      <c r="G390" s="49"/>
      <c r="H390" s="49"/>
      <c r="I390" s="49"/>
      <c r="J390" s="49"/>
      <c r="K390" s="3"/>
      <c r="L390" s="3"/>
      <c r="M390" s="3"/>
      <c r="N390" s="3"/>
      <c r="O390" s="3"/>
    </row>
    <row r="391" spans="2:15" ht="12.75" customHeight="1" outlineLevel="2">
      <c r="B391" s="42"/>
      <c r="C391" s="505" t="s">
        <v>2243</v>
      </c>
      <c r="D391" s="27"/>
      <c r="E391" s="49"/>
      <c r="F391" s="49"/>
      <c r="G391" s="49"/>
      <c r="H391" s="49"/>
      <c r="I391" s="49"/>
      <c r="J391" s="49"/>
      <c r="K391" s="3"/>
      <c r="L391" s="3"/>
      <c r="M391" s="3"/>
      <c r="N391" s="3"/>
      <c r="O391" s="3"/>
    </row>
    <row r="392" spans="2:15" ht="12.75" customHeight="1" outlineLevel="2">
      <c r="B392" s="42"/>
      <c r="C392" s="505"/>
      <c r="D392" s="27"/>
      <c r="E392" s="49"/>
      <c r="F392" s="49"/>
      <c r="G392" s="49"/>
      <c r="H392" s="49"/>
      <c r="I392" s="49"/>
      <c r="J392" s="49"/>
      <c r="K392" s="3"/>
      <c r="L392" s="3"/>
      <c r="M392" s="3"/>
      <c r="N392" s="3"/>
      <c r="O392" s="3"/>
    </row>
    <row r="393" spans="2:15" ht="12.75" customHeight="1" outlineLevel="2">
      <c r="B393" s="346"/>
      <c r="C393" s="20"/>
      <c r="D393" s="81"/>
      <c r="E393" s="347"/>
      <c r="F393" s="347"/>
      <c r="G393" s="348"/>
      <c r="H393" s="347"/>
      <c r="I393" s="347"/>
      <c r="J393" s="347"/>
      <c r="K393" s="3"/>
      <c r="L393" s="3"/>
      <c r="M393" s="3"/>
      <c r="N393" s="3"/>
      <c r="O393" s="3"/>
    </row>
    <row r="394" spans="2:15" ht="12.75" customHeight="1" outlineLevel="2">
      <c r="B394" s="84" t="str">
        <f>HBL!$AA$1258</f>
        <v>Calculated value</v>
      </c>
      <c r="C394" s="22"/>
      <c r="D394" s="23"/>
      <c r="E394" s="89"/>
      <c r="F394" s="89"/>
      <c r="G394" s="90"/>
      <c r="H394" s="89"/>
      <c r="I394" s="89"/>
      <c r="J394" s="89"/>
      <c r="K394" s="3"/>
      <c r="L394" s="3"/>
      <c r="M394" s="3"/>
      <c r="N394" s="3"/>
      <c r="O394" s="3"/>
    </row>
    <row r="395" spans="2:15" ht="12.75" customHeight="1" outlineLevel="2">
      <c r="B395" s="657" t="str">
        <f>HBL!$AA$1386</f>
        <v>Main burner</v>
      </c>
      <c r="C395" s="658"/>
      <c r="D395" s="659" t="s">
        <v>486</v>
      </c>
      <c r="E395" s="750">
        <f>IF(MBZ_FUEL1="","",MBZ_FUEL1*1000*LHV_FUEL1/1000)</f>
        <v>183330</v>
      </c>
      <c r="F395" s="661">
        <f>IF(MBZ_FUEL2="","",MBZ_FUEL2*1000*LHV_FUEL2/1000)</f>
        <v>41702.289999999994</v>
      </c>
      <c r="G395" s="660" t="str">
        <f>IF(MBZ_FUEL3="","",MBZ_FUEL3*1000*LHV_FUEL3/1000)</f>
        <v/>
      </c>
      <c r="H395" s="660" t="str">
        <f>IF(MBZ_FUEL4="","",MBZ_FUEL4*1000*LHV_FUEL4/1000)</f>
        <v/>
      </c>
      <c r="I395" s="660" t="str">
        <f>IF(MBZ_FUEL5="","",MBZ_FUEL5*1000*LHV_FUEL5/1000)</f>
        <v/>
      </c>
      <c r="J395" s="660" t="str">
        <f>IF(MBZ_FUEL6="","",MBZ_FUEL6*1000*LHV_FUEL6/1000)</f>
        <v/>
      </c>
      <c r="K395" s="3"/>
      <c r="L395" s="3"/>
      <c r="M395" s="3"/>
      <c r="N395" s="3"/>
      <c r="O395" s="3"/>
    </row>
    <row r="396" spans="2:15" ht="12.75" customHeight="1" outlineLevel="2">
      <c r="B396" s="662" t="s">
        <v>1819</v>
      </c>
      <c r="C396" s="663"/>
      <c r="D396" s="637" t="s">
        <v>486</v>
      </c>
      <c r="E396" s="751" t="str">
        <f>IF(MSF_FUEL1="","",MSF_FUEL1*1000*LHV_FUEL1/1000)</f>
        <v/>
      </c>
      <c r="F396" s="665" t="str">
        <f>IF(MSF_FUEL2="","",MSF_FUEL2*1000*LHV_FUEL2/1000)</f>
        <v/>
      </c>
      <c r="G396" s="666" t="str">
        <f>IF(MSF_FUEL3="","",MSF_FUEL3*1000*LHV_FUEL3/1000)</f>
        <v/>
      </c>
      <c r="H396" s="664" t="str">
        <f>IF(MSF_FUEL4="","",MSF_FUEL4*1000*LHV_FUEL4/1000)</f>
        <v/>
      </c>
      <c r="I396" s="664" t="str">
        <f>IF(MSF_FUEL5="","",MSF_FUEL5*1000*LHV_FUEL5/1000)</f>
        <v/>
      </c>
      <c r="J396" s="664" t="str">
        <f>IF(MSF_FUEL6="","",MSF_FUEL6*1000*LHV_FUEL6/1000)</f>
        <v/>
      </c>
      <c r="K396" s="3"/>
      <c r="L396" s="3"/>
      <c r="M396" s="3"/>
      <c r="N396" s="3"/>
      <c r="O396" s="3"/>
    </row>
    <row r="397" spans="2:15" ht="12.75" customHeight="1" outlineLevel="2">
      <c r="B397" s="667" t="str">
        <f>HBL!$AA$1417</f>
        <v>Calciner</v>
      </c>
      <c r="C397" s="663"/>
      <c r="D397" s="637" t="s">
        <v>486</v>
      </c>
      <c r="E397" s="751">
        <f>IF(MCZ_FUEL1="","",MCZ_FUEL1*1000*LHV_FUEL1/1000)</f>
        <v>269757</v>
      </c>
      <c r="F397" s="665" t="str">
        <f>IF(MCZ_FUEL2="","",MCZ_FUEL2*1000*LHV_FUEL2/1000)</f>
        <v/>
      </c>
      <c r="G397" s="666">
        <f>IF(MCZ_FUEL3="","",MCZ_FUEL3*1000*LHV_FUEL3/1000)</f>
        <v>67606.2</v>
      </c>
      <c r="H397" s="664" t="str">
        <f>IF(MCZ_FUEL4="","",MCZ_FUEL4*1000*LHV_FUEL4/1000)</f>
        <v/>
      </c>
      <c r="I397" s="664" t="str">
        <f>IF(MCZ_FUEL5="","",MCZ_FUEL5*1000*LHV_FUEL5/1000)</f>
        <v/>
      </c>
      <c r="J397" s="664" t="str">
        <f>IF(MCZ_FUEL6="","",MCZ_FUEL6*1000*LHV_FUEL6/1000)</f>
        <v/>
      </c>
      <c r="K397" s="3"/>
      <c r="L397" s="3"/>
      <c r="M397" s="3"/>
      <c r="N397" s="3"/>
      <c r="O397" s="3"/>
    </row>
    <row r="398" spans="2:15" ht="12.75" customHeight="1" outlineLevel="2">
      <c r="B398" s="668" t="str">
        <f>HBL!$AA$1237</f>
        <v>Ash input</v>
      </c>
      <c r="C398" s="669"/>
      <c r="D398" s="670" t="s">
        <v>428</v>
      </c>
      <c r="E398" s="786">
        <f>IF(M_FUEL1=0,"",M_FUEL1*E352/100)</f>
        <v>2.5950000000000002</v>
      </c>
      <c r="F398" s="787">
        <f>IF(M_FUEL2=0,"",M_FUEL2*F352/100)</f>
        <v>0.20299999999999996</v>
      </c>
      <c r="G398" s="788">
        <f>IF(M_FUEL3=0,"",M_FUEL3*G352/100)</f>
        <v>0.21299999999999997</v>
      </c>
      <c r="H398" s="789" t="str">
        <f>IF(M_FUEL4=0,"",M_FUEL4*H352/100)</f>
        <v/>
      </c>
      <c r="I398" s="789" t="str">
        <f>IF(M_FUEL5=0,"",M_FUEL5*I352/100)</f>
        <v/>
      </c>
      <c r="J398" s="789" t="str">
        <f>IF(M_FUEL6=0,"",M_FUEL6*J352/100)</f>
        <v/>
      </c>
      <c r="K398" s="3"/>
      <c r="L398" s="3"/>
      <c r="M398" s="3"/>
      <c r="N398" s="3"/>
      <c r="O398" s="3"/>
    </row>
    <row r="399" spans="2:15" ht="12.75" customHeight="1" outlineLevel="2">
      <c r="B399" s="674" t="str">
        <f>HBL!$AA$1646</f>
        <v>Water input kiln</v>
      </c>
      <c r="C399" s="669"/>
      <c r="D399" s="670" t="s">
        <v>428</v>
      </c>
      <c r="E399" s="752">
        <f>IF(MBZ_FUEL1="","",MBZ_FUEL1*H2O_FUEL1/100)</f>
        <v>0</v>
      </c>
      <c r="F399" s="672">
        <f>IF(MBZ_FUEL2="","",MBZ_FUEL2*H2O_FUEL2/100)</f>
        <v>0</v>
      </c>
      <c r="G399" s="673" t="str">
        <f>IF(MBZ_FUEL3="","",MBZ_FUEL3*H2O_FUEL3/100)</f>
        <v/>
      </c>
      <c r="H399" s="671" t="str">
        <f>IF(MBZ_FUEL4="","",MBZ_FUEL4*H2O_FUEL4/100)</f>
        <v/>
      </c>
      <c r="I399" s="671" t="str">
        <f>IF(MBZ_FUEL5="","",MBZ_FUEL5*H2O_FUEL5/100)</f>
        <v/>
      </c>
      <c r="J399" s="671" t="str">
        <f>IF(MBZ_FUEL6="","",MBZ_FUEL6*H2O_FUEL6/100)</f>
        <v/>
      </c>
      <c r="K399" s="3"/>
      <c r="L399" s="3"/>
      <c r="M399" s="3"/>
      <c r="N399" s="3"/>
      <c r="O399" s="3"/>
    </row>
    <row r="400" spans="2:15" ht="12.75" customHeight="1" outlineLevel="2">
      <c r="B400" s="674" t="str">
        <f>HBL!$AA$1647</f>
        <v>Water input calciner</v>
      </c>
      <c r="C400" s="669"/>
      <c r="D400" s="670" t="s">
        <v>428</v>
      </c>
      <c r="E400" s="752">
        <f>IF(MCZ_FUEL1="","",MCZ_FUEL1*H2O_FUEL1/100)</f>
        <v>0</v>
      </c>
      <c r="F400" s="672" t="str">
        <f>IF(MCZ_FUEL2="","",MCZ_FUEL2*H2O_FUEL2/100)</f>
        <v/>
      </c>
      <c r="G400" s="673">
        <f>IF(MCZ_FUEL3="","",MCZ_FUEL3*H2O_FUEL3/100)</f>
        <v>0</v>
      </c>
      <c r="H400" s="671" t="str">
        <f>IF(MCZ_FUEL4="","",MCZ_FUEL4*H2O_FUEL4/100)</f>
        <v/>
      </c>
      <c r="I400" s="671" t="str">
        <f>IF(MCZ_FUEL5="","",MCZ_FUEL5*H2O_FUEL5/100)</f>
        <v/>
      </c>
      <c r="J400" s="671" t="str">
        <f>IF(MCZ_FUEL6="","",MCZ_FUEL6*H2O_FUEL6/100)</f>
        <v/>
      </c>
      <c r="K400" s="3"/>
      <c r="L400" s="3"/>
      <c r="M400" s="3"/>
      <c r="N400" s="3"/>
      <c r="O400" s="3"/>
    </row>
    <row r="401" spans="2:15" ht="12.75" customHeight="1" outlineLevel="2">
      <c r="B401" s="674" t="str">
        <f>HBL!$AA$1597</f>
        <v>Combust. air kiln</v>
      </c>
      <c r="C401" s="669"/>
      <c r="D401" s="675" t="s">
        <v>474</v>
      </c>
      <c r="E401" s="752">
        <f>IF(MBZ_FUEL1="","", MBZ_FUEL1*1000*LHV_FUEL1*Amin_FUEL1/1000)</f>
        <v>47665.8</v>
      </c>
      <c r="F401" s="672">
        <f>IF(MBZ_FUEL2="","",MBZ_FUEL2*1000*LHV_FUEL2*Amin_FUEL2/1000)</f>
        <v>10842.595399999998</v>
      </c>
      <c r="G401" s="673" t="str">
        <f>IF(MBZ_FUEL3="","",MBZ_FUEL3*1000*LHV_FUEL3*Amin_FUEL3/1000)</f>
        <v/>
      </c>
      <c r="H401" s="671" t="str">
        <f>IF(MBZ_FUEL4="","",MBZ_FUEL4*1000*LHV_FUEL4*Amin_FUEL4/1000)</f>
        <v/>
      </c>
      <c r="I401" s="671" t="str">
        <f>IF(MBZ_FUEL5="","",MBZ_FUEL5*1000*LHV_FUEL5*Amin_FUEL5/1000)</f>
        <v/>
      </c>
      <c r="J401" s="671" t="str">
        <f>IF(MBZ_FUEL6="","",MBZ_FUEL6*1000*LHV_FUEL6*Amin_FUEL6/1000)</f>
        <v/>
      </c>
      <c r="K401" s="3"/>
      <c r="L401" s="3"/>
      <c r="M401" s="10"/>
      <c r="N401" s="3"/>
      <c r="O401" s="3"/>
    </row>
    <row r="402" spans="2:15" ht="12.75" customHeight="1" outlineLevel="2">
      <c r="B402" s="676" t="s">
        <v>1947</v>
      </c>
      <c r="C402" s="669"/>
      <c r="D402" s="675" t="s">
        <v>474</v>
      </c>
      <c r="E402" s="752" t="str">
        <f>IF(MSF_FUEL1="","", MSF_FUEL1*1000*LHV_FUEL1*Amin_FUEL1/1000)</f>
        <v/>
      </c>
      <c r="F402" s="672" t="str">
        <f>IF(MSF_FUEL2="","", MSF_FUEL2*1000*LHV_FUEL2*Amin_FUEL1/1000)</f>
        <v/>
      </c>
      <c r="G402" s="673" t="str">
        <f>IF(MSF_FUEL3="","", MSF_FUEL3*1000*LHV_FUEL3*Amin_FUEL3/1000)</f>
        <v/>
      </c>
      <c r="H402" s="671" t="str">
        <f>IF(MSF_FUEL4="","", MSF_FUEL4*1000*LHV_FUEL4*Amin_FUEL4/1000)</f>
        <v/>
      </c>
      <c r="I402" s="671" t="str">
        <f>IF(MSF_FUEL5="","", MSF_FUEL5*1000*LHV_FUEL5*Amin_FUEL5/1000)</f>
        <v/>
      </c>
      <c r="J402" s="671" t="str">
        <f>IF(MSF_FUEL6="","", MSF_FUEL6*1000*LHV_FUEL6*Amin_FUEL6/1000)</f>
        <v/>
      </c>
      <c r="K402" s="3"/>
      <c r="L402" s="3"/>
      <c r="M402" s="3"/>
      <c r="N402" s="3"/>
      <c r="O402" s="3"/>
    </row>
    <row r="403" spans="2:15" ht="12.75" customHeight="1" outlineLevel="2">
      <c r="B403" s="674" t="str">
        <f>HBL!$AA$1598</f>
        <v>Combust. air calciner</v>
      </c>
      <c r="C403" s="669"/>
      <c r="D403" s="637" t="s">
        <v>474</v>
      </c>
      <c r="E403" s="752">
        <f>IF(MCZ_FUEL1="","",MCZ_FUEL1*1000*LHV_FUEL1*Amin_FUEL1/1000)</f>
        <v>70136.820000000007</v>
      </c>
      <c r="F403" s="672" t="str">
        <f>IF(MCZ_FUEL2="","",MCZ_FUEL2*1000*LHV_FUEL2*Amin_FUEL2/1000)</f>
        <v/>
      </c>
      <c r="G403" s="671">
        <f>IF(MCZ_FUEL3="","",MCZ_FUEL3*1000*LHV_FUEL3*Amin_FUEL3/1000)</f>
        <v>17577.612000000001</v>
      </c>
      <c r="H403" s="671" t="str">
        <f>IF(MCZ_FUEL4="","",MCZ_FUEL4*1000*LHV_FUEL4*Amin_FUEL4/1000)</f>
        <v/>
      </c>
      <c r="I403" s="671" t="str">
        <f>IF(MCZ_FUEL5="","",MCZ_FUEL5*1000*LHV_FUEL5*Amin_FUEL5/1000)</f>
        <v/>
      </c>
      <c r="J403" s="671" t="str">
        <f>IF(MCZ_FUEL6="","",MCZ_FUEL6*1000*LHV_FUEL6*Amin_FUEL6/1000)</f>
        <v/>
      </c>
      <c r="K403" s="3"/>
      <c r="L403" s="3"/>
      <c r="M403" s="3"/>
      <c r="N403" s="3"/>
      <c r="O403" s="3"/>
    </row>
    <row r="404" spans="2:15" ht="12.75" customHeight="1" outlineLevel="2">
      <c r="B404" s="674" t="str">
        <f>HBL!$AA$1599</f>
        <v>Combust. gas kiln</v>
      </c>
      <c r="C404" s="669"/>
      <c r="D404" s="637" t="s">
        <v>474</v>
      </c>
      <c r="E404" s="752">
        <f>IF(MBZ_FUEL1="","",MBZ_FUEL1*1000*LHV_FUEL1*Vmin_FUEL1/1000)</f>
        <v>51332.400000000009</v>
      </c>
      <c r="F404" s="664">
        <f>IF(MBZ_FUEL2="","",MBZ_FUEL2*1000*LHV_FUEL2*Vmin_FUEL2/1000)</f>
        <v>12093.664099999998</v>
      </c>
      <c r="G404" s="677" t="str">
        <f>IF(MBZ_FUEL3="","",MBZ_FUEL3*1000*LHV_FUEL3*Vmin_FUEL3/1000)</f>
        <v/>
      </c>
      <c r="H404" s="671" t="str">
        <f>IF(MBZ_FUEL4="","",MBZ_FUEL4*1000*LHV_FUEL4*Vmin_FUEL4/1000)</f>
        <v/>
      </c>
      <c r="I404" s="671" t="str">
        <f>IF(MBZ_FUEL5="","",MBZ_FUEL5*1000*LHV_FUEL5*Vmin_FUEL5/1000)</f>
        <v/>
      </c>
      <c r="J404" s="671" t="str">
        <f>IF(MBZ_FUEL6="","",MBZ_FUEL6*1000*LHV_FUEL6*Vmin_FUEL6/1000)</f>
        <v/>
      </c>
      <c r="K404" s="3"/>
      <c r="L404" s="3"/>
      <c r="M404" s="3"/>
      <c r="N404" s="3"/>
      <c r="O404" s="3"/>
    </row>
    <row r="405" spans="2:15" ht="12.75" customHeight="1" outlineLevel="2">
      <c r="B405" s="674"/>
      <c r="C405" s="663" t="str">
        <f>HBL!$AA$1577</f>
        <v>dry</v>
      </c>
      <c r="D405" s="637" t="s">
        <v>474</v>
      </c>
      <c r="E405" s="752">
        <f>IF(MBZ_FUEL1="","",MBZ_FUEL1*1000*LHV_FUEL1*Vmin_FUEL1*(1-H2O_Vmin1/100)/1000)</f>
        <v>48252.456000000006</v>
      </c>
      <c r="F405" s="664">
        <f>IF(MBZ_FUEL2="","",MBZ_FUEL2*1000*LHV_FUEL2*Vmin_FUEL2*(1-H2O_Vmin2/100)/1000)</f>
        <v>10763.361048999999</v>
      </c>
      <c r="G405" s="677" t="str">
        <f>IF(MBZ_FUEL3="","",MBZ_FUEL3*1000*LHV_FUEL3*Vmin_FUEL3*(1-H2O_Vmin3/100)/1000)</f>
        <v/>
      </c>
      <c r="H405" s="671" t="str">
        <f>IF(MBZ_FUEL4="","",MBZ_FUEL4*1000*LHV_FUEL4*Vmin_FUEL4*(1-H2O_Vmin4/100)/1000)</f>
        <v/>
      </c>
      <c r="I405" s="671" t="str">
        <f>IF(MBZ_FUEL5="","",MBZ_FUEL5*1000*LHV_FUEL5*Vmin_FUEL5*(1-H2O_Vmin5/100)/1000)</f>
        <v/>
      </c>
      <c r="J405" s="671" t="str">
        <f>IF(MBZ_FUEL6="","",MBZ_FUEL6*1000*LHV_FUEL6*Vmin_FUEL6*(1-H2O_Vmin6/100)/1000)</f>
        <v/>
      </c>
      <c r="K405" s="3"/>
      <c r="L405" s="3"/>
      <c r="M405" s="3"/>
      <c r="N405" s="3"/>
      <c r="O405" s="3"/>
    </row>
    <row r="406" spans="2:15" ht="12.75" customHeight="1" outlineLevel="2">
      <c r="B406" s="676" t="s">
        <v>1947</v>
      </c>
      <c r="C406" s="663"/>
      <c r="D406" s="637" t="s">
        <v>474</v>
      </c>
      <c r="E406" s="752" t="str">
        <f>IF(MSF_FUEL1="","",MSF_FUEL1*1000*LHV_FUEL1*Vmin_FUEL1/1000)</f>
        <v/>
      </c>
      <c r="F406" s="672" t="str">
        <f>IF(MSF_FUEL2="","",MSF_FUEL2*1000*LHV_FUEL2*Vmin_FUEL2/1000)</f>
        <v/>
      </c>
      <c r="G406" s="673" t="str">
        <f>IF(MSF_FUEL3="","",MSF_FUEL3*1000*LHV_FUEL3*Vmin_FUEL3/1000)</f>
        <v/>
      </c>
      <c r="H406" s="671" t="str">
        <f>IF(MSF_FUEL4="","",MSF_FUEL4*1000*LHV_FUEL4*Vmin_FUEL4/1000)</f>
        <v/>
      </c>
      <c r="I406" s="671" t="str">
        <f>IF(MSF_FUEL5="","",MSF_FUEL5*1000*LHV_FUEL5*Vmin_FUEL5/1000)</f>
        <v/>
      </c>
      <c r="J406" s="671" t="str">
        <f>IF(MSF_FUEL6="","",MSF_FUEL6*1000*LHV_FUEL6*Vmin_FUEL6/1000)</f>
        <v/>
      </c>
      <c r="K406" s="3"/>
      <c r="L406" s="3"/>
      <c r="M406" s="3"/>
      <c r="N406" s="3"/>
      <c r="O406" s="3"/>
    </row>
    <row r="407" spans="2:15" ht="12.75" customHeight="1" outlineLevel="2">
      <c r="B407" s="674"/>
      <c r="C407" s="663" t="str">
        <f>HBL!$AA$1577</f>
        <v>dry</v>
      </c>
      <c r="D407" s="637" t="s">
        <v>474</v>
      </c>
      <c r="E407" s="752" t="str">
        <f>IF(MSF_FUEL1="","",MSF_FUEL1*1000*LHV_FUEL1*Vmin_FUEL1*(1-H2O_Vmin1/100)/1000)</f>
        <v/>
      </c>
      <c r="F407" s="672" t="str">
        <f>IF(MSF_FUEL2="","",MSF_FUEL2*1000*LHV_FUEL2*Vmin_FUEL2*(1-H2O_Vmin2/100)/1000)</f>
        <v/>
      </c>
      <c r="G407" s="673" t="str">
        <f>IF(MSF_FUEL3="","",MSF_FUEL3*1000*LHV_FUEL3*Vmin_FUEL3*(1-H2O_Vmin3/100)/1000)</f>
        <v/>
      </c>
      <c r="H407" s="671" t="str">
        <f>IF(MSF_FUEL4="","",MSF_FUEL4*1000*LHV_FUEL4*Vmin_FUEL4*(1-H2O_Vmin4/100)/1000)</f>
        <v/>
      </c>
      <c r="I407" s="671" t="str">
        <f>IF(MSF_FUEL5="","",MSF_FUEL5*1000*LHV_FUEL5*Vmin_FUEL5*(1-H2O_Vmin5/100)/1000)</f>
        <v/>
      </c>
      <c r="J407" s="671" t="str">
        <f>IF(MSF_FUEL6="","",MSF_FUEL6*1000*LHV_FUEL6*Vmin_FUEL6*(1-H2O_Vmin6/100)/1000)</f>
        <v/>
      </c>
      <c r="K407" s="3"/>
      <c r="L407" s="3"/>
      <c r="M407" s="3"/>
      <c r="N407" s="3"/>
      <c r="O407" s="3"/>
    </row>
    <row r="408" spans="2:15" ht="12.75" customHeight="1" outlineLevel="2">
      <c r="B408" s="674" t="str">
        <f>HBL!$AA$1600</f>
        <v>Combust. gas calciner</v>
      </c>
      <c r="C408" s="669"/>
      <c r="D408" s="637" t="s">
        <v>474</v>
      </c>
      <c r="E408" s="752">
        <f>IF(MCZ_FUEL1="","",Vmin_FUEL1*MCZ_FUEL1*1000*LHV_FUEL1/1000)</f>
        <v>75531.960000000021</v>
      </c>
      <c r="F408" s="664" t="str">
        <f>IF(MCZ_FUEL2="","",Vmin_FUEL2*MCZ_FUEL2*1000*LHV_FUEL2/1000)</f>
        <v/>
      </c>
      <c r="G408" s="677">
        <f>IF(MCZ_FUEL3="","",Vmin_FUEL3*MCZ_FUEL3*1000*LHV_FUEL3/1000)</f>
        <v>19605.797999999995</v>
      </c>
      <c r="H408" s="671" t="str">
        <f>IF(MCZ_FUEL4="","",Vmin_FUEL4*MCZ_FUEL4*1000*LHV_FUEL4/1000)</f>
        <v/>
      </c>
      <c r="I408" s="671" t="str">
        <f>IF(MCZ_FUEL5="","",Vmin_FUEL5*MCZ_FUEL5*1000*LHV_FUEL5/1000)</f>
        <v/>
      </c>
      <c r="J408" s="671" t="str">
        <f>IF(MCZ_FUEL6="","",Vmin_FUEL6*MCZ_FUEL6*1000*LHV_FUEL6/1000)</f>
        <v/>
      </c>
      <c r="K408" s="3"/>
      <c r="L408" s="3"/>
      <c r="M408" s="3"/>
      <c r="N408" s="3"/>
      <c r="O408" s="3"/>
    </row>
    <row r="409" spans="2:15" ht="12.75" customHeight="1" outlineLevel="2">
      <c r="B409" s="674"/>
      <c r="C409" s="663" t="str">
        <f>HBL!$AA$1577</f>
        <v>dry</v>
      </c>
      <c r="D409" s="637" t="s">
        <v>474</v>
      </c>
      <c r="E409" s="752">
        <f>IF(MCZ_FUEL1="","",Vmin_FUEL1*(1-H2O_Vmin1/100)*MCZ_FUEL1*1000*LHV_FUEL1/1000)</f>
        <v>71000.042400000006</v>
      </c>
      <c r="F409" s="664" t="str">
        <f>IF(MCZ_FUEL2="","",Vmin_FUEL2*(1-H2O_Vmin2/100)*MCZ_FUEL2*1000*LHV_FUEL2/1000)</f>
        <v/>
      </c>
      <c r="G409" s="677">
        <f>IF(MCZ_FUEL3="","",Vmin_FUEL3*(1-H2O_Vmin3/100)*MCZ_FUEL3*1000*LHV_FUEL3/1000)</f>
        <v>17449.160219999998</v>
      </c>
      <c r="H409" s="671" t="str">
        <f>IF(MCZ_FUEL4="","",Vmin_FUEL4*(1-H2O_Vmin4/100)*MCZ_FUEL4*1000*LHV_FUEL4/1000)</f>
        <v/>
      </c>
      <c r="I409" s="671" t="str">
        <f>IF(MCZ_FUEL5="","",Vmin_FUEL5*(1-H2O_Vmin5/100)*MCZ_FUEL5*1000*LHV_FUEL5/1000)</f>
        <v/>
      </c>
      <c r="J409" s="671" t="str">
        <f>IF(MCZ_FUEL6="","",Vmin_FUEL6*(1-H2O_Vmin6/100)*MCZ_FUEL6*1000*LHV_FUEL6/1000)</f>
        <v/>
      </c>
      <c r="K409" s="3"/>
      <c r="L409" s="3"/>
      <c r="M409" s="3"/>
      <c r="N409" s="3"/>
      <c r="O409" s="3"/>
    </row>
    <row r="410" spans="2:15" ht="12.75" customHeight="1" outlineLevel="2">
      <c r="B410" s="674" t="str">
        <f>HBL!$AA$1595</f>
        <v>Combustion gas (wet)</v>
      </c>
      <c r="C410" s="669"/>
      <c r="D410" s="637" t="s">
        <v>474</v>
      </c>
      <c r="E410" s="752">
        <f>IF(M_FUEL1=0,"",Vmin_FUEL1*M_FUEL1*1000*LHV_FUEL1/1000)</f>
        <v>126864.36</v>
      </c>
      <c r="F410" s="671">
        <f>IF(M_FUEL2=0,"",Vmin_FUEL2*M_FUEL2*1000*LHV_FUEL2/1000)</f>
        <v>12093.664099999998</v>
      </c>
      <c r="G410" s="678">
        <f>IF(M_FUEL3=0,"",Vmin_FUEL3*M_FUEL3*1000*LHV_FUEL3/1000)</f>
        <v>19605.797999999995</v>
      </c>
      <c r="H410" s="671" t="str">
        <f>IF(M_FUEL4=0,"",Vmin_FUEL4*M_FUEL4*1000*LHV_FUEL4/1000)</f>
        <v/>
      </c>
      <c r="I410" s="671" t="str">
        <f>IF(M_FUEL5=0,"",Vmin_FUEL5*M_FUEL5*1000*LHV_FUEL5/1000)</f>
        <v/>
      </c>
      <c r="J410" s="671" t="str">
        <f>IF(M_FUEL6=0,"",Vmin_FUEL6*M_FUEL6*1000*LHV_FUEL6/1000)</f>
        <v/>
      </c>
      <c r="K410" s="3"/>
      <c r="L410" s="3"/>
      <c r="M410" s="3"/>
      <c r="N410" s="3"/>
      <c r="O410" s="3"/>
    </row>
    <row r="411" spans="2:15" ht="12.75" customHeight="1" outlineLevel="2">
      <c r="B411" s="94"/>
      <c r="C411" s="421" t="str">
        <f>HBL!$AA$1577</f>
        <v>dry</v>
      </c>
      <c r="D411" s="25" t="s">
        <v>474</v>
      </c>
      <c r="E411" s="753">
        <f>IF(M_FUEL1=0,"",Vmin_FUEL1*(1-H2O_Vmin1/100)*M_FUEL1*1000*LHV_FUEL1/1000)</f>
        <v>119252.4984</v>
      </c>
      <c r="F411" s="432">
        <f>IF(M_FUEL2=0,"",Vmin_FUEL2*(1-H2O_Vmin2/100)*M_FUEL2*1000*LHV_FUEL2/1000)</f>
        <v>10763.361049000001</v>
      </c>
      <c r="G411" s="433">
        <f>IF(M_FUEL3=0,"",Vmin_FUEL3*(1-H2O_Vmin3/100)*M_FUEL3*1000*LHV_FUEL3/1000)</f>
        <v>17449.160219999998</v>
      </c>
      <c r="H411" s="422" t="str">
        <f>IF(M_FUEL4=0,"",Vmin_FUEL4*(1-H2O_Vmin4/100)*M_FUEL4*1000*LHV_FUEL4/1000)</f>
        <v/>
      </c>
      <c r="I411" s="422" t="str">
        <f>IF(M_FUEL5=0,"",Vmin_FUEL5*(1-H2O_Vmin5/100)*M_FUEL5*1000*LHV_FUEL5/1000)</f>
        <v/>
      </c>
      <c r="J411" s="422" t="str">
        <f>IF(M_FUEL6=0,"",Vmin_FUEL6*(1-H2O_Vmin6/100)*M_FUEL6*1000*LHV_FUEL6/1000)</f>
        <v/>
      </c>
      <c r="K411" s="3"/>
      <c r="L411" s="3"/>
      <c r="M411" s="3"/>
      <c r="N411" s="3"/>
      <c r="O411" s="3"/>
    </row>
    <row r="412" spans="2:15" ht="12.75" customHeight="1" outlineLevel="2">
      <c r="K412" s="3"/>
      <c r="L412" s="3"/>
      <c r="M412" s="3"/>
      <c r="N412" s="3"/>
      <c r="O412" s="3"/>
    </row>
    <row r="413" spans="2:15" ht="12.75" customHeight="1" outlineLevel="2" thickBot="1">
      <c r="E413" s="46"/>
      <c r="K413" s="3"/>
      <c r="L413" s="3"/>
      <c r="M413" s="3"/>
      <c r="N413" s="3"/>
      <c r="O413" s="3"/>
    </row>
    <row r="414" spans="2:15" ht="12.75" customHeight="1" outlineLevel="2">
      <c r="B414" s="1" t="str">
        <f>HBL!$AA$1369</f>
        <v>Total heat input</v>
      </c>
      <c r="D414" s="1" t="str">
        <f>HBL!$AA$1386</f>
        <v>Main burner</v>
      </c>
      <c r="F414" s="973">
        <f>IF(SUM($E$395:$J$395)=0,"",SUM($E$395:$J$395)/M_CLI)</f>
        <v>1340.275699821322</v>
      </c>
      <c r="G414" s="5" t="s">
        <v>443</v>
      </c>
      <c r="H414"/>
      <c r="I414" s="976">
        <f>IF(Q_BZ="","",Q_BZ/SUM(Q_BZ:Q_CZ)*100)</f>
        <v>40.013174714470054</v>
      </c>
      <c r="J414" t="s">
        <v>431</v>
      </c>
      <c r="K414" s="3"/>
      <c r="L414" s="3"/>
      <c r="M414" s="3"/>
      <c r="N414" s="3"/>
      <c r="O414" s="3"/>
    </row>
    <row r="415" spans="2:15" ht="12.75" customHeight="1" outlineLevel="2">
      <c r="D415" t="s">
        <v>1819</v>
      </c>
      <c r="F415" s="974">
        <f>IF(SUM($E$396:$J$396)=0,0,SUM($E$396:$J$396)/M_CLI)</f>
        <v>0</v>
      </c>
      <c r="G415" s="5" t="s">
        <v>443</v>
      </c>
      <c r="H415"/>
      <c r="I415" s="977">
        <f>IF(Q_SF="","",Q_SF/SUM(Q_BZ:Q_CZ)*100)</f>
        <v>0</v>
      </c>
      <c r="J415" t="s">
        <v>431</v>
      </c>
      <c r="K415" s="3"/>
      <c r="L415" s="3"/>
      <c r="M415" s="3"/>
      <c r="N415" s="3"/>
      <c r="O415" s="3"/>
    </row>
    <row r="416" spans="2:15" ht="12.75" customHeight="1" outlineLevel="2" thickBot="1">
      <c r="D416" s="95" t="str">
        <f>HBL!$AA$1417</f>
        <v>Calciner</v>
      </c>
      <c r="F416" s="975">
        <f>IF(SUM(E397:J397)=0,"",SUM(E397:J397)/M_CLI)</f>
        <v>2009.3103037522335</v>
      </c>
      <c r="G416" s="5" t="s">
        <v>443</v>
      </c>
      <c r="H416"/>
      <c r="I416" s="978">
        <f>IF(Q_CZ="","",Q_CZ/SUM(Q_BZ:Q_CZ)*100)</f>
        <v>59.986825285529946</v>
      </c>
      <c r="J416" s="377" t="s">
        <v>431</v>
      </c>
      <c r="K416" s="3"/>
      <c r="L416" s="3"/>
      <c r="M416" s="3"/>
      <c r="N416" s="3"/>
      <c r="O416" s="3"/>
    </row>
    <row r="417" spans="1:24" ht="12.75" customHeight="1" outlineLevel="2" thickBot="1">
      <c r="C417"/>
      <c r="K417" s="3"/>
      <c r="L417" s="3"/>
      <c r="M417" s="3"/>
      <c r="N417" s="3"/>
      <c r="O417" s="3"/>
    </row>
    <row r="418" spans="1:24" ht="12.75" customHeight="1" outlineLevel="2" thickBot="1">
      <c r="B418"/>
      <c r="C418"/>
      <c r="D418"/>
      <c r="E418"/>
      <c r="F418" s="1" t="str">
        <f>HBL!$AA$1355</f>
        <v>Kiln heat balance error</v>
      </c>
      <c r="I418" s="972" t="e">
        <f>IF(KILNHBL_ERROR="","",KILNHBL_ERROR)</f>
        <v>#VALUE!</v>
      </c>
      <c r="J418" s="1" t="s">
        <v>431</v>
      </c>
      <c r="K418" s="3"/>
      <c r="L418"/>
      <c r="M418"/>
      <c r="N418"/>
      <c r="O418" s="3"/>
    </row>
    <row r="419" spans="1:24" ht="12.75" customHeight="1" outlineLevel="2">
      <c r="K419" s="3"/>
      <c r="L419"/>
      <c r="M419"/>
      <c r="N419"/>
      <c r="O419" s="3"/>
    </row>
    <row r="420" spans="1:24" ht="12.75" customHeight="1" outlineLevel="1" thickBot="1">
      <c r="F420"/>
      <c r="K420" s="3"/>
      <c r="L420"/>
      <c r="M420"/>
      <c r="N420"/>
      <c r="O420" s="3"/>
    </row>
    <row r="421" spans="1:24" ht="12.75" customHeight="1" outlineLevel="1" thickBot="1">
      <c r="A421" s="1073">
        <v>16</v>
      </c>
      <c r="B421" s="905" t="str">
        <f>HBL!$AA$1520</f>
        <v>GRATE COOLER AIR BALANCE</v>
      </c>
      <c r="C421" s="907"/>
      <c r="D421" s="904"/>
      <c r="E421" s="904"/>
      <c r="F421" s="1" t="str">
        <f>HBL!$AA$1352</f>
        <v>Cooler air balance error</v>
      </c>
      <c r="I421" s="972">
        <f>IF(AIRBAL_ERROR="","",AIRBAL_ERROR)</f>
        <v>62.727096177608466</v>
      </c>
      <c r="J421" s="1" t="s">
        <v>431</v>
      </c>
      <c r="K421" s="3"/>
      <c r="L421"/>
      <c r="M421"/>
      <c r="N421"/>
      <c r="O421" s="3"/>
    </row>
    <row r="422" spans="1:24" ht="12.75" customHeight="1" outlineLevel="2">
      <c r="K422" s="3"/>
      <c r="L422"/>
      <c r="M422" s="252"/>
      <c r="N422" s="3"/>
      <c r="O422" s="3"/>
    </row>
    <row r="423" spans="1:24" ht="12.75" customHeight="1" outlineLevel="2">
      <c r="B423" s="1" t="str">
        <f>HBL!$AA$1460</f>
        <v>Minimum air for main firing</v>
      </c>
      <c r="F423" s="298"/>
      <c r="G423"/>
      <c r="H423" s="299"/>
      <c r="I423" s="639">
        <f>IF(SUM(E401:J401)=0,"",SUM(E401:J401))</f>
        <v>58508.395400000001</v>
      </c>
      <c r="J423" t="s">
        <v>458</v>
      </c>
      <c r="K423" s="3"/>
      <c r="L423"/>
      <c r="M423"/>
      <c r="N423" s="3"/>
      <c r="O423" s="3"/>
    </row>
    <row r="424" spans="1:24" ht="12.75" customHeight="1" outlineLevel="2">
      <c r="B424" t="s">
        <v>990</v>
      </c>
      <c r="F424" s="298"/>
      <c r="G424"/>
      <c r="H424" s="299"/>
      <c r="I424" s="639">
        <f>IF(SUM(E402:J402)=0,,SUM(E402:J402))</f>
        <v>0</v>
      </c>
      <c r="J424" t="s">
        <v>458</v>
      </c>
      <c r="K424" s="3"/>
      <c r="L424"/>
      <c r="M424"/>
      <c r="N424" s="3"/>
      <c r="O424" s="3"/>
    </row>
    <row r="425" spans="1:24" ht="12.75" customHeight="1" outlineLevel="2">
      <c r="B425" s="1" t="str">
        <f>HBL!$AA$1581</f>
        <v>Excess air kiln inlet</v>
      </c>
      <c r="E425" s="226"/>
      <c r="F425" s="1">
        <f>IF(O2_KILNINLET="","",O2_KILNINLET)</f>
        <v>1</v>
      </c>
      <c r="G425" s="69" t="str">
        <f>HBL!$AA$1677</f>
        <v>% O2 dry</v>
      </c>
      <c r="I425" s="639">
        <f>IF(Q_BZ="","", (0.27*(1-CALCINATION/100)+(SUM($E$405:$J$405)+SUM(E407:J407))/M_CLI/1000)*O2_KILNINLET/(21-O2_KILNINLET)*M_CLI*1000)</f>
        <v>5217.4408524500013</v>
      </c>
      <c r="J425" t="s">
        <v>458</v>
      </c>
      <c r="K425" s="543"/>
      <c r="L425" s="252"/>
      <c r="M425" s="252"/>
      <c r="N425" s="3"/>
      <c r="O425" s="3"/>
    </row>
    <row r="426" spans="1:24" ht="12.75" customHeight="1" outlineLevel="2" thickBot="1">
      <c r="B426" s="1" t="str">
        <f>HBL!$AA$1498</f>
        <v>Primary air main burner</v>
      </c>
      <c r="C426"/>
      <c r="D426"/>
      <c r="E426"/>
      <c r="F426" s="296">
        <f>IF(I423="","",I426/I423*100)</f>
        <v>17.091564264638848</v>
      </c>
      <c r="G426" t="s">
        <v>423</v>
      </c>
      <c r="H426"/>
      <c r="I426" s="639">
        <f>IF(VN_PRIMAIR="","",VN_PRIMAIR)</f>
        <v>10000</v>
      </c>
      <c r="J426" t="s">
        <v>458</v>
      </c>
      <c r="K426" s="3"/>
      <c r="L426"/>
      <c r="M426"/>
      <c r="N426" s="3"/>
      <c r="O426" s="3"/>
    </row>
    <row r="427" spans="1:24" ht="12.75" customHeight="1" outlineLevel="2" thickTop="1" thickBot="1">
      <c r="B427" s="1" t="str">
        <f>HBL!$AA$1351</f>
        <v>False air kiln hood</v>
      </c>
      <c r="E427"/>
      <c r="F427" s="191">
        <f>IF(I427="","",I427/(M_CLI*1000))</f>
        <v>1.7867778439547351E-2</v>
      </c>
      <c r="G427" t="s">
        <v>460</v>
      </c>
      <c r="H427"/>
      <c r="I427" s="1219">
        <v>3000</v>
      </c>
      <c r="J427" t="s">
        <v>458</v>
      </c>
      <c r="K427" s="3"/>
      <c r="L427"/>
      <c r="M427" s="252"/>
      <c r="N427" s="3"/>
      <c r="O427" s="3"/>
    </row>
    <row r="428" spans="1:24" ht="12.75" customHeight="1" outlineLevel="2" thickTop="1">
      <c r="B428" s="492" t="s">
        <v>553</v>
      </c>
      <c r="C428" s="504" t="s">
        <v>1397</v>
      </c>
      <c r="D428" s="492"/>
      <c r="E428" s="492"/>
      <c r="F428" s="562" t="s">
        <v>45</v>
      </c>
      <c r="G428" s="492" t="s">
        <v>460</v>
      </c>
      <c r="I428" s="640"/>
      <c r="K428" s="3"/>
      <c r="L428"/>
      <c r="M428" s="363"/>
      <c r="N428" s="3"/>
      <c r="O428" s="3"/>
    </row>
    <row r="429" spans="1:24" ht="12.75" customHeight="1" outlineLevel="2" thickBot="1">
      <c r="E429"/>
      <c r="F429" s="191"/>
      <c r="H429"/>
      <c r="I429" s="640"/>
      <c r="J429"/>
      <c r="K429" s="3"/>
      <c r="L429"/>
      <c r="M429" s="363"/>
      <c r="N429" s="3"/>
      <c r="O429" s="3"/>
    </row>
    <row r="430" spans="1:24" ht="12.75" customHeight="1" outlineLevel="2" thickTop="1" thickBot="1">
      <c r="B430" s="3" t="str">
        <f>HBL!$AA$1317</f>
        <v>Calcination degree of the hot meal</v>
      </c>
      <c r="C430" s="3"/>
      <c r="D430" s="28"/>
      <c r="E430" s="29"/>
      <c r="F430" s="3"/>
      <c r="G430"/>
      <c r="H430"/>
      <c r="I430" s="1219"/>
      <c r="J430" s="251" t="s">
        <v>423</v>
      </c>
      <c r="K430" s="3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ht="12.75" customHeight="1" outlineLevel="2" thickTop="1" thickBot="1">
      <c r="B431" s="1" t="str">
        <f>HBL!$AA$1474</f>
        <v>O2 after calciner</v>
      </c>
      <c r="E431" s="1053" t="str">
        <f>IF(F48=4,"After bottom stage cyclone in case of OLC","")</f>
        <v/>
      </c>
      <c r="I431" s="1219"/>
      <c r="J431" t="s">
        <v>423</v>
      </c>
      <c r="K431" s="3"/>
      <c r="L431"/>
      <c r="M431"/>
      <c r="N431" s="3"/>
      <c r="O431" s="3"/>
    </row>
    <row r="432" spans="1:24" ht="12.75" customHeight="1" outlineLevel="2" thickTop="1">
      <c r="B432" s="1" t="str">
        <f>HBL!$AA$1461</f>
        <v>Minimum air for calciner firing</v>
      </c>
      <c r="I432" s="639">
        <f>IF(SUM(E403:J403)=0,"",SUM(E403:J403))</f>
        <v>87714.432000000001</v>
      </c>
      <c r="J432" t="s">
        <v>458</v>
      </c>
      <c r="K432"/>
      <c r="N432" s="3"/>
      <c r="O432" s="3"/>
    </row>
    <row r="433" spans="1:15" ht="12.75" customHeight="1" outlineLevel="2">
      <c r="B433" s="1" t="str">
        <f>HBL!$AA$1582</f>
        <v>Excess air after calciner</v>
      </c>
      <c r="C433"/>
      <c r="D433"/>
      <c r="E433"/>
      <c r="F433" t="str">
        <f>IF(O2_PRECALEXIT="","",O2_PRECALEXIT)</f>
        <v/>
      </c>
      <c r="G433" s="69" t="str">
        <f>HBL!$AA$1677</f>
        <v>% O2 dry</v>
      </c>
      <c r="H433"/>
      <c r="I433" s="639">
        <f>IF(VN_EXHAUSTCOMBCO2="","",   IF(PRECAL&lt;3,"",IF(OR(PRECAL=3, PRECAL=4),
(VN_EXHAUSTCOMBCO2-0.25*Q_ORGMATTER/1000*M_CLI*1000)*O2_PRECALEXIT/(21-O2_PRECALEXIT),
(VN_EXHAUSTCOMBCO2CALCINER-M_CLI*Q_ORGMATTER*0.28*FEED_CALCINER/100)*O2_PRECALEXIT/(21-O2_PRECALEXIT)))   )</f>
        <v>0</v>
      </c>
      <c r="J433" t="s">
        <v>458</v>
      </c>
      <c r="K433" s="3"/>
      <c r="N433" s="3"/>
      <c r="O433" s="3"/>
    </row>
    <row r="434" spans="1:15" ht="12.75" customHeight="1" outlineLevel="2" thickBot="1">
      <c r="B434" s="1" t="str">
        <f>HBL!$AA$1500</f>
        <v>Primary air calciner</v>
      </c>
      <c r="F434" s="31">
        <f>IF(I432="","",IF(VN_PRIMAIRCAL="","",VN_PRIMAIRCAL/I432*100))</f>
        <v>5.9283288752300187</v>
      </c>
      <c r="G434" t="s">
        <v>423</v>
      </c>
      <c r="I434" s="639">
        <f>IF(AND(VN_PRIMAIRCAL="", PRECAL&lt;3),"", IF(AND(VN_PRIMAIRCAL="", PRECAL&gt;2),0,VN_PRIMAIRCAL))</f>
        <v>5200</v>
      </c>
      <c r="J434" t="s">
        <v>458</v>
      </c>
      <c r="K434" s="3"/>
      <c r="L434"/>
      <c r="M434"/>
      <c r="N434" s="3"/>
      <c r="O434" s="3"/>
    </row>
    <row r="435" spans="1:15" ht="12.75" customHeight="1" outlineLevel="2" thickTop="1" thickBot="1">
      <c r="B435" s="1" t="str">
        <f>IF(OR(PRECAL=3, PRECAL=4), HBL!AA1350,HBL!AA1447)</f>
        <v>False air kiln inlet seal</v>
      </c>
      <c r="E435"/>
      <c r="F435" s="51">
        <f>IF(I435="","",I435/(M_CLI*1000))</f>
        <v>2.084574151280524E-2</v>
      </c>
      <c r="G435" t="s">
        <v>460</v>
      </c>
      <c r="H435"/>
      <c r="I435" s="1219">
        <v>3500</v>
      </c>
      <c r="J435" t="s">
        <v>458</v>
      </c>
      <c r="K435" s="3"/>
      <c r="L435"/>
      <c r="M435"/>
      <c r="N435" s="3"/>
      <c r="O435" s="3"/>
    </row>
    <row r="436" spans="1:15" ht="12.75" customHeight="1" outlineLevel="2" thickTop="1" thickBot="1">
      <c r="B436" s="503" t="s">
        <v>553</v>
      </c>
      <c r="C436" s="504" t="s">
        <v>1061</v>
      </c>
      <c r="D436" s="492"/>
      <c r="E436" s="492"/>
      <c r="F436" s="656" t="s">
        <v>46</v>
      </c>
      <c r="G436" s="492" t="s">
        <v>460</v>
      </c>
      <c r="H436"/>
      <c r="I436"/>
      <c r="J436"/>
      <c r="K436" s="3"/>
      <c r="L436"/>
      <c r="M436"/>
      <c r="N436" s="3"/>
      <c r="O436" s="3"/>
    </row>
    <row r="437" spans="1:15" ht="12.75" customHeight="1" outlineLevel="2" thickTop="1" thickBot="1">
      <c r="B437" s="1" t="str">
        <f>IF(Cooler=1, HBL!$AA$1348, HBL!$AA$1447)</f>
        <v>False air cooler</v>
      </c>
      <c r="E437"/>
      <c r="F437" s="51">
        <f>IF(I437="","",I437/(M_CLI*1000))</f>
        <v>2.9779630732578916E-2</v>
      </c>
      <c r="G437" t="s">
        <v>460</v>
      </c>
      <c r="H437"/>
      <c r="I437" s="1219">
        <v>5000</v>
      </c>
      <c r="J437" t="s">
        <v>458</v>
      </c>
      <c r="K437" s="497"/>
      <c r="L437" s="3"/>
      <c r="M437" s="3"/>
      <c r="N437" s="3"/>
      <c r="O437" s="3"/>
    </row>
    <row r="438" spans="1:15" ht="12.75" customHeight="1" outlineLevel="2" thickTop="1">
      <c r="B438" s="503" t="s">
        <v>553</v>
      </c>
      <c r="C438" s="783" t="s">
        <v>1073</v>
      </c>
      <c r="D438" s="492"/>
      <c r="E438" s="492"/>
      <c r="F438" s="784" t="s">
        <v>1074</v>
      </c>
      <c r="G438" s="492" t="s">
        <v>460</v>
      </c>
      <c r="I438" s="640"/>
      <c r="K438" s="3"/>
      <c r="L438" s="3"/>
      <c r="M438" s="3"/>
      <c r="N438" s="3"/>
      <c r="O438" s="3"/>
    </row>
    <row r="439" spans="1:15" ht="12.75" customHeight="1" outlineLevel="2">
      <c r="E439" s="296"/>
      <c r="F439" s="191"/>
      <c r="H439"/>
      <c r="I439" s="640"/>
      <c r="J439"/>
      <c r="K439" s="3"/>
      <c r="L439" s="3"/>
      <c r="M439" s="3"/>
      <c r="N439" s="3"/>
      <c r="O439" s="3"/>
    </row>
    <row r="440" spans="1:15" ht="12.75" customHeight="1" outlineLevel="2">
      <c r="B440" s="1" t="str">
        <f>HBL!$AA$1535</f>
        <v>Secondary air</v>
      </c>
      <c r="E440"/>
      <c r="F440" s="191">
        <f>IF(I440="","",I440/(M_CLI*1000))</f>
        <v>0.30585706752412273</v>
      </c>
      <c r="G440" s="252" t="s">
        <v>460</v>
      </c>
      <c r="H440"/>
      <c r="I440" s="639">
        <f>IF(M_CLI="", "", IF(AND(Cooler=2, ISNUMBER(M_H2OCOOLER)),
((I423+I424+I425)-SUM(I426:I427))*(1+ABSHUM)+M_H2OCOOLER*1.24, ((I423+I424+I425)-SUM(I426:I427))*(1+ABSHUM)))</f>
        <v>51353.401637300209</v>
      </c>
      <c r="J440" t="s">
        <v>458</v>
      </c>
      <c r="K440" s="543"/>
      <c r="L440" s="3"/>
      <c r="M440" s="3"/>
      <c r="N440" s="3"/>
      <c r="O440" s="3"/>
    </row>
    <row r="441" spans="1:15" ht="12.75" customHeight="1" outlineLevel="2">
      <c r="B441" s="1" t="str">
        <f>HBL!$AA$1349</f>
        <v>False air tertiary air duct</v>
      </c>
      <c r="E441"/>
      <c r="F441" s="191"/>
      <c r="G441" s="252"/>
      <c r="H441"/>
      <c r="I441" s="870"/>
      <c r="J441" t="s">
        <v>458</v>
      </c>
      <c r="K441" s="3"/>
      <c r="L441" s="3"/>
      <c r="M441" s="3"/>
      <c r="N441" s="3"/>
      <c r="O441" s="3"/>
    </row>
    <row r="442" spans="1:15" ht="12.75" customHeight="1" outlineLevel="2">
      <c r="B442" s="1" t="str">
        <f>HBL!$AA$1572</f>
        <v>Tertiary air (incl dust)</v>
      </c>
      <c r="E442"/>
      <c r="F442" s="191">
        <f>IF(I442="","",I442/(M_CLI*1000))</f>
        <v>0.44496716016984572</v>
      </c>
      <c r="G442" s="252" t="s">
        <v>460</v>
      </c>
      <c r="H442"/>
      <c r="I442" s="639">
        <f>IF(PRECAL&lt;3, 0, IF(OR(PRECAL=3, PRECAL=4), (SUM(I432:I433)-I425-SUM(I434:I435)-I441)*(1+ABSHUM), (SUM(I432:I433)-I434-I441)*(1+ABSHUM)))</f>
        <v>74709.986192517099</v>
      </c>
      <c r="J442" t="s">
        <v>458</v>
      </c>
      <c r="K442" s="3"/>
      <c r="L442" s="3"/>
      <c r="M442" s="3"/>
      <c r="N442" s="3"/>
      <c r="O442" s="3"/>
    </row>
    <row r="443" spans="1:15" ht="12.75" customHeight="1" outlineLevel="2">
      <c r="K443" s="3"/>
    </row>
    <row r="444" spans="1:15" ht="12.75" customHeight="1" outlineLevel="1" thickBot="1">
      <c r="K444" s="3"/>
    </row>
    <row r="445" spans="1:15" ht="12.75" customHeight="1" outlineLevel="1" thickBot="1">
      <c r="A445" s="1073">
        <v>17</v>
      </c>
      <c r="B445" s="905" t="str">
        <f>HBL!$AA$1614</f>
        <v>HEAT BALANCE CLINKER COOLER</v>
      </c>
      <c r="C445" s="907"/>
      <c r="D445" s="904"/>
      <c r="E445" s="904"/>
      <c r="F445" s="1" t="str">
        <f>HBL!$AA$1353</f>
        <v>Cooler heat balance error</v>
      </c>
      <c r="I445" s="972" t="e">
        <f>IF(COOLHBL_ERROR="","",COOLHBL_ERROR)</f>
        <v>#VALUE!</v>
      </c>
      <c r="J445" s="1" t="s">
        <v>431</v>
      </c>
      <c r="K445" s="3"/>
    </row>
    <row r="446" spans="1:15" ht="12.75" customHeight="1" outlineLevel="2" thickBot="1">
      <c r="B446" s="15"/>
      <c r="K446" s="3"/>
    </row>
    <row r="447" spans="1:15" ht="12.75" customHeight="1" outlineLevel="2" thickTop="1" thickBot="1">
      <c r="B447" s="1" t="str">
        <f>HBL!$AA$1429</f>
        <v>Clinker temperature at kiln discharge</v>
      </c>
      <c r="I447" s="1219"/>
      <c r="J447" s="1" t="s">
        <v>425</v>
      </c>
      <c r="K447" s="3"/>
    </row>
    <row r="448" spans="1:15" ht="12.75" customHeight="1" outlineLevel="2" thickTop="1">
      <c r="D448" s="497" t="s">
        <v>553</v>
      </c>
      <c r="E448" s="498" t="s">
        <v>554</v>
      </c>
      <c r="F448" s="497"/>
      <c r="G448" s="497"/>
      <c r="H448" s="492"/>
      <c r="I448" s="492">
        <v>1450</v>
      </c>
      <c r="J448" s="492" t="s">
        <v>425</v>
      </c>
    </row>
    <row r="449" spans="2:16" ht="12.75" customHeight="1" outlineLevel="2">
      <c r="D449" s="497"/>
      <c r="E449" s="498" t="s">
        <v>555</v>
      </c>
      <c r="F449" s="497"/>
      <c r="G449" s="497"/>
      <c r="H449" s="492"/>
      <c r="I449" s="492">
        <v>1400</v>
      </c>
      <c r="J449" s="492" t="s">
        <v>425</v>
      </c>
      <c r="M449" s="3"/>
      <c r="N449" s="3"/>
      <c r="O449" s="3"/>
      <c r="P449" s="3"/>
    </row>
    <row r="450" spans="2:16" ht="12.75" customHeight="1" outlineLevel="2">
      <c r="D450" s="497"/>
      <c r="E450" s="497" t="s">
        <v>556</v>
      </c>
      <c r="F450" s="497"/>
      <c r="G450" s="497"/>
      <c r="H450" s="492"/>
      <c r="I450" s="492">
        <v>1200</v>
      </c>
      <c r="J450" s="492" t="s">
        <v>425</v>
      </c>
      <c r="M450" s="3"/>
      <c r="N450" s="3"/>
      <c r="O450" s="3"/>
      <c r="P450" s="3"/>
    </row>
    <row r="451" spans="2:16" ht="12.75" customHeight="1" outlineLevel="2">
      <c r="D451" s="497"/>
      <c r="E451" s="497" t="s">
        <v>557</v>
      </c>
      <c r="F451" s="497"/>
      <c r="G451" s="497"/>
      <c r="H451" s="492"/>
      <c r="I451" s="499" t="s">
        <v>558</v>
      </c>
      <c r="J451" s="492" t="s">
        <v>425</v>
      </c>
      <c r="M451" s="3"/>
      <c r="N451" s="3"/>
      <c r="O451" s="3"/>
      <c r="P451" s="3"/>
    </row>
    <row r="452" spans="2:16" ht="12.75" customHeight="1" outlineLevel="2" thickBot="1">
      <c r="E452" s="483"/>
      <c r="F452" s="483"/>
      <c r="G452" s="483"/>
      <c r="H452" s="483"/>
      <c r="I452" s="484"/>
      <c r="J452" s="485"/>
      <c r="K452" s="484"/>
      <c r="M452" s="3"/>
      <c r="N452" s="3"/>
      <c r="O452" s="3"/>
      <c r="P452" s="3"/>
    </row>
    <row r="453" spans="2:16" ht="12.75" customHeight="1" outlineLevel="2" thickTop="1" thickBot="1">
      <c r="B453" s="1" t="str">
        <f>HBL!$AA$1435</f>
        <v>Clinker dust recirculation at the kiln discharge</v>
      </c>
      <c r="G453" s="46">
        <f>IF(CLI_DUST="","",CLI_DUST*10/(IF(F542="",0,F542)+IF(F544="",0,F544)))</f>
        <v>39.956089446047848</v>
      </c>
      <c r="H453" t="s">
        <v>909</v>
      </c>
      <c r="I453" s="1219">
        <v>3</v>
      </c>
      <c r="J453" s="1" t="s">
        <v>423</v>
      </c>
      <c r="K453" s="3"/>
      <c r="M453" s="3"/>
    </row>
    <row r="454" spans="2:16" ht="12.75" customHeight="1" outlineLevel="2" thickTop="1">
      <c r="D454" s="492" t="s">
        <v>553</v>
      </c>
      <c r="E454" s="560" t="s">
        <v>1065</v>
      </c>
      <c r="F454" s="501"/>
      <c r="G454" s="500" t="s">
        <v>1063</v>
      </c>
      <c r="H454" s="491"/>
      <c r="K454" s="3"/>
      <c r="M454" s="3"/>
    </row>
    <row r="455" spans="2:16" ht="12.75" customHeight="1" outlineLevel="2">
      <c r="D455" s="492"/>
      <c r="E455" s="560" t="s">
        <v>1062</v>
      </c>
      <c r="F455" s="501"/>
      <c r="G455" s="500" t="s">
        <v>1064</v>
      </c>
      <c r="H455" s="491"/>
      <c r="K455" s="3"/>
      <c r="M455" s="3"/>
    </row>
    <row r="456" spans="2:16" ht="12.75" customHeight="1" outlineLevel="2" thickBot="1">
      <c r="E456" s="484"/>
      <c r="F456" s="484"/>
      <c r="G456" s="486"/>
      <c r="H456" s="484"/>
      <c r="K456" s="3"/>
      <c r="M456" s="3"/>
    </row>
    <row r="457" spans="2:16" ht="12.75" customHeight="1" outlineLevel="2" thickTop="1" thickBot="1">
      <c r="B457" s="1" t="str">
        <f>HBL!$AA$1574</f>
        <v>Tertiary air temperature</v>
      </c>
      <c r="E457" s="492" t="s">
        <v>991</v>
      </c>
      <c r="I457" s="1219"/>
      <c r="J457" s="1" t="s">
        <v>425</v>
      </c>
      <c r="K457" s="3"/>
      <c r="M457" s="3"/>
    </row>
    <row r="458" spans="2:16" ht="12.75" customHeight="1" outlineLevel="2" thickTop="1" thickBot="1">
      <c r="B458" s="1" t="str">
        <f>HBL!$AA$1536</f>
        <v>Secondary air temperature</v>
      </c>
      <c r="E458" s="505" t="s">
        <v>992</v>
      </c>
      <c r="I458" s="1219"/>
      <c r="J458" s="1" t="s">
        <v>425</v>
      </c>
      <c r="K458" s="3"/>
    </row>
    <row r="459" spans="2:16" ht="12.75" customHeight="1" outlineLevel="2" thickTop="1">
      <c r="E459" s="505" t="s">
        <v>993</v>
      </c>
      <c r="K459" s="3"/>
    </row>
    <row r="460" spans="2:16" ht="12.75" customHeight="1" outlineLevel="2" thickBot="1">
      <c r="B460" s="541"/>
      <c r="C460" s="546"/>
      <c r="D460" s="546"/>
      <c r="E460" s="546"/>
      <c r="F460" s="546"/>
      <c r="G460" s="546"/>
      <c r="H460" s="541"/>
      <c r="I460" s="717"/>
      <c r="J460" s="547"/>
      <c r="L460" s="3"/>
      <c r="M460" s="3"/>
      <c r="N460" s="3"/>
      <c r="O460" s="3"/>
    </row>
    <row r="461" spans="2:16" ht="12.75" customHeight="1" outlineLevel="2" thickBot="1">
      <c r="B461" s="363" t="s">
        <v>994</v>
      </c>
      <c r="H461" s="5"/>
      <c r="I461" s="972" t="str">
        <f>I1129</f>
        <v/>
      </c>
      <c r="J461" s="252" t="s">
        <v>431</v>
      </c>
      <c r="K461" s="3"/>
      <c r="L461" s="3"/>
      <c r="M461" s="3"/>
      <c r="N461" s="3"/>
      <c r="O461" s="3"/>
    </row>
    <row r="462" spans="2:16" ht="12.75" customHeight="1" outlineLevel="1">
      <c r="B462" s="97"/>
      <c r="C462" s="22"/>
      <c r="D462" s="22"/>
      <c r="E462" s="22"/>
      <c r="F462" s="22"/>
      <c r="G462" s="98"/>
      <c r="H462" s="98"/>
      <c r="I462" s="43"/>
      <c r="J462" s="98"/>
      <c r="K462" s="3"/>
      <c r="L462" s="3"/>
      <c r="M462" s="3"/>
      <c r="N462" s="3"/>
      <c r="O462" s="3"/>
    </row>
    <row r="463" spans="2:16" ht="12.75" customHeight="1">
      <c r="B463" s="97"/>
      <c r="C463" s="22"/>
      <c r="D463" s="22"/>
      <c r="E463" s="22"/>
      <c r="F463" s="22"/>
      <c r="G463" s="98"/>
      <c r="H463" s="98"/>
      <c r="I463" s="43"/>
      <c r="J463" s="98"/>
      <c r="K463" s="3"/>
      <c r="L463" s="3"/>
      <c r="M463" s="3"/>
      <c r="N463" s="3"/>
      <c r="O463" s="3"/>
    </row>
    <row r="464" spans="2:16" ht="12.75" customHeight="1">
      <c r="B464" s="97"/>
      <c r="C464" s="22"/>
      <c r="D464" s="22"/>
      <c r="E464" s="22"/>
      <c r="F464" s="22"/>
      <c r="G464" s="98"/>
      <c r="H464" s="98"/>
      <c r="I464" s="43"/>
      <c r="J464" s="98"/>
      <c r="K464" s="3"/>
      <c r="L464" s="3"/>
      <c r="M464" s="3"/>
      <c r="N464" s="3"/>
      <c r="O464" s="3"/>
    </row>
    <row r="465" spans="2:15" ht="12.75" customHeight="1">
      <c r="B465" s="97"/>
      <c r="C465" s="22"/>
      <c r="D465" s="22"/>
      <c r="E465" s="22"/>
      <c r="F465" s="22"/>
      <c r="G465" s="98"/>
      <c r="H465" s="98"/>
      <c r="I465" s="43"/>
      <c r="J465" s="98"/>
      <c r="K465" s="3"/>
      <c r="L465" s="3"/>
      <c r="M465" s="3"/>
      <c r="N465" s="3"/>
      <c r="O465" s="3"/>
    </row>
    <row r="466" spans="2:15" ht="18.75" customHeight="1">
      <c r="B466" s="911" t="str">
        <f>HBL!$AA$1663</f>
        <v>SUMMARIES</v>
      </c>
      <c r="C466" s="910"/>
      <c r="D466" s="910"/>
      <c r="E466" s="910"/>
      <c r="F466" s="910"/>
      <c r="G466" s="912"/>
      <c r="H466" s="912"/>
      <c r="I466" s="912"/>
      <c r="J466" s="912"/>
      <c r="K466" s="1014"/>
      <c r="L466" s="3"/>
      <c r="M466" s="3"/>
      <c r="N466" s="3"/>
      <c r="O466" s="3"/>
    </row>
    <row r="467" spans="2:15" ht="12.75" customHeight="1" outlineLevel="1">
      <c r="B467" s="97"/>
      <c r="C467" s="22"/>
      <c r="D467" s="22"/>
      <c r="E467" s="22"/>
      <c r="F467" s="22"/>
      <c r="G467" s="98"/>
      <c r="H467" s="98"/>
      <c r="I467" s="43"/>
      <c r="J467" s="98"/>
      <c r="K467" s="1015"/>
      <c r="L467" s="3"/>
      <c r="M467" s="3"/>
      <c r="N467" s="3"/>
      <c r="O467" s="3"/>
    </row>
    <row r="468" spans="2:15" ht="12.75" customHeight="1" outlineLevel="1">
      <c r="B468" s="97"/>
      <c r="C468" s="22"/>
      <c r="D468" s="22"/>
      <c r="E468" s="22"/>
      <c r="F468" s="22"/>
      <c r="G468" s="98"/>
      <c r="H468" s="98"/>
      <c r="I468" s="43"/>
      <c r="J468" s="98"/>
      <c r="K468" s="1015"/>
      <c r="L468" s="3"/>
      <c r="M468" s="3"/>
      <c r="N468" s="3"/>
      <c r="O468" s="3"/>
    </row>
    <row r="469" spans="2:15" ht="12.75" customHeight="1" outlineLevel="1">
      <c r="B469" s="97"/>
      <c r="C469" s="22"/>
      <c r="D469" s="22"/>
      <c r="E469" s="22"/>
      <c r="F469" s="22"/>
      <c r="G469" s="98"/>
      <c r="H469" s="98"/>
      <c r="I469" s="43"/>
      <c r="J469" s="98"/>
      <c r="K469" s="1015"/>
      <c r="L469" s="3"/>
      <c r="M469" s="3"/>
      <c r="N469" s="3"/>
      <c r="O469" s="3"/>
    </row>
    <row r="470" spans="2:15" ht="18.75" customHeight="1" outlineLevel="1">
      <c r="B470" s="913" t="str">
        <f>HBL!$AA$1664</f>
        <v>SUMMARY MASS BALANCE</v>
      </c>
      <c r="C470" s="913"/>
      <c r="D470" s="913"/>
      <c r="E470" s="913"/>
      <c r="F470" s="913"/>
      <c r="G470" s="913"/>
      <c r="H470" s="913"/>
      <c r="I470" s="913"/>
      <c r="J470" s="913"/>
      <c r="K470" s="1016"/>
      <c r="L470" s="3"/>
      <c r="M470" s="3"/>
      <c r="N470" s="3"/>
      <c r="O470" s="3"/>
    </row>
    <row r="471" spans="2:15" ht="12.75" customHeight="1" outlineLevel="1">
      <c r="B471" s="97"/>
      <c r="C471" s="22"/>
      <c r="D471" s="22"/>
      <c r="E471" s="22"/>
      <c r="F471" s="22"/>
      <c r="G471" s="98"/>
      <c r="H471" s="98"/>
      <c r="I471" s="43"/>
      <c r="J471" s="98"/>
      <c r="K471" s="1015"/>
      <c r="L471" s="3"/>
      <c r="M471" s="3"/>
      <c r="N471" s="3"/>
      <c r="O471" s="3"/>
    </row>
    <row r="472" spans="2:15" ht="12.75" customHeight="1" outlineLevel="2">
      <c r="B472" s="97"/>
      <c r="C472" s="22"/>
      <c r="D472" s="22"/>
      <c r="E472" s="22"/>
      <c r="F472" s="22"/>
      <c r="G472" s="98"/>
      <c r="H472" s="98"/>
      <c r="I472" s="43"/>
      <c r="J472" s="98"/>
      <c r="K472" s="1015"/>
      <c r="L472" s="3"/>
      <c r="M472" s="3"/>
      <c r="N472" s="3"/>
      <c r="O472" s="3"/>
    </row>
    <row r="473" spans="2:15" ht="12.75" customHeight="1" outlineLevel="2">
      <c r="B473" s="915" t="str">
        <f>HBL!$AA$1455</f>
        <v>MASS BALANCE OF KILN SYSTEM</v>
      </c>
      <c r="C473" s="906"/>
      <c r="D473" s="906"/>
      <c r="E473" s="906"/>
      <c r="F473" s="916"/>
      <c r="G473" s="917"/>
      <c r="H473" s="917"/>
      <c r="I473" s="917"/>
      <c r="J473" s="917"/>
      <c r="K473" s="1017"/>
      <c r="L473" s="3"/>
      <c r="M473" s="3"/>
      <c r="N473" s="3"/>
      <c r="O473" s="3"/>
    </row>
    <row r="474" spans="2:15" ht="12.75" customHeight="1" outlineLevel="2">
      <c r="B474" s="3"/>
      <c r="C474" s="3"/>
      <c r="D474" s="3"/>
      <c r="E474" s="3"/>
      <c r="F474" s="35"/>
      <c r="G474" s="3"/>
      <c r="H474" s="3"/>
      <c r="I474" s="3"/>
      <c r="J474" s="3"/>
      <c r="K474" s="1015"/>
      <c r="L474" s="3"/>
      <c r="M474" s="3"/>
      <c r="N474" s="3"/>
      <c r="O474" s="3"/>
    </row>
    <row r="475" spans="2:15" ht="12.75" customHeight="1" outlineLevel="2">
      <c r="C475" s="53"/>
      <c r="D475" s="3"/>
      <c r="E475" s="3"/>
      <c r="F475" s="3"/>
      <c r="G475" s="3"/>
      <c r="H475" s="3"/>
      <c r="I475" s="3"/>
      <c r="J475" s="3"/>
      <c r="K475" s="1015"/>
      <c r="L475" s="3"/>
      <c r="M475" s="3"/>
      <c r="N475" s="3"/>
      <c r="O475" s="3"/>
    </row>
    <row r="476" spans="2:15" ht="12.75" customHeight="1" outlineLevel="2">
      <c r="B476" s="985"/>
      <c r="C476" s="986"/>
      <c r="D476" s="986"/>
      <c r="E476" s="987" t="str">
        <f>HBL!$AA$1241</f>
        <v>Feedrate</v>
      </c>
      <c r="F476" s="987" t="s">
        <v>495</v>
      </c>
      <c r="G476" s="987" t="str">
        <f>HBL!$AA$1241</f>
        <v>Feedrate</v>
      </c>
      <c r="H476" s="987" t="str">
        <f>HBL!$AA$1375</f>
        <v>LOI</v>
      </c>
      <c r="I476" s="987" t="str">
        <f>HBL!$AA$1238</f>
        <v>Ash</v>
      </c>
      <c r="J476" s="987" t="str">
        <f>HBL!$AA$1456</f>
        <v>Mass-</v>
      </c>
      <c r="K476" s="1018"/>
      <c r="L476" s="3"/>
      <c r="M476" s="3"/>
      <c r="N476" s="3"/>
      <c r="O476" s="3"/>
    </row>
    <row r="477" spans="2:15" ht="12.75" customHeight="1" outlineLevel="2">
      <c r="B477" s="988" t="s">
        <v>496</v>
      </c>
      <c r="C477" s="989">
        <f>IF(M_CLI="","",G480/G484)</f>
        <v>1.5735854675402023</v>
      </c>
      <c r="D477" s="903" t="s">
        <v>497</v>
      </c>
      <c r="E477" s="958" t="str">
        <f>HBL!$AA$1356</f>
        <v>wet</v>
      </c>
      <c r="F477" s="990"/>
      <c r="G477" s="958" t="str">
        <f>HBL!$AA$1577</f>
        <v>dry</v>
      </c>
      <c r="H477" s="958" t="str">
        <f>HBL!$AA$1670</f>
        <v xml:space="preserve"> </v>
      </c>
      <c r="I477" s="958" t="str">
        <f>HBL!$AA$1365</f>
        <v>content</v>
      </c>
      <c r="J477" s="958" t="str">
        <f>HBL!$AA$1360</f>
        <v>flow</v>
      </c>
      <c r="K477" s="1019"/>
      <c r="L477" s="3"/>
      <c r="M477" s="3"/>
      <c r="N477" s="3"/>
      <c r="O477" s="3"/>
    </row>
    <row r="478" spans="2:15" ht="12.75" customHeight="1" outlineLevel="2">
      <c r="B478" s="991"/>
      <c r="C478" s="992"/>
      <c r="D478" s="993"/>
      <c r="E478" s="994" t="s">
        <v>428</v>
      </c>
      <c r="F478" s="994" t="s">
        <v>438</v>
      </c>
      <c r="G478" s="995" t="s">
        <v>428</v>
      </c>
      <c r="H478" s="996" t="s">
        <v>438</v>
      </c>
      <c r="I478" s="997" t="s">
        <v>438</v>
      </c>
      <c r="J478" s="995" t="s">
        <v>428</v>
      </c>
      <c r="K478" s="1020"/>
      <c r="L478" s="3"/>
      <c r="M478" s="3"/>
      <c r="N478" s="3"/>
      <c r="O478" s="3"/>
    </row>
    <row r="479" spans="2:15" ht="12.75" customHeight="1" outlineLevel="2">
      <c r="B479" s="152" t="str">
        <f>HBL!$AA$1314</f>
        <v>INPUT</v>
      </c>
      <c r="C479" s="3"/>
      <c r="D479" s="22"/>
      <c r="E479" s="21"/>
      <c r="F479" s="153"/>
      <c r="G479" s="23"/>
      <c r="H479" s="154"/>
      <c r="I479" s="23"/>
      <c r="J479" s="21"/>
      <c r="K479" s="1021">
        <v>71</v>
      </c>
      <c r="L479" s="3"/>
      <c r="M479" s="3"/>
      <c r="N479" s="3"/>
      <c r="O479" s="3"/>
    </row>
    <row r="480" spans="2:15" ht="12.75" customHeight="1" outlineLevel="2">
      <c r="B480" s="155" t="str">
        <f>HBL!$AA$1482</f>
        <v>Kiln feed</v>
      </c>
      <c r="C480" s="3"/>
      <c r="D480" s="22"/>
      <c r="E480" s="626">
        <f>M_FEED</f>
        <v>265</v>
      </c>
      <c r="F480" s="627">
        <f>IF(H2O_FEED="","",H2O_FEED)</f>
        <v>0.3</v>
      </c>
      <c r="G480" s="626">
        <f>IF(M_FEED="","",E480*(1-F480/100))</f>
        <v>264.20499999999998</v>
      </c>
      <c r="H480" s="626">
        <f>IF(LOI_FEED="","",LOI_FEED)</f>
        <v>35</v>
      </c>
      <c r="I480" s="628" t="s">
        <v>498</v>
      </c>
      <c r="J480" s="626">
        <f>IF(M_FEED="","",G480*(1-H480/100))</f>
        <v>171.73325</v>
      </c>
      <c r="K480" s="1021"/>
      <c r="L480" s="3"/>
      <c r="M480" s="3"/>
      <c r="N480" s="3"/>
      <c r="O480" s="3"/>
    </row>
    <row r="481" spans="1:23" ht="12.75" customHeight="1" outlineLevel="2">
      <c r="B481" s="155" t="str">
        <f>HBL!$AA$1237</f>
        <v>Ash input</v>
      </c>
      <c r="C481" s="3"/>
      <c r="D481" s="22"/>
      <c r="E481" s="629"/>
      <c r="F481" s="630"/>
      <c r="G481" s="629" t="s">
        <v>498</v>
      </c>
      <c r="H481" s="630" t="s">
        <v>498</v>
      </c>
      <c r="I481" s="631" t="s">
        <v>498</v>
      </c>
      <c r="J481" s="632">
        <f>IF(SUM(E398:J398)=0,"",SUM(E398:J398))</f>
        <v>3.0110000000000001</v>
      </c>
      <c r="K481" s="1021"/>
      <c r="L481" s="3"/>
      <c r="M481" s="3"/>
      <c r="N481" s="3"/>
      <c r="O481" s="3"/>
    </row>
    <row r="482" spans="1:23" s="1000" customFormat="1" ht="20.100000000000001" customHeight="1" outlineLevel="2">
      <c r="A482" s="1079"/>
      <c r="B482" s="1006" t="str">
        <f>HBL!$AA$1560</f>
        <v>TOTAL OF INPUTS</v>
      </c>
      <c r="C482" s="1007"/>
      <c r="D482" s="1007"/>
      <c r="E482" s="1007"/>
      <c r="F482" s="1007"/>
      <c r="G482" s="1007"/>
      <c r="H482" s="1007"/>
      <c r="I482" s="1007"/>
      <c r="J482" s="1011">
        <f>IF(SUM(J480:J481)=0,"",SUM(J480:J481))</f>
        <v>174.74424999999999</v>
      </c>
      <c r="K482" s="1022"/>
      <c r="L482" s="999"/>
      <c r="M482" s="999"/>
      <c r="N482" s="999"/>
      <c r="O482" s="999"/>
      <c r="W482" s="1001"/>
    </row>
    <row r="483" spans="1:23" ht="12.75" customHeight="1" outlineLevel="2">
      <c r="B483" s="152" t="str">
        <f>HBL!$AA$1244</f>
        <v>OUTPUT</v>
      </c>
      <c r="C483" s="22"/>
      <c r="D483" s="22"/>
      <c r="E483" s="21"/>
      <c r="F483" s="21"/>
      <c r="G483" s="21"/>
      <c r="H483" s="21"/>
      <c r="I483" s="21"/>
      <c r="J483" s="156"/>
      <c r="K483" s="1021"/>
      <c r="L483" s="3"/>
      <c r="M483" s="3"/>
      <c r="N483" s="3"/>
      <c r="O483" s="3"/>
    </row>
    <row r="484" spans="1:23" ht="12.75" customHeight="1" outlineLevel="2">
      <c r="B484" s="155" t="str">
        <f>HBL!$AA$1424</f>
        <v>Clinker</v>
      </c>
      <c r="C484" s="22"/>
      <c r="D484" s="22"/>
      <c r="E484" s="626" t="s">
        <v>498</v>
      </c>
      <c r="F484" s="626" t="s">
        <v>498</v>
      </c>
      <c r="G484" s="626">
        <f>M_CLI</f>
        <v>167.9</v>
      </c>
      <c r="H484" s="626">
        <f>IF(LOI_CLI="","",LOI_CLI)</f>
        <v>0</v>
      </c>
      <c r="I484" s="633" t="s">
        <v>498</v>
      </c>
      <c r="J484" s="627">
        <f>IF(M_CLI="","",G484*(1-H484/100))</f>
        <v>167.9</v>
      </c>
      <c r="K484" s="1021"/>
      <c r="L484" s="3"/>
      <c r="M484" s="3"/>
      <c r="N484" s="3"/>
      <c r="O484" s="3"/>
    </row>
    <row r="485" spans="1:23" ht="12.75" customHeight="1" outlineLevel="2">
      <c r="B485" s="155" t="str">
        <f>HBL!$AA$1628</f>
        <v>Preheater exhaust gas dust loss</v>
      </c>
      <c r="C485" s="22"/>
      <c r="D485" s="22"/>
      <c r="E485" s="632">
        <f>M_DUSTFILTER</f>
        <v>0</v>
      </c>
      <c r="F485" s="632">
        <f>IF(H2O_DUSTFILTER="","",H2O_DUSTFILTER)</f>
        <v>0.2</v>
      </c>
      <c r="G485" s="632" t="str">
        <f>IF(M_DUSTFILTER="","",M_DUSTFILTER*(1-H2O_DUSTFILTER/100))</f>
        <v/>
      </c>
      <c r="H485" s="632">
        <f>IF(LOI_DUSTFILTER="","",LOI_DUSTFILTER)</f>
        <v>36.5</v>
      </c>
      <c r="I485" s="634" t="s">
        <v>498</v>
      </c>
      <c r="J485" s="635" t="str">
        <f>IF(M_DUSTFILTER="","",G485*(1-H485/100))</f>
        <v/>
      </c>
      <c r="K485" s="1021"/>
      <c r="L485" s="3"/>
      <c r="M485" s="3"/>
      <c r="N485" s="3"/>
      <c r="O485" s="3"/>
    </row>
    <row r="486" spans="1:23" ht="12.75" customHeight="1" outlineLevel="2">
      <c r="B486" s="155" t="str">
        <f>HBL!$AA$1279</f>
        <v>Bypass dust</v>
      </c>
      <c r="C486" s="22"/>
      <c r="D486" s="22"/>
      <c r="E486" s="632">
        <f>M_BYPASS</f>
        <v>0</v>
      </c>
      <c r="F486" s="632" t="str">
        <f>IF(H2O_BYPASS="","",H2O_BYPASS)</f>
        <v/>
      </c>
      <c r="G486" s="632" t="str">
        <f>IF(M_BYPASS="","",M_BYPASS*(1-H2O_BYPASS/100))</f>
        <v/>
      </c>
      <c r="H486" s="632" t="str">
        <f>IF(LOI_BYPASS="","",LOI_BYPASS)</f>
        <v/>
      </c>
      <c r="I486" s="636" t="s">
        <v>498</v>
      </c>
      <c r="J486" s="635" t="str">
        <f>IF(M_BYPASS="","",G486*(1-H486/100))</f>
        <v/>
      </c>
      <c r="K486" s="1021"/>
      <c r="L486" s="3"/>
      <c r="M486" s="3"/>
      <c r="N486" s="3"/>
      <c r="O486" s="3"/>
    </row>
    <row r="487" spans="1:23" ht="12.75" customHeight="1" outlineLevel="2">
      <c r="B487" s="73" t="str">
        <f>HBL!$AA$1517</f>
        <v>Error</v>
      </c>
      <c r="C487" s="321">
        <f>IF(J489="","",J487/J489*100)</f>
        <v>3.9167240123780833</v>
      </c>
      <c r="D487" s="158" t="s">
        <v>423</v>
      </c>
      <c r="E487" s="637" t="s">
        <v>498</v>
      </c>
      <c r="F487" s="637" t="s">
        <v>498</v>
      </c>
      <c r="G487" s="637" t="s">
        <v>498</v>
      </c>
      <c r="H487" s="637" t="s">
        <v>498</v>
      </c>
      <c r="I487" s="636" t="s">
        <v>498</v>
      </c>
      <c r="J487" s="632">
        <f>IF(J489="","",J489-SUM(J484:J486))</f>
        <v>6.8442499999999882</v>
      </c>
      <c r="K487" s="1023">
        <v>72</v>
      </c>
      <c r="L487" s="3"/>
      <c r="M487" s="3"/>
      <c r="N487" s="3"/>
      <c r="O487" s="3"/>
    </row>
    <row r="488" spans="1:23" ht="12.75" customHeight="1" outlineLevel="2">
      <c r="B488" s="1037" t="s">
        <v>72</v>
      </c>
      <c r="C488" s="24"/>
      <c r="D488" s="24"/>
      <c r="E488" s="26"/>
      <c r="F488" s="26"/>
      <c r="G488" s="159"/>
      <c r="H488" s="159"/>
      <c r="I488" s="159"/>
      <c r="J488" s="160"/>
      <c r="K488" s="1021"/>
      <c r="L488" s="3"/>
      <c r="M488" s="3"/>
      <c r="N488" s="3"/>
      <c r="O488" s="3"/>
    </row>
    <row r="489" spans="1:23" s="1000" customFormat="1" ht="20.100000000000001" customHeight="1" outlineLevel="2">
      <c r="A489" s="1079"/>
      <c r="B489" s="1006" t="str">
        <f>HBL!$AA$1559</f>
        <v>TOTAL OF OUTPUTS</v>
      </c>
      <c r="C489" s="1007"/>
      <c r="D489" s="1007"/>
      <c r="E489" s="1007"/>
      <c r="F489" s="1007"/>
      <c r="G489" s="1008"/>
      <c r="H489" s="1008"/>
      <c r="I489" s="1009"/>
      <c r="J489" s="1010">
        <f>J482</f>
        <v>174.74424999999999</v>
      </c>
      <c r="K489" s="1024"/>
      <c r="L489" s="999"/>
      <c r="M489" s="999"/>
      <c r="N489" s="999"/>
      <c r="O489" s="999"/>
      <c r="W489" s="1001"/>
    </row>
    <row r="490" spans="1:23" ht="12.75" customHeight="1" outlineLevel="2">
      <c r="C490" s="22"/>
      <c r="D490" s="22"/>
      <c r="E490" s="22"/>
      <c r="F490" s="22"/>
      <c r="G490" s="98"/>
      <c r="H490" s="98"/>
      <c r="I490" s="43"/>
      <c r="J490" s="161"/>
      <c r="K490" s="1015"/>
      <c r="L490" s="3"/>
      <c r="M490" s="3"/>
      <c r="N490" s="3"/>
      <c r="O490" s="3"/>
    </row>
    <row r="491" spans="1:23" ht="12.75" customHeight="1" outlineLevel="2">
      <c r="B491" t="s">
        <v>995</v>
      </c>
      <c r="C491" s="22"/>
      <c r="D491" s="22"/>
      <c r="E491" s="22"/>
      <c r="F491" s="22"/>
      <c r="G491" s="98"/>
      <c r="H491" s="98"/>
      <c r="I491" s="43"/>
      <c r="J491" s="98"/>
      <c r="K491" s="1015"/>
      <c r="L491" s="3"/>
      <c r="M491" s="3"/>
      <c r="N491" s="3"/>
      <c r="O491" s="3"/>
    </row>
    <row r="492" spans="1:23" ht="12.75" customHeight="1" outlineLevel="2">
      <c r="B492" s="97"/>
      <c r="C492" s="22"/>
      <c r="D492" s="22"/>
      <c r="E492" s="22"/>
      <c r="F492" s="22"/>
      <c r="G492" s="98"/>
      <c r="H492" s="98"/>
      <c r="I492" s="43"/>
      <c r="J492" s="98"/>
      <c r="K492" s="1015"/>
      <c r="L492" s="3"/>
      <c r="M492" s="3"/>
      <c r="N492" s="3"/>
      <c r="O492" s="3"/>
    </row>
    <row r="493" spans="1:23" ht="12.75" customHeight="1" outlineLevel="2">
      <c r="B493" s="97"/>
      <c r="C493" s="22"/>
      <c r="D493" s="22"/>
      <c r="E493" s="22"/>
      <c r="F493" s="22"/>
      <c r="G493" s="98"/>
      <c r="H493" s="98"/>
      <c r="I493" s="43"/>
      <c r="J493" s="98"/>
      <c r="K493" s="1015"/>
      <c r="L493" s="3"/>
      <c r="M493" s="3"/>
      <c r="N493" s="3"/>
      <c r="O493" s="3"/>
    </row>
    <row r="494" spans="1:23" ht="12.75" customHeight="1" outlineLevel="2">
      <c r="B494" s="915" t="s">
        <v>1386</v>
      </c>
      <c r="C494" s="906"/>
      <c r="D494" s="906"/>
      <c r="E494" s="906"/>
      <c r="F494" s="916"/>
      <c r="G494" s="917"/>
      <c r="H494" s="917"/>
      <c r="I494" s="917"/>
      <c r="J494" s="917"/>
      <c r="K494" s="1017"/>
      <c r="L494" s="3"/>
      <c r="M494" s="3"/>
      <c r="N494" s="3"/>
      <c r="O494" s="3"/>
    </row>
    <row r="495" spans="1:23" ht="12.75" customHeight="1" outlineLevel="2">
      <c r="B495" s="97"/>
      <c r="C495" s="22"/>
      <c r="D495" s="22"/>
      <c r="E495" s="22"/>
      <c r="F495" s="22"/>
      <c r="G495" s="98"/>
      <c r="H495" s="98"/>
      <c r="I495" s="43"/>
      <c r="J495" s="98"/>
      <c r="K495" s="1015"/>
      <c r="L495" s="3"/>
      <c r="M495" s="3"/>
      <c r="N495" s="3"/>
      <c r="O495" s="3"/>
    </row>
    <row r="496" spans="1:23" ht="12.75" customHeight="1" outlineLevel="2">
      <c r="A496" s="1080"/>
      <c r="B496" s="961"/>
      <c r="C496" s="962"/>
      <c r="D496" s="962"/>
      <c r="E496" s="962"/>
      <c r="F496" s="962"/>
      <c r="G496" s="963"/>
      <c r="H496" s="964"/>
      <c r="K496" s="1025">
        <v>41</v>
      </c>
      <c r="L496" s="3"/>
      <c r="M496" s="3"/>
      <c r="N496" s="3"/>
      <c r="O496" s="3"/>
    </row>
    <row r="497" spans="1:23" ht="12.75" customHeight="1" outlineLevel="2">
      <c r="A497" s="1077"/>
      <c r="B497" s="965" t="str">
        <f>HBL!$AA$1409</f>
        <v>COOLER AIR BALANCE</v>
      </c>
      <c r="C497" s="951"/>
      <c r="D497" s="951"/>
      <c r="E497" s="951"/>
      <c r="F497" s="966"/>
      <c r="G497" s="947" t="s">
        <v>474</v>
      </c>
      <c r="H497" s="967" t="s">
        <v>996</v>
      </c>
      <c r="K497" s="1025"/>
      <c r="L497" s="3"/>
      <c r="M497" s="3"/>
      <c r="N497" s="3"/>
      <c r="O497" s="3"/>
    </row>
    <row r="498" spans="1:23" ht="12.75" customHeight="1" outlineLevel="2">
      <c r="A498" s="1077"/>
      <c r="B498" s="965" t="str">
        <f>HBL!$AA$1490</f>
        <v>without water injection</v>
      </c>
      <c r="C498" s="968"/>
      <c r="D498" s="968"/>
      <c r="E498" s="969"/>
      <c r="F498" s="968"/>
      <c r="G498" s="970"/>
      <c r="H498" s="971"/>
      <c r="K498" s="1025"/>
      <c r="L498" s="3"/>
      <c r="M498" s="3"/>
      <c r="N498" s="3"/>
      <c r="O498" s="3"/>
    </row>
    <row r="499" spans="1:23" ht="12.75" customHeight="1" outlineLevel="2">
      <c r="A499" s="1077"/>
      <c r="B499" s="125" t="str">
        <f>HBL!$AA$1314</f>
        <v>INPUT</v>
      </c>
      <c r="C499" s="15"/>
      <c r="D499" s="15"/>
      <c r="E499" s="15"/>
      <c r="F499" s="15"/>
      <c r="G499" s="111"/>
      <c r="H499" s="126"/>
      <c r="K499" s="1025"/>
      <c r="L499" s="3"/>
      <c r="M499" s="3"/>
      <c r="N499" s="3"/>
      <c r="O499" s="3"/>
    </row>
    <row r="500" spans="1:23" ht="12.75" customHeight="1" outlineLevel="2">
      <c r="A500" s="1077"/>
      <c r="B500" s="73" t="str">
        <f>HBL!$AA$1408</f>
        <v>Cooling air</v>
      </c>
      <c r="C500" s="15"/>
      <c r="D500" s="15"/>
      <c r="E500" s="15"/>
      <c r="F500" s="15"/>
      <c r="G500" s="343">
        <f>VN_COOLAIR</f>
        <v>333217.24336402596</v>
      </c>
      <c r="H500" s="318">
        <f>VNSP_COOLAIR</f>
        <v>1.9846172922217151</v>
      </c>
      <c r="K500" s="1025"/>
      <c r="L500" s="3"/>
      <c r="M500" s="3"/>
      <c r="N500" s="3"/>
      <c r="O500" s="3"/>
    </row>
    <row r="501" spans="1:23" ht="12.75" customHeight="1" outlineLevel="2">
      <c r="A501" s="1077"/>
      <c r="B501" s="73" t="str">
        <f>HBL!$AA$1348</f>
        <v>False air cooler</v>
      </c>
      <c r="C501" s="15"/>
      <c r="D501" s="15"/>
      <c r="E501" s="15"/>
      <c r="F501" s="15"/>
      <c r="G501" s="343">
        <f>IF(VN_FALSECOOLER="","",VN_FALSECOOLER)</f>
        <v>5000</v>
      </c>
      <c r="H501" s="319">
        <f>IF(VNSP_FALSECOOLER="","",VNSP_FALSECOOLER)</f>
        <v>2.9779630732578916E-2</v>
      </c>
      <c r="K501" s="1025"/>
      <c r="L501" s="3"/>
      <c r="M501" s="3"/>
      <c r="N501" s="3"/>
      <c r="O501" s="3"/>
    </row>
    <row r="502" spans="1:23" s="1000" customFormat="1" ht="20.100000000000001" customHeight="1" outlineLevel="2">
      <c r="A502" s="1081"/>
      <c r="B502" s="922" t="str">
        <f>HBL!$AA$1560</f>
        <v>TOTAL OF INPUTS</v>
      </c>
      <c r="C502" s="923"/>
      <c r="D502" s="923"/>
      <c r="E502" s="923"/>
      <c r="F502" s="923"/>
      <c r="G502" s="1004">
        <f>IF(SUM(G500:G501)=0,"",SUM(G500:G501))</f>
        <v>338217.24336402596</v>
      </c>
      <c r="H502" s="1005">
        <f>IF(G502="","",G502/(M_CLI*1000))</f>
        <v>2.014396922954294</v>
      </c>
      <c r="K502" s="1026"/>
      <c r="L502" s="999"/>
      <c r="M502" s="999"/>
      <c r="N502" s="999"/>
      <c r="O502" s="999"/>
      <c r="W502" s="1001"/>
    </row>
    <row r="503" spans="1:23" ht="12.75" customHeight="1" outlineLevel="2">
      <c r="A503" s="1077"/>
      <c r="B503" s="125" t="str">
        <f>HBL!$AA$1244</f>
        <v>OUTPUT</v>
      </c>
      <c r="C503" s="15"/>
      <c r="D503" s="15"/>
      <c r="E503" s="15"/>
      <c r="F503" s="15"/>
      <c r="G503" s="344"/>
      <c r="H503" s="320"/>
      <c r="K503" s="1025"/>
      <c r="L503" s="3"/>
      <c r="M503" s="3"/>
      <c r="N503" s="3"/>
      <c r="O503" s="3"/>
    </row>
    <row r="504" spans="1:23" ht="12.75" customHeight="1" outlineLevel="2">
      <c r="A504" s="1077"/>
      <c r="B504" s="135" t="str">
        <f>HBL!$AA$1535</f>
        <v>Secondary air</v>
      </c>
      <c r="C504" s="15"/>
      <c r="D504" s="15"/>
      <c r="E504" s="15"/>
      <c r="F504" s="15"/>
      <c r="G504" s="344">
        <f>IF(VN_SECONDAIR="","", IF(AND(Cooler=2, M_H2OCOOLER&gt;0), VN_SECONDAIR-1.24*M_H2OCOOLER, VN_SECONDAIR))</f>
        <v>51353.401637300209</v>
      </c>
      <c r="H504" s="319">
        <f>IF(VNSP_SECONDAIR="","", IF(AND(Cooler=2, M_H2OCOOLER&gt;0), VNSP_SECONDAIR-1.24*M_H2OCOOLER/M_CLI/1000, VNSP_SECONDAIR))</f>
        <v>0.30585706752412273</v>
      </c>
      <c r="K504" s="1025"/>
      <c r="L504" s="3"/>
      <c r="M504" s="3"/>
      <c r="N504" s="3"/>
      <c r="O504" s="3"/>
    </row>
    <row r="505" spans="1:23" ht="12.75" customHeight="1" outlineLevel="2">
      <c r="A505" s="1077"/>
      <c r="B505" s="73" t="str">
        <f>HBL!$AA$1572</f>
        <v>Tertiary air (incl dust)</v>
      </c>
      <c r="F505" s="113"/>
      <c r="G505" s="345">
        <f>IF(VN_TERTAIR="","",VN_TERTAIR)</f>
        <v>74709.986192517099</v>
      </c>
      <c r="H505" s="507">
        <f>IF(VN_TERTAIR="","",VNSP_TERTAIR)</f>
        <v>0.44496716016984572</v>
      </c>
      <c r="K505" s="1025"/>
      <c r="L505" s="3"/>
      <c r="M505" s="3"/>
      <c r="N505" s="3"/>
      <c r="O505" s="3"/>
    </row>
    <row r="506" spans="1:23" ht="12.75" customHeight="1" outlineLevel="2">
      <c r="A506" s="1077"/>
      <c r="B506" s="73" t="str">
        <f>HBL!$AA$1411</f>
        <v>Cooler middle air</v>
      </c>
      <c r="C506" s="15"/>
      <c r="D506" s="15"/>
      <c r="E506" s="15"/>
      <c r="F506" s="15"/>
      <c r="G506" s="343" t="str">
        <f>IF(VN_MIDDLE="","",VN_MIDDLE)</f>
        <v/>
      </c>
      <c r="H506" s="318" t="str">
        <f>IF(VN_MIDDLE="","",VNSP_MIDDLE)</f>
        <v/>
      </c>
      <c r="K506" s="1025"/>
      <c r="L506" s="3"/>
      <c r="M506" s="3"/>
      <c r="N506" s="3"/>
      <c r="O506" s="3"/>
    </row>
    <row r="507" spans="1:23" ht="12.75" customHeight="1" outlineLevel="2">
      <c r="A507" s="1077"/>
      <c r="B507" s="73" t="str">
        <f>HBL!$AA$1405</f>
        <v>Cooler waste air</v>
      </c>
      <c r="C507" s="15"/>
      <c r="D507" s="15"/>
      <c r="E507" s="15"/>
      <c r="F507" s="15"/>
      <c r="G507" s="343" t="str">
        <f>IF(VN_WASTE="","", VN_WASTE)</f>
        <v/>
      </c>
      <c r="H507" s="318" t="str">
        <f>IF(VNSP_WASTE="", "", VNSP_WASTE)</f>
        <v/>
      </c>
      <c r="K507" s="1025"/>
      <c r="L507" s="3"/>
      <c r="M507" s="3"/>
      <c r="N507" s="3"/>
      <c r="O507" s="3"/>
      <c r="U507" s="546"/>
    </row>
    <row r="508" spans="1:23" ht="12.75" customHeight="1" outlineLevel="2">
      <c r="A508" s="1077"/>
      <c r="B508" s="73" t="str">
        <f>HBL!$AA$1517</f>
        <v>Error</v>
      </c>
      <c r="C508" s="145">
        <f>IF(G502="","",G508/G502*100)</f>
        <v>62.727096177608466</v>
      </c>
      <c r="D508" s="114" t="s">
        <v>423</v>
      </c>
      <c r="E508" s="15"/>
      <c r="F508" s="15"/>
      <c r="G508" s="343">
        <f>IF(G510="","",G510-SUM(G504:G507))</f>
        <v>212153.85553420865</v>
      </c>
      <c r="H508" s="318">
        <f>IF(G508="","",G508/(M_CLI*1000))</f>
        <v>1.2635726952603255</v>
      </c>
      <c r="K508" s="1025"/>
      <c r="L508" s="3"/>
      <c r="M508" s="3"/>
      <c r="N508" s="3"/>
      <c r="O508" s="3"/>
    </row>
    <row r="509" spans="1:23" ht="12.75" customHeight="1" outlineLevel="2">
      <c r="A509" s="1077"/>
      <c r="B509" s="1037" t="s">
        <v>72</v>
      </c>
      <c r="C509" s="15"/>
      <c r="D509" s="15"/>
      <c r="E509" s="15"/>
      <c r="F509" s="15"/>
      <c r="G509" s="344"/>
      <c r="H509" s="320"/>
      <c r="K509" s="1025"/>
      <c r="L509" s="3"/>
      <c r="M509" s="3"/>
      <c r="N509" s="3"/>
      <c r="O509" s="3"/>
    </row>
    <row r="510" spans="1:23" s="1000" customFormat="1" ht="20.100000000000001" customHeight="1" outlineLevel="2">
      <c r="A510" s="1081"/>
      <c r="B510" s="922" t="str">
        <f>HBL!$AA$1559</f>
        <v>TOTAL OF OUTPUTS</v>
      </c>
      <c r="C510" s="923"/>
      <c r="D510" s="923"/>
      <c r="E510" s="923"/>
      <c r="F510" s="923"/>
      <c r="G510" s="1004">
        <f>G502</f>
        <v>338217.24336402596</v>
      </c>
      <c r="H510" s="1005">
        <f>H502</f>
        <v>2.014396922954294</v>
      </c>
      <c r="K510" s="1026"/>
      <c r="L510" s="999"/>
      <c r="M510" s="999"/>
      <c r="N510" s="999"/>
      <c r="O510" s="999"/>
      <c r="W510" s="1001"/>
    </row>
    <row r="511" spans="1:23" ht="12.75" customHeight="1" outlineLevel="2">
      <c r="A511" s="1077"/>
      <c r="K511" s="1025"/>
      <c r="L511" s="3"/>
      <c r="M511" s="3"/>
      <c r="N511" s="3"/>
      <c r="O511" s="3"/>
    </row>
    <row r="512" spans="1:23" ht="12.75" customHeight="1" outlineLevel="2">
      <c r="A512" s="1077"/>
      <c r="B512" s="1036" t="s">
        <v>1075</v>
      </c>
      <c r="C512" s="492"/>
      <c r="K512" s="1025"/>
      <c r="L512" s="3"/>
      <c r="M512" s="3"/>
      <c r="N512" s="3"/>
      <c r="O512" s="3"/>
    </row>
    <row r="513" spans="1:15" ht="12.75" customHeight="1" outlineLevel="2">
      <c r="A513" s="1077"/>
      <c r="B513" s="1036" t="s">
        <v>1076</v>
      </c>
      <c r="K513" s="1025"/>
      <c r="L513" s="3"/>
      <c r="M513" s="3"/>
      <c r="N513" s="3"/>
      <c r="O513" s="3"/>
    </row>
    <row r="514" spans="1:15" ht="12.75" customHeight="1" outlineLevel="2">
      <c r="A514" s="1077"/>
      <c r="K514" s="1025"/>
      <c r="L514" s="3"/>
      <c r="M514" s="3"/>
      <c r="N514" s="3"/>
      <c r="O514" s="3"/>
    </row>
    <row r="515" spans="1:15" ht="12.75" customHeight="1" outlineLevel="2">
      <c r="A515" s="1077"/>
      <c r="K515" s="1025"/>
      <c r="L515" s="3"/>
      <c r="M515" s="3"/>
      <c r="N515" s="3"/>
      <c r="O515" s="3"/>
    </row>
    <row r="516" spans="1:15" ht="12.75" customHeight="1" outlineLevel="1">
      <c r="B516" s="97"/>
      <c r="C516" s="22"/>
      <c r="D516" s="22"/>
      <c r="E516" s="22"/>
      <c r="F516" s="22"/>
      <c r="G516" s="98"/>
      <c r="H516" s="98"/>
      <c r="I516" s="43"/>
      <c r="J516" s="98"/>
      <c r="K516" s="1015"/>
      <c r="L516" s="3"/>
      <c r="M516" s="3"/>
      <c r="N516" s="3"/>
      <c r="O516" s="3"/>
    </row>
    <row r="517" spans="1:15" ht="18.75" customHeight="1" outlineLevel="1">
      <c r="B517" s="913" t="s">
        <v>674</v>
      </c>
      <c r="C517" s="913"/>
      <c r="D517" s="913"/>
      <c r="E517" s="913"/>
      <c r="F517" s="913"/>
      <c r="G517" s="913"/>
      <c r="H517" s="913"/>
      <c r="I517" s="913"/>
      <c r="J517" s="913"/>
      <c r="K517" s="1016"/>
      <c r="L517" s="3"/>
      <c r="M517" s="3"/>
      <c r="N517" s="3"/>
      <c r="O517" s="3"/>
    </row>
    <row r="518" spans="1:15" ht="12.75" customHeight="1" outlineLevel="1">
      <c r="B518" s="97"/>
      <c r="C518" s="22"/>
      <c r="D518" s="22"/>
      <c r="E518" s="22"/>
      <c r="F518" s="22"/>
      <c r="G518" s="98"/>
      <c r="H518" s="98"/>
      <c r="I518" s="43"/>
      <c r="J518" s="98"/>
      <c r="K518" s="1015"/>
      <c r="L518" s="3"/>
      <c r="M518" s="3"/>
      <c r="N518" s="3"/>
      <c r="O518" s="3"/>
    </row>
    <row r="519" spans="1:15" ht="12.75" customHeight="1" outlineLevel="2">
      <c r="B519" s="97"/>
      <c r="C519" s="22"/>
      <c r="D519" s="22"/>
      <c r="E519" s="22"/>
      <c r="F519" s="22"/>
      <c r="G519" s="98"/>
      <c r="H519" s="98"/>
      <c r="I519" s="43"/>
      <c r="J519" s="98"/>
      <c r="K519" s="1015"/>
      <c r="L519" s="3"/>
      <c r="M519" s="3"/>
      <c r="N519" s="3"/>
      <c r="O519" s="3"/>
    </row>
    <row r="520" spans="1:15" ht="12.75" customHeight="1" outlineLevel="2">
      <c r="A520" s="1077"/>
      <c r="B520" s="915" t="str">
        <f>HBL!$AA$1402</f>
        <v>COOLER HEAT BALANCE</v>
      </c>
      <c r="C520" s="906"/>
      <c r="D520" s="906"/>
      <c r="E520" s="906"/>
      <c r="F520" s="916"/>
      <c r="G520" s="917"/>
      <c r="H520" s="917"/>
      <c r="I520" s="917"/>
      <c r="J520" s="917"/>
      <c r="K520" s="1017"/>
      <c r="L520" s="3"/>
      <c r="M520" s="3"/>
      <c r="N520" s="3"/>
      <c r="O520" s="3"/>
    </row>
    <row r="521" spans="1:15" ht="12.75" customHeight="1" outlineLevel="2">
      <c r="A521" s="1077"/>
      <c r="I521" s="918" t="str">
        <f>HBL!$AA$1654</f>
        <v>Plant</v>
      </c>
      <c r="J521" s="918" t="str">
        <f>IF(PLANT_NAME="","",PLANT_NAME)</f>
        <v>Meadows</v>
      </c>
      <c r="K521" s="1025"/>
      <c r="L521" s="3"/>
      <c r="M521" s="3"/>
      <c r="N521" s="3"/>
      <c r="O521" s="3"/>
    </row>
    <row r="522" spans="1:15" ht="12.75" customHeight="1" outlineLevel="2">
      <c r="A522" s="1077"/>
      <c r="I522" s="100" t="str">
        <f>HBL!$AA$1478</f>
        <v>Kiln No.</v>
      </c>
      <c r="J522" s="101">
        <f>IF(KILN_NO="","",KILN_NO)</f>
        <v>1</v>
      </c>
      <c r="K522" s="1025"/>
      <c r="L522" s="3"/>
      <c r="M522" s="3"/>
      <c r="N522" s="3"/>
      <c r="O522" s="3"/>
    </row>
    <row r="523" spans="1:15" ht="12.75" customHeight="1" outlineLevel="2">
      <c r="A523" s="1077"/>
      <c r="B523" s="1" t="str">
        <f>HBL!$AA$1516</f>
        <v>Reference temperature</v>
      </c>
      <c r="D523" s="4">
        <f>IF(M_CLI="","",20)</f>
        <v>20</v>
      </c>
      <c r="E523" s="5" t="s">
        <v>425</v>
      </c>
      <c r="I523" s="103" t="str">
        <f>HBL!$AA$1305</f>
        <v>Date</v>
      </c>
      <c r="J523" s="104">
        <f>IF(M_CLI="","",DATE1)</f>
        <v>41219</v>
      </c>
      <c r="K523" s="1025"/>
      <c r="L523" s="3"/>
      <c r="M523" s="3"/>
      <c r="N523" s="3"/>
      <c r="O523" s="3"/>
    </row>
    <row r="524" spans="1:15" ht="12.75" customHeight="1" outlineLevel="2">
      <c r="A524" s="1077"/>
      <c r="B524" s="1" t="str">
        <f>HBL!$AA$1585</f>
        <v>Ambient temperature</v>
      </c>
      <c r="D524" s="105">
        <f>IF(TAMB="","",TAMB)</f>
        <v>20.399999999999999</v>
      </c>
      <c r="E524" s="5" t="s">
        <v>425</v>
      </c>
      <c r="K524" s="1025"/>
      <c r="L524" s="3"/>
      <c r="M524" s="3"/>
      <c r="N524" s="3"/>
      <c r="O524" s="3"/>
    </row>
    <row r="525" spans="1:15" ht="12.75" customHeight="1" outlineLevel="2">
      <c r="A525" s="1077"/>
      <c r="B525" t="s">
        <v>406</v>
      </c>
      <c r="D525" s="766">
        <f>IF(PAMB="","",PAMB)</f>
        <v>980</v>
      </c>
      <c r="E525" s="5" t="s">
        <v>424</v>
      </c>
      <c r="K525" s="1025"/>
      <c r="L525" s="3"/>
      <c r="M525" s="3"/>
      <c r="N525" s="3"/>
      <c r="O525" s="3"/>
    </row>
    <row r="526" spans="1:15" ht="12.75" customHeight="1" outlineLevel="2">
      <c r="A526" s="1077"/>
      <c r="B526" s="1" t="str">
        <f>HBL!$AA$1505</f>
        <v>Production rate</v>
      </c>
      <c r="D526" s="767">
        <f>IF(M_CLI="","",M_CLI*24)</f>
        <v>4029.6000000000004</v>
      </c>
      <c r="E526" s="5" t="s">
        <v>493</v>
      </c>
      <c r="F526" s="940"/>
      <c r="G526" s="941"/>
      <c r="H526" s="942"/>
      <c r="I526" s="940"/>
      <c r="J526" s="942"/>
      <c r="K526" s="1018"/>
      <c r="L526" s="3"/>
      <c r="M526" s="3"/>
      <c r="N526" s="3"/>
      <c r="O526" s="3"/>
    </row>
    <row r="527" spans="1:15" ht="12.75" customHeight="1" outlineLevel="2">
      <c r="A527" s="1077"/>
      <c r="B527" s="1" t="str">
        <f>HBL!$AA$1268</f>
        <v>Fuel input main burner</v>
      </c>
      <c r="D527" s="106">
        <f>QP_BZ</f>
        <v>40.013174714470054</v>
      </c>
      <c r="E527" s="1" t="s">
        <v>423</v>
      </c>
      <c r="F527" s="944" t="str">
        <f>HBL!$AA$1539</f>
        <v>SPECIFICATION</v>
      </c>
      <c r="G527" s="945"/>
      <c r="H527" s="946"/>
      <c r="I527" s="944" t="str">
        <f>HBL!$AA$1316</f>
        <v>ENERGY</v>
      </c>
      <c r="J527" s="946"/>
      <c r="K527" s="1019"/>
      <c r="L527" s="3"/>
      <c r="M527" s="3"/>
      <c r="N527" s="3"/>
      <c r="O527" s="3"/>
    </row>
    <row r="528" spans="1:15" ht="12.75" customHeight="1" outlineLevel="2">
      <c r="A528" s="1077"/>
      <c r="B528" s="1" t="str">
        <f>HBL!$AA$1473</f>
        <v>O2 kiln inlet</v>
      </c>
      <c r="D528" s="309">
        <f>IF(O2_KILNINLET="","",O2_KILNINLET)</f>
        <v>1</v>
      </c>
      <c r="E528" s="1" t="s">
        <v>423</v>
      </c>
      <c r="F528" s="948"/>
      <c r="G528" s="949"/>
      <c r="H528" s="950"/>
      <c r="I528" s="951"/>
      <c r="J528" s="950"/>
      <c r="K528" s="1027"/>
      <c r="L528" s="3"/>
      <c r="M528" s="3"/>
      <c r="N528" s="3"/>
      <c r="O528" s="3"/>
    </row>
    <row r="529" spans="1:23" ht="12.75" customHeight="1" outlineLevel="2">
      <c r="A529" s="1077"/>
      <c r="B529" s="1" t="str">
        <f>HBL!$AA$1498</f>
        <v>Primary air main burner</v>
      </c>
      <c r="D529" s="766">
        <f>VN_PRIMCOMB</f>
        <v>10000</v>
      </c>
      <c r="E529" s="1" t="s">
        <v>458</v>
      </c>
      <c r="F529" s="956" t="s">
        <v>1291</v>
      </c>
      <c r="G529" s="944" t="str">
        <f>HBL!$AA$1387</f>
        <v>NCV</v>
      </c>
      <c r="H529" s="946"/>
      <c r="I529" s="943"/>
      <c r="J529" s="953"/>
      <c r="K529" s="1020"/>
      <c r="L529" s="3"/>
      <c r="M529" s="3"/>
      <c r="N529" s="3"/>
      <c r="O529" s="3"/>
    </row>
    <row r="530" spans="1:23" ht="12.75" customHeight="1" outlineLevel="2">
      <c r="A530" s="1077"/>
      <c r="B530" s="1" t="str">
        <f>HBL!$AA$1541</f>
        <v>Specific heat cons-</v>
      </c>
      <c r="D530" s="767">
        <f>Q_FUEL</f>
        <v>3349.5860035735554</v>
      </c>
      <c r="E530" s="5" t="s">
        <v>442</v>
      </c>
      <c r="F530" s="959" t="s">
        <v>487</v>
      </c>
      <c r="G530" s="956" t="s">
        <v>488</v>
      </c>
      <c r="H530" s="947" t="s">
        <v>489</v>
      </c>
      <c r="I530" s="947" t="s">
        <v>490</v>
      </c>
      <c r="J530" s="960" t="s">
        <v>491</v>
      </c>
      <c r="K530" s="1020"/>
      <c r="L530" s="3"/>
      <c r="M530" s="3"/>
      <c r="N530" s="3"/>
      <c r="O530" s="3"/>
    </row>
    <row r="531" spans="1:23" ht="12.75" customHeight="1" outlineLevel="2">
      <c r="A531" s="1077"/>
      <c r="B531" s="1" t="str">
        <f>HBL!$AA$1593</f>
        <v>sumption</v>
      </c>
      <c r="F531" s="959" t="s">
        <v>494</v>
      </c>
      <c r="G531" s="959" t="s">
        <v>479</v>
      </c>
      <c r="H531" s="947" t="s">
        <v>473</v>
      </c>
      <c r="I531" s="954"/>
      <c r="J531" s="947"/>
      <c r="K531" s="1020"/>
      <c r="L531" s="3"/>
      <c r="M531" s="3"/>
      <c r="N531" s="3"/>
      <c r="O531" s="3"/>
    </row>
    <row r="532" spans="1:23" ht="12.75" customHeight="1" outlineLevel="2">
      <c r="A532" s="1077"/>
      <c r="B532" s="936" t="str">
        <f>HBL!$AA$1314</f>
        <v>INPUT</v>
      </c>
      <c r="C532" s="109"/>
      <c r="D532" s="109"/>
      <c r="E532" s="109"/>
      <c r="F532" s="108"/>
      <c r="G532" s="930"/>
      <c r="H532" s="931"/>
      <c r="I532" s="932"/>
      <c r="J532" s="931"/>
      <c r="K532" s="1028"/>
      <c r="L532" s="3"/>
      <c r="M532" s="3"/>
      <c r="N532" s="3"/>
      <c r="O532" s="3"/>
    </row>
    <row r="533" spans="1:23" ht="12.75" customHeight="1" outlineLevel="2">
      <c r="A533" s="1077"/>
      <c r="B533" s="73" t="str">
        <f>HBL!$AA$1426</f>
        <v>Clinker from the kiln</v>
      </c>
      <c r="C533" s="15"/>
      <c r="D533" s="146" t="str">
        <f>HBL!$AA$1320</f>
        <v>Sensible heat</v>
      </c>
      <c r="E533" s="143"/>
      <c r="F533" s="139">
        <f>IF(M_CLI="","",IF(CLI_DUST="",1,1+CLI_DUST/100))</f>
        <v>1.03</v>
      </c>
      <c r="G533" s="318" t="str">
        <f>CP_CLIHOT</f>
        <v/>
      </c>
      <c r="H533" s="759" t="str">
        <f>IF(T_CLIHOT="","",T_CLIHOT)</f>
        <v/>
      </c>
      <c r="I533" s="760" t="e">
        <f>SHIN_CLIHOT</f>
        <v>#VALUE!</v>
      </c>
      <c r="J533" s="757" t="e">
        <f t="shared" ref="J533:J539" si="1">IF(I533="","",I533/4.1868)</f>
        <v>#VALUE!</v>
      </c>
      <c r="K533" s="1029">
        <v>51</v>
      </c>
      <c r="L533" s="3"/>
      <c r="M533" s="3"/>
      <c r="N533" s="3"/>
      <c r="O533" s="3"/>
    </row>
    <row r="534" spans="1:23" ht="12.75" customHeight="1" outlineLevel="2">
      <c r="A534" s="1077"/>
      <c r="B534" s="73" t="str">
        <f>HBL!$AA$1408</f>
        <v>Cooling air</v>
      </c>
      <c r="C534" s="114"/>
      <c r="D534" s="146" t="str">
        <f>HBL!$AA$1320</f>
        <v>Sensible heat</v>
      </c>
      <c r="E534" s="143"/>
      <c r="F534" s="412">
        <f>VNSP_COOLAIR</f>
        <v>1.9846172922217151</v>
      </c>
      <c r="G534" s="410">
        <f>IF(SHIN_COOLAIR="","",1.3)</f>
        <v>1.3</v>
      </c>
      <c r="H534" s="120">
        <f>IF(SHIN_COOLAIR="","",IF(Cooler=1, AVERAGE($G$293:$G$305), TAMB))</f>
        <v>30</v>
      </c>
      <c r="I534" s="303">
        <f>SHIN_COOLAIR</f>
        <v>25.800546376152869</v>
      </c>
      <c r="J534" s="304">
        <f t="shared" si="1"/>
        <v>6.1623546326915237</v>
      </c>
      <c r="K534" s="1030">
        <v>52</v>
      </c>
      <c r="L534" s="3"/>
      <c r="M534" s="3"/>
      <c r="N534" s="3"/>
      <c r="O534" s="3"/>
    </row>
    <row r="535" spans="1:23" ht="12.75" customHeight="1" outlineLevel="2">
      <c r="A535" s="1077"/>
      <c r="B535" s="73" t="str">
        <f>HBL!$AA$1348</f>
        <v>False air cooler</v>
      </c>
      <c r="C535" s="15"/>
      <c r="D535" s="146" t="str">
        <f>HBL!$AA$1320</f>
        <v>Sensible heat</v>
      </c>
      <c r="E535" s="146"/>
      <c r="F535" s="319">
        <f>IF(VN_FALSECOOLER="","",VNSP_FALSECOOLER)</f>
        <v>2.9779630732578916E-2</v>
      </c>
      <c r="G535" s="319">
        <f>IF(F535="","",CP_FALSEAIR)</f>
        <v>1.2994207242721114</v>
      </c>
      <c r="H535" s="132">
        <f>IF(F535="","",TAMB)</f>
        <v>20.399999999999999</v>
      </c>
      <c r="I535" s="304">
        <f>IF(SHIN_FALSEAIR="","",SHIN_FALSEAIR)</f>
        <v>1.5478507734033434E-2</v>
      </c>
      <c r="J535" s="304">
        <f t="shared" si="1"/>
        <v>3.6969780581908459E-3</v>
      </c>
      <c r="K535" s="1031">
        <v>53</v>
      </c>
      <c r="L535" s="3"/>
      <c r="M535" s="3"/>
      <c r="N535" s="3"/>
      <c r="O535" s="3"/>
    </row>
    <row r="536" spans="1:23" ht="12.75" customHeight="1" outlineLevel="2">
      <c r="A536" s="1077"/>
      <c r="B536" s="73" t="str">
        <f>HBL!$AA$1645</f>
        <v>Water input</v>
      </c>
      <c r="C536" s="15"/>
      <c r="D536" s="146" t="str">
        <f>HBL!$AA$1320</f>
        <v>Sensible heat</v>
      </c>
      <c r="E536" s="146"/>
      <c r="F536" s="507">
        <f>IF(ISERR(M_H2OCOOLER/(M_CLI*1000)),"",M_H2OCOOLER/(M_CLI*1000))</f>
        <v>0</v>
      </c>
      <c r="G536" s="508" t="str">
        <f>IF(CP_H2OCOOLER="","",CP_H2OCOOLER)</f>
        <v/>
      </c>
      <c r="H536" s="509" t="str">
        <f>IF(T_H2OCOOLER="","",T_H2OCOOLER)</f>
        <v/>
      </c>
      <c r="I536" s="398" t="str">
        <f>SHIN_H2OCOOLER</f>
        <v/>
      </c>
      <c r="J536" s="304" t="str">
        <f t="shared" si="1"/>
        <v/>
      </c>
      <c r="K536" s="1031"/>
      <c r="L536" s="3"/>
      <c r="M536" s="3"/>
      <c r="N536" s="3"/>
      <c r="O536" s="3"/>
    </row>
    <row r="537" spans="1:23" ht="12.75" customHeight="1" outlineLevel="2">
      <c r="A537" s="1077"/>
      <c r="B537" s="73" t="str">
        <f>HBL!$AA$1653</f>
        <v>Other heat input</v>
      </c>
      <c r="C537" s="15"/>
      <c r="D537" s="15"/>
      <c r="E537" s="15"/>
      <c r="F537" s="311"/>
      <c r="G537" s="511"/>
      <c r="H537" s="315"/>
      <c r="I537" s="312" t="str">
        <f>IF(QIN_OTHERCOOLER="","",QIN_OTHERCOOLER)</f>
        <v/>
      </c>
      <c r="J537" s="115" t="str">
        <f t="shared" si="1"/>
        <v/>
      </c>
      <c r="K537" s="1031">
        <v>54</v>
      </c>
      <c r="L537" s="3"/>
      <c r="M537" s="3"/>
      <c r="N537" s="3"/>
      <c r="O537" s="3"/>
    </row>
    <row r="538" spans="1:23" ht="12.75" customHeight="1" outlineLevel="2">
      <c r="A538" s="1077"/>
      <c r="B538" s="616" t="str">
        <f>IF(P_mechconsidered=1,"Mechanical energy","")</f>
        <v/>
      </c>
      <c r="C538" s="124"/>
      <c r="D538" s="124"/>
      <c r="E538" s="124"/>
      <c r="F538" s="149"/>
      <c r="G538" s="128"/>
      <c r="H538" s="937"/>
      <c r="I538" s="938">
        <f>IF(B538="",,H63)</f>
        <v>0</v>
      </c>
      <c r="J538" s="935">
        <f t="shared" si="1"/>
        <v>0</v>
      </c>
      <c r="K538" s="1032"/>
      <c r="L538" s="3"/>
      <c r="M538" s="3"/>
      <c r="N538" s="3"/>
      <c r="O538" s="3"/>
    </row>
    <row r="539" spans="1:23" s="1000" customFormat="1" ht="20.100000000000001" customHeight="1" outlineLevel="2">
      <c r="A539" s="1081"/>
      <c r="B539" s="922" t="str">
        <f>HBL!$AA$1560</f>
        <v>TOTAL OF INPUTS</v>
      </c>
      <c r="C539" s="923"/>
      <c r="D539" s="923"/>
      <c r="E539" s="923"/>
      <c r="F539" s="922"/>
      <c r="G539" s="927"/>
      <c r="H539" s="998"/>
      <c r="I539" s="926" t="e">
        <f>IF(SUM(I533:I538)=0,"",SUM(I533:I538))</f>
        <v>#VALUE!</v>
      </c>
      <c r="J539" s="926" t="e">
        <f t="shared" si="1"/>
        <v>#VALUE!</v>
      </c>
      <c r="K539" s="1033"/>
      <c r="L539" s="999"/>
      <c r="M539" s="999"/>
      <c r="N539" s="999"/>
      <c r="O539" s="999"/>
      <c r="W539" s="1001"/>
    </row>
    <row r="540" spans="1:23" ht="12.75" customHeight="1" outlineLevel="2">
      <c r="A540" s="1077"/>
      <c r="B540" s="125" t="str">
        <f>HBL!$AA$1244</f>
        <v>OUTPUT</v>
      </c>
      <c r="C540" s="15"/>
      <c r="D540" s="15"/>
      <c r="E540" s="15"/>
      <c r="F540" s="125"/>
      <c r="G540" s="60"/>
      <c r="H540" s="122"/>
      <c r="I540" s="313"/>
      <c r="J540" s="506"/>
      <c r="K540" s="1031"/>
      <c r="L540" s="3"/>
      <c r="M540" s="3"/>
      <c r="N540" s="3"/>
      <c r="O540" s="3"/>
    </row>
    <row r="541" spans="1:23" ht="12.75" customHeight="1" outlineLevel="2">
      <c r="A541" s="1077"/>
      <c r="B541" s="73" t="str">
        <f>HBL!$AA$1424</f>
        <v>Clinker</v>
      </c>
      <c r="D541" s="146" t="str">
        <f>HBL!$AA$1320</f>
        <v>Sensible heat</v>
      </c>
      <c r="E541" s="147"/>
      <c r="F541" s="137">
        <f>IF(M_CLI="","",1)</f>
        <v>1</v>
      </c>
      <c r="G541" s="319" t="str">
        <f>CP_CLI</f>
        <v/>
      </c>
      <c r="H541" s="141" t="str">
        <f>IF(T_CLI="","",T_CLI)</f>
        <v/>
      </c>
      <c r="I541" s="756" t="e">
        <f>SHOUT_CLINKER</f>
        <v>#VALUE!</v>
      </c>
      <c r="J541" s="762" t="e">
        <f t="shared" ref="J541:J548" si="2">IF(I541="","",I541/4.1868)</f>
        <v>#VALUE!</v>
      </c>
      <c r="K541" s="1031">
        <v>61</v>
      </c>
      <c r="L541" s="3"/>
      <c r="M541" s="3"/>
      <c r="N541" s="3"/>
      <c r="O541" s="3"/>
    </row>
    <row r="542" spans="1:23" ht="12.75" customHeight="1" outlineLevel="2">
      <c r="A542" s="1077"/>
      <c r="B542" s="383" t="str">
        <f>HBL!$AA$1533</f>
        <v>Secondary air incl. dust</v>
      </c>
      <c r="D542" s="146" t="str">
        <f>HBL!$AA$1320</f>
        <v>Sensible heat</v>
      </c>
      <c r="E542" s="147"/>
      <c r="F542" s="410">
        <f>IF(VNSP_SECONDAIR="","",VNSP_SECONDAIR)</f>
        <v>0.30585706752412273</v>
      </c>
      <c r="G542" s="319" t="str">
        <f>CP_SECONDAIR</f>
        <v/>
      </c>
      <c r="H542" s="141" t="str">
        <f>IF(T_SECONDAIR="","",T_SECONDAIR)</f>
        <v/>
      </c>
      <c r="I542" s="756" t="e">
        <f>SHOUT_SECONDAIR</f>
        <v>#VALUE!</v>
      </c>
      <c r="J542" s="762" t="e">
        <f t="shared" si="2"/>
        <v>#VALUE!</v>
      </c>
      <c r="K542" s="1031">
        <v>62</v>
      </c>
      <c r="L542" s="3"/>
      <c r="M542" s="3"/>
      <c r="N542" s="3"/>
      <c r="O542" s="3"/>
    </row>
    <row r="543" spans="1:23" ht="12.75" customHeight="1" outlineLevel="2">
      <c r="A543" s="1077"/>
      <c r="B543" s="383" t="str">
        <f>HBL!$AA$1534</f>
        <v>and water vapor</v>
      </c>
      <c r="D543" s="146"/>
      <c r="E543" s="147"/>
      <c r="F543" s="411"/>
      <c r="G543" s="441"/>
      <c r="H543" s="315"/>
      <c r="I543" s="761"/>
      <c r="J543" s="763"/>
      <c r="K543" s="1031"/>
      <c r="L543" s="3"/>
      <c r="M543" s="3"/>
      <c r="N543" s="3"/>
      <c r="O543" s="3"/>
    </row>
    <row r="544" spans="1:23" ht="12.75" customHeight="1" outlineLevel="2">
      <c r="A544" s="1077"/>
      <c r="B544" s="73" t="str">
        <f>HBL!$AA$1572</f>
        <v>Tertiary air (incl dust)</v>
      </c>
      <c r="D544" s="146" t="str">
        <f>HBL!$AA$1320</f>
        <v>Sensible heat</v>
      </c>
      <c r="E544" s="146"/>
      <c r="F544" s="510">
        <f>IF(ISERROR(VN_TERTAIR),"",VNSP_TERTAIR)</f>
        <v>0.44496716016984572</v>
      </c>
      <c r="G544" s="507" t="str">
        <f>IF(ISERROR(VN_TERTAIR),"",CP_TERTAIR)</f>
        <v/>
      </c>
      <c r="H544" s="402">
        <f>IF(ISERROR(VN_TERTAIR),"",T_TERTAIR)</f>
        <v>0</v>
      </c>
      <c r="I544" s="764" t="e">
        <f>IF(ISERROR(VN_TERTAIR),"",SHOUT_TERTAIR)</f>
        <v>#VALUE!</v>
      </c>
      <c r="J544" s="765" t="e">
        <f t="shared" si="2"/>
        <v>#VALUE!</v>
      </c>
      <c r="K544" s="1029">
        <v>63</v>
      </c>
      <c r="L544" s="3"/>
      <c r="M544" s="189"/>
      <c r="N544" s="3"/>
      <c r="O544" s="3"/>
    </row>
    <row r="545" spans="1:23" ht="12.75" customHeight="1" outlineLevel="2">
      <c r="A545" s="1077"/>
      <c r="B545" s="383" t="str">
        <f>HBL!$AA$1411</f>
        <v>Cooler middle air</v>
      </c>
      <c r="D545" s="146" t="str">
        <f>HBL!$AA$1320</f>
        <v>Sensible heat</v>
      </c>
      <c r="E545" s="147"/>
      <c r="F545" s="410" t="str">
        <f>IF(VN_MIDDLE="","",VNSP_MIDDLE)</f>
        <v/>
      </c>
      <c r="G545" s="319" t="str">
        <f>IF(VN_MIDDLE="","",CP_MIDDLE)</f>
        <v/>
      </c>
      <c r="H545" s="141" t="str">
        <f>IF(VN_MIDDLE="","",T_MIDDLE)</f>
        <v/>
      </c>
      <c r="I545" s="756" t="str">
        <f>IF(VN_MIDDLE="","",SHOUT_MIDDLE)</f>
        <v/>
      </c>
      <c r="J545" s="762" t="str">
        <f t="shared" si="2"/>
        <v/>
      </c>
      <c r="K545" s="1031">
        <v>64</v>
      </c>
      <c r="L545" s="3"/>
      <c r="M545" s="3"/>
      <c r="N545" s="3"/>
      <c r="O545" s="3"/>
    </row>
    <row r="546" spans="1:23" ht="12.75" customHeight="1" outlineLevel="2">
      <c r="A546" s="1077"/>
      <c r="B546" s="383" t="str">
        <f>HBL!$AA$1405</f>
        <v>Cooler waste air</v>
      </c>
      <c r="D546" s="146" t="str">
        <f>HBL!$AA$1320</f>
        <v>Sensible heat</v>
      </c>
      <c r="E546" s="147"/>
      <c r="F546" s="410" t="str">
        <f>IF(VNSP_WASTE="","", IF(M_H2OCOOLER="", VNSP_WASTE, VNSP_WASTE+M_H2OCOOLER*1.24/M_CLI/1000))</f>
        <v/>
      </c>
      <c r="G546" s="319">
        <f>CP_WASTE</f>
        <v>1.3223424992000001</v>
      </c>
      <c r="H546" s="141">
        <f>IF(T_WASTE="","",T_WASTE)</f>
        <v>300</v>
      </c>
      <c r="I546" s="756" t="str">
        <f>SHOUT_WASTEandH2O</f>
        <v/>
      </c>
      <c r="J546" s="762" t="str">
        <f t="shared" si="2"/>
        <v/>
      </c>
      <c r="K546" s="1031">
        <v>65</v>
      </c>
      <c r="L546" s="3"/>
      <c r="M546" s="3"/>
      <c r="N546" s="3"/>
      <c r="O546" s="3"/>
    </row>
    <row r="547" spans="1:23" ht="12.75" customHeight="1" outlineLevel="2">
      <c r="A547" s="1077"/>
      <c r="B547" s="427" t="str">
        <f>HBL!$AA$1534</f>
        <v>and water vapor</v>
      </c>
      <c r="D547" s="146"/>
      <c r="E547" s="147"/>
      <c r="F547" s="410"/>
      <c r="G547" s="319"/>
      <c r="H547" s="141"/>
      <c r="I547" s="756"/>
      <c r="J547" s="758"/>
      <c r="K547" s="1031"/>
      <c r="L547" s="3"/>
      <c r="M547" s="3"/>
      <c r="N547" s="3"/>
      <c r="O547" s="3"/>
    </row>
    <row r="548" spans="1:23" ht="12.75" customHeight="1" outlineLevel="2">
      <c r="A548" s="1077"/>
      <c r="B548" s="73" t="str">
        <f>HBL!$AA$1632</f>
        <v>Water evaporation</v>
      </c>
      <c r="D548" s="146"/>
      <c r="E548" s="147"/>
      <c r="F548" s="119">
        <f>IF(OR(M_H2OCOOLER="",M_CLI=0),"",M_H2OCOOLER/(M_CLI*1000))</f>
        <v>0</v>
      </c>
      <c r="G548" s="512">
        <f>IF(M_H2OCOOLER="","",2450)</f>
        <v>2450</v>
      </c>
      <c r="H548" s="131"/>
      <c r="I548" s="756">
        <f>IF(ISERROR(QOUT_H2OCOOLER),"",QOUT_H2OCOOLER)</f>
        <v>0</v>
      </c>
      <c r="J548" s="762">
        <f t="shared" si="2"/>
        <v>0</v>
      </c>
      <c r="K548" s="1031"/>
      <c r="L548" s="3"/>
      <c r="M548" s="3"/>
      <c r="N548" s="3"/>
      <c r="O548" s="3"/>
    </row>
    <row r="549" spans="1:23" ht="12.75" customHeight="1" outlineLevel="2">
      <c r="A549" s="1077"/>
      <c r="B549" s="73" t="str">
        <f>HBL!$AA$1558</f>
        <v>Radiation losses</v>
      </c>
      <c r="F549" s="311"/>
      <c r="G549" s="314"/>
      <c r="H549" s="315"/>
      <c r="I549" s="756">
        <f>IF(QOUT_COOLRAD="","",QOUT_COOLRAD)</f>
        <v>20</v>
      </c>
      <c r="J549" s="762">
        <f>IF(I549="","",I549/4.1868)</f>
        <v>4.7769179325499191</v>
      </c>
      <c r="K549" s="1031">
        <v>66</v>
      </c>
      <c r="L549" s="3"/>
      <c r="M549" s="3"/>
      <c r="N549" s="3"/>
      <c r="O549" s="3"/>
    </row>
    <row r="550" spans="1:23" ht="12.75" customHeight="1" outlineLevel="2">
      <c r="A550" s="1077"/>
      <c r="B550" s="73" t="str">
        <f>HBL!$AA$1651</f>
        <v>Other heat output</v>
      </c>
      <c r="E550" s="15"/>
      <c r="F550" s="311"/>
      <c r="G550" s="314"/>
      <c r="H550" s="315"/>
      <c r="I550" s="115" t="str">
        <f>IF(QOUT_OTHERCOOLER="","",QOUT_OTHERCOOLER)</f>
        <v/>
      </c>
      <c r="J550" s="140"/>
      <c r="K550" s="1029">
        <v>67</v>
      </c>
      <c r="L550" s="3"/>
      <c r="M550" s="3"/>
      <c r="N550" s="3"/>
      <c r="O550" s="3"/>
    </row>
    <row r="551" spans="1:23" ht="12.75" customHeight="1" outlineLevel="2">
      <c r="A551" s="1077"/>
      <c r="B551" s="73" t="str">
        <f>HBL!$AA$1517</f>
        <v>Error</v>
      </c>
      <c r="C551" s="145" t="e">
        <f>IF(I553="","",100*I551/I553)</f>
        <v>#VALUE!</v>
      </c>
      <c r="D551" s="5" t="s">
        <v>423</v>
      </c>
      <c r="E551" s="15"/>
      <c r="F551" s="125"/>
      <c r="G551" s="112"/>
      <c r="H551" s="316"/>
      <c r="I551" s="304" t="e">
        <f>IF(I553="","",I553-SUM(I541:I550))</f>
        <v>#VALUE!</v>
      </c>
      <c r="J551" s="306" t="e">
        <f>IF(I551="","",I551/4.1868)</f>
        <v>#VALUE!</v>
      </c>
      <c r="K551" s="1029">
        <v>69</v>
      </c>
      <c r="L551" s="3"/>
      <c r="M551" s="3"/>
      <c r="N551" s="3"/>
      <c r="O551" s="3"/>
    </row>
    <row r="552" spans="1:23" ht="12.75" customHeight="1" outlineLevel="2">
      <c r="A552" s="1077"/>
      <c r="B552" s="502" t="s">
        <v>71</v>
      </c>
      <c r="C552" s="124"/>
      <c r="D552" s="124"/>
      <c r="E552" s="124"/>
      <c r="F552" s="125"/>
      <c r="G552" s="60"/>
      <c r="H552" s="122"/>
      <c r="I552" s="317"/>
      <c r="J552" s="317"/>
      <c r="K552" s="1031"/>
      <c r="L552" s="3"/>
      <c r="M552" s="3"/>
      <c r="N552" s="3"/>
      <c r="O552" s="3"/>
    </row>
    <row r="553" spans="1:23" s="1000" customFormat="1" ht="20.100000000000001" customHeight="1" outlineLevel="2">
      <c r="A553" s="1081"/>
      <c r="B553" s="1002" t="str">
        <f>HBL!$AA$1559</f>
        <v>TOTAL OF OUTPUTS</v>
      </c>
      <c r="C553" s="1003"/>
      <c r="D553" s="1003"/>
      <c r="E553" s="1003"/>
      <c r="F553" s="922"/>
      <c r="G553" s="927"/>
      <c r="H553" s="998"/>
      <c r="I553" s="926" t="e">
        <f>I539</f>
        <v>#VALUE!</v>
      </c>
      <c r="J553" s="926" t="e">
        <f>IF(I553="","",I553/4.1868)</f>
        <v>#VALUE!</v>
      </c>
      <c r="K553" s="1033"/>
      <c r="L553" s="999"/>
      <c r="M553" s="999"/>
      <c r="N553" s="999"/>
      <c r="O553" s="999"/>
      <c r="W553" s="1001"/>
    </row>
    <row r="554" spans="1:23" ht="12.75" customHeight="1" outlineLevel="2">
      <c r="A554" s="1077"/>
      <c r="B554" s="8"/>
      <c r="K554" s="1025"/>
      <c r="L554" s="3"/>
      <c r="M554" s="3"/>
      <c r="N554" s="3"/>
      <c r="O554" s="3"/>
    </row>
    <row r="555" spans="1:23" ht="12.75" customHeight="1" outlineLevel="2">
      <c r="A555" s="1077"/>
      <c r="B555" s="1038" t="s">
        <v>1066</v>
      </c>
      <c r="C555" s="500" t="s">
        <v>1068</v>
      </c>
      <c r="K555" s="1025"/>
      <c r="L555" s="3"/>
      <c r="M555" s="3"/>
      <c r="N555" s="3"/>
      <c r="O555" s="3"/>
    </row>
    <row r="556" spans="1:23" ht="12.75" customHeight="1" outlineLevel="2">
      <c r="A556" s="1077"/>
      <c r="B556" s="1038" t="s">
        <v>1066</v>
      </c>
      <c r="C556" s="492" t="s">
        <v>1068</v>
      </c>
      <c r="K556" s="1025"/>
      <c r="L556" s="3"/>
      <c r="M556" s="3"/>
      <c r="N556" s="3"/>
      <c r="O556" s="3"/>
    </row>
    <row r="557" spans="1:23" ht="12.75" customHeight="1" outlineLevel="2">
      <c r="A557" s="1077"/>
      <c r="B557" s="492"/>
      <c r="C557" s="492"/>
      <c r="K557" s="1025"/>
      <c r="L557" s="3"/>
      <c r="M557" s="3"/>
      <c r="N557" s="3"/>
      <c r="O557" s="3"/>
    </row>
    <row r="558" spans="1:23" ht="12.75" customHeight="1" outlineLevel="2" thickBot="1">
      <c r="A558" s="1077"/>
      <c r="B558" s="655" t="s">
        <v>1412</v>
      </c>
      <c r="C558" s="492"/>
      <c r="H558" s="1" t="str">
        <f>"@ " &amp; CLI_DUST &amp;" % dust recirculation"</f>
        <v>@ 3 % dust recirculation</v>
      </c>
      <c r="K558" s="1025"/>
      <c r="L558" s="3"/>
      <c r="M558" s="3"/>
      <c r="N558" s="3"/>
      <c r="O558" s="3"/>
    </row>
    <row r="559" spans="1:23" ht="12.75" customHeight="1" outlineLevel="2">
      <c r="A559" s="1077"/>
      <c r="B559" t="s">
        <v>1917</v>
      </c>
      <c r="H559" s="919" t="str">
        <f>I1129</f>
        <v/>
      </c>
      <c r="I559" t="s">
        <v>431</v>
      </c>
      <c r="K559" s="1025"/>
      <c r="L559" s="3"/>
      <c r="M559" s="3"/>
      <c r="N559" s="3"/>
      <c r="O559" s="3"/>
    </row>
    <row r="560" spans="1:23" ht="12.75" customHeight="1" outlineLevel="2" thickBot="1">
      <c r="A560" s="1077"/>
      <c r="B560" t="s">
        <v>1290</v>
      </c>
      <c r="H560" s="920" t="str">
        <f>IF(H559="","",H559*((1-EXP(-0.8/0.77*(1+0.8/2.57)))/(1-EXP(-(F542+F544)/0.77*(1+(F542+F544)/2.57))))  )</f>
        <v/>
      </c>
      <c r="I560" t="s">
        <v>431</v>
      </c>
      <c r="K560" s="1025"/>
      <c r="L560" s="3"/>
      <c r="M560" s="3"/>
      <c r="N560" s="3"/>
      <c r="O560" s="3"/>
    </row>
    <row r="561" spans="1:15" ht="12.75" customHeight="1" outlineLevel="2">
      <c r="A561" s="1077"/>
      <c r="B561"/>
      <c r="K561" s="1025"/>
      <c r="L561" s="3"/>
      <c r="M561" s="3"/>
      <c r="N561" s="3"/>
      <c r="O561" s="3"/>
    </row>
    <row r="562" spans="1:15" ht="12.75" customHeight="1" outlineLevel="2">
      <c r="A562" s="1077"/>
      <c r="B562" s="1038" t="s">
        <v>1066</v>
      </c>
      <c r="C562" s="492" t="s">
        <v>673</v>
      </c>
      <c r="D562" s="492"/>
      <c r="H562" s="1039" t="s">
        <v>1949</v>
      </c>
      <c r="I562" s="1038" t="s">
        <v>1951</v>
      </c>
      <c r="K562" s="1025"/>
      <c r="L562" s="3"/>
      <c r="M562" s="3"/>
      <c r="N562" s="3"/>
      <c r="O562" s="3"/>
    </row>
    <row r="563" spans="1:15" ht="12.75" customHeight="1" outlineLevel="2">
      <c r="B563" s="492"/>
      <c r="C563" s="492"/>
      <c r="D563" s="492"/>
      <c r="H563" s="1040" t="s">
        <v>1950</v>
      </c>
      <c r="I563" s="1041" t="s">
        <v>1952</v>
      </c>
      <c r="J563" s="98"/>
      <c r="K563" s="1015"/>
      <c r="L563" s="3"/>
      <c r="M563" s="3"/>
      <c r="N563" s="3"/>
      <c r="O563" s="3"/>
    </row>
    <row r="564" spans="1:15" ht="12.75" customHeight="1" outlineLevel="2">
      <c r="B564" s="5"/>
      <c r="E564" s="563"/>
      <c r="F564" s="363"/>
      <c r="I564" s="43"/>
      <c r="J564" s="98"/>
      <c r="K564" s="1015"/>
      <c r="L564" s="3"/>
      <c r="M564" s="3"/>
      <c r="N564" s="3"/>
      <c r="O564" s="3"/>
    </row>
    <row r="565" spans="1:15" ht="12.75" customHeight="1" outlineLevel="1">
      <c r="B565" s="97"/>
      <c r="C565" s="22"/>
      <c r="D565" s="22"/>
      <c r="E565" s="22"/>
      <c r="F565" s="22"/>
      <c r="G565" s="98"/>
      <c r="H565" s="98"/>
      <c r="I565" s="43"/>
      <c r="J565" s="98"/>
      <c r="K565" s="1015"/>
      <c r="L565" s="3"/>
      <c r="M565" s="3"/>
      <c r="N565" s="3"/>
      <c r="O565" s="3"/>
    </row>
    <row r="566" spans="1:15" ht="18.75" customHeight="1" outlineLevel="1">
      <c r="B566" s="913" t="s">
        <v>674</v>
      </c>
      <c r="C566" s="913"/>
      <c r="D566" s="913"/>
      <c r="E566" s="913"/>
      <c r="F566" s="913"/>
      <c r="G566" s="913"/>
      <c r="H566" s="913"/>
      <c r="I566" s="913"/>
      <c r="J566" s="913"/>
      <c r="K566" s="1016"/>
      <c r="L566" s="3"/>
      <c r="M566" s="3"/>
      <c r="N566" s="3"/>
      <c r="O566" s="3"/>
    </row>
    <row r="567" spans="1:15" ht="12.75" customHeight="1" outlineLevel="1">
      <c r="B567" s="97"/>
      <c r="C567" s="22"/>
      <c r="D567" s="22"/>
      <c r="E567" s="22"/>
      <c r="F567" s="22"/>
      <c r="G567" s="98"/>
      <c r="H567" s="98"/>
      <c r="I567" s="43"/>
      <c r="J567" s="98"/>
      <c r="K567" s="1015"/>
      <c r="L567" s="3"/>
      <c r="M567" s="3"/>
      <c r="N567" s="3"/>
      <c r="O567" s="3"/>
    </row>
    <row r="568" spans="1:15" ht="12.75" customHeight="1" outlineLevel="2">
      <c r="B568" s="97"/>
      <c r="C568" s="22"/>
      <c r="D568" s="22"/>
      <c r="E568" s="22"/>
      <c r="F568" s="22"/>
      <c r="G568" s="98"/>
      <c r="H568" s="98"/>
      <c r="I568" s="43"/>
      <c r="J568" s="98"/>
      <c r="K568" s="1015"/>
      <c r="L568" s="3"/>
      <c r="M568" s="3"/>
      <c r="N568" s="3"/>
      <c r="O568" s="3"/>
    </row>
    <row r="569" spans="1:15" ht="12.75" customHeight="1" outlineLevel="2">
      <c r="A569" s="1082"/>
      <c r="B569" s="915" t="str">
        <f>HBL!$AA$1612&amp;" "&amp;HBL!$AA$1667</f>
        <v>HEAT BALANCE OF A PREHEATER KILN</v>
      </c>
      <c r="C569" s="906"/>
      <c r="D569" s="906"/>
      <c r="E569" s="906"/>
      <c r="F569" s="916"/>
      <c r="G569" s="917"/>
      <c r="H569" s="917"/>
      <c r="I569" s="917"/>
      <c r="J569" s="917"/>
      <c r="K569" s="1017"/>
      <c r="L569" s="3"/>
      <c r="M569" s="3"/>
      <c r="N569" s="3"/>
      <c r="O569" s="3"/>
    </row>
    <row r="570" spans="1:15" ht="12.75" customHeight="1" outlineLevel="2">
      <c r="A570" s="1082"/>
      <c r="B570" s="515"/>
      <c r="C570" s="378"/>
      <c r="D570" s="378"/>
      <c r="E570" s="378"/>
      <c r="F570" s="379"/>
      <c r="G570" s="6"/>
      <c r="I570" s="100" t="str">
        <f>HBL!$AA$1654</f>
        <v>Plant</v>
      </c>
      <c r="J570" s="101" t="str">
        <f>IF(PLANT_NAME="","",PLANT_NAME)</f>
        <v>Meadows</v>
      </c>
      <c r="K570" s="1025"/>
      <c r="L570" s="3"/>
      <c r="M570" s="3"/>
      <c r="N570" s="3"/>
      <c r="O570" s="3"/>
    </row>
    <row r="571" spans="1:15" ht="12.75" customHeight="1" outlineLevel="2">
      <c r="A571" s="1082"/>
      <c r="B571" s="515"/>
      <c r="C571" s="22"/>
      <c r="D571" s="22"/>
      <c r="E571" s="22"/>
      <c r="F571" s="15"/>
      <c r="G571" s="6"/>
      <c r="I571" s="100" t="str">
        <f>HBL!$AA$1478</f>
        <v>Kiln No.</v>
      </c>
      <c r="J571" s="101">
        <f>IF(KILN_NO="","",KILN_NO)</f>
        <v>1</v>
      </c>
      <c r="K571" s="1025"/>
      <c r="L571" s="3"/>
      <c r="M571" s="3"/>
      <c r="N571" s="3"/>
      <c r="O571" s="3"/>
    </row>
    <row r="572" spans="1:15" ht="12.75" customHeight="1" outlineLevel="2">
      <c r="A572" s="1077"/>
      <c r="B572"/>
      <c r="C572"/>
      <c r="D572"/>
      <c r="E572"/>
      <c r="I572" s="103" t="str">
        <f>HBL!$AA$1305</f>
        <v>Date</v>
      </c>
      <c r="J572" s="104">
        <f>IF(M_CLI="","",DATE1)</f>
        <v>41219</v>
      </c>
      <c r="K572" s="1025"/>
      <c r="L572" s="3"/>
      <c r="M572" s="3"/>
      <c r="N572" s="3"/>
      <c r="O572" s="3"/>
    </row>
    <row r="573" spans="1:15" ht="12.75" customHeight="1" outlineLevel="2">
      <c r="A573" s="1077"/>
      <c r="B573" s="1" t="str">
        <f>HBL!$AA$1516</f>
        <v>Reference temperature</v>
      </c>
      <c r="D573" s="4">
        <f>IF(M_CLI="","",20)</f>
        <v>20</v>
      </c>
      <c r="E573" s="5" t="s">
        <v>425</v>
      </c>
      <c r="G573" s="6"/>
      <c r="H573" s="6"/>
      <c r="J573" s="6"/>
      <c r="K573" s="1025"/>
      <c r="L573" s="3"/>
      <c r="M573" s="3"/>
      <c r="N573" s="3"/>
      <c r="O573" s="3"/>
    </row>
    <row r="574" spans="1:15" ht="12.75" customHeight="1" outlineLevel="2">
      <c r="A574" s="1077"/>
      <c r="B574" s="1" t="str">
        <f>HBL!$AA$1585</f>
        <v>Ambient temperature</v>
      </c>
      <c r="D574" s="105">
        <f>IF(TAMB="","",TAMB)</f>
        <v>20.399999999999999</v>
      </c>
      <c r="E574" s="5" t="s">
        <v>425</v>
      </c>
      <c r="F574" s="940"/>
      <c r="G574" s="941"/>
      <c r="H574" s="942"/>
      <c r="I574" s="940"/>
      <c r="J574" s="942"/>
      <c r="K574" s="1018"/>
      <c r="L574" s="3"/>
      <c r="M574" s="3"/>
      <c r="N574" s="3"/>
      <c r="O574" s="3"/>
    </row>
    <row r="575" spans="1:15" ht="12.75" customHeight="1" outlineLevel="2">
      <c r="A575" s="1077"/>
      <c r="B575" t="s">
        <v>406</v>
      </c>
      <c r="D575" s="106">
        <f>IF(PAMB="","",PAMB)</f>
        <v>980</v>
      </c>
      <c r="E575" s="5" t="s">
        <v>424</v>
      </c>
      <c r="F575" s="944" t="str">
        <f>HBL!$AA$1539</f>
        <v>SPECIFICATION</v>
      </c>
      <c r="G575" s="945"/>
      <c r="H575" s="946"/>
      <c r="I575" s="944" t="str">
        <f>HBL!$AA$1316</f>
        <v>ENERGY</v>
      </c>
      <c r="J575" s="946"/>
      <c r="K575" s="1019"/>
      <c r="L575" s="3"/>
      <c r="M575" s="3"/>
      <c r="N575" s="3"/>
      <c r="O575" s="3"/>
    </row>
    <row r="576" spans="1:15" ht="12.75" customHeight="1" outlineLevel="2">
      <c r="A576" s="1077"/>
      <c r="B576" s="1" t="str">
        <f>HBL!$AA$1505</f>
        <v>Production rate</v>
      </c>
      <c r="D576" s="107">
        <f>IF(M_CLI="","",M_CLI*24)</f>
        <v>4029.6000000000004</v>
      </c>
      <c r="E576" s="5" t="str">
        <f>HBL!$AA$1562</f>
        <v>t/d</v>
      </c>
      <c r="F576" s="948"/>
      <c r="G576" s="949"/>
      <c r="H576" s="950"/>
      <c r="I576" s="951"/>
      <c r="J576" s="950"/>
      <c r="K576" s="1027"/>
      <c r="L576" s="3"/>
      <c r="M576" s="3"/>
      <c r="N576" s="3"/>
      <c r="O576" s="3"/>
    </row>
    <row r="577" spans="1:15" ht="12.75" customHeight="1" outlineLevel="2">
      <c r="A577" s="1077"/>
      <c r="B577" s="1" t="str">
        <f>HBL!$AA$1541</f>
        <v>Specific heat cons-</v>
      </c>
      <c r="D577" s="107">
        <f>Q_FUEL</f>
        <v>3349.5860035735554</v>
      </c>
      <c r="E577" s="252" t="s">
        <v>1550</v>
      </c>
      <c r="F577" s="952" t="s">
        <v>2169</v>
      </c>
      <c r="G577" s="944" t="str">
        <f>HBL!$AA$1387</f>
        <v>NCV</v>
      </c>
      <c r="H577" s="946"/>
      <c r="I577" s="943"/>
      <c r="J577" s="953"/>
      <c r="K577" s="1020"/>
      <c r="L577" s="3"/>
      <c r="M577" s="3"/>
      <c r="N577" s="3"/>
      <c r="O577" s="3"/>
    </row>
    <row r="578" spans="1:15" ht="12.75" customHeight="1" outlineLevel="2">
      <c r="A578" s="1077"/>
      <c r="B578" s="1" t="str">
        <f>HBL!$AA$1593</f>
        <v>sumption</v>
      </c>
      <c r="F578" s="955" t="s">
        <v>2168</v>
      </c>
      <c r="G578" s="956" t="s">
        <v>488</v>
      </c>
      <c r="H578" s="947" t="s">
        <v>489</v>
      </c>
      <c r="I578" s="957" t="s">
        <v>2170</v>
      </c>
      <c r="J578" s="958" t="s">
        <v>2171</v>
      </c>
      <c r="K578" s="1019"/>
      <c r="L578" s="3"/>
      <c r="M578" s="3"/>
      <c r="N578" s="3"/>
      <c r="O578" s="3"/>
    </row>
    <row r="579" spans="1:15" ht="12.75" customHeight="1" outlineLevel="2">
      <c r="A579" s="1077"/>
      <c r="B579"/>
      <c r="C579"/>
      <c r="D579"/>
      <c r="E579"/>
      <c r="F579" s="959" t="s">
        <v>492</v>
      </c>
      <c r="G579" s="959" t="s">
        <v>479</v>
      </c>
      <c r="H579" s="947" t="s">
        <v>473</v>
      </c>
      <c r="I579" s="954"/>
      <c r="J579" s="947"/>
      <c r="K579" s="1020"/>
      <c r="L579" s="3"/>
      <c r="M579" s="3"/>
      <c r="N579" s="3"/>
      <c r="O579" s="3"/>
    </row>
    <row r="580" spans="1:15" ht="12.75" customHeight="1" outlineLevel="2">
      <c r="A580" s="1077"/>
      <c r="B580" s="929" t="str">
        <f>HBL!$AA$1314</f>
        <v>INPUT</v>
      </c>
      <c r="C580" s="109"/>
      <c r="D580" s="109"/>
      <c r="E580" s="109"/>
      <c r="F580" s="108"/>
      <c r="G580" s="930"/>
      <c r="H580" s="931"/>
      <c r="I580" s="932"/>
      <c r="J580" s="931"/>
      <c r="K580" s="1028"/>
      <c r="L580" s="3"/>
      <c r="M580" s="3"/>
      <c r="N580" s="3"/>
      <c r="O580" s="3"/>
    </row>
    <row r="581" spans="1:15" ht="12.75" customHeight="1" outlineLevel="2">
      <c r="A581" s="1077"/>
      <c r="B581" s="73" t="str">
        <f>HBL!$AA$1266</f>
        <v>Fuel</v>
      </c>
      <c r="C581" s="15"/>
      <c r="D581" s="114" t="str">
        <f>HBL!$AA$1438</f>
        <v>Conventional</v>
      </c>
      <c r="E581" s="113"/>
      <c r="F581" s="15"/>
      <c r="G581" s="74"/>
      <c r="H581" s="15"/>
      <c r="I581" s="755">
        <f>Q_FUELCON</f>
        <v>2946.9284693269801</v>
      </c>
      <c r="J581" s="756">
        <f t="shared" ref="J581:J591" si="3">IF(I581="","",I581/4.1868)</f>
        <v>703.86177255349673</v>
      </c>
      <c r="K581" s="1030">
        <v>21</v>
      </c>
      <c r="L581" s="3"/>
      <c r="M581" s="3"/>
      <c r="N581" s="3"/>
      <c r="O581" s="3"/>
    </row>
    <row r="582" spans="1:15" ht="12.75" customHeight="1" outlineLevel="2">
      <c r="A582" s="1077"/>
      <c r="B582" s="73"/>
      <c r="C582" s="15"/>
      <c r="D582" s="116" t="str">
        <f>HBL!$AA$1232</f>
        <v>Alternative</v>
      </c>
      <c r="E582" s="113"/>
      <c r="F582" s="933"/>
      <c r="G582" s="791"/>
      <c r="H582" s="933"/>
      <c r="I582" s="792">
        <f>Q_FUELALT</f>
        <v>402.65753424657532</v>
      </c>
      <c r="J582" s="792">
        <f t="shared" si="3"/>
        <v>96.173099800939937</v>
      </c>
      <c r="K582" s="1031"/>
      <c r="L582" s="3"/>
      <c r="M582" s="3"/>
      <c r="N582" s="3"/>
      <c r="O582" s="3"/>
    </row>
    <row r="583" spans="1:15" ht="12.75" customHeight="1" outlineLevel="2">
      <c r="A583" s="1077"/>
      <c r="B583" s="73"/>
      <c r="C583" s="15"/>
      <c r="D583" s="117" t="str">
        <f>HBL!$AA$1320</f>
        <v>Sensible heat</v>
      </c>
      <c r="E583" s="113"/>
      <c r="F583" s="15"/>
      <c r="G583" s="74"/>
      <c r="H583" s="15"/>
      <c r="I583" s="304">
        <f>SHIN_FUEL</f>
        <v>3.504586063132817</v>
      </c>
      <c r="J583" s="304">
        <f t="shared" si="3"/>
        <v>0.83705600055718377</v>
      </c>
      <c r="K583" s="1031"/>
      <c r="L583" s="3"/>
      <c r="M583" s="3"/>
      <c r="N583" s="3"/>
      <c r="O583" s="3"/>
    </row>
    <row r="584" spans="1:15" ht="12.75" customHeight="1" outlineLevel="2">
      <c r="A584" s="1077"/>
      <c r="B584" s="73" t="str">
        <f>HBL!$AA$1482</f>
        <v>Kiln feed</v>
      </c>
      <c r="C584" s="118"/>
      <c r="D584" s="117" t="str">
        <f>HBL!$AA$1320</f>
        <v>Sensible heat</v>
      </c>
      <c r="E584" s="113"/>
      <c r="F584" s="410">
        <f>IF(M_FEED="","",M_FEED/M_CLI)</f>
        <v>1.5783204288266826</v>
      </c>
      <c r="G584" s="410">
        <f>CP_MEALDRY</f>
        <v>0.85268185750000003</v>
      </c>
      <c r="H584" s="120">
        <f>IF(T_FEED="","",T_FEED)</f>
        <v>55</v>
      </c>
      <c r="I584" s="304">
        <f>SHIN_FEED</f>
        <v>47.654862272945572</v>
      </c>
      <c r="J584" s="304">
        <f t="shared" si="3"/>
        <v>11.382168308241514</v>
      </c>
      <c r="K584" s="1023">
        <v>22</v>
      </c>
      <c r="L584" s="3"/>
      <c r="M584" s="3"/>
      <c r="N584" s="3"/>
      <c r="O584" s="3"/>
    </row>
    <row r="585" spans="1:15" ht="12.75" customHeight="1" outlineLevel="2">
      <c r="A585" s="1077"/>
      <c r="B585" s="73"/>
      <c r="C585" s="15"/>
      <c r="D585" s="117" t="str">
        <f>HBL!$AA$1264</f>
        <v>Combustible matter</v>
      </c>
      <c r="E585" s="15"/>
      <c r="F585" s="410" t="str">
        <f>IF(ORG_MATTER&gt;0,CLI_FACTOR*ORG_MATTER/100, IF(PYRITE&gt;0, CLI_FACTOR*PYRITE/100, ""))</f>
        <v/>
      </c>
      <c r="G585" s="790" t="str">
        <f>IF(ORG_MATTER&gt;0,LHV_ORGMATTER, IF(PYRITE&gt;0, LHV_PYRITE, ""))</f>
        <v/>
      </c>
      <c r="H585" s="513"/>
      <c r="I585" s="304" t="str">
        <f>IF(Q_ORGMATTER=0,"",Q_ORGMATTER)</f>
        <v/>
      </c>
      <c r="J585" s="304" t="str">
        <f t="shared" si="3"/>
        <v/>
      </c>
      <c r="K585" s="1029"/>
      <c r="L585" s="3"/>
      <c r="M585" s="3"/>
      <c r="N585" s="3"/>
      <c r="O585" s="3"/>
    </row>
    <row r="586" spans="1:15" ht="12.75" customHeight="1" outlineLevel="2">
      <c r="A586" s="1077"/>
      <c r="B586" s="73" t="str">
        <f>HBL!$AA$1496</f>
        <v>Primary air</v>
      </c>
      <c r="C586" s="15"/>
      <c r="D586" s="15" t="str">
        <f>HBL!$AA$1320</f>
        <v>Sensible heat</v>
      </c>
      <c r="E586" s="113"/>
      <c r="F586" s="410">
        <f>IF(VN_PRIMCOMB="","",VN_PRIMCOMB/(M_CLI*1000))</f>
        <v>5.9559261465157831E-2</v>
      </c>
      <c r="G586" s="410">
        <f>IF(H2OVAPOR_COALMILL="",CP_PRIMAIR,(CP_PRIMAIR*(VN_PRIMCOMB)+CPH2O_PRIMAIR*H2OVAPOR_COALMILL)/VN_PRIMAIR)</f>
        <v>1.3010804517580596</v>
      </c>
      <c r="H586" s="132">
        <f>IF(T_PRIMAIR="","",T_PRIMAIR)</f>
        <v>46.2</v>
      </c>
      <c r="I586" s="304">
        <f>SHIN_PRIMAIR</f>
        <v>3.2393752810947687</v>
      </c>
      <c r="J586" s="304">
        <f t="shared" si="3"/>
        <v>0.77371149352602675</v>
      </c>
      <c r="K586" s="1031">
        <v>23</v>
      </c>
      <c r="L586" s="3"/>
      <c r="M586" s="3"/>
      <c r="N586" s="3"/>
      <c r="O586" s="3"/>
    </row>
    <row r="587" spans="1:15" ht="12.75" customHeight="1" outlineLevel="2">
      <c r="A587" s="1077"/>
      <c r="B587" s="73" t="str">
        <f>HBL!$AA$1399</f>
        <v>Cooler</v>
      </c>
      <c r="C587" s="15"/>
      <c r="D587" s="15" t="str">
        <f>HBL!$AA$1328</f>
        <v>Sensible heat air</v>
      </c>
      <c r="E587" s="113"/>
      <c r="F587" s="410">
        <f>VNSP_COOLAIR</f>
        <v>1.9846172922217151</v>
      </c>
      <c r="G587" s="410">
        <f>IF(SHIN_COOLAIR="","",1.3)</f>
        <v>1.3</v>
      </c>
      <c r="H587" s="120">
        <f>IF(SHIN_COOLAIR="","",IF(Cooler=1, AVERAGE($G$293:$G$305), TAMB))</f>
        <v>30</v>
      </c>
      <c r="I587" s="304">
        <f>SHIN_COOLAIR</f>
        <v>25.800546376152869</v>
      </c>
      <c r="J587" s="304">
        <f t="shared" si="3"/>
        <v>6.1623546326915237</v>
      </c>
      <c r="K587" s="1023">
        <v>24</v>
      </c>
      <c r="L587" s="3"/>
      <c r="M587" s="3"/>
      <c r="N587" s="3"/>
      <c r="O587" s="3"/>
    </row>
    <row r="588" spans="1:15" ht="12.75" customHeight="1" outlineLevel="2">
      <c r="A588" s="1077"/>
      <c r="B588" s="73"/>
      <c r="C588" s="15"/>
      <c r="D588" s="15" t="str">
        <f>IF(M_H2OCOOLER="","",HBL!$AA$1327)</f>
        <v>Sensible heat water</v>
      </c>
      <c r="E588" s="15"/>
      <c r="F588" s="310">
        <f>IF(ISERR(M_H2OCOOLER/(M_CLI*1000)),"",M_H2OCOOLER/(M_CLI*1000))</f>
        <v>0</v>
      </c>
      <c r="G588" s="138" t="str">
        <f>IF(CP_H2OCOOLER="","",CP_H2OCOOLER)</f>
        <v/>
      </c>
      <c r="H588" s="139" t="str">
        <f>IF(T_H2OCOOLER="","",T_H2OCOOLER)</f>
        <v/>
      </c>
      <c r="I588" s="398" t="str">
        <f>SHIN_H2OCOOLER</f>
        <v/>
      </c>
      <c r="J588" s="304" t="str">
        <f t="shared" si="3"/>
        <v/>
      </c>
      <c r="K588" s="1023"/>
      <c r="L588" s="3"/>
      <c r="M588" s="3"/>
      <c r="N588" s="3"/>
      <c r="O588" s="3"/>
    </row>
    <row r="589" spans="1:15" ht="12.75" customHeight="1" outlineLevel="2">
      <c r="A589" s="1077"/>
      <c r="B589" s="436" t="s">
        <v>1097</v>
      </c>
      <c r="C589" s="15"/>
      <c r="D589" s="15" t="str">
        <f>IF(H2O_PREHEATER="","",HBL!$AA$1327)</f>
        <v/>
      </c>
      <c r="E589" s="15"/>
      <c r="F589" s="310">
        <f>IF(ISERR(H2O_PREHEATER*1000/(M_CLI*1000)),"",H2O_PREHEATER*1000/(M_CLI*1000))</f>
        <v>0</v>
      </c>
      <c r="G589" s="138" t="str">
        <f>IF(D209="","",D209)</f>
        <v/>
      </c>
      <c r="H589" s="139" t="str">
        <f>IF(D208="","",D208)</f>
        <v/>
      </c>
      <c r="I589" s="398" t="str">
        <f>SHIN_H2OPREHEAT</f>
        <v/>
      </c>
      <c r="J589" s="304" t="str">
        <f t="shared" si="3"/>
        <v/>
      </c>
      <c r="K589" s="1023"/>
      <c r="L589" s="3"/>
      <c r="M589" s="3"/>
      <c r="N589" s="3"/>
      <c r="O589" s="3"/>
    </row>
    <row r="590" spans="1:15" ht="12.75" customHeight="1" outlineLevel="2">
      <c r="A590" s="1077"/>
      <c r="B590" s="436" t="str">
        <f>IF(QIN_OTHER="","",HBL!$AA$1645)</f>
        <v/>
      </c>
      <c r="C590" s="15"/>
      <c r="D590" s="15"/>
      <c r="E590" s="15"/>
      <c r="F590" s="120"/>
      <c r="G590" s="120"/>
      <c r="H590" s="120"/>
      <c r="I590" s="304" t="str">
        <f>IF(QIN_OTHER=0,"",QIN_OTHER)</f>
        <v/>
      </c>
      <c r="J590" s="304" t="str">
        <f t="shared" si="3"/>
        <v/>
      </c>
      <c r="K590" s="1031">
        <v>25</v>
      </c>
      <c r="L590" s="3"/>
      <c r="M590" s="3"/>
      <c r="N590" s="3"/>
      <c r="O590" s="3"/>
    </row>
    <row r="591" spans="1:15" ht="12.75" customHeight="1" outlineLevel="2">
      <c r="A591" s="1077"/>
      <c r="B591" s="616" t="str">
        <f>IF(P_mechconsidered=1,"Mechanical energy","")</f>
        <v/>
      </c>
      <c r="C591" s="124"/>
      <c r="D591" s="124"/>
      <c r="E591" s="102"/>
      <c r="F591" s="123"/>
      <c r="G591" s="934"/>
      <c r="H591" s="127"/>
      <c r="I591" s="935" t="str">
        <f>IF(B591="","",H63+H64)</f>
        <v/>
      </c>
      <c r="J591" s="935" t="str">
        <f t="shared" si="3"/>
        <v/>
      </c>
      <c r="K591" s="1032"/>
      <c r="L591" s="3"/>
      <c r="M591" s="3"/>
      <c r="N591" s="3"/>
      <c r="O591" s="3"/>
    </row>
    <row r="592" spans="1:15" ht="20.100000000000001" customHeight="1" outlineLevel="2">
      <c r="A592" s="1077"/>
      <c r="B592" s="922" t="str">
        <f>HBL!$AA$1560</f>
        <v>TOTAL OF INPUTS</v>
      </c>
      <c r="C592" s="923"/>
      <c r="D592" s="923"/>
      <c r="E592" s="923"/>
      <c r="F592" s="928"/>
      <c r="G592" s="924"/>
      <c r="H592" s="925"/>
      <c r="I592" s="926">
        <f>IF(SUM(I581:I591)=0,"",SUM(I581:I591))</f>
        <v>3429.7853735668814</v>
      </c>
      <c r="J592" s="926">
        <f>IF(I592="","",I592/4.1868)</f>
        <v>819.19016278945287</v>
      </c>
      <c r="K592" s="1033"/>
      <c r="L592" s="3"/>
      <c r="M592" s="3"/>
      <c r="N592" s="3"/>
      <c r="O592" s="3"/>
    </row>
    <row r="593" spans="1:15" ht="12.75" customHeight="1" outlineLevel="2">
      <c r="A593" s="1077"/>
      <c r="B593" s="921" t="str">
        <f>HBL!$AA$1244</f>
        <v>OUTPUT</v>
      </c>
      <c r="C593" s="15"/>
      <c r="D593" s="15"/>
      <c r="E593" s="113"/>
      <c r="F593" s="73"/>
      <c r="G593" s="110"/>
      <c r="H593" s="111"/>
      <c r="I593" s="305"/>
      <c r="J593" s="129"/>
      <c r="K593" s="1031"/>
      <c r="L593" s="3"/>
      <c r="M593" s="3"/>
      <c r="N593" s="3"/>
      <c r="O593" s="3"/>
    </row>
    <row r="594" spans="1:15" ht="12.75" customHeight="1" outlineLevel="2">
      <c r="A594" s="1077"/>
      <c r="B594" s="73" t="str">
        <f>HBL!$AA$1432</f>
        <v>Heat of formation</v>
      </c>
      <c r="C594" s="15"/>
      <c r="D594" s="15"/>
      <c r="E594" s="113"/>
      <c r="F594" s="110"/>
      <c r="G594" s="129"/>
      <c r="H594" s="130"/>
      <c r="I594" s="756">
        <f>IF(QOUT_CLIFORM="","",QOUT_CLIFORM)</f>
        <v>1750</v>
      </c>
      <c r="J594" s="756">
        <f t="shared" ref="J594:J612" si="4">IF(I594="","",I594/4.1868)</f>
        <v>417.98031909811789</v>
      </c>
      <c r="K594" s="1031">
        <v>31</v>
      </c>
      <c r="L594" s="3"/>
      <c r="M594" s="3"/>
      <c r="N594" s="3"/>
      <c r="O594" s="3"/>
    </row>
    <row r="595" spans="1:15" ht="12.75" customHeight="1" outlineLevel="2">
      <c r="A595" s="1077"/>
      <c r="B595" s="1042" t="s">
        <v>1560</v>
      </c>
      <c r="C595" s="551"/>
      <c r="D595" s="552"/>
      <c r="E595" s="553"/>
      <c r="F595" s="554"/>
      <c r="G595" s="555"/>
      <c r="H595" s="556"/>
      <c r="I595" s="557" t="e">
        <f>IF(QOUT_SULFUR_ALCALI="","",QOUT_SULFUR_ALCALI)</f>
        <v>#VALUE!</v>
      </c>
      <c r="J595" s="558" t="e">
        <f>IF(I595="","",I595/4.1868)</f>
        <v>#VALUE!</v>
      </c>
      <c r="K595" s="1034" t="s">
        <v>1561</v>
      </c>
      <c r="L595" s="3"/>
      <c r="M595" s="3"/>
      <c r="N595" s="3"/>
      <c r="O595" s="3"/>
    </row>
    <row r="596" spans="1:15" ht="12.75" customHeight="1" outlineLevel="2">
      <c r="A596" s="1077"/>
      <c r="B596" s="73" t="str">
        <f>HBL!$AA$1632</f>
        <v>Water evaporation</v>
      </c>
      <c r="D596" s="15" t="str">
        <f>HBL!$AA$1482</f>
        <v>Kiln feed</v>
      </c>
      <c r="E596" s="113"/>
      <c r="F596" s="410">
        <f>IF(H2O_FEED=0,"",M_FEED*H2O_FEED/100/M_CLI)</f>
        <v>4.7349612864800474E-3</v>
      </c>
      <c r="G596" s="807">
        <f>IF(H2O_FEED=0,"",2450)</f>
        <v>2450</v>
      </c>
      <c r="H596" s="131"/>
      <c r="I596" s="304">
        <f>IF(QOUT_H2OFEED="","",QOUT_H2OFEED)</f>
        <v>11.600655151876117</v>
      </c>
      <c r="J596" s="304">
        <f t="shared" si="4"/>
        <v>2.7707688812162314</v>
      </c>
      <c r="K596" s="1031">
        <v>32</v>
      </c>
      <c r="L596" s="3"/>
      <c r="M596" s="3"/>
      <c r="N596" s="3"/>
      <c r="O596" s="3"/>
    </row>
    <row r="597" spans="1:15" ht="12.75" customHeight="1" outlineLevel="2">
      <c r="A597" s="1077"/>
      <c r="B597" s="73"/>
      <c r="D597" s="356" t="s">
        <v>1097</v>
      </c>
      <c r="E597" s="113"/>
      <c r="F597" s="410" t="str">
        <f>IF(H2O_PREHEATER="","",H2O_PREHEATER/M_CLI)</f>
        <v/>
      </c>
      <c r="G597" s="807" t="str">
        <f>IF(H2O_PREHEATER="","",2450)</f>
        <v/>
      </c>
      <c r="H597" s="131"/>
      <c r="I597" s="304" t="str">
        <f>IF(QOUT_H2OPREHEAT="","",QOUT_H2OPREHEAT)</f>
        <v/>
      </c>
      <c r="J597" s="304" t="str">
        <f t="shared" si="4"/>
        <v/>
      </c>
      <c r="K597" s="1031"/>
      <c r="L597" s="3"/>
      <c r="M597" s="3"/>
      <c r="N597" s="3"/>
      <c r="O597" s="3"/>
    </row>
    <row r="598" spans="1:15" ht="12.75" customHeight="1" outlineLevel="2">
      <c r="A598" s="1077"/>
      <c r="B598" s="73"/>
      <c r="D598" s="15" t="str">
        <f>HBL!$AA$1399</f>
        <v>Cooler</v>
      </c>
      <c r="E598" s="113"/>
      <c r="F598" s="410">
        <f>IF(OR(M_H2OCOOLER="",M_CLI=0),"",M_H2OCOOLER/(M_CLI*1000))</f>
        <v>0</v>
      </c>
      <c r="G598" s="512">
        <f>IF(M_H2OCOOLER="","",2450)</f>
        <v>2450</v>
      </c>
      <c r="H598" s="131"/>
      <c r="I598" s="304">
        <f>IF(ISERROR(QOUT_H2OCOOLER),"",QOUT_H2OCOOLER)</f>
        <v>0</v>
      </c>
      <c r="J598" s="304">
        <f t="shared" si="4"/>
        <v>0</v>
      </c>
      <c r="K598" s="1031"/>
      <c r="L598" s="3"/>
      <c r="M598" s="3"/>
      <c r="N598" s="3"/>
      <c r="O598" s="3"/>
    </row>
    <row r="599" spans="1:15" ht="12.75" customHeight="1" outlineLevel="2">
      <c r="A599" s="1077"/>
      <c r="B599" s="73" t="str">
        <f>HBL!$AA$1481</f>
        <v>Kiln exhaust gas</v>
      </c>
      <c r="D599" s="15" t="str">
        <f>HBL!$AA$1320</f>
        <v>Sensible heat</v>
      </c>
      <c r="E599" s="113"/>
      <c r="F599" s="410">
        <f>VNSP_EXHAUSTWET</f>
        <v>1.4364769953285677</v>
      </c>
      <c r="G599" s="319">
        <f>IF(CP_EXHAUSTman="","",CP_EXHAUSTman)</f>
        <v>1.5009999999999999</v>
      </c>
      <c r="H599" s="141">
        <f>IF(T_EXHAUST="","",T_EXHAUST)</f>
        <v>340</v>
      </c>
      <c r="I599" s="304">
        <f>SHOUT_EXHAUST</f>
        <v>689.96863039621758</v>
      </c>
      <c r="J599" s="304">
        <f t="shared" si="4"/>
        <v>164.79617617182996</v>
      </c>
      <c r="K599" s="1031">
        <v>33</v>
      </c>
      <c r="L599" s="3"/>
      <c r="M599" s="3"/>
      <c r="N599" s="3"/>
      <c r="O599" s="3"/>
    </row>
    <row r="600" spans="1:15" ht="12.75" customHeight="1" outlineLevel="2">
      <c r="A600" s="1077"/>
      <c r="B600" s="73"/>
      <c r="C600" s="133"/>
      <c r="D600" s="116" t="str">
        <f>HBL!$AA$1287</f>
        <v>CO</v>
      </c>
      <c r="E600" s="113"/>
      <c r="F600" s="134">
        <f>IF(CO_EXHAUST="","",CO_EXHAUST)</f>
        <v>700</v>
      </c>
      <c r="G600" s="807">
        <f>IF(F600="","",LHV_CO)</f>
        <v>12640</v>
      </c>
      <c r="H600" s="131"/>
      <c r="I600" s="304">
        <f>IF(QOUT_CO="","",QOUT_CO)</f>
        <v>11.956649484037309</v>
      </c>
      <c r="J600" s="304">
        <f t="shared" si="4"/>
        <v>2.8557966666755776</v>
      </c>
      <c r="K600" s="1023"/>
      <c r="L600" s="3"/>
      <c r="M600" s="3"/>
      <c r="N600" s="3"/>
      <c r="O600" s="3"/>
    </row>
    <row r="601" spans="1:15" ht="12.75" customHeight="1" outlineLevel="2">
      <c r="A601" s="1077"/>
      <c r="B601" s="135"/>
      <c r="C601" s="133" t="str">
        <f>HBL!$AA$1548</f>
        <v>dust</v>
      </c>
      <c r="D601" s="15" t="str">
        <f>HBL!$AA$1320</f>
        <v>Sensible heat</v>
      </c>
      <c r="E601" s="113"/>
      <c r="F601" s="410" t="str">
        <f>IF(M_DUSTFILTER="","",IF(PRECAL&lt;5, M_DUSTFILTER/M_CLI, M_DUSTFILTER*(100-FEED_CALCINER)/100/M_CLI))</f>
        <v/>
      </c>
      <c r="G601" s="319">
        <f>CP_DUSTEXHAUST</f>
        <v>1.00848352</v>
      </c>
      <c r="H601" s="141">
        <f>IF(T_EXHAUST="","",T_EXHAUST)</f>
        <v>340</v>
      </c>
      <c r="I601" s="304" t="str">
        <f>SHOUT_DUST</f>
        <v/>
      </c>
      <c r="J601" s="304" t="str">
        <f t="shared" si="4"/>
        <v/>
      </c>
      <c r="K601" s="1031"/>
      <c r="L601" s="3"/>
      <c r="M601" s="3"/>
      <c r="N601" s="3"/>
      <c r="O601" s="3"/>
    </row>
    <row r="602" spans="1:15" ht="12.75" customHeight="1" outlineLevel="2">
      <c r="A602" s="1077"/>
      <c r="B602" s="73" t="str">
        <f>IF(PRECAL&lt;5,"",HBL!$AA$1418)</f>
        <v/>
      </c>
      <c r="D602" s="15" t="str">
        <f>IF(PRECAL&lt;5,"",HBL!$AA$1320)</f>
        <v/>
      </c>
      <c r="E602" s="113"/>
      <c r="F602" s="119" t="str">
        <f>VNSP_EXHAUSTWETCALCINER</f>
        <v/>
      </c>
      <c r="G602" s="310" t="str">
        <f>IF(PRECAL&lt;5,"",CP_EXHAUSTCALCINERman)</f>
        <v/>
      </c>
      <c r="H602" s="141" t="str">
        <f>IF(T_EXHAUSTCALCINER="","",T_EXHAUSTCALCINER)</f>
        <v/>
      </c>
      <c r="I602" s="304" t="str">
        <f>SHOUT_EXHAUSTCALCINER</f>
        <v/>
      </c>
      <c r="J602" s="304" t="str">
        <f t="shared" si="4"/>
        <v/>
      </c>
      <c r="K602" s="1031">
        <v>33</v>
      </c>
      <c r="L602" s="3"/>
      <c r="M602" s="3"/>
      <c r="N602" s="3"/>
      <c r="O602" s="3"/>
    </row>
    <row r="603" spans="1:15" ht="12.75" customHeight="1" outlineLevel="2">
      <c r="A603" s="1077"/>
      <c r="B603" s="73"/>
      <c r="C603" s="133"/>
      <c r="D603" s="116" t="str">
        <f>IF(PRECAL&lt;5,"",HBL!$AA$1287)</f>
        <v/>
      </c>
      <c r="E603" s="113"/>
      <c r="F603" s="134" t="str">
        <f>IF(CO_EXHAUSTCALCINER="","",CO_EXHAUSTCALCINER)</f>
        <v/>
      </c>
      <c r="G603" s="512" t="str">
        <f>IF(F603="","",LHV_CO)</f>
        <v/>
      </c>
      <c r="H603" s="131"/>
      <c r="I603" s="304" t="str">
        <f>IF(QOUT_COCALCINER="","",QOUT_COCALCINER)</f>
        <v/>
      </c>
      <c r="J603" s="304" t="str">
        <f t="shared" si="4"/>
        <v/>
      </c>
      <c r="K603" s="1023"/>
      <c r="L603" s="3"/>
      <c r="M603" s="3"/>
      <c r="N603" s="3"/>
      <c r="O603" s="3"/>
    </row>
    <row r="604" spans="1:15" ht="12.75" customHeight="1" outlineLevel="2">
      <c r="A604" s="1077"/>
      <c r="B604" s="73"/>
      <c r="C604" s="799" t="str">
        <f>IF(PRECAL&lt;5,"",HBL!$AA$1548)</f>
        <v/>
      </c>
      <c r="D604" s="800" t="str">
        <f>IF(PRECAL&lt;5,"",HBL!$AA$1320)</f>
        <v/>
      </c>
      <c r="E604" s="113"/>
      <c r="F604" s="410" t="str">
        <f>IF(M_DUSTFILTER="","",IF(PRECAL=5, M_DUSTFILTER/M_CLI, M_DUSTFILTER*(FEED_CALCINER)/100/M_CLI))</f>
        <v/>
      </c>
      <c r="G604" s="512">
        <f>IF(F604=0,"",CP_DUSTEXHAUST)</f>
        <v>1.00848352</v>
      </c>
      <c r="H604" s="131" t="str">
        <f>IF(T_EXHAUSTCALCINER="","",T_EXHAUSTCALCINER)</f>
        <v/>
      </c>
      <c r="I604" s="304" t="str">
        <f>IF(PRECAL=5,I844,"")</f>
        <v/>
      </c>
      <c r="J604" s="304" t="str">
        <f t="shared" si="4"/>
        <v/>
      </c>
      <c r="K604" s="1023"/>
      <c r="L604" s="3"/>
      <c r="M604" s="3"/>
      <c r="N604" s="3"/>
      <c r="O604" s="3"/>
    </row>
    <row r="605" spans="1:15" ht="12.75" customHeight="1" outlineLevel="2">
      <c r="A605" s="1077"/>
      <c r="B605" s="136" t="str">
        <f>HBL!$AA$1399</f>
        <v>Cooler</v>
      </c>
      <c r="C605" s="133" t="str">
        <f>IF(Cooler=2,"",HBL!$AA$1227)</f>
        <v>Waste air</v>
      </c>
      <c r="D605" s="15" t="str">
        <f>IF(Cooler=2,"",HBL!$AA$1320)</f>
        <v>Sensible heat</v>
      </c>
      <c r="E605" s="113"/>
      <c r="F605" s="410" t="str">
        <f>IF(VNSP_WASTE="","", VNSP_WASTE)</f>
        <v/>
      </c>
      <c r="G605" s="319">
        <f>CP_WASTE</f>
        <v>1.3223424992000001</v>
      </c>
      <c r="H605" s="804">
        <f>IF(T_WASTE="","",T_WASTE)</f>
        <v>300</v>
      </c>
      <c r="I605" s="304" t="str">
        <f>SHOUT_WASTE</f>
        <v/>
      </c>
      <c r="J605" s="304" t="str">
        <f t="shared" si="4"/>
        <v/>
      </c>
      <c r="K605" s="1031">
        <v>34</v>
      </c>
      <c r="L605" s="3"/>
      <c r="M605" s="3"/>
      <c r="N605" s="3"/>
      <c r="O605" s="3"/>
    </row>
    <row r="606" spans="1:15" ht="12.75" customHeight="1" outlineLevel="2">
      <c r="A606" s="1077"/>
      <c r="B606" s="136"/>
      <c r="C606" s="133" t="str">
        <f>IF(Cooler=2,"",HBL!$AA$1630)</f>
        <v>Water vapor</v>
      </c>
      <c r="D606" s="15" t="str">
        <f>IF(Cooler=2,"",HBL!$AA$1320)</f>
        <v>Sensible heat</v>
      </c>
      <c r="E606" s="113"/>
      <c r="F606" s="410">
        <f>IF(OR($G$892="",M_CLI=0), "", $G$892/(M_CLI*1000))</f>
        <v>0</v>
      </c>
      <c r="G606" s="319">
        <f>IF(M_CLI=0,"",$G$894)</f>
        <v>1.5449999999999999</v>
      </c>
      <c r="H606" s="805">
        <f>$G$893</f>
        <v>300</v>
      </c>
      <c r="I606" s="304">
        <f>IF(ISERROR($I$896),,I896)</f>
        <v>0</v>
      </c>
      <c r="J606" s="304">
        <f t="shared" si="4"/>
        <v>0</v>
      </c>
      <c r="K606" s="1031"/>
      <c r="L606" s="3"/>
      <c r="M606" s="3"/>
      <c r="N606" s="3"/>
      <c r="O606" s="3"/>
    </row>
    <row r="607" spans="1:15" ht="12.75" customHeight="1" outlineLevel="2">
      <c r="A607" s="1077"/>
      <c r="B607" s="73"/>
      <c r="C607" s="133" t="str">
        <f>IF(Cooler=2,"",HBL!$AA$1462)</f>
        <v>Middle air</v>
      </c>
      <c r="D607" s="15" t="str">
        <f>IF(Cooler=2,"",HBL!$AA$1320)</f>
        <v>Sensible heat</v>
      </c>
      <c r="E607" s="113"/>
      <c r="F607" s="119" t="str">
        <f>IF(VN_MIDDLE="","",VN_MIDDLE/(M_CLI*1000))</f>
        <v/>
      </c>
      <c r="G607" s="310" t="str">
        <f>IF(VN_MIDDLE="","",CP_MIDDLE)</f>
        <v/>
      </c>
      <c r="H607" s="139" t="str">
        <f>IF(VN_MIDDLE="","",T_MIDDLE)</f>
        <v/>
      </c>
      <c r="I607" s="304" t="str">
        <f>IF(VN_MIDDLE="","",SHOUT_MIDDLE)</f>
        <v/>
      </c>
      <c r="J607" s="304" t="str">
        <f t="shared" si="4"/>
        <v/>
      </c>
      <c r="K607" s="1031"/>
      <c r="L607" s="3"/>
      <c r="M607" s="3"/>
      <c r="N607" s="3"/>
      <c r="O607" s="3"/>
    </row>
    <row r="608" spans="1:15" ht="12.75" customHeight="1" outlineLevel="2">
      <c r="A608" s="1077"/>
      <c r="B608" s="73"/>
      <c r="C608" s="133" t="str">
        <f>HBL!$AA$1427</f>
        <v>Clinker exit</v>
      </c>
      <c r="D608" s="15" t="str">
        <f>HBL!$AA$1320</f>
        <v>Sensible heat</v>
      </c>
      <c r="E608" s="113"/>
      <c r="F608" s="137">
        <f>IF(M_CLI="","",1)</f>
        <v>1</v>
      </c>
      <c r="G608" s="319" t="str">
        <f>CP_CLI</f>
        <v/>
      </c>
      <c r="H608" s="806" t="str">
        <f>IF(T_CLI="","",T_CLI)</f>
        <v/>
      </c>
      <c r="I608" s="304" t="e">
        <f>SHOUT_CLINKER</f>
        <v>#VALUE!</v>
      </c>
      <c r="J608" s="304" t="e">
        <f t="shared" si="4"/>
        <v>#VALUE!</v>
      </c>
      <c r="K608" s="1031"/>
      <c r="L608" s="3"/>
      <c r="M608" s="3"/>
      <c r="N608" s="3"/>
      <c r="O608" s="3"/>
    </row>
    <row r="609" spans="1:15" ht="12.75" customHeight="1" outlineLevel="2">
      <c r="A609" s="1077"/>
      <c r="B609" s="73" t="str">
        <f>IF(VN_BYPASS="","",HBL!$AA$1277)</f>
        <v/>
      </c>
      <c r="D609" s="15" t="str">
        <f>IF(VN_BYPASS="","",HBL!$AA$1320)</f>
        <v/>
      </c>
      <c r="E609" s="113"/>
      <c r="F609" s="318" t="str">
        <f>IF(VN_BYPASS="","",VN_BYPASS/(M_CLI*1000))</f>
        <v/>
      </c>
      <c r="G609" s="319" t="str">
        <f>IF(CP_BYPASSEXTRAC=0,"",CP_BYPASSEXTRAC)</f>
        <v/>
      </c>
      <c r="H609" s="759" t="str">
        <f>IF(T_BYPASSEXTRAC=0,"",T_BYPASSEXTRAC)</f>
        <v/>
      </c>
      <c r="I609" s="306" t="str">
        <f>IF(SHOUT_BYPASSGAS=0,"",SHOUT_BYPASSGAS)</f>
        <v/>
      </c>
      <c r="J609" s="304" t="str">
        <f t="shared" si="4"/>
        <v/>
      </c>
      <c r="K609" s="1029">
        <v>35</v>
      </c>
      <c r="L609" s="3"/>
      <c r="M609" s="3"/>
      <c r="N609" s="3"/>
      <c r="O609" s="3"/>
    </row>
    <row r="610" spans="1:15" ht="12.75" customHeight="1" outlineLevel="2">
      <c r="A610" s="1077"/>
      <c r="B610" s="73"/>
      <c r="D610" s="114" t="str">
        <f>IF(VN_BYPASS="","",HBL!$AA$1287)</f>
        <v/>
      </c>
      <c r="E610" s="113"/>
      <c r="F610" s="141" t="str">
        <f>IF(CO_BYPASSEXTRAC=0,"",CO_BYPASSEXTRAC)</f>
        <v/>
      </c>
      <c r="G610" s="807" t="str">
        <f>IF(F610="","",LHV_CO)</f>
        <v/>
      </c>
      <c r="H610" s="131"/>
      <c r="I610" s="307" t="str">
        <f>IF(QOUT_COBYPASS=0,"",QOUT_COBYPASS)</f>
        <v/>
      </c>
      <c r="J610" s="304" t="str">
        <f t="shared" si="4"/>
        <v/>
      </c>
      <c r="K610" s="1029"/>
      <c r="L610" s="3"/>
      <c r="M610" s="3"/>
      <c r="N610" s="3"/>
      <c r="O610" s="3"/>
    </row>
    <row r="611" spans="1:15" ht="12.75" customHeight="1" outlineLevel="2">
      <c r="A611" s="1077"/>
      <c r="B611" s="73"/>
      <c r="C611" s="133" t="str">
        <f>IF(VN_BYPASS="","",HBL!$AA$1548)</f>
        <v/>
      </c>
      <c r="D611" s="15" t="str">
        <f>IF(VN_BYPASS="","",HBL!$AA$1320)</f>
        <v/>
      </c>
      <c r="E611" s="113"/>
      <c r="F611" s="318" t="str">
        <f>IF(M_BYPASS="","",M_BYPASS/M_CLI)</f>
        <v/>
      </c>
      <c r="G611" s="319" t="str">
        <f>IF(F611="","",CP_BYDUSTEXTRAC)</f>
        <v/>
      </c>
      <c r="H611" s="759" t="str">
        <f>IF(F611="","",T_BYPASSEXTRAC)</f>
        <v/>
      </c>
      <c r="I611" s="307" t="str">
        <f>IF(SHOUT_BYPASSDUST="","",SHOUT_BYPASSDUST)</f>
        <v/>
      </c>
      <c r="J611" s="304" t="str">
        <f t="shared" si="4"/>
        <v/>
      </c>
      <c r="K611" s="1029"/>
      <c r="L611" s="3"/>
      <c r="M611" s="3"/>
      <c r="N611" s="3"/>
      <c r="O611" s="3"/>
    </row>
    <row r="612" spans="1:15" ht="12.75" customHeight="1" outlineLevel="2">
      <c r="A612" s="1077"/>
      <c r="B612" s="73"/>
      <c r="D612" s="1" t="str">
        <f>IF(VN_BYPASS="","",HBL!$AA$1283)</f>
        <v/>
      </c>
      <c r="E612" s="113"/>
      <c r="F612" s="318" t="str">
        <f>IF(CaOnc_BYPASS="","",CaOnc_BYPASS*M_BYPASS/M_CLI)</f>
        <v/>
      </c>
      <c r="G612" s="807" t="str">
        <f>IF(F612="","",3150)</f>
        <v/>
      </c>
      <c r="H612" s="131"/>
      <c r="I612" s="307" t="str">
        <f>IF(QOUT_CaOBYPASS=0,"",QOUT_CaOBYPASS)</f>
        <v/>
      </c>
      <c r="J612" s="304" t="str">
        <f t="shared" si="4"/>
        <v/>
      </c>
      <c r="K612" s="1029"/>
      <c r="L612" s="3"/>
      <c r="M612" s="3"/>
      <c r="N612" s="3"/>
      <c r="O612" s="3"/>
    </row>
    <row r="613" spans="1:15" ht="12.75" customHeight="1" outlineLevel="2">
      <c r="A613" s="1077"/>
      <c r="B613" s="73" t="str">
        <f>HBL!$AA$1557</f>
        <v>Radiation &amp;</v>
      </c>
      <c r="D613" s="1" t="str">
        <f>HBL!$AA$1627</f>
        <v>Preheater tower</v>
      </c>
      <c r="E613" s="113"/>
      <c r="F613" s="113"/>
      <c r="G613" s="74"/>
      <c r="H613" s="113"/>
      <c r="I613" s="307">
        <f>IF(QOUT_PREHEATER="","",QOUT_PREHEATER)</f>
        <v>241</v>
      </c>
      <c r="J613" s="304">
        <f t="shared" ref="J613:J618" si="5">IF(I613="","",I613/4.1868)</f>
        <v>57.561861087226525</v>
      </c>
      <c r="K613" s="1035">
        <v>36</v>
      </c>
      <c r="L613" s="3"/>
      <c r="M613" s="3"/>
      <c r="N613" s="3"/>
      <c r="O613" s="3"/>
    </row>
    <row r="614" spans="1:15" ht="12.75" customHeight="1" outlineLevel="2">
      <c r="A614" s="1077"/>
      <c r="B614" s="135" t="str">
        <f>HBL!$AA$1437</f>
        <v>Convection</v>
      </c>
      <c r="C614" s="15"/>
      <c r="D614" s="15" t="str">
        <f>HBL!$AA$1477</f>
        <v>Kiln shell</v>
      </c>
      <c r="E614" s="113"/>
      <c r="F614" s="142"/>
      <c r="G614" s="142"/>
      <c r="H614" s="143"/>
      <c r="I614" s="304">
        <f>IF(QOUT_KILNRAD="","",QOUT_KILNRAD)</f>
        <v>168</v>
      </c>
      <c r="J614" s="304">
        <f t="shared" si="5"/>
        <v>40.126110633419316</v>
      </c>
      <c r="K614" s="1031"/>
      <c r="L614" s="3"/>
      <c r="M614" s="3"/>
      <c r="N614" s="3"/>
      <c r="O614" s="3"/>
    </row>
    <row r="615" spans="1:15" ht="12.75" customHeight="1" outlineLevel="2">
      <c r="A615" s="1077"/>
      <c r="B615" s="73"/>
      <c r="D615" s="15" t="str">
        <f>HBL!$AA$1401</f>
        <v>Cooler and kiln hood</v>
      </c>
      <c r="E615" s="113"/>
      <c r="F615" s="142"/>
      <c r="G615" s="142"/>
      <c r="H615" s="143"/>
      <c r="I615" s="304">
        <f>IF(QOUT_COOLRAD="","",QOUT_COOLRAD)</f>
        <v>20</v>
      </c>
      <c r="J615" s="304">
        <f t="shared" si="5"/>
        <v>4.7769179325499191</v>
      </c>
      <c r="K615" s="1023"/>
      <c r="L615" s="3"/>
      <c r="M615" s="3"/>
      <c r="N615" s="3"/>
      <c r="O615" s="3"/>
    </row>
    <row r="616" spans="1:15" ht="12.75" customHeight="1" outlineLevel="2">
      <c r="A616" s="1077"/>
      <c r="B616" s="73"/>
      <c r="D616" s="1" t="str">
        <f>IF(PRECAL&lt;3,"",HBL!$AA$1573)</f>
        <v>Tertiary air duct</v>
      </c>
      <c r="E616" s="113"/>
      <c r="F616" s="113"/>
      <c r="G616" s="113"/>
      <c r="H616" s="113"/>
      <c r="I616" s="307">
        <f>IF(QOUT_TERTIARYDUCT="","",QOUT_TERTIARYDUCT)</f>
        <v>27</v>
      </c>
      <c r="J616" s="304">
        <f t="shared" si="5"/>
        <v>6.4488392089423909</v>
      </c>
      <c r="K616" s="1029"/>
      <c r="L616" s="3"/>
      <c r="M616" s="3"/>
      <c r="N616" s="3"/>
      <c r="O616" s="3"/>
    </row>
    <row r="617" spans="1:15" ht="12.75" customHeight="1" outlineLevel="2">
      <c r="A617" s="1077"/>
      <c r="B617" s="73" t="str">
        <f>IF(QOUT_OTHER="","",HBL!$AA$1651)</f>
        <v/>
      </c>
      <c r="C617" s="15"/>
      <c r="D617" s="15"/>
      <c r="E617" s="113"/>
      <c r="F617" s="144"/>
      <c r="G617" s="142"/>
      <c r="H617" s="375"/>
      <c r="I617" s="304" t="str">
        <f>IF(QOUT_OTHER="","",QOUT_OTHER)</f>
        <v/>
      </c>
      <c r="J617" s="304" t="str">
        <f t="shared" si="5"/>
        <v/>
      </c>
      <c r="K617" s="1031">
        <v>37</v>
      </c>
      <c r="L617" s="3"/>
      <c r="M617" s="3"/>
      <c r="N617" s="3"/>
      <c r="O617" s="3"/>
    </row>
    <row r="618" spans="1:15" ht="12.75" customHeight="1" outlineLevel="2">
      <c r="A618" s="1077"/>
      <c r="B618" s="73" t="str">
        <f>HBL!$AA$1517</f>
        <v>Error</v>
      </c>
      <c r="C618" s="145" t="e">
        <f>IF(I620="","",100*I618/I620)</f>
        <v>#VALUE!</v>
      </c>
      <c r="D618" s="1" t="s">
        <v>423</v>
      </c>
      <c r="E618" s="113"/>
      <c r="F618" s="113"/>
      <c r="G618" s="113"/>
      <c r="H618" s="113"/>
      <c r="I618" s="306" t="e">
        <f>IF(I620="","",I620-SUM(I596:I617)-I594)</f>
        <v>#VALUE!</v>
      </c>
      <c r="J618" s="304" t="e">
        <f t="shared" si="5"/>
        <v>#VALUE!</v>
      </c>
      <c r="K618" s="1029">
        <v>38</v>
      </c>
      <c r="L618" s="3"/>
      <c r="M618" s="3"/>
      <c r="N618" s="3"/>
      <c r="O618" s="3"/>
    </row>
    <row r="619" spans="1:15" ht="12.75" customHeight="1" outlineLevel="2">
      <c r="A619" s="1077"/>
      <c r="B619" s="1042" t="s">
        <v>71</v>
      </c>
      <c r="C619" s="15"/>
      <c r="D619" s="15"/>
      <c r="E619" s="113"/>
      <c r="F619" s="73"/>
      <c r="G619" s="110"/>
      <c r="H619" s="111"/>
      <c r="I619" s="301"/>
      <c r="J619" s="301"/>
      <c r="K619" s="1031"/>
      <c r="L619" s="3"/>
      <c r="M619" s="3"/>
      <c r="N619" s="3"/>
      <c r="O619" s="3"/>
    </row>
    <row r="620" spans="1:15" ht="20.100000000000001" customHeight="1" outlineLevel="2">
      <c r="A620" s="1077"/>
      <c r="B620" s="922" t="str">
        <f>HBL!$AA$1559</f>
        <v>TOTAL OF OUTPUTS</v>
      </c>
      <c r="C620" s="923"/>
      <c r="D620" s="923"/>
      <c r="E620" s="923"/>
      <c r="F620" s="923"/>
      <c r="G620" s="924"/>
      <c r="H620" s="925"/>
      <c r="I620" s="926">
        <f>IF(I592="","",I592)</f>
        <v>3429.7853735668814</v>
      </c>
      <c r="J620" s="926">
        <f>IF(I620="","",I620/4.1868)</f>
        <v>819.19016278945287</v>
      </c>
      <c r="K620" s="1033"/>
      <c r="L620" s="3"/>
      <c r="M620" s="3"/>
      <c r="N620" s="3"/>
      <c r="O620" s="3"/>
    </row>
    <row r="621" spans="1:15" ht="12.75" customHeight="1" outlineLevel="2">
      <c r="A621" s="1083"/>
      <c r="K621" s="1013"/>
      <c r="L621" s="3"/>
      <c r="M621" s="3"/>
      <c r="N621" s="3"/>
      <c r="O621" s="3"/>
    </row>
    <row r="622" spans="1:15" ht="12.75" customHeight="1" outlineLevel="2">
      <c r="A622" s="1083"/>
      <c r="B622" s="1043" t="s">
        <v>653</v>
      </c>
      <c r="C622" s="1044"/>
      <c r="D622" s="1044"/>
      <c r="E622" s="1044"/>
      <c r="F622" s="1044"/>
      <c r="G622" s="1044"/>
      <c r="H622" s="1044"/>
      <c r="I622" s="1044"/>
      <c r="J622" s="1044"/>
      <c r="K622" s="1044"/>
      <c r="L622" s="3"/>
      <c r="M622" s="3"/>
      <c r="N622" s="3"/>
      <c r="O622" s="3"/>
    </row>
    <row r="623" spans="1:15" ht="12.75" customHeight="1" outlineLevel="2">
      <c r="A623" s="1083"/>
      <c r="B623" s="1044"/>
      <c r="C623" s="1044"/>
      <c r="D623" s="1044"/>
      <c r="E623" s="1044"/>
      <c r="F623" s="1044"/>
      <c r="G623" s="1044"/>
      <c r="H623" s="1044"/>
      <c r="I623" s="1044"/>
      <c r="J623" s="1044"/>
      <c r="K623" s="1044"/>
      <c r="L623" s="3"/>
      <c r="M623" s="3"/>
      <c r="N623" s="3"/>
      <c r="O623" s="3"/>
    </row>
    <row r="624" spans="1:15" ht="12.75" customHeight="1" outlineLevel="2">
      <c r="A624" s="1083"/>
      <c r="B624" s="1038" t="s">
        <v>659</v>
      </c>
      <c r="C624" s="1044"/>
      <c r="D624" s="1038"/>
      <c r="E624" s="1038"/>
      <c r="F624" s="1038"/>
      <c r="G624" s="1044"/>
      <c r="H624" s="1044"/>
      <c r="I624" s="1045" t="s">
        <v>656</v>
      </c>
      <c r="J624" s="1038" t="s">
        <v>660</v>
      </c>
      <c r="K624" s="1044"/>
      <c r="L624" s="3"/>
      <c r="M624" s="3"/>
      <c r="N624" s="3"/>
      <c r="O624" s="3"/>
    </row>
    <row r="625" spans="1:15" ht="12.75" customHeight="1" outlineLevel="2">
      <c r="A625" s="1083"/>
      <c r="B625" s="1041" t="s">
        <v>650</v>
      </c>
      <c r="C625" s="1044"/>
      <c r="D625" s="1041"/>
      <c r="E625" s="1041"/>
      <c r="F625" s="1038"/>
      <c r="G625" s="1044"/>
      <c r="H625" s="1044"/>
      <c r="I625" s="1046" t="s">
        <v>657</v>
      </c>
      <c r="J625" s="1047" t="s">
        <v>661</v>
      </c>
      <c r="K625" s="1048"/>
      <c r="L625" s="3"/>
      <c r="M625" s="3"/>
      <c r="N625" s="3"/>
      <c r="O625" s="3"/>
    </row>
    <row r="626" spans="1:15" ht="12.75" customHeight="1" outlineLevel="2">
      <c r="B626" s="1049"/>
      <c r="C626" s="1041"/>
      <c r="D626" s="1041"/>
      <c r="E626" s="1041"/>
      <c r="F626" s="1038"/>
      <c r="G626" s="1044"/>
      <c r="H626" s="1044"/>
      <c r="I626" s="1046" t="s">
        <v>658</v>
      </c>
      <c r="J626" s="1047" t="s">
        <v>662</v>
      </c>
      <c r="K626" s="1048"/>
      <c r="L626" s="3"/>
      <c r="M626" s="3"/>
      <c r="N626" s="3"/>
      <c r="O626" s="3"/>
    </row>
    <row r="627" spans="1:15" ht="12.75" customHeight="1" outlineLevel="2">
      <c r="B627" s="1049"/>
      <c r="C627" s="1041"/>
      <c r="D627" s="1041"/>
      <c r="E627" s="1041"/>
      <c r="F627" s="1038"/>
      <c r="G627" s="1044"/>
      <c r="H627" s="1044"/>
      <c r="I627" s="1046"/>
      <c r="J627" s="1047"/>
      <c r="K627" s="1048"/>
      <c r="L627" s="3"/>
      <c r="M627" s="3"/>
      <c r="N627" s="3"/>
      <c r="O627" s="3"/>
    </row>
    <row r="628" spans="1:15" ht="12.75" customHeight="1" outlineLevel="2">
      <c r="B628" s="1041" t="s">
        <v>651</v>
      </c>
      <c r="C628" s="1044"/>
      <c r="D628" s="1041"/>
      <c r="E628" s="1041"/>
      <c r="F628" s="1038"/>
      <c r="G628" s="1041"/>
      <c r="H628" s="1047"/>
      <c r="I628" s="1050" t="s">
        <v>820</v>
      </c>
      <c r="J628" s="1047" t="s">
        <v>663</v>
      </c>
      <c r="K628" s="1015"/>
      <c r="L628" s="3"/>
      <c r="M628" s="3"/>
      <c r="N628" s="3"/>
      <c r="O628" s="3"/>
    </row>
    <row r="629" spans="1:15" ht="12.75" customHeight="1" outlineLevel="2">
      <c r="B629" s="1041" t="s">
        <v>652</v>
      </c>
      <c r="C629" s="1044"/>
      <c r="D629" s="1041"/>
      <c r="E629" s="1041"/>
      <c r="F629" s="1038"/>
      <c r="G629" s="1044"/>
      <c r="H629" s="1044"/>
      <c r="I629" s="1050" t="s">
        <v>821</v>
      </c>
      <c r="J629" s="1047" t="s">
        <v>664</v>
      </c>
      <c r="K629" s="1015"/>
      <c r="L629" s="3"/>
      <c r="M629" s="3"/>
      <c r="N629" s="3"/>
      <c r="O629" s="3"/>
    </row>
    <row r="630" spans="1:15" ht="12.75" customHeight="1" outlineLevel="2">
      <c r="B630" s="1041"/>
      <c r="C630" s="1044"/>
      <c r="D630" s="1041"/>
      <c r="E630" s="1041"/>
      <c r="F630" s="1038"/>
      <c r="G630" s="1044"/>
      <c r="H630" s="1044"/>
      <c r="I630" s="1050" t="s">
        <v>822</v>
      </c>
      <c r="J630" s="1047" t="s">
        <v>665</v>
      </c>
      <c r="K630" s="1015"/>
      <c r="L630" s="3"/>
      <c r="M630" s="3"/>
      <c r="N630" s="3"/>
      <c r="O630" s="3"/>
    </row>
    <row r="631" spans="1:15" ht="12.75" customHeight="1" outlineLevel="2">
      <c r="B631" s="1041"/>
      <c r="C631" s="1044"/>
      <c r="D631" s="1041"/>
      <c r="E631" s="1041"/>
      <c r="F631" s="1038"/>
      <c r="G631" s="1044"/>
      <c r="H631" s="1044"/>
      <c r="I631" s="1050"/>
      <c r="J631" s="1047"/>
      <c r="K631" s="1015"/>
      <c r="L631" s="3"/>
      <c r="M631" s="3"/>
      <c r="N631" s="3"/>
      <c r="O631" s="3"/>
    </row>
    <row r="632" spans="1:15" ht="12.75" customHeight="1" outlineLevel="2">
      <c r="B632" s="1041" t="s">
        <v>654</v>
      </c>
      <c r="C632" s="1044"/>
      <c r="D632" s="1051"/>
      <c r="E632" s="1051"/>
      <c r="F632" s="1051"/>
      <c r="G632" s="1044"/>
      <c r="H632" s="1044"/>
      <c r="I632" s="1047"/>
      <c r="J632" s="1047"/>
      <c r="K632" s="1015"/>
      <c r="L632" s="3"/>
      <c r="M632" s="3"/>
      <c r="N632" s="3"/>
      <c r="O632" s="3"/>
    </row>
    <row r="633" spans="1:15" ht="12.75" customHeight="1" outlineLevel="2">
      <c r="B633" s="1041"/>
      <c r="C633" s="1044"/>
      <c r="D633" s="1051"/>
      <c r="E633" s="1051"/>
      <c r="F633" s="1051"/>
      <c r="G633" s="1044"/>
      <c r="H633" s="1044"/>
      <c r="I633" s="1047"/>
      <c r="J633" s="1047"/>
      <c r="K633" s="1015"/>
      <c r="L633" s="3"/>
      <c r="M633" s="3"/>
      <c r="N633" s="3"/>
      <c r="O633" s="3"/>
    </row>
    <row r="634" spans="1:15" ht="12.75" customHeight="1" outlineLevel="2">
      <c r="B634" s="1041" t="s">
        <v>111</v>
      </c>
      <c r="C634" s="1044"/>
      <c r="D634" s="1041"/>
      <c r="E634" s="1041"/>
      <c r="F634" s="1038"/>
      <c r="G634" s="1044"/>
      <c r="H634" s="1044"/>
      <c r="I634" s="1047"/>
      <c r="J634" s="1047"/>
      <c r="K634" s="1015"/>
      <c r="L634" s="3"/>
      <c r="M634" s="3"/>
      <c r="N634" s="3"/>
      <c r="O634" s="3"/>
    </row>
    <row r="635" spans="1:15" ht="12.75" customHeight="1" outlineLevel="2">
      <c r="B635" s="1041"/>
      <c r="C635" s="1044"/>
      <c r="D635" s="1041"/>
      <c r="E635" s="1041"/>
      <c r="F635" s="1038"/>
      <c r="G635" s="1044"/>
      <c r="H635" s="1044"/>
      <c r="I635" s="1047"/>
      <c r="J635" s="1047"/>
      <c r="K635" s="1015"/>
      <c r="L635" s="3"/>
      <c r="M635" s="3"/>
      <c r="N635" s="3"/>
      <c r="O635" s="3"/>
    </row>
    <row r="636" spans="1:15" ht="12.75" customHeight="1" outlineLevel="2">
      <c r="B636" s="1041" t="s">
        <v>1145</v>
      </c>
      <c r="C636" s="1044"/>
      <c r="D636" s="1041"/>
      <c r="E636" s="1041"/>
      <c r="F636" s="1038"/>
      <c r="G636" s="1044"/>
      <c r="H636" s="1044"/>
      <c r="I636" s="1047"/>
      <c r="J636" s="1047"/>
      <c r="K636" s="1015"/>
      <c r="L636" s="3"/>
      <c r="M636" s="3"/>
      <c r="N636" s="3"/>
      <c r="O636" s="3"/>
    </row>
    <row r="637" spans="1:15" ht="12.75" customHeight="1" outlineLevel="2">
      <c r="B637" s="1041"/>
      <c r="C637" s="1044"/>
      <c r="D637" s="1041"/>
      <c r="E637" s="1041"/>
      <c r="F637" s="1038"/>
      <c r="G637" s="1044"/>
      <c r="H637" s="1044"/>
      <c r="I637" s="1047"/>
      <c r="J637" s="1047"/>
      <c r="K637" s="1015"/>
      <c r="L637" s="3"/>
      <c r="M637" s="3"/>
      <c r="N637" s="3"/>
      <c r="O637" s="3"/>
    </row>
    <row r="638" spans="1:15" ht="12.75" customHeight="1" outlineLevel="2">
      <c r="B638" s="1041" t="s">
        <v>655</v>
      </c>
      <c r="C638" s="1044"/>
      <c r="D638" s="1041"/>
      <c r="E638" s="1041"/>
      <c r="F638" s="1038"/>
      <c r="G638" s="1044"/>
      <c r="H638" s="1044"/>
      <c r="I638" s="1047"/>
      <c r="J638" s="1047"/>
      <c r="K638" s="1015"/>
      <c r="L638" s="3"/>
      <c r="M638" s="3"/>
      <c r="N638" s="3"/>
      <c r="O638" s="3"/>
    </row>
    <row r="639" spans="1:15" ht="12.75" customHeight="1" outlineLevel="2">
      <c r="B639" s="1041"/>
      <c r="C639" s="1044"/>
      <c r="D639" s="1041"/>
      <c r="E639" s="1041"/>
      <c r="F639" s="1038"/>
      <c r="G639" s="1044"/>
      <c r="H639" s="1044"/>
      <c r="I639" s="1047"/>
      <c r="J639" s="1047"/>
      <c r="K639" s="1015"/>
      <c r="L639" s="3"/>
      <c r="M639" s="3"/>
      <c r="N639" s="3"/>
      <c r="O639" s="3"/>
    </row>
    <row r="640" spans="1:15" ht="12.75" customHeight="1" outlineLevel="2">
      <c r="B640" s="1052" t="s">
        <v>823</v>
      </c>
      <c r="C640" s="1044"/>
      <c r="D640" s="1052"/>
      <c r="E640" s="1044"/>
      <c r="F640" s="1052"/>
      <c r="G640" s="1044"/>
      <c r="H640" s="1044"/>
      <c r="I640" s="1044"/>
      <c r="J640" s="1044"/>
      <c r="K640" s="1015"/>
      <c r="L640" s="3"/>
      <c r="M640" s="3"/>
      <c r="N640" s="3"/>
      <c r="O640" s="3"/>
    </row>
    <row r="641" spans="1:15" ht="12.75" customHeight="1" outlineLevel="2">
      <c r="B641" s="1052" t="s">
        <v>112</v>
      </c>
      <c r="C641" s="1044"/>
      <c r="D641" s="1052"/>
      <c r="E641" s="1044"/>
      <c r="F641" s="1052"/>
      <c r="G641" s="1044"/>
      <c r="H641" s="1044"/>
      <c r="I641" s="1044"/>
      <c r="J641" s="1044"/>
      <c r="K641" s="1015"/>
      <c r="L641" s="3"/>
      <c r="M641" s="3"/>
      <c r="N641" s="3"/>
      <c r="O641" s="3"/>
    </row>
    <row r="642" spans="1:15" ht="12.75" customHeight="1" outlineLevel="2">
      <c r="B642" s="1052"/>
      <c r="C642" s="1044"/>
      <c r="D642" s="1052"/>
      <c r="E642" s="1044"/>
      <c r="F642" s="1052"/>
      <c r="G642" s="1044"/>
      <c r="H642" s="1044"/>
      <c r="I642" s="1044"/>
      <c r="J642" s="1044"/>
      <c r="K642" s="1015"/>
      <c r="L642" s="3"/>
      <c r="M642" s="3"/>
      <c r="N642" s="3"/>
      <c r="O642" s="3"/>
    </row>
    <row r="643" spans="1:15" ht="12.75" customHeight="1" outlineLevel="2">
      <c r="B643" s="1052" t="s">
        <v>669</v>
      </c>
      <c r="C643" s="1044"/>
      <c r="D643" s="1044"/>
      <c r="E643" s="1044"/>
      <c r="F643" s="1044"/>
      <c r="G643" s="1044"/>
      <c r="H643" s="1044"/>
      <c r="I643" s="1044"/>
      <c r="J643" s="1044"/>
      <c r="K643" s="1044"/>
      <c r="L643" s="3"/>
      <c r="M643" s="3"/>
      <c r="N643" s="3"/>
      <c r="O643" s="3"/>
    </row>
    <row r="644" spans="1:15" ht="12.75" customHeight="1" outlineLevel="1">
      <c r="B644" s="520"/>
      <c r="D644" s="497"/>
      <c r="G644" s="497"/>
      <c r="K644" s="1012"/>
      <c r="L644" s="3"/>
      <c r="M644" s="3"/>
      <c r="N644" s="3"/>
      <c r="O644" s="3"/>
    </row>
    <row r="645" spans="1:15" ht="12.75" customHeight="1" outlineLevel="1">
      <c r="H645" s="98"/>
      <c r="I645" s="43"/>
      <c r="J645" s="98"/>
      <c r="K645" s="1012"/>
      <c r="L645" s="3"/>
      <c r="M645" s="3"/>
      <c r="N645" s="3"/>
      <c r="O645" s="3"/>
    </row>
    <row r="646" spans="1:15" ht="12.75" customHeight="1">
      <c r="A646" s="1078"/>
      <c r="B646"/>
      <c r="I646"/>
      <c r="J646"/>
      <c r="K646" s="99"/>
      <c r="L646" s="3"/>
      <c r="M646" s="3"/>
      <c r="N646" s="3"/>
      <c r="O646" s="3"/>
    </row>
    <row r="647" spans="1:15" ht="12.75" customHeight="1">
      <c r="M647" s="3"/>
      <c r="N647" s="3"/>
      <c r="O647" s="3"/>
    </row>
    <row r="648" spans="1:15" ht="12.75" customHeight="1">
      <c r="M648" s="3"/>
      <c r="N648" s="3"/>
      <c r="O648" s="3"/>
    </row>
    <row r="649" spans="1:15" ht="12.75" customHeight="1" collapsed="1">
      <c r="B649" s="97"/>
      <c r="C649" s="22"/>
      <c r="D649" s="22"/>
      <c r="E649" s="22"/>
      <c r="F649" s="22"/>
      <c r="G649" s="98"/>
      <c r="H649" s="98"/>
      <c r="I649" s="43"/>
      <c r="J649" s="98"/>
      <c r="K649" s="3"/>
      <c r="L649" s="3"/>
      <c r="M649" s="3"/>
      <c r="N649" s="3"/>
      <c r="O649" s="3"/>
    </row>
    <row r="650" spans="1:15" ht="18.75" customHeight="1">
      <c r="B650" s="911" t="str">
        <f>HBL!$AA$1611</f>
        <v>KILN SYSTEM HEAT BALANCE</v>
      </c>
      <c r="C650" s="911"/>
      <c r="D650" s="911"/>
      <c r="E650" s="911"/>
      <c r="F650" s="911"/>
      <c r="G650" s="911"/>
      <c r="H650" s="911"/>
      <c r="I650" s="911"/>
      <c r="J650" s="911"/>
      <c r="K650" s="911"/>
      <c r="L650" s="3"/>
      <c r="M650" s="3"/>
      <c r="N650" s="3"/>
      <c r="O650" s="3"/>
    </row>
    <row r="651" spans="1:15" ht="12.75" customHeight="1" outlineLevel="1">
      <c r="B651" s="162"/>
      <c r="C651" s="162"/>
      <c r="D651" s="162"/>
      <c r="E651" s="162"/>
      <c r="F651" s="15"/>
      <c r="H651" s="163"/>
      <c r="I651" s="163"/>
      <c r="J651" s="3"/>
      <c r="K651" s="3"/>
      <c r="L651" s="3"/>
      <c r="M651" s="3"/>
      <c r="N651" s="3"/>
      <c r="O651" s="3"/>
    </row>
    <row r="652" spans="1:15" ht="12.75" customHeight="1" outlineLevel="1">
      <c r="B652" s="162"/>
      <c r="C652" s="162"/>
      <c r="D652" s="162"/>
      <c r="E652" s="162"/>
      <c r="F652" s="15"/>
      <c r="H652" s="163"/>
      <c r="I652" s="163"/>
      <c r="J652" s="3"/>
      <c r="K652" s="3"/>
      <c r="L652" s="3"/>
      <c r="M652" s="3"/>
      <c r="N652" s="3"/>
      <c r="O652" s="3"/>
    </row>
    <row r="653" spans="1:15" ht="12.75" customHeight="1" outlineLevel="1">
      <c r="B653" s="913" t="str">
        <f>HBL!$AA$1616</f>
        <v>HEAT INPUT</v>
      </c>
      <c r="C653" s="913"/>
      <c r="D653" s="913"/>
      <c r="E653" s="913"/>
      <c r="F653" s="913"/>
      <c r="G653" s="913"/>
      <c r="H653" s="913"/>
      <c r="I653" s="913"/>
      <c r="J653" s="913"/>
      <c r="K653" s="1016"/>
      <c r="L653" s="3"/>
      <c r="M653" s="3"/>
      <c r="N653" s="3"/>
      <c r="O653" s="3"/>
    </row>
    <row r="654" spans="1:15" ht="12.75" customHeight="1" outlineLevel="2">
      <c r="B654" s="164"/>
      <c r="C654" s="162"/>
      <c r="D654" s="162"/>
      <c r="E654" s="162"/>
      <c r="F654" s="15"/>
      <c r="H654" s="163"/>
      <c r="I654" s="163"/>
      <c r="J654" s="3"/>
      <c r="K654" s="3"/>
      <c r="L654" s="3"/>
      <c r="M654" s="3"/>
      <c r="N654" s="3"/>
      <c r="O654" s="3"/>
    </row>
    <row r="655" spans="1:15" ht="12.75" customHeight="1" outlineLevel="2">
      <c r="B655" s="165"/>
      <c r="C655" s="163"/>
      <c r="D655" s="163"/>
      <c r="E655" s="163"/>
      <c r="F655" s="166"/>
      <c r="G655" s="163"/>
      <c r="H655" s="163"/>
      <c r="I655" s="163"/>
      <c r="J655" s="3"/>
      <c r="K655" s="3"/>
      <c r="L655" s="3"/>
      <c r="M655" s="3"/>
      <c r="N655" s="3"/>
      <c r="O655" s="3"/>
    </row>
    <row r="656" spans="1:15" ht="12.75" customHeight="1" outlineLevel="2">
      <c r="A656" s="1073">
        <v>21</v>
      </c>
      <c r="B656" s="1071" t="str">
        <f>HBL!$AA$1272</f>
        <v>FUEL INPUT</v>
      </c>
      <c r="C656" s="906"/>
      <c r="D656" s="906"/>
      <c r="E656" s="917"/>
      <c r="F656" s="1072"/>
      <c r="H656" s="163"/>
      <c r="I656" s="163"/>
      <c r="J656" s="3"/>
      <c r="K656" s="3"/>
      <c r="L656" s="3"/>
      <c r="M656" s="3"/>
      <c r="N656" s="3"/>
      <c r="O656" s="3"/>
    </row>
    <row r="657" spans="2:15" ht="12.75" customHeight="1" outlineLevel="3">
      <c r="B657" s="165"/>
      <c r="C657" s="163"/>
      <c r="D657" s="163"/>
      <c r="E657" s="163"/>
      <c r="F657" s="166"/>
      <c r="G657" s="163"/>
      <c r="H657" s="163"/>
      <c r="I657" s="163"/>
      <c r="J657" s="3"/>
      <c r="K657" s="3"/>
      <c r="L657" s="3"/>
      <c r="M657" s="3"/>
      <c r="N657" s="3"/>
      <c r="O657" s="3"/>
    </row>
    <row r="658" spans="2:15" ht="12.75" customHeight="1" outlineLevel="3">
      <c r="B658" s="940"/>
      <c r="C658" s="962"/>
      <c r="D658" s="964"/>
      <c r="E658" s="962"/>
      <c r="F658" s="962"/>
      <c r="G658" s="1089"/>
      <c r="H658" s="962"/>
      <c r="I658" s="962"/>
      <c r="J658" s="964"/>
      <c r="K658" s="3"/>
      <c r="L658" s="3"/>
      <c r="M658" s="3"/>
      <c r="N658" s="3"/>
      <c r="O658" s="3"/>
    </row>
    <row r="659" spans="2:15" ht="12.75" customHeight="1" outlineLevel="3">
      <c r="B659" s="965"/>
      <c r="C659" s="1098"/>
      <c r="D659" s="1097"/>
      <c r="E659" s="1090" t="str">
        <f>HBL!$AA$1439</f>
        <v>CONVENTIONAL</v>
      </c>
      <c r="F659" s="1091"/>
      <c r="G659" s="1092" t="str">
        <f>HBL!$AA$1231</f>
        <v>ALTERNATIVE FUELS</v>
      </c>
      <c r="H659" s="1091"/>
      <c r="I659" s="1091"/>
      <c r="J659" s="1093"/>
      <c r="K659" s="3"/>
      <c r="L659" s="3"/>
      <c r="M659" s="3"/>
      <c r="N659" s="3"/>
      <c r="O659" s="3"/>
    </row>
    <row r="660" spans="2:15" ht="12.75" customHeight="1" outlineLevel="3">
      <c r="B660" s="1099"/>
      <c r="C660" s="1098"/>
      <c r="D660" s="1097"/>
      <c r="E660" s="1090" t="str">
        <f>HBL!$AA$1265</f>
        <v>FUEL</v>
      </c>
      <c r="F660" s="1094"/>
      <c r="G660" s="1095"/>
      <c r="H660" s="1096"/>
      <c r="I660" s="1096"/>
      <c r="J660" s="1097"/>
      <c r="K660" s="3"/>
      <c r="L660" s="3"/>
      <c r="M660" s="3"/>
      <c r="N660" s="3"/>
      <c r="O660" s="3"/>
    </row>
    <row r="661" spans="2:15" ht="12.75" customHeight="1" outlineLevel="3">
      <c r="B661" s="1099"/>
      <c r="C661" s="1096"/>
      <c r="D661" s="1100" t="str">
        <f>HBL!$AA$1312</f>
        <v>Unit</v>
      </c>
      <c r="E661" s="1104" t="str">
        <f>IF(FUEL1="","",FUEL1)</f>
        <v>80% coal</v>
      </c>
      <c r="F661" s="1104" t="str">
        <f>IF(F338="","",F338)</f>
        <v>Fluff</v>
      </c>
      <c r="G661" s="1105" t="str">
        <f>IF(FUEL3="","",FUEL3)</f>
        <v>Plastics</v>
      </c>
      <c r="H661" s="1104" t="str">
        <f>IF(FUEL4="","",FUEL4)</f>
        <v/>
      </c>
      <c r="I661" s="1104" t="str">
        <f>IF(FUEL5="","",FUEL5)</f>
        <v/>
      </c>
      <c r="J661" s="1104" t="str">
        <f>IF(FUEL6="","",FUEL6)</f>
        <v/>
      </c>
      <c r="K661" s="3"/>
      <c r="L661" s="3"/>
      <c r="M661" s="3"/>
      <c r="N661" s="3"/>
      <c r="O661" s="3"/>
    </row>
    <row r="662" spans="2:15" ht="12.75" customHeight="1" outlineLevel="3">
      <c r="B662" s="1101"/>
      <c r="C662" s="1102"/>
      <c r="D662" s="1106"/>
      <c r="E662" s="1107" t="str">
        <f>IF(E339="","",E339)</f>
        <v>20% petcoke</v>
      </c>
      <c r="F662" s="1107" t="str">
        <f>IF(F339="","",F339)</f>
        <v/>
      </c>
      <c r="G662" s="1108" t="str">
        <f>IF(G339="","",G339)</f>
        <v/>
      </c>
      <c r="H662" s="1107" t="str">
        <f>IF(H339="","",H339)</f>
        <v/>
      </c>
      <c r="I662" s="1107" t="str">
        <f>IF(I339="","",I339)</f>
        <v/>
      </c>
      <c r="J662" s="1107" t="str">
        <f>IF(J339="","",J339)</f>
        <v/>
      </c>
      <c r="K662" s="3"/>
      <c r="L662" s="3"/>
      <c r="M662" s="3"/>
      <c r="N662" s="3"/>
      <c r="O662" s="3"/>
    </row>
    <row r="663" spans="2:15" ht="12.75" customHeight="1" outlineLevel="3">
      <c r="B663" s="167"/>
      <c r="C663" s="163"/>
      <c r="D663" s="168"/>
      <c r="E663" s="819"/>
      <c r="F663" s="824"/>
      <c r="G663" s="827"/>
      <c r="H663" s="822"/>
      <c r="I663" s="821"/>
      <c r="J663" s="823"/>
      <c r="K663" s="3"/>
      <c r="L663" s="3"/>
      <c r="M663" s="3"/>
      <c r="N663" s="3"/>
      <c r="O663" s="3"/>
    </row>
    <row r="664" spans="2:15" ht="12.75" customHeight="1" outlineLevel="3">
      <c r="B664" s="84" t="str">
        <f>HBL!$AA$1275</f>
        <v>COMBUSTION OF FUELS</v>
      </c>
      <c r="C664" s="163"/>
      <c r="D664" s="168"/>
      <c r="E664" s="815"/>
      <c r="F664" s="825"/>
      <c r="G664" s="170"/>
      <c r="H664" s="162"/>
      <c r="I664" s="169"/>
      <c r="J664" s="172"/>
      <c r="K664" s="3"/>
      <c r="L664" s="3"/>
      <c r="M664" s="3"/>
      <c r="N664" s="3"/>
      <c r="O664" s="3"/>
    </row>
    <row r="665" spans="2:15" ht="12.75" customHeight="1" outlineLevel="3">
      <c r="B665" s="78" t="str">
        <f>HBL!$AA$1274</f>
        <v>Total feedrate</v>
      </c>
      <c r="C665" s="163"/>
      <c r="D665" s="360" t="s">
        <v>485</v>
      </c>
      <c r="E665" s="820">
        <f>IF(M_FUEL1=0,"",M_FUEL1*1000)</f>
        <v>17300</v>
      </c>
      <c r="F665" s="820">
        <f>IF(M_FUEL2=0,"",M_FUEL2*1000)</f>
        <v>2029.9999999999998</v>
      </c>
      <c r="G665" s="93">
        <f>IF(M_FUEL3=0,"",M_FUEL3*1000)</f>
        <v>4260</v>
      </c>
      <c r="H665" s="817" t="str">
        <f>IF(M_FUEL4=0,"",M_FUEL4*1000)</f>
        <v/>
      </c>
      <c r="I665" s="92" t="str">
        <f>IF(M_FUEL5=0,"",M_FUEL5*1000)</f>
        <v/>
      </c>
      <c r="J665" s="176" t="str">
        <f>IF(M_FUEL6=0,"",M_FUEL6*1000)</f>
        <v/>
      </c>
      <c r="K665" s="3"/>
      <c r="L665" s="3"/>
      <c r="M665" s="3"/>
      <c r="N665" s="3"/>
      <c r="O665" s="3"/>
    </row>
    <row r="666" spans="2:15" ht="12.75" customHeight="1" outlineLevel="3">
      <c r="B666" s="77" t="str">
        <f>HBL!$AA$1388</f>
        <v>NCV as fired</v>
      </c>
      <c r="C666" s="163"/>
      <c r="D666" s="360" t="s">
        <v>478</v>
      </c>
      <c r="E666" s="820">
        <f>IF(LHV_FUEL1="","",LHV_FUEL1)</f>
        <v>26190</v>
      </c>
      <c r="F666" s="820">
        <f>IF(LHV_FUEL2="","",LHV_FUEL2)</f>
        <v>20543</v>
      </c>
      <c r="G666" s="93">
        <f>IF(LHV_FUEL3="","",LHV_FUEL3)</f>
        <v>15870</v>
      </c>
      <c r="H666" s="817" t="str">
        <f>IF(LHV_FUEL4="","",LHV_FUEL4)</f>
        <v/>
      </c>
      <c r="I666" s="92" t="str">
        <f>IF(LHV_FUEL5="","",LHV_FUEL5)</f>
        <v/>
      </c>
      <c r="J666" s="176" t="str">
        <f>IF(LHV_FUEL6="","",LHV_FUEL6)</f>
        <v/>
      </c>
      <c r="K666" s="3"/>
      <c r="L666" s="3"/>
      <c r="M666" s="3"/>
      <c r="N666" s="3"/>
      <c r="O666" s="3"/>
    </row>
    <row r="667" spans="2:15" ht="12.75" customHeight="1" outlineLevel="3">
      <c r="B667" s="167" t="str">
        <f>HBL!$AA$1623</f>
        <v>Heat input from</v>
      </c>
      <c r="C667" s="163"/>
      <c r="D667" s="168" t="s">
        <v>486</v>
      </c>
      <c r="E667" s="820">
        <f t="shared" ref="E667:J667" si="6">IF(E666="","",E665*E666/1000)</f>
        <v>453087</v>
      </c>
      <c r="F667" s="820">
        <f t="shared" si="6"/>
        <v>41702.289999999994</v>
      </c>
      <c r="G667" s="93">
        <f t="shared" si="6"/>
        <v>67606.2</v>
      </c>
      <c r="H667" s="817" t="str">
        <f t="shared" si="6"/>
        <v/>
      </c>
      <c r="I667" s="92" t="str">
        <f t="shared" si="6"/>
        <v/>
      </c>
      <c r="J667" s="176" t="str">
        <f t="shared" si="6"/>
        <v/>
      </c>
      <c r="K667" s="3"/>
      <c r="L667" s="3"/>
      <c r="M667" s="3"/>
      <c r="N667" s="3"/>
      <c r="O667" s="3"/>
    </row>
    <row r="668" spans="2:15" ht="12.75" customHeight="1" outlineLevel="3">
      <c r="B668" s="78" t="str">
        <f>HBL!$AA$1594</f>
        <v>combustion</v>
      </c>
      <c r="C668" s="163"/>
      <c r="D668" s="168" t="s">
        <v>486</v>
      </c>
      <c r="E668" s="171">
        <f>IF(SUM(E667:F667)=0,"",SUM(E667:F667))</f>
        <v>494789.29</v>
      </c>
      <c r="F668" s="965"/>
      <c r="G668" s="828">
        <f>IF(SUM(G667:J667)=0,"",SUM(G667:J667))</f>
        <v>67606.2</v>
      </c>
      <c r="H668" s="951"/>
      <c r="I668" s="954"/>
      <c r="J668" s="1214"/>
      <c r="K668" s="3"/>
      <c r="L668" s="3"/>
      <c r="M668" s="3"/>
      <c r="N668" s="3"/>
      <c r="O668" s="3"/>
    </row>
    <row r="669" spans="2:15" ht="12.75" customHeight="1" outlineLevel="3">
      <c r="B669" s="167" t="str">
        <f>HBL!$AA$1540</f>
        <v>Specific heat</v>
      </c>
      <c r="C669" s="163"/>
      <c r="D669" s="360" t="s">
        <v>499</v>
      </c>
      <c r="E669" s="171">
        <f>IF(E668="","",E668/M_CLI)</f>
        <v>2946.9284693269801</v>
      </c>
      <c r="F669" s="965"/>
      <c r="G669" s="828">
        <f>IF(G668="","",G668/M_CLI)</f>
        <v>402.65753424657532</v>
      </c>
      <c r="H669" s="951"/>
      <c r="I669" s="954"/>
      <c r="J669" s="1214"/>
      <c r="K669" s="3"/>
      <c r="L669" s="3"/>
      <c r="M669" s="3"/>
      <c r="N669" s="3"/>
      <c r="O669" s="3"/>
    </row>
    <row r="670" spans="2:15" ht="12.75" customHeight="1" outlineLevel="3">
      <c r="B670" s="78"/>
      <c r="C670" s="163"/>
      <c r="D670" s="814" t="s">
        <v>438</v>
      </c>
      <c r="E670" s="171">
        <f>IF(Q_FUELCON="","",100*Q_FUELCON/(SUM(Q_FUELCON:Q_FUELALT)))</f>
        <v>87.978886530544557</v>
      </c>
      <c r="F670" s="965"/>
      <c r="G670" s="828">
        <f>IF(Q_FUELALT="","",100*Q_FUELALT/(SUM(Q_FUELCON:Q_FUELALT)))</f>
        <v>12.021113469455454</v>
      </c>
      <c r="H670" s="951"/>
      <c r="I670" s="954"/>
      <c r="J670" s="1214"/>
      <c r="K670" s="3"/>
      <c r="L670" s="3"/>
      <c r="M670" s="3"/>
      <c r="N670" s="3"/>
      <c r="O670" s="3"/>
    </row>
    <row r="671" spans="2:15" ht="12.75" customHeight="1" outlineLevel="3">
      <c r="B671" s="78"/>
      <c r="C671" s="163"/>
      <c r="D671" s="814"/>
      <c r="E671" s="815"/>
      <c r="F671" s="825"/>
      <c r="G671" s="170"/>
      <c r="H671" s="162"/>
      <c r="I671" s="169"/>
      <c r="J671" s="172"/>
      <c r="K671" s="3"/>
      <c r="L671" s="3"/>
      <c r="M671" s="3"/>
      <c r="N671" s="3"/>
      <c r="O671" s="3"/>
    </row>
    <row r="672" spans="2:15" ht="12.75" customHeight="1" outlineLevel="3">
      <c r="B672" s="173" t="str">
        <f>HBL!$AA$1319</f>
        <v>SENSIBLE HEAT</v>
      </c>
      <c r="C672" s="163"/>
      <c r="D672" s="815"/>
      <c r="E672" s="815"/>
      <c r="F672" s="825"/>
      <c r="G672" s="170"/>
      <c r="H672" s="162"/>
      <c r="I672" s="169"/>
      <c r="J672" s="172"/>
      <c r="K672" s="3"/>
      <c r="L672" s="3"/>
      <c r="M672" s="3"/>
      <c r="N672" s="3"/>
      <c r="O672" s="3"/>
    </row>
    <row r="673" spans="1:15" ht="12.75" customHeight="1" outlineLevel="3">
      <c r="B673" s="167" t="str">
        <f>HBL!$AA$1563</f>
        <v>Temp. at burner</v>
      </c>
      <c r="C673" s="163"/>
      <c r="D673" s="168" t="s">
        <v>473</v>
      </c>
      <c r="E673" s="168">
        <f t="shared" ref="E673:J674" si="7">IF(E343="","",E343)</f>
        <v>50</v>
      </c>
      <c r="F673" s="168">
        <f t="shared" si="7"/>
        <v>50</v>
      </c>
      <c r="G673" s="175">
        <f t="shared" si="7"/>
        <v>22</v>
      </c>
      <c r="H673" s="818" t="str">
        <f t="shared" si="7"/>
        <v/>
      </c>
      <c r="I673" s="157" t="str">
        <f t="shared" si="7"/>
        <v/>
      </c>
      <c r="J673" s="174" t="str">
        <f t="shared" si="7"/>
        <v/>
      </c>
      <c r="K673" s="3"/>
      <c r="L673" s="3"/>
      <c r="M673" s="3"/>
      <c r="N673" s="3"/>
      <c r="O673" s="3"/>
    </row>
    <row r="674" spans="1:15" ht="12.75" customHeight="1" outlineLevel="3">
      <c r="B674" s="167" t="str">
        <f>HBL!$AA$1292</f>
        <v>cp fuel</v>
      </c>
      <c r="C674" s="163"/>
      <c r="D674" s="360" t="s">
        <v>479</v>
      </c>
      <c r="E674" s="168">
        <f t="shared" si="7"/>
        <v>1</v>
      </c>
      <c r="F674" s="168">
        <f t="shared" si="7"/>
        <v>1</v>
      </c>
      <c r="G674" s="175">
        <f t="shared" si="7"/>
        <v>1</v>
      </c>
      <c r="H674" s="818" t="str">
        <f t="shared" si="7"/>
        <v/>
      </c>
      <c r="I674" s="157" t="str">
        <f t="shared" si="7"/>
        <v/>
      </c>
      <c r="J674" s="174" t="str">
        <f t="shared" si="7"/>
        <v/>
      </c>
      <c r="K674" s="3"/>
      <c r="L674" s="3"/>
      <c r="M674" s="3"/>
      <c r="N674" s="3"/>
      <c r="O674" s="3"/>
    </row>
    <row r="675" spans="1:15" ht="12.75" customHeight="1" outlineLevel="3">
      <c r="B675" s="167" t="str">
        <f>HBL!$AA$1615</f>
        <v>Heat input</v>
      </c>
      <c r="C675" s="163"/>
      <c r="D675" s="168" t="s">
        <v>500</v>
      </c>
      <c r="E675" s="820">
        <f t="shared" ref="E675:J675" si="8">IF(E665="","",E665*E674*(E673-20)/1000)</f>
        <v>519</v>
      </c>
      <c r="F675" s="820">
        <f t="shared" si="8"/>
        <v>60.899999999999991</v>
      </c>
      <c r="G675" s="93">
        <f t="shared" si="8"/>
        <v>8.52</v>
      </c>
      <c r="H675" s="817" t="str">
        <f t="shared" si="8"/>
        <v/>
      </c>
      <c r="I675" s="92" t="str">
        <f t="shared" si="8"/>
        <v/>
      </c>
      <c r="J675" s="176" t="str">
        <f t="shared" si="8"/>
        <v/>
      </c>
      <c r="K675" s="3"/>
      <c r="L675" s="3"/>
      <c r="M675" s="3"/>
      <c r="N675" s="3"/>
      <c r="O675" s="3"/>
    </row>
    <row r="676" spans="1:15" ht="12.75" customHeight="1" outlineLevel="3">
      <c r="B676" s="167" t="str">
        <f>HBL!$AA$1540</f>
        <v>Specific heat</v>
      </c>
      <c r="C676" s="163"/>
      <c r="D676" s="168" t="s">
        <v>490</v>
      </c>
      <c r="E676" s="171">
        <f>IF(SUM(E675:F675)=0,"",SUM(E675:F675)/M_CLI)</f>
        <v>3.4538415723645026</v>
      </c>
      <c r="F676" s="965"/>
      <c r="G676" s="828">
        <f>IF(SUM(G675:J675)=0,"",SUM(G675:J675)/M_CLI)</f>
        <v>5.0744490768314471E-2</v>
      </c>
      <c r="H676" s="951"/>
      <c r="I676" s="954"/>
      <c r="J676" s="1214"/>
      <c r="K676" s="3"/>
      <c r="L676" s="3"/>
      <c r="M676" s="3"/>
      <c r="N676" s="3"/>
      <c r="O676" s="3"/>
    </row>
    <row r="677" spans="1:15" ht="12.75" customHeight="1" outlineLevel="3">
      <c r="B677" s="177"/>
      <c r="C677" s="178"/>
      <c r="D677" s="816"/>
      <c r="E677" s="816"/>
      <c r="F677" s="826"/>
      <c r="G677" s="829"/>
      <c r="H677" s="178"/>
      <c r="I677" s="179"/>
      <c r="J677" s="180"/>
      <c r="K677" s="3"/>
      <c r="L677" s="3"/>
      <c r="M677" s="3"/>
      <c r="N677" s="3"/>
      <c r="O677" s="3"/>
    </row>
    <row r="678" spans="1:15" ht="12.75" customHeight="1" outlineLevel="3" thickBot="1">
      <c r="B678" s="54"/>
      <c r="C678" s="163"/>
      <c r="D678" s="163"/>
      <c r="E678" s="163"/>
      <c r="F678" s="166"/>
      <c r="G678" s="163"/>
      <c r="H678" s="163"/>
      <c r="I678" s="163"/>
      <c r="J678" s="3"/>
      <c r="K678" s="3"/>
      <c r="L678" s="3"/>
      <c r="M678" s="3"/>
      <c r="N678" s="3"/>
      <c r="O678" s="3"/>
    </row>
    <row r="679" spans="1:15" ht="12.75" customHeight="1" outlineLevel="3">
      <c r="B679" s="54" t="str">
        <f>HBL!$AA$1615</f>
        <v>Heat input</v>
      </c>
      <c r="C679" s="163"/>
      <c r="D679" s="163"/>
      <c r="E679" s="181" t="str">
        <f>HBL!$AA$1440</f>
        <v>Conventional fuel</v>
      </c>
      <c r="F679" s="166"/>
      <c r="G679" s="182">
        <f>E670</f>
        <v>87.978886530544557</v>
      </c>
      <c r="H679" s="54" t="s">
        <v>423</v>
      </c>
      <c r="I679" s="1056">
        <f>Q_FUELCON</f>
        <v>2946.9284693269801</v>
      </c>
      <c r="J679" s="9" t="s">
        <v>443</v>
      </c>
      <c r="K679" s="3"/>
      <c r="L679" s="3"/>
      <c r="M679" s="3"/>
      <c r="N679" s="3"/>
      <c r="O679" s="3"/>
    </row>
    <row r="680" spans="1:15" ht="12.75" customHeight="1" outlineLevel="3">
      <c r="B680" s="181"/>
      <c r="C680" s="163"/>
      <c r="D680" s="163"/>
      <c r="E680" s="181" t="str">
        <f>HBL!$AA$1233</f>
        <v>Alternative fuels</v>
      </c>
      <c r="F680" s="166"/>
      <c r="G680" s="182">
        <f>G670</f>
        <v>12.021113469455454</v>
      </c>
      <c r="H680" s="54" t="s">
        <v>423</v>
      </c>
      <c r="I680" s="1057">
        <f>Q_FUELALT</f>
        <v>402.65753424657532</v>
      </c>
      <c r="J680" s="9" t="s">
        <v>443</v>
      </c>
      <c r="K680" s="3"/>
      <c r="L680" s="3"/>
      <c r="M680" s="3"/>
      <c r="N680" s="3"/>
      <c r="O680" s="3"/>
    </row>
    <row r="681" spans="1:15" ht="12.75" customHeight="1" outlineLevel="3" thickBot="1">
      <c r="B681" s="54" t="str">
        <f>HBL!$AA$1370</f>
        <v>Total heat input from fuel combustion</v>
      </c>
      <c r="C681" s="163"/>
      <c r="D681" s="163"/>
      <c r="E681" s="181"/>
      <c r="F681" s="166"/>
      <c r="G681" s="163"/>
      <c r="H681" s="163"/>
      <c r="I681" s="1058">
        <f>IF(SUM(I679:I680)=0,"",SUM(I679:I680))</f>
        <v>3349.5860035735554</v>
      </c>
      <c r="J681" s="9" t="s">
        <v>443</v>
      </c>
      <c r="K681" s="3"/>
      <c r="L681" s="3"/>
      <c r="M681" s="3"/>
      <c r="N681" s="3"/>
      <c r="O681" s="3"/>
    </row>
    <row r="682" spans="1:15" ht="12.75" customHeight="1" outlineLevel="3" thickBot="1">
      <c r="B682" s="181"/>
      <c r="C682" s="163"/>
      <c r="D682" s="163"/>
      <c r="E682" s="181"/>
      <c r="F682" s="166"/>
      <c r="G682" s="163"/>
      <c r="H682" s="163"/>
      <c r="I682" s="183"/>
      <c r="J682" s="9"/>
      <c r="K682" s="3"/>
      <c r="L682" s="3"/>
    </row>
    <row r="683" spans="1:15" ht="12.75" customHeight="1" outlineLevel="3" thickBot="1">
      <c r="B683" s="181" t="str">
        <f>HBL!$AA$1321</f>
        <v>Sensible heat from fuel(s)</v>
      </c>
      <c r="C683" s="163"/>
      <c r="D683" s="163"/>
      <c r="E683" s="181"/>
      <c r="F683" s="166"/>
      <c r="G683" s="163"/>
      <c r="H683" s="163"/>
      <c r="I683" s="1055">
        <f>IF(SUM(E676:J676)=0,"",SUM(E676:J676))</f>
        <v>3.504586063132817</v>
      </c>
      <c r="J683" s="9" t="s">
        <v>443</v>
      </c>
      <c r="K683" s="3"/>
      <c r="L683" s="3"/>
    </row>
    <row r="684" spans="1:15" ht="12.75" customHeight="1" outlineLevel="3">
      <c r="B684" s="181"/>
      <c r="C684" s="163"/>
      <c r="D684" s="163"/>
      <c r="E684" s="163"/>
      <c r="F684" s="166"/>
      <c r="G684" s="163"/>
      <c r="H684" s="163"/>
      <c r="I684" s="163"/>
      <c r="J684" s="3"/>
      <c r="K684" s="3"/>
      <c r="L684" s="3"/>
    </row>
    <row r="685" spans="1:15" ht="12.75" customHeight="1" outlineLevel="2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5" ht="12.75" customHeight="1" outlineLevel="2">
      <c r="A686" s="1073">
        <v>22</v>
      </c>
      <c r="B686" s="1071" t="str">
        <f>HBL!$AA$1483</f>
        <v>KILN FEED</v>
      </c>
      <c r="C686" s="906"/>
      <c r="D686" s="906"/>
      <c r="E686" s="917"/>
      <c r="F686" s="1072"/>
      <c r="G686" s="3"/>
      <c r="H686" s="3"/>
      <c r="I686" s="3"/>
      <c r="J686" s="3"/>
      <c r="K686" s="3"/>
      <c r="L686" s="3"/>
    </row>
    <row r="687" spans="1:15" ht="12.75" customHeight="1" outlineLevel="3">
      <c r="B687" s="3"/>
      <c r="C687" s="3"/>
      <c r="D687" s="3"/>
      <c r="E687" s="3"/>
      <c r="F687" s="3"/>
      <c r="G687" s="184"/>
      <c r="H687" s="3"/>
      <c r="I687" s="3"/>
      <c r="J687" s="3"/>
      <c r="K687" s="3"/>
      <c r="L687" s="3"/>
    </row>
    <row r="688" spans="1:15" ht="12.75" customHeight="1" outlineLevel="3">
      <c r="B688" s="18" t="str">
        <f>HBL!$AA$1319</f>
        <v>SENSIBLE HEAT</v>
      </c>
      <c r="C688" s="3"/>
      <c r="D688" s="3"/>
      <c r="E688" s="3"/>
      <c r="F688" s="3"/>
      <c r="G688" s="184"/>
      <c r="H688" s="3"/>
      <c r="I688" s="3"/>
      <c r="J688" s="3"/>
      <c r="K688" s="3"/>
      <c r="L688" s="3"/>
    </row>
    <row r="689" spans="2:12" ht="12.75" customHeight="1" outlineLevel="3">
      <c r="B689" s="3" t="str">
        <f>HBL!$AA$1457</f>
        <v>Massflow</v>
      </c>
      <c r="C689" s="3"/>
      <c r="D689" s="3"/>
      <c r="E689" s="3"/>
      <c r="F689" s="185"/>
      <c r="G689" s="47">
        <f>IF(M_FEED="","",M_FEED)</f>
        <v>265</v>
      </c>
      <c r="H689" s="9" t="s">
        <v>493</v>
      </c>
      <c r="I689" s="3"/>
      <c r="J689" s="3"/>
      <c r="K689" s="3"/>
      <c r="L689" s="3"/>
    </row>
    <row r="690" spans="2:12" ht="12.75" customHeight="1" outlineLevel="3">
      <c r="B690" s="9" t="str">
        <f>HBL!$AA$1357</f>
        <v>Moisture content</v>
      </c>
      <c r="C690" s="3"/>
      <c r="D690" s="3"/>
      <c r="E690" s="3"/>
      <c r="F690" s="185"/>
      <c r="G690" s="186">
        <f>IF(H2O_FEED="","",H2O_FEED)</f>
        <v>0.3</v>
      </c>
      <c r="H690" s="9" t="s">
        <v>423</v>
      </c>
      <c r="I690" s="3"/>
      <c r="J690" s="3"/>
      <c r="K690" s="3"/>
      <c r="L690" s="3"/>
    </row>
    <row r="691" spans="2:12" ht="12.75" customHeight="1" outlineLevel="3">
      <c r="B691" s="3" t="str">
        <f>HBL!$AA$1564</f>
        <v>Temperature</v>
      </c>
      <c r="C691" s="3"/>
      <c r="D691" s="3"/>
      <c r="E691" s="3"/>
      <c r="F691" s="185"/>
      <c r="G691" s="3">
        <f>IF(T_FEED="","",T_FEED)</f>
        <v>55</v>
      </c>
      <c r="H691" s="9" t="s">
        <v>425</v>
      </c>
      <c r="I691" s="3"/>
      <c r="J691" s="3"/>
      <c r="K691" s="3"/>
      <c r="L691" s="3"/>
    </row>
    <row r="692" spans="2:12" ht="12.75" customHeight="1" outlineLevel="3">
      <c r="B692" s="9" t="str">
        <f>HBL!$AA$1299</f>
        <v>cp feed (dry)</v>
      </c>
      <c r="C692" s="3"/>
      <c r="D692" s="3"/>
      <c r="E692" s="3"/>
      <c r="F692" s="185"/>
      <c r="G692" s="187">
        <f>IF(CP_MEALDRY="","",CP_MEALDRY)</f>
        <v>0.85268185750000003</v>
      </c>
      <c r="H692" s="9" t="s">
        <v>429</v>
      </c>
      <c r="I692" s="3"/>
      <c r="J692" s="3"/>
      <c r="K692" s="3"/>
      <c r="L692" s="3"/>
    </row>
    <row r="693" spans="2:12" ht="12.75" customHeight="1" outlineLevel="3">
      <c r="B693" s="29" t="str">
        <f>HBL!$AA$1626</f>
        <v>Heat input raw meal dry</v>
      </c>
      <c r="C693" s="3"/>
      <c r="D693" s="3"/>
      <c r="E693" s="3"/>
      <c r="F693" s="3"/>
      <c r="G693" s="188">
        <f>IF(M_FEED="","",M_FEED*(1-H2O_FEED/100)*CP_MEALDRY*(T_FEED-20))</f>
        <v>7884.8983556275625</v>
      </c>
      <c r="H693" s="158" t="s">
        <v>501</v>
      </c>
      <c r="I693" s="189">
        <f>IF(G693="","",G693/M_CLI)</f>
        <v>46.961872278901502</v>
      </c>
      <c r="J693" s="9" t="s">
        <v>442</v>
      </c>
      <c r="K693" s="3"/>
      <c r="L693" s="3"/>
    </row>
    <row r="694" spans="2:12" ht="12.75" customHeight="1" outlineLevel="3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2:12" ht="12.75" customHeight="1" outlineLevel="3">
      <c r="B695" s="9" t="str">
        <f>HBL!$AA$1301</f>
        <v>cp water</v>
      </c>
      <c r="C695" s="3"/>
      <c r="D695" s="3"/>
      <c r="E695" s="3"/>
      <c r="F695" s="185"/>
      <c r="G695" s="187">
        <f>IF(CP_WATER="","",CP_WATER)</f>
        <v>4.1816000000000004</v>
      </c>
      <c r="H695" s="9" t="s">
        <v>429</v>
      </c>
      <c r="I695" s="3"/>
      <c r="J695" s="3"/>
      <c r="K695" s="3"/>
      <c r="L695" s="3"/>
    </row>
    <row r="696" spans="2:12" ht="12.75" customHeight="1" outlineLevel="3">
      <c r="B696" s="3" t="str">
        <f>HBL!$AA$1621</f>
        <v>Heat input from moisture content in raw meal</v>
      </c>
      <c r="C696" s="3"/>
      <c r="D696" s="3"/>
      <c r="E696" s="3"/>
      <c r="F696" s="3"/>
      <c r="G696" s="10">
        <f>IF(M_FEED="","",M_FEED*H2O_FEED/100*CP_WATER*(T_FEED-20))</f>
        <v>116.35302000000001</v>
      </c>
      <c r="H696" s="158" t="s">
        <v>501</v>
      </c>
      <c r="I696" s="189">
        <f>IF(G696="","",G696/M_CLI)</f>
        <v>0.69298999404407391</v>
      </c>
      <c r="J696" s="9" t="s">
        <v>442</v>
      </c>
      <c r="K696" s="3"/>
      <c r="L696" s="3"/>
    </row>
    <row r="697" spans="2:12" ht="12.75" customHeight="1" outlineLevel="3" thickBot="1">
      <c r="B697" s="3"/>
      <c r="C697" s="3"/>
      <c r="D697" s="3"/>
      <c r="E697" s="3"/>
      <c r="F697" s="185"/>
      <c r="G697" s="22"/>
      <c r="H697" s="9"/>
      <c r="I697" s="3"/>
      <c r="J697" s="3"/>
      <c r="K697" s="3"/>
      <c r="L697" s="3"/>
    </row>
    <row r="698" spans="2:12" ht="12.75" customHeight="1" outlineLevel="3" thickBot="1">
      <c r="B698" s="9" t="str">
        <f>HBL!$AA$1625</f>
        <v>Heat input via kiln feed</v>
      </c>
      <c r="C698" s="3"/>
      <c r="D698" s="3"/>
      <c r="E698" s="3"/>
      <c r="F698" s="3"/>
      <c r="G698" s="190">
        <f>IF(M_FEED="","",G693+G696)</f>
        <v>8001.2513756275621</v>
      </c>
      <c r="H698" s="158" t="s">
        <v>501</v>
      </c>
      <c r="I698" s="1059">
        <f>IF(G698="","",G698/M_CLI)</f>
        <v>47.654862272945572</v>
      </c>
      <c r="J698" s="9" t="s">
        <v>443</v>
      </c>
      <c r="K698" s="3"/>
      <c r="L698" s="3"/>
    </row>
    <row r="699" spans="2:12" ht="12.75" customHeight="1" outlineLevel="3" thickTop="1">
      <c r="B699" s="9"/>
      <c r="C699" s="3"/>
      <c r="D699" s="3"/>
      <c r="E699" s="3"/>
      <c r="F699" s="3"/>
      <c r="G699" s="188"/>
      <c r="H699" s="158"/>
      <c r="I699" s="3"/>
      <c r="J699" s="3"/>
      <c r="K699" s="3"/>
      <c r="L699" s="3"/>
    </row>
    <row r="700" spans="2:12" ht="12.75" customHeight="1" outlineLevel="3">
      <c r="B700" s="42" t="str">
        <f>HBL!$AA$1263</f>
        <v>COMBUSTIBLE MATTER IN KILN FEED</v>
      </c>
      <c r="C700" s="3"/>
      <c r="D700" s="3"/>
      <c r="E700" s="3"/>
      <c r="F700" s="3"/>
      <c r="G700" s="188"/>
      <c r="H700" s="158"/>
      <c r="I700" s="3"/>
      <c r="J700" s="3"/>
      <c r="K700" s="3"/>
      <c r="L700" s="3"/>
    </row>
    <row r="701" spans="2:12" ht="12.75" customHeight="1" outlineLevel="3">
      <c r="B701" s="3" t="str">
        <f>HBL!$AA$1492</f>
        <v>Organic carbon weight fraction in kiln feed</v>
      </c>
      <c r="C701" s="3"/>
      <c r="D701" s="3"/>
      <c r="E701" s="3"/>
      <c r="F701" s="3"/>
      <c r="G701" s="191">
        <f>IF(ORG_MATTER="","",ORG_MATTER)</f>
        <v>0</v>
      </c>
      <c r="H701" s="9" t="s">
        <v>423</v>
      </c>
      <c r="I701" s="34"/>
      <c r="J701" s="3"/>
      <c r="K701" s="3"/>
      <c r="L701" s="3"/>
    </row>
    <row r="702" spans="2:12" ht="12.75" customHeight="1" outlineLevel="3">
      <c r="B702" s="3" t="str">
        <f>HBL!$AA$1588</f>
        <v>Low heat value LHV</v>
      </c>
      <c r="C702" s="3"/>
      <c r="D702" s="3"/>
      <c r="E702" s="3"/>
      <c r="F702" s="3"/>
      <c r="G702" s="46">
        <f>IF(ORG_MATTER="","",LHV_ORGMATTER)</f>
        <v>33000</v>
      </c>
      <c r="H702" s="9" t="s">
        <v>430</v>
      </c>
      <c r="I702" s="34"/>
      <c r="J702" s="3"/>
      <c r="K702" s="3"/>
      <c r="L702" s="3"/>
    </row>
    <row r="703" spans="2:12" ht="12.75" customHeight="1" outlineLevel="3">
      <c r="B703" s="3" t="str">
        <f>HBL!$AA$1507</f>
        <v>Pyrite content in the kiln feed</v>
      </c>
      <c r="C703" s="3"/>
      <c r="D703" s="3"/>
      <c r="E703" s="3"/>
      <c r="F703" s="3"/>
      <c r="G703" s="191">
        <f>IF(PYRITE="","",PYRITE)</f>
        <v>0</v>
      </c>
      <c r="H703" s="9" t="s">
        <v>423</v>
      </c>
      <c r="I703" s="34"/>
      <c r="J703" s="3"/>
      <c r="K703" s="3"/>
      <c r="L703" s="3"/>
    </row>
    <row r="704" spans="2:12" ht="12.75" customHeight="1" outlineLevel="3">
      <c r="B704" s="3" t="str">
        <f>HBL!$AA$1588</f>
        <v>Low heat value LHV</v>
      </c>
      <c r="C704" s="3"/>
      <c r="D704" s="3"/>
      <c r="E704" s="3"/>
      <c r="F704" s="3"/>
      <c r="G704" s="46">
        <f>IF(PYRITE="","",LHV_PYRITE)</f>
        <v>12930</v>
      </c>
      <c r="H704" s="9" t="s">
        <v>430</v>
      </c>
      <c r="I704" s="34"/>
      <c r="J704" s="3"/>
      <c r="K704" s="3"/>
      <c r="L704" s="3"/>
    </row>
    <row r="705" spans="1:12" ht="12.75" customHeight="1" outlineLevel="3">
      <c r="B705" s="9" t="str">
        <f>HBL!$AA$1519</f>
        <v>Kiln feed - Clinker factor</v>
      </c>
      <c r="C705" s="3"/>
      <c r="D705" s="3"/>
      <c r="E705" s="3"/>
      <c r="F705" s="3"/>
      <c r="G705" s="187">
        <f>IF(AND(ORG_MATTER="",PYRITE=""),"",CLI_FACTOR)</f>
        <v>1.5735854675402023</v>
      </c>
      <c r="H705" s="29"/>
      <c r="I705" s="34"/>
      <c r="J705" s="3"/>
      <c r="K705" s="3"/>
      <c r="L705" s="3"/>
    </row>
    <row r="706" spans="1:12" ht="12.75" customHeight="1" outlineLevel="3" thickBot="1">
      <c r="B706" s="3"/>
      <c r="C706" s="3"/>
      <c r="D706" s="3"/>
      <c r="E706" s="3"/>
      <c r="F706" s="3"/>
      <c r="G706" s="188"/>
      <c r="H706" s="9"/>
      <c r="I706" s="34"/>
      <c r="J706" s="3"/>
      <c r="K706" s="3"/>
      <c r="L706" s="3"/>
    </row>
    <row r="707" spans="1:12" ht="12.75" customHeight="1" outlineLevel="3" thickBot="1">
      <c r="B707" s="3" t="str">
        <f>HBL!$AA$1622</f>
        <v>Heat input from combustible matter in kiln feed</v>
      </c>
      <c r="C707" s="3"/>
      <c r="D707" s="3"/>
      <c r="E707" s="3"/>
      <c r="F707" s="3"/>
      <c r="G707" s="190">
        <f>IF(AND(ORG_MATTER="",PYRITE=""),"",CLI_FACTOR*M_CLI*ORG_MATTER/100*LHV_ORGMATTER+CLI_FACTOR*M_CLI*PYRITE/100*LHV_PYRITE)</f>
        <v>0</v>
      </c>
      <c r="H707" s="158" t="s">
        <v>501</v>
      </c>
      <c r="I707" s="1059">
        <f>IF(M_CLI="","",IF(G707="",0,G707/M_CLI))</f>
        <v>0</v>
      </c>
      <c r="J707" s="9" t="s">
        <v>443</v>
      </c>
      <c r="K707" s="3"/>
      <c r="L707" s="3"/>
    </row>
    <row r="708" spans="1:12" ht="12.75" customHeight="1" outlineLevel="3" thickTop="1">
      <c r="B708" s="9"/>
      <c r="C708" s="3"/>
      <c r="D708" s="3"/>
      <c r="E708" s="3"/>
      <c r="F708" s="3"/>
      <c r="G708" s="188"/>
      <c r="H708" s="158"/>
      <c r="I708" s="3"/>
      <c r="J708" s="3"/>
      <c r="K708" s="3"/>
      <c r="L708" s="3"/>
    </row>
    <row r="709" spans="1:12" ht="12.75" customHeight="1" outlineLevel="2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2.75" customHeight="1" outlineLevel="2">
      <c r="A710" s="1073">
        <v>23</v>
      </c>
      <c r="B710" s="1071" t="str">
        <f>HBL!$AA$1495</f>
        <v>PRIMARY AIR</v>
      </c>
      <c r="C710" s="906"/>
      <c r="D710" s="906"/>
      <c r="E710" s="917"/>
      <c r="F710" s="1072"/>
      <c r="H710" s="3"/>
      <c r="I710" s="3"/>
      <c r="J710" s="3"/>
      <c r="K710" s="3"/>
      <c r="L710" s="3"/>
    </row>
    <row r="711" spans="1:12" ht="12.75" customHeight="1" outlineLevel="3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2.75" customHeight="1" outlineLevel="3">
      <c r="B712" s="18" t="str">
        <f>HBL!$AA$1497</f>
        <v>PRIMARY AIR MAIN BURNER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2.75" customHeight="1" outlineLevel="3">
      <c r="B713" s="192" t="str">
        <f>HBL!$AA$1602</f>
        <v>Flowrate air</v>
      </c>
      <c r="C713" s="3"/>
      <c r="D713" s="3"/>
      <c r="E713" s="3"/>
      <c r="F713" s="35"/>
      <c r="G713" s="342">
        <f>VN_PRIMCOMB</f>
        <v>10000</v>
      </c>
      <c r="H713" s="9" t="s">
        <v>458</v>
      </c>
      <c r="I713" s="3"/>
      <c r="J713" s="3"/>
      <c r="K713" s="3"/>
      <c r="L713" s="3"/>
    </row>
    <row r="714" spans="1:12" ht="12.75" customHeight="1" outlineLevel="3">
      <c r="B714" s="192" t="str">
        <f>HBL!$AA$1564</f>
        <v>Temperature</v>
      </c>
      <c r="C714" s="3"/>
      <c r="D714" s="3"/>
      <c r="E714" s="3"/>
      <c r="F714" s="35"/>
      <c r="G714" s="46">
        <f>IF(T_PRIMAIR="","",T_PRIMAIR)</f>
        <v>46.2</v>
      </c>
      <c r="H714" s="9" t="s">
        <v>425</v>
      </c>
      <c r="I714" s="3"/>
      <c r="J714" s="3"/>
      <c r="K714" s="3"/>
      <c r="L714" s="3"/>
    </row>
    <row r="715" spans="1:12" ht="12.75" customHeight="1" outlineLevel="3">
      <c r="B715" s="54" t="str">
        <f>HBL!$AA$1297</f>
        <v>cp air</v>
      </c>
      <c r="C715" s="3"/>
      <c r="D715" s="3"/>
      <c r="E715" s="3"/>
      <c r="F715" s="35"/>
      <c r="G715" s="193">
        <f>CP_PRIMAIR</f>
        <v>1.3010804517580596</v>
      </c>
      <c r="H715" s="9" t="s">
        <v>456</v>
      </c>
      <c r="I715" s="3"/>
      <c r="J715" s="3"/>
      <c r="K715" s="3"/>
      <c r="L715" s="3"/>
    </row>
    <row r="716" spans="1:12" ht="12.75" customHeight="1" outlineLevel="3">
      <c r="B716" s="54"/>
      <c r="C716" s="3"/>
      <c r="D716" s="3"/>
      <c r="E716" s="3"/>
      <c r="F716" s="35"/>
      <c r="G716" s="194">
        <f>IF(VN_PRIMCOMB="","",VN_PRIMCOMB*CP_PRIMAIR*(T_PRIMAIR-20)/1000)</f>
        <v>340.88307836061171</v>
      </c>
      <c r="H716" s="158" t="s">
        <v>501</v>
      </c>
      <c r="I716" s="34">
        <f>IF(G716="","",G716/M_CLI)</f>
        <v>2.0302744393127559</v>
      </c>
      <c r="J716" s="9" t="s">
        <v>442</v>
      </c>
      <c r="K716" s="3"/>
      <c r="L716" s="3"/>
    </row>
    <row r="717" spans="1:12" ht="12.75" customHeight="1" outlineLevel="3">
      <c r="B717" s="54"/>
      <c r="C717" s="3"/>
      <c r="D717" s="3"/>
      <c r="E717" s="3"/>
      <c r="F717" s="35"/>
      <c r="G717" s="194"/>
      <c r="H717" s="158"/>
      <c r="I717" s="34"/>
      <c r="J717" s="9"/>
      <c r="K717" s="3"/>
      <c r="L717" s="3"/>
    </row>
    <row r="718" spans="1:12" ht="12.75" customHeight="1" outlineLevel="3">
      <c r="B718" s="54" t="str">
        <f>HBL!$AA$1643</f>
        <v>Water vapor flowrate</v>
      </c>
      <c r="C718" s="3"/>
      <c r="D718" s="3"/>
      <c r="E718" s="3"/>
      <c r="F718" s="35"/>
      <c r="G718" s="341" t="str">
        <f>IF(H2OVAPOR_COALMILL="","",H2OVAPOR_COALMILL)</f>
        <v/>
      </c>
      <c r="H718" s="9" t="s">
        <v>458</v>
      </c>
      <c r="I718" s="3"/>
      <c r="J718" s="3"/>
      <c r="K718" s="3"/>
      <c r="L718" s="3"/>
    </row>
    <row r="719" spans="1:12" ht="12.75" customHeight="1" outlineLevel="3">
      <c r="B719" s="192" t="str">
        <f>HBL!$AA$1564</f>
        <v>Temperature</v>
      </c>
      <c r="C719" s="3"/>
      <c r="D719" s="3"/>
      <c r="E719" s="3"/>
      <c r="F719" s="35"/>
      <c r="G719" s="46" t="str">
        <f>IF(H2OVAPOR_COALMILL="","",T_PRIMAIR)</f>
        <v/>
      </c>
      <c r="H719" s="9" t="s">
        <v>425</v>
      </c>
      <c r="I719" s="3"/>
      <c r="J719" s="3"/>
      <c r="K719" s="3"/>
      <c r="L719" s="3"/>
    </row>
    <row r="720" spans="1:12" ht="12.75" customHeight="1" outlineLevel="3">
      <c r="B720" s="54" t="str">
        <f>HBL!$AA$1302</f>
        <v>cp water vapor</v>
      </c>
      <c r="C720" s="3"/>
      <c r="D720" s="3"/>
      <c r="E720" s="3"/>
      <c r="F720" s="35"/>
      <c r="G720" s="193" t="str">
        <f>IF(H2OVAPOR_COALMILL="","",1.49+T_PRIMAIR/4700)</f>
        <v/>
      </c>
      <c r="H720" s="9" t="s">
        <v>456</v>
      </c>
      <c r="I720" s="3"/>
      <c r="J720" s="3"/>
      <c r="K720" s="3"/>
      <c r="L720" s="3"/>
    </row>
    <row r="721" spans="2:12" ht="12.75" customHeight="1" outlineLevel="3">
      <c r="B721" s="54"/>
      <c r="C721" s="3"/>
      <c r="D721" s="3"/>
      <c r="E721" s="3"/>
      <c r="F721" s="35"/>
      <c r="G721" s="195" t="str">
        <f>IF(H2OVAPOR_COALMILL="","",H2OVAPOR_COALMILL*CPH2O_PRIMAIR*(T_PRIMAIR-20)/1000)</f>
        <v/>
      </c>
      <c r="H721" s="158" t="s">
        <v>501</v>
      </c>
      <c r="I721" s="189" t="str">
        <f>IF(G721="","",G721/M_CLI)</f>
        <v/>
      </c>
      <c r="J721" s="9" t="s">
        <v>442</v>
      </c>
      <c r="K721" s="3"/>
      <c r="L721" s="3"/>
    </row>
    <row r="722" spans="2:12" ht="12.75" customHeight="1" outlineLevel="3">
      <c r="B722" s="196" t="str">
        <f>HBL!$AA$1502</f>
        <v>PRIMARY AIR CALCINER OR SECONDARY FIRING</v>
      </c>
      <c r="C722" s="3"/>
      <c r="D722" s="3"/>
      <c r="E722" s="3"/>
      <c r="F722" s="35"/>
      <c r="G722" s="51"/>
      <c r="H722" s="9"/>
      <c r="I722" s="3"/>
      <c r="J722" s="3"/>
      <c r="K722" s="3"/>
      <c r="L722" s="3"/>
    </row>
    <row r="723" spans="2:12" ht="12.75" customHeight="1" outlineLevel="3">
      <c r="B723" s="192" t="str">
        <f>HBL!$AA$1602</f>
        <v>Flowrate air</v>
      </c>
      <c r="C723" s="3"/>
      <c r="D723" s="3"/>
      <c r="E723" s="3"/>
      <c r="F723" s="35"/>
      <c r="G723" s="340">
        <f>IF(VN_PRIMAIRCAL="","",VN_PRIMAIRCAL)</f>
        <v>5200</v>
      </c>
      <c r="H723" s="9" t="s">
        <v>458</v>
      </c>
      <c r="I723" s="34"/>
      <c r="J723" s="9"/>
      <c r="K723" s="3"/>
      <c r="L723" s="3"/>
    </row>
    <row r="724" spans="2:12" ht="12.75" customHeight="1" outlineLevel="3">
      <c r="B724" s="192" t="str">
        <f>HBL!$AA$1564</f>
        <v>Temperature</v>
      </c>
      <c r="C724" s="3"/>
      <c r="D724" s="3"/>
      <c r="E724" s="3"/>
      <c r="F724" s="35"/>
      <c r="G724" s="194">
        <f>IF(T_PRIMAIRPRECAL="","",T_PRIMAIRPRECAL)</f>
        <v>50</v>
      </c>
      <c r="H724" s="9" t="s">
        <v>425</v>
      </c>
      <c r="I724" s="34"/>
      <c r="J724" s="9"/>
      <c r="K724" s="3"/>
      <c r="L724" s="3"/>
    </row>
    <row r="725" spans="2:12" ht="12.75" customHeight="1" outlineLevel="3">
      <c r="B725" s="54" t="str">
        <f>HBL!$AA$1297</f>
        <v>cp air</v>
      </c>
      <c r="C725" s="3"/>
      <c r="D725" s="3"/>
      <c r="E725" s="3"/>
      <c r="F725" s="35"/>
      <c r="G725" s="197">
        <f>IF(CP_PRIMAIRCAL="","",CP_PRIMAIRCAL)</f>
        <v>1.3013335341999999</v>
      </c>
      <c r="H725" s="9" t="s">
        <v>456</v>
      </c>
      <c r="I725" s="34"/>
      <c r="J725" s="9"/>
      <c r="K725" s="3"/>
      <c r="L725" s="3"/>
    </row>
    <row r="726" spans="2:12" ht="12.75" customHeight="1" outlineLevel="3">
      <c r="B726" s="54"/>
      <c r="C726" s="3"/>
      <c r="D726" s="3"/>
      <c r="E726" s="3"/>
      <c r="F726" s="35"/>
      <c r="G726" s="194">
        <f>IF(VN_PRIMAIRCAL="","",VN_PRIMAIRCAL*CP_PRIMAIRCAL*(T_PRIMAIRPRECAL-20)/1000)</f>
        <v>203.00803133519997</v>
      </c>
      <c r="H726" s="158" t="s">
        <v>501</v>
      </c>
      <c r="I726" s="34">
        <f>IF(G726="","",G726/M_CLI)</f>
        <v>1.2091008417820128</v>
      </c>
      <c r="J726" s="9" t="s">
        <v>442</v>
      </c>
      <c r="K726" s="3"/>
      <c r="L726" s="3"/>
    </row>
    <row r="727" spans="2:12" ht="12.75" customHeight="1" outlineLevel="3">
      <c r="B727" s="54"/>
      <c r="C727" s="3"/>
      <c r="D727" s="3"/>
      <c r="E727" s="3"/>
      <c r="F727" s="35"/>
      <c r="G727" s="194"/>
      <c r="H727" s="158"/>
      <c r="I727" s="34"/>
      <c r="J727" s="9"/>
      <c r="K727" s="3"/>
      <c r="L727" s="3"/>
    </row>
    <row r="728" spans="2:12" ht="12.75" customHeight="1" outlineLevel="3">
      <c r="B728" s="54" t="str">
        <f>HBL!$AA$1643</f>
        <v>Water vapor flowrate</v>
      </c>
      <c r="C728" s="3"/>
      <c r="D728" s="3"/>
      <c r="E728" s="3"/>
      <c r="F728" s="35"/>
      <c r="G728" s="341" t="str">
        <f>IF(H2OVAPOR_COALMILLCAL="","",H2OVAPOR_COALMILLCAL)</f>
        <v/>
      </c>
      <c r="H728" s="9" t="s">
        <v>458</v>
      </c>
      <c r="I728" s="3"/>
      <c r="J728" s="3"/>
      <c r="K728" s="3"/>
      <c r="L728" s="3"/>
    </row>
    <row r="729" spans="2:12" ht="12.75" customHeight="1" outlineLevel="3">
      <c r="B729" s="192" t="str">
        <f>HBL!$AA$1564</f>
        <v>Temperature</v>
      </c>
      <c r="C729" s="3"/>
      <c r="D729" s="3"/>
      <c r="E729" s="3"/>
      <c r="F729" s="35"/>
      <c r="G729" s="46" t="str">
        <f>IF(H2OVAPOR_COALMILLCAL="","",T_PRIMAIRPRECAL)</f>
        <v/>
      </c>
      <c r="H729" s="9" t="s">
        <v>425</v>
      </c>
      <c r="I729" s="3"/>
      <c r="J729" s="3"/>
      <c r="K729" s="3"/>
      <c r="L729" s="3"/>
    </row>
    <row r="730" spans="2:12" ht="12.75" customHeight="1" outlineLevel="3">
      <c r="B730" s="54" t="str">
        <f>HBL!$AA$1302</f>
        <v>cp water vapor</v>
      </c>
      <c r="C730" s="3"/>
      <c r="D730" s="3"/>
      <c r="E730" s="3"/>
      <c r="F730" s="35"/>
      <c r="G730" s="193" t="str">
        <f>IF(H2OVAPOR_COALMILLCAL="","",1.49+T_PRIMAIRPRECAL/4700)</f>
        <v/>
      </c>
      <c r="H730" s="9" t="s">
        <v>456</v>
      </c>
      <c r="I730" s="3"/>
      <c r="J730" s="3"/>
      <c r="K730" s="3"/>
      <c r="L730" s="3"/>
    </row>
    <row r="731" spans="2:12" ht="12.75" customHeight="1" outlineLevel="3">
      <c r="B731" s="54"/>
      <c r="C731" s="3"/>
      <c r="D731" s="3"/>
      <c r="E731" s="3"/>
      <c r="F731" s="35"/>
      <c r="G731" s="195" t="str">
        <f>IF(H2OVAPOR_COALMILLCAL="","",H2OVAPOR_COALMILLCAL*CPH2O_PRIMAIRCAL*(T_PRIMAIRPRECAL-20)/1000)</f>
        <v/>
      </c>
      <c r="H731" s="158" t="s">
        <v>501</v>
      </c>
      <c r="I731" s="189" t="str">
        <f>IF(G731="","",G731/M_CLI)</f>
        <v/>
      </c>
      <c r="J731" s="9" t="s">
        <v>442</v>
      </c>
      <c r="K731" s="3"/>
      <c r="L731" s="3"/>
    </row>
    <row r="732" spans="2:12" ht="12.75" customHeight="1" outlineLevel="3" thickBo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2:12" ht="12.75" customHeight="1" outlineLevel="3" thickBot="1">
      <c r="B733" s="192" t="str">
        <f>HBL!$AA$1620</f>
        <v>Heat input from primary air</v>
      </c>
      <c r="C733" s="3"/>
      <c r="D733" s="3"/>
      <c r="E733" s="3"/>
      <c r="F733" s="35"/>
      <c r="G733" s="406">
        <f>IF(VN_PRIMCOMB="", "",SUM(G716,G721,G726,G731))</f>
        <v>543.89110969581168</v>
      </c>
      <c r="H733" s="158" t="s">
        <v>501</v>
      </c>
      <c r="I733" s="1059">
        <f>IF(G733="","",G733/M_CLI)</f>
        <v>3.2393752810947687</v>
      </c>
      <c r="J733" s="9" t="s">
        <v>443</v>
      </c>
      <c r="K733" s="3"/>
      <c r="L733" s="3"/>
    </row>
    <row r="734" spans="2:12" ht="12.75" customHeight="1" outlineLevel="2" thickTop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2:12" ht="12.75" customHeight="1" outlineLevel="2">
      <c r="B735" s="439" t="s">
        <v>1098</v>
      </c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2:12" ht="12.75" customHeight="1" outlineLevel="3">
      <c r="B736" s="439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2.75" customHeight="1" outlineLevel="3">
      <c r="B737" s="408" t="str">
        <f>HBL!$AA$1341</f>
        <v>SENSIBLE HEAT OF INJECTED WATER</v>
      </c>
      <c r="C737" s="388"/>
      <c r="D737" s="388"/>
      <c r="E737" s="388"/>
      <c r="F737" s="388"/>
      <c r="G737" s="388"/>
      <c r="H737" s="388"/>
      <c r="I737" s="388"/>
      <c r="J737" s="388"/>
      <c r="K737" s="3"/>
      <c r="L737" s="3"/>
    </row>
    <row r="738" spans="1:12" ht="12.75" customHeight="1" outlineLevel="3">
      <c r="B738" s="18"/>
      <c r="C738" s="388"/>
      <c r="D738" s="388"/>
      <c r="E738" s="388"/>
      <c r="F738" s="388"/>
      <c r="G738" s="388"/>
      <c r="H738" s="388"/>
      <c r="I738" s="388"/>
      <c r="J738" s="388"/>
      <c r="K738" s="3"/>
      <c r="L738" s="3"/>
    </row>
    <row r="739" spans="1:12" ht="12.75" customHeight="1" outlineLevel="3">
      <c r="B739" s="192" t="str">
        <f>HBL!$AA$1601</f>
        <v>Flowrate</v>
      </c>
      <c r="C739" s="388"/>
      <c r="D739" s="388"/>
      <c r="E739" s="388"/>
      <c r="F739" s="388"/>
      <c r="G739" s="440" t="str">
        <f>IF(H2O_PREHEATER="","",H2O_PREHEATER*1000)</f>
        <v/>
      </c>
      <c r="H739" s="388" t="s">
        <v>502</v>
      </c>
      <c r="I739" s="388"/>
      <c r="J739" s="388"/>
      <c r="K739" s="3"/>
      <c r="L739" s="3"/>
    </row>
    <row r="740" spans="1:12" ht="12.75" customHeight="1" outlineLevel="3">
      <c r="B740" s="192" t="str">
        <f>HBL!$AA$1564</f>
        <v>Temperature</v>
      </c>
      <c r="C740" s="388"/>
      <c r="D740" s="388"/>
      <c r="E740" s="388"/>
      <c r="F740" s="388"/>
      <c r="G740" s="388" t="str">
        <f>IF(D208="","",D208)</f>
        <v/>
      </c>
      <c r="H740" s="388" t="s">
        <v>425</v>
      </c>
      <c r="I740" s="388"/>
      <c r="J740" s="388"/>
      <c r="K740" s="3"/>
      <c r="L740" s="3"/>
    </row>
    <row r="741" spans="1:12" ht="12.75" customHeight="1" outlineLevel="3">
      <c r="B741" s="192" t="str">
        <f>HBL!$AA$1542</f>
        <v>Specific heat capacity</v>
      </c>
      <c r="C741" s="388"/>
      <c r="D741" s="388"/>
      <c r="E741" s="388"/>
      <c r="F741" s="388"/>
      <c r="G741" s="394" t="str">
        <f>IF(D209="","",D209)</f>
        <v/>
      </c>
      <c r="H741" s="395" t="s">
        <v>429</v>
      </c>
      <c r="I741" s="388"/>
      <c r="J741" s="388"/>
      <c r="K741" s="3"/>
      <c r="L741" s="3"/>
    </row>
    <row r="742" spans="1:12" ht="12.75" customHeight="1" outlineLevel="3" thickBot="1">
      <c r="B742" s="388"/>
      <c r="C742" s="388"/>
      <c r="D742" s="388"/>
      <c r="E742" s="388"/>
      <c r="F742" s="388"/>
      <c r="G742" s="388"/>
      <c r="H742" s="388"/>
      <c r="I742" s="388"/>
      <c r="J742" s="388"/>
      <c r="K742" s="3"/>
      <c r="L742" s="3"/>
    </row>
    <row r="743" spans="1:12" ht="12.75" customHeight="1" outlineLevel="3" thickBot="1">
      <c r="B743" s="192" t="str">
        <f>HBL!$AA$1619</f>
        <v>Heat input from injected water</v>
      </c>
      <c r="C743" s="388"/>
      <c r="D743" s="388"/>
      <c r="E743" s="388"/>
      <c r="F743" s="388"/>
      <c r="G743" s="396" t="str">
        <f>IF(ISERR(H2O_PREHEATER*1000*D209*(D208-20)),"",H2O_PREHEATER*1000*D209*(D208-20)/1000)</f>
        <v/>
      </c>
      <c r="H743" s="392" t="s">
        <v>501</v>
      </c>
      <c r="I743" s="1060" t="str">
        <f>IF(G743="","",G743/M_CLI)</f>
        <v/>
      </c>
      <c r="J743" s="386" t="s">
        <v>503</v>
      </c>
      <c r="K743" s="3"/>
      <c r="L743" s="3"/>
    </row>
    <row r="744" spans="1:12" ht="12.75" customHeight="1" outlineLevel="2" thickTop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2.75" customHeight="1" outlineLevel="2">
      <c r="A745" s="1073">
        <v>24</v>
      </c>
      <c r="B745" s="1071" t="str">
        <f>HBL!$AA$1398</f>
        <v>COOLER</v>
      </c>
      <c r="C745" s="906"/>
      <c r="D745" s="906"/>
      <c r="E745" s="917"/>
      <c r="F745" s="1072"/>
      <c r="G745"/>
      <c r="H745"/>
      <c r="I745" s="3"/>
      <c r="J745" s="3"/>
      <c r="K745" s="3"/>
      <c r="L745" s="3"/>
    </row>
    <row r="746" spans="1:12" ht="12.75" customHeight="1" outlineLevel="3">
      <c r="B746" s="18"/>
      <c r="C746" s="22"/>
      <c r="D746" s="22"/>
      <c r="E746" s="22"/>
      <c r="F746" s="22"/>
      <c r="G746"/>
      <c r="H746"/>
      <c r="I746"/>
      <c r="J746" s="3"/>
      <c r="K746" s="3"/>
      <c r="L746" s="3"/>
    </row>
    <row r="747" spans="1:12" ht="12.75" customHeight="1" outlineLevel="3">
      <c r="B747" s="18" t="str">
        <f>HBL!$AA$1340</f>
        <v>SENSIBLE HEAT COOLING AIR</v>
      </c>
      <c r="C747" s="22"/>
      <c r="D747" s="22"/>
      <c r="E747" s="22"/>
      <c r="F747" s="22"/>
      <c r="H747" s="3"/>
      <c r="I747" s="3"/>
      <c r="J747" s="3"/>
      <c r="K747" s="3"/>
      <c r="L747" s="3"/>
    </row>
    <row r="748" spans="1:12" ht="12.75" customHeight="1" outlineLevel="3"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2.75" customHeight="1" outlineLevel="3">
      <c r="B749" s="1109" t="str">
        <f>HBL!$AA$1591</f>
        <v>Fan</v>
      </c>
      <c r="C749" s="1110">
        <v>1</v>
      </c>
      <c r="D749" s="1110">
        <v>2</v>
      </c>
      <c r="E749" s="1110">
        <v>3</v>
      </c>
      <c r="F749" s="1110">
        <v>4</v>
      </c>
      <c r="G749" s="1110">
        <v>5</v>
      </c>
      <c r="H749" s="1110">
        <v>6</v>
      </c>
      <c r="I749" s="1110">
        <v>7</v>
      </c>
      <c r="J749" s="1110">
        <v>8</v>
      </c>
      <c r="K749" s="3"/>
      <c r="L749" s="3"/>
    </row>
    <row r="750" spans="1:12" ht="12.75" customHeight="1" outlineLevel="3">
      <c r="B750" s="78" t="s">
        <v>473</v>
      </c>
      <c r="C750" s="89">
        <f>IF(T_FAN1=0,"",T_FAN1)</f>
        <v>30</v>
      </c>
      <c r="D750" s="89">
        <f>IF(T_FAN2=0,"",T_FAN2)</f>
        <v>30</v>
      </c>
      <c r="E750" s="89">
        <f>IF(T_FAN3=0,"",T_FAN3)</f>
        <v>30</v>
      </c>
      <c r="F750" s="89">
        <f>IF(T_FAN4=0,"",T_FAN4)</f>
        <v>30</v>
      </c>
      <c r="G750" s="89">
        <f>IF(T_FAN5=0,"",T_FAN5)</f>
        <v>30</v>
      </c>
      <c r="H750" s="89">
        <f>IF(T_FAN6=0,"",T_FAN6)</f>
        <v>30</v>
      </c>
      <c r="I750" s="89">
        <f>IF(T_FAN7=0,"",T_FAN7)</f>
        <v>30</v>
      </c>
      <c r="J750" s="89">
        <f>IF(T_FAN8=0,"",T_FAN8)</f>
        <v>30</v>
      </c>
      <c r="K750" s="3"/>
      <c r="L750" s="3"/>
    </row>
    <row r="751" spans="1:12" ht="12.75" customHeight="1" outlineLevel="3">
      <c r="B751" s="78" t="s">
        <v>474</v>
      </c>
      <c r="C751" s="338">
        <f>IF(VN_FAN1="","",VN_FAN1)</f>
        <v>36162.507906142178</v>
      </c>
      <c r="D751" s="338">
        <f>IF(VN_FAN2="","",VN_FAN2)</f>
        <v>37059.465985346571</v>
      </c>
      <c r="E751" s="338">
        <f>IF(VN_FAN3="","",VN_FAN3)</f>
        <v>36730.877382073675</v>
      </c>
      <c r="F751" s="338">
        <f>IF(VN_FAN4="","",VN_FAN4)</f>
        <v>38427.105036806781</v>
      </c>
      <c r="G751" s="338">
        <f>IF(VN_FAN5="","",VN_FAN5)</f>
        <v>40050.560561753802</v>
      </c>
      <c r="H751" s="338">
        <f>IF(VN_FAN6="","",VN_FAN6)</f>
        <v>37465.094510406801</v>
      </c>
      <c r="I751" s="338">
        <f>IF(VN_FAN7="","",VN_FAN7)</f>
        <v>27939.288621140637</v>
      </c>
      <c r="J751" s="338">
        <f>IF(VN_FAN8="","",VN_FAN8)</f>
        <v>25794.880044628953</v>
      </c>
      <c r="K751" s="3"/>
      <c r="L751" s="3"/>
    </row>
    <row r="752" spans="1:12" ht="12.75" customHeight="1" outlineLevel="3">
      <c r="B752" s="78" t="s">
        <v>486</v>
      </c>
      <c r="C752" s="89">
        <f>IF(C751="","",IF(T_FAN1=20,1.2922*VN_FAN1*(T_FAN1-20)/1000,((1.297+0.0000575*T_FAN1+0.0000000806*T_FAN1^2-0.0000000000286*T_FAN1^3)*T_FAN1-(1.297+0.0000575*20+0.0000000806*20^2-0.0000000000286*20^3)*20)/(T_FAN1-20))*VN_FAN1*(T_FAN1-20)/1000)</f>
        <v>470.12210664855132</v>
      </c>
      <c r="D752" s="89">
        <f>IF(D751="","",IF(T_FAN2=20,1.2922*VN_FAN2*(T_FAN2-20)/1000,((1.297+0.0000575*T_FAN2+0.0000000806*T_FAN2^2-0.0000000000286*T_FAN2^3)*T_FAN2-(1.297+0.0000575*20+0.0000000806*20^2-0.0000000000286*20^3)*20)/(T_FAN2-20))*VN_FAN2*(T_FAN2-20)/1000)</f>
        <v>481.78279740776117</v>
      </c>
      <c r="E752" s="89">
        <f>IF(E751="","",IF(T_FAN3=20,1.2922*VN_FAN3*(T_FAN3-20)/1000,((1.297+0.0000575*T_FAN3+0.0000000806*T_FAN3^2-0.0000000000286*T_FAN3^3)*T_FAN3-(1.297+0.0000575*20+0.0000000806*20^2-0.0000000000286*20^3)*20)/(T_FAN3-20))*VN_FAN3*(T_FAN3-20)/1000)</f>
        <v>477.51105920884265</v>
      </c>
      <c r="F752" s="89">
        <f>IF(F751="","",IF(T_FAN4=20,1.2922*VN_FAN4*(T_FAN4-20)/1000,((1.297+0.0000575*T_FAN4+0.0000000806*T_FAN4^2-0.0000000000286*T_FAN4^3)*T_FAN4-(1.297+0.0000575*20+0.0000000806*20^2-0.0000000000286*20^3)*20)/(T_FAN4-20))*VN_FAN4*(T_FAN4-20)/1000)</f>
        <v>499.56246450596302</v>
      </c>
      <c r="G752" s="89">
        <f>IF(G751="","",IF(T_FAN5=20,1.2922*VN_FAN5*(T_FAN5-20)/1000,((1.297+0.0000575*T_FAN5+0.0000000806*T_FAN5^2-0.0000000000286*T_FAN5^3)*T_FAN5-(1.297+0.0000575*20+0.0000000806*20^2-0.0000000000286*20^3)*20)/(T_FAN5-20))*VN_FAN5*(T_FAN5-20)/1000)</f>
        <v>520.66781299062075</v>
      </c>
      <c r="H752" s="89">
        <f>IF(H751="","",IF(T_FAN6=20,1.2922*VN_FAN6*(T_FAN6-20)/1000,((1.297+0.0000575*T_FAN6+0.0000000806*T_FAN6^2-0.0000000000286*T_FAN6^3)*T_FAN6-(1.297+0.0000575*20+0.0000000806*20^2-0.0000000000286*20^3)*20)/(T_FAN6-20))*VN_FAN6*(T_FAN6-20)/1000)</f>
        <v>487.05607483677682</v>
      </c>
      <c r="I752" s="89">
        <f>IF(I751="","",IF(T_FAN7=20,1.2922*VN_FAN7*(T_FAN7-20)/1000,((1.297+0.0000575*T_FAN7+0.0000000806*T_FAN7^2-0.0000000000286*T_FAN7^3)*T_FAN7-(1.297+0.0000575*20+0.0000000806*20^2-0.0000000000286*20^3)*20)/(T_FAN7-20))*VN_FAN7*(T_FAN7-20)/1000)</f>
        <v>363.21809479927089</v>
      </c>
      <c r="J752" s="89">
        <f>IF(J751="","",IF(T_FAN8=20,1.2922*VN_FAN8*(T_FAN8-20)/1000,((1.297+0.0000575*T_FAN8+0.0000000806*T_FAN8^2-0.0000000000286*T_FAN8^3)*T_FAN8-(1.297+0.0000575*20+0.0000000806*20^2-0.0000000000286*20^3)*20)/(T_FAN8-20))*VN_FAN8*(T_FAN8-20)/1000)</f>
        <v>335.34021973260099</v>
      </c>
      <c r="K752" s="3"/>
      <c r="L752" s="3"/>
    </row>
    <row r="753" spans="2:23" ht="12.75" customHeight="1" outlineLevel="3">
      <c r="B753" s="1109" t="str">
        <f>HBL!$AA$1591</f>
        <v>Fan</v>
      </c>
      <c r="C753" s="1110">
        <v>9</v>
      </c>
      <c r="D753" s="1110">
        <v>10</v>
      </c>
      <c r="E753" s="1110">
        <v>11</v>
      </c>
      <c r="F753" s="1110">
        <v>12</v>
      </c>
      <c r="G753" s="1111">
        <v>13</v>
      </c>
      <c r="H753" s="1112"/>
      <c r="I753" s="1110"/>
      <c r="J753" s="1110"/>
      <c r="K753" s="3"/>
      <c r="L753" s="3"/>
    </row>
    <row r="754" spans="2:23" ht="12.75" customHeight="1" outlineLevel="3">
      <c r="B754" s="78" t="s">
        <v>473</v>
      </c>
      <c r="C754" s="89">
        <f>IF(T_FAN9=0,"",T_FAN9)</f>
        <v>30</v>
      </c>
      <c r="D754" s="89">
        <f>IF(T_FAN10=0,"",T_FAN10)</f>
        <v>30</v>
      </c>
      <c r="E754" s="89" t="str">
        <f>IF(T_FAN11=0,"",T_FAN11)</f>
        <v/>
      </c>
      <c r="F754" s="89" t="str">
        <f>IF(T_FAN12=0,"",T_FAN12)</f>
        <v/>
      </c>
      <c r="G754" s="89" t="str">
        <f>IF(T_FAN13=0,"",T_FAN13)</f>
        <v/>
      </c>
      <c r="H754" s="198"/>
      <c r="I754" s="89"/>
      <c r="J754" s="89"/>
      <c r="K754" s="3"/>
      <c r="L754" s="3"/>
    </row>
    <row r="755" spans="2:23" ht="12.75" customHeight="1" outlineLevel="3">
      <c r="B755" s="78" t="s">
        <v>474</v>
      </c>
      <c r="C755" s="338">
        <f>IF(VN_FAN9="","",VN_FAN9)</f>
        <v>25079.240363830693</v>
      </c>
      <c r="D755" s="338">
        <f>IF(VN_FAN10="","",VN_FAN10)</f>
        <v>28508.222951895837</v>
      </c>
      <c r="E755" s="338" t="str">
        <f>IF(VN_FAN11="","",VN_FAN11)</f>
        <v/>
      </c>
      <c r="F755" s="338" t="str">
        <f>IF(VN_FAN12="","",VN_FAN12)</f>
        <v/>
      </c>
      <c r="G755" s="338" t="str">
        <f>IF(VN_FAN13="","",VN_FAN13)</f>
        <v/>
      </c>
      <c r="H755" s="339"/>
      <c r="I755" s="338"/>
      <c r="J755" s="338"/>
      <c r="K755" s="3"/>
      <c r="L755" s="3"/>
    </row>
    <row r="756" spans="2:23" ht="12.75" customHeight="1" outlineLevel="3">
      <c r="B756" s="32" t="s">
        <v>486</v>
      </c>
      <c r="C756" s="199">
        <f>IF(C755="","",IF(T_FAN9=20,1.2922*VN_FAN9*(T_FAN9-20)/1000,((1.297+0.0000575*T_FAN9+0.0000000806*T_FAN9^2-0.0000000000286*T_FAN9^3)*T_FAN9-(1.297+0.0000575*20+0.0000000806*20^2-0.0000000000286*20^3)*20)/(T_FAN9-20))*VN_FAN9*(T_FAN9-20)/1000)</f>
        <v>326.03671580495904</v>
      </c>
      <c r="D756" s="199">
        <f>IF(D755="","",IF(T_FAN1=20,1.2922*VN_FAN10*(T_FAN10-20)/1000,((1.297+0.0000575*T_FAN10+0.0000000806*T_FAN10^2-0.0000000000286*T_FAN10^3)*T_FAN10-(1.297+0.0000575*20+0.0000000806*20^2-0.0000000000286*20^3)*20)/(T_FAN10-20))*VN_FAN10*(T_FAN10-20)/1000)</f>
        <v>370.61439062071992</v>
      </c>
      <c r="E756" s="199" t="str">
        <f>IF(E755="","",IF(T_FAN1=20,1.2922*VN_FAN11*(T_FAN11-20)/1000,((1.297+0.0000575*T_FAN11+0.0000000806*T_FAN11^2-0.0000000000286*T_FAN11^3)*T_FAN11-(1.297+0.0000575*20+0.0000000806*20^2-0.0000000000286*20^3)*20)/(T_FAN11-20))*VN_FAN11*(T_FAN11-20)/1000)</f>
        <v/>
      </c>
      <c r="F756" s="199" t="str">
        <f>IF(F755="","",IF(T_FAN1=20,1.2922*VN_FAN12*(T_FAN12-20)/1000,((1.297+0.0000575*T_FAN12+0.0000000806*T_FAN12^2-0.0000000000286*T_FAN12^3)*T_FAN12-(1.297+0.0000575*20+0.0000000806*20^2-0.0000000000286*20^3)*20)/(T_FAN12-20))*VN_FAN12*(T_FAN12-20)/1000)</f>
        <v/>
      </c>
      <c r="G756" s="199" t="str">
        <f>IF(G755="","",IF(T_FAN1=20,1.2922*VN_FAN13*(T_FAN13-20)/1000,((1.297+0.0000575*T_FAN13+0.0000000806*T_FAN13^2-0.0000000000286*T_FAN13^3)*T_FAN13-(1.297+0.0000575*20+0.0000000806*20^2-0.0000000000286*20^3)*20)/(T_FAN13-20))*VN_FAN13*(T_FAN13-20)/1000)</f>
        <v/>
      </c>
      <c r="H756" s="200"/>
      <c r="I756" s="199"/>
      <c r="J756" s="199"/>
      <c r="K756" s="3"/>
      <c r="L756" s="3"/>
    </row>
    <row r="757" spans="2:23" ht="12.75" customHeight="1" outlineLevel="3">
      <c r="B757" s="3"/>
      <c r="C757" s="22"/>
      <c r="D757" s="22"/>
      <c r="E757" s="22"/>
      <c r="F757" s="22"/>
      <c r="G757" s="22"/>
      <c r="H757" s="158"/>
      <c r="I757" s="22"/>
      <c r="J757" s="22"/>
      <c r="K757" s="3"/>
      <c r="L757" s="3"/>
    </row>
    <row r="758" spans="2:23" ht="12.75" customHeight="1" outlineLevel="3" thickBo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2:23" ht="12.75" customHeight="1" outlineLevel="3" thickBot="1">
      <c r="B759" s="3" t="str">
        <f>HBL!$AA$1618</f>
        <v>Heat input from cooling air</v>
      </c>
      <c r="C759" s="3"/>
      <c r="D759" s="3"/>
      <c r="E759" s="3"/>
      <c r="F759" s="3"/>
      <c r="G759" s="337">
        <f>IF(VN_COOLAIR="","",IF(Cooler=2,IF(TAMB=20,VN_COOLAIR*1.299,VN_COOLAIR*((1.297+0.0000575*TAMB+0.0000000806*TAMB^2-0.0000000000286*TAMB^3)*TAMB-(1.297+0.0000575*20+0.0000000806*20^2-0.0000000000286*20^3)*20)/(TAMB-20)*(TAMB-20)/1000),SUM(C752:J752)+SUM(C756:G756)))</f>
        <v>4331.9117365560669</v>
      </c>
      <c r="H759" s="158" t="s">
        <v>501</v>
      </c>
      <c r="I759" s="1059">
        <f>IF(G759="","",G759/M_CLI)</f>
        <v>25.800546376152869</v>
      </c>
      <c r="J759" s="9" t="s">
        <v>443</v>
      </c>
      <c r="K759" s="3"/>
      <c r="L759" s="3"/>
    </row>
    <row r="760" spans="2:23" ht="12.75" customHeight="1" outlineLevel="3" thickTop="1">
      <c r="B760" s="3"/>
      <c r="C760" s="3"/>
      <c r="D760" s="3"/>
      <c r="E760" s="3"/>
      <c r="F760" s="3"/>
      <c r="G760" s="188"/>
      <c r="H760" s="9"/>
      <c r="I760" s="34"/>
      <c r="J760" s="3"/>
      <c r="K760" s="3"/>
      <c r="L760" s="3"/>
    </row>
    <row r="761" spans="2:23" ht="12.75" customHeight="1" outlineLevel="3">
      <c r="B761" s="408" t="str">
        <f>HBL!$AA$1341</f>
        <v>SENSIBLE HEAT OF INJECTED WATER</v>
      </c>
      <c r="C761" s="388"/>
      <c r="D761" s="388"/>
      <c r="E761" s="388"/>
      <c r="F761" s="388"/>
      <c r="G761" s="388"/>
      <c r="H761" s="388"/>
      <c r="I761" s="388"/>
      <c r="J761" s="388"/>
      <c r="K761" s="3"/>
      <c r="L761" s="3"/>
      <c r="W761" s="384"/>
    </row>
    <row r="762" spans="2:23" ht="12.75" customHeight="1" outlineLevel="3">
      <c r="B762" s="18"/>
      <c r="C762" s="388"/>
      <c r="D762" s="388"/>
      <c r="E762" s="388"/>
      <c r="F762" s="388"/>
      <c r="G762" s="388"/>
      <c r="H762" s="388"/>
      <c r="I762" s="388"/>
      <c r="J762" s="388"/>
      <c r="K762" s="3"/>
      <c r="L762" s="3"/>
      <c r="W762" s="384"/>
    </row>
    <row r="763" spans="2:23" ht="12.75" customHeight="1" outlineLevel="3">
      <c r="B763" s="192" t="str">
        <f>HBL!$AA$1601</f>
        <v>Flowrate</v>
      </c>
      <c r="C763" s="388"/>
      <c r="D763" s="388"/>
      <c r="E763" s="388"/>
      <c r="F763" s="388"/>
      <c r="G763" s="393">
        <f>IF(M_H2OCOOLER="","",M_H2OCOOLER)</f>
        <v>0</v>
      </c>
      <c r="H763" s="388" t="s">
        <v>502</v>
      </c>
      <c r="I763" s="388"/>
      <c r="J763" s="388"/>
      <c r="K763" s="3"/>
      <c r="L763" s="3"/>
      <c r="W763" s="384"/>
    </row>
    <row r="764" spans="2:23" ht="12.75" customHeight="1" outlineLevel="3">
      <c r="B764" s="192" t="str">
        <f>HBL!$AA$1564</f>
        <v>Temperature</v>
      </c>
      <c r="C764" s="388"/>
      <c r="D764" s="388"/>
      <c r="E764" s="388"/>
      <c r="F764" s="388"/>
      <c r="G764" s="388" t="str">
        <f>IF(T_H2OCOOLER="","",T_H2OCOOLER)</f>
        <v/>
      </c>
      <c r="H764" s="388" t="s">
        <v>425</v>
      </c>
      <c r="I764" s="388"/>
      <c r="J764" s="388"/>
      <c r="K764" s="3"/>
      <c r="L764" s="3"/>
      <c r="W764" s="384"/>
    </row>
    <row r="765" spans="2:23" ht="12.75" customHeight="1" outlineLevel="3">
      <c r="B765" s="192" t="str">
        <f>HBL!$AA$1542</f>
        <v>Specific heat capacity</v>
      </c>
      <c r="C765" s="388"/>
      <c r="D765" s="388"/>
      <c r="E765" s="388"/>
      <c r="F765" s="388"/>
      <c r="G765" s="394" t="str">
        <f>IF(CP_H2OCOOLER="","",CP_H2OCOOLER)</f>
        <v/>
      </c>
      <c r="H765" s="395" t="s">
        <v>429</v>
      </c>
      <c r="I765" s="388"/>
      <c r="J765" s="388"/>
      <c r="K765" s="3"/>
      <c r="L765" s="3"/>
      <c r="W765" s="384"/>
    </row>
    <row r="766" spans="2:23" ht="12.75" customHeight="1" outlineLevel="3" thickBot="1">
      <c r="B766" s="388"/>
      <c r="C766" s="388"/>
      <c r="D766" s="388"/>
      <c r="E766" s="388"/>
      <c r="F766" s="388"/>
      <c r="G766" s="388"/>
      <c r="H766" s="388"/>
      <c r="I766" s="388"/>
      <c r="J766" s="388"/>
      <c r="K766" s="3"/>
      <c r="L766" s="3"/>
      <c r="W766" s="384"/>
    </row>
    <row r="767" spans="2:23" ht="12.75" customHeight="1" outlineLevel="3" thickBot="1">
      <c r="B767" s="192" t="str">
        <f>HBL!$AA$1619</f>
        <v>Heat input from injected water</v>
      </c>
      <c r="C767" s="388"/>
      <c r="D767" s="388"/>
      <c r="E767" s="388"/>
      <c r="F767" s="388"/>
      <c r="G767" s="396" t="str">
        <f>IF(ISERR(M_H2OCOOLER*CP_H2OCOOLER*(T_H2OCOOLER-20)),"",M_H2OCOOLER*CP_H2OCOOLER*(T_H2OCOOLER-20)/1000)</f>
        <v/>
      </c>
      <c r="H767" s="392" t="s">
        <v>501</v>
      </c>
      <c r="I767" s="1060" t="str">
        <f>IF(G767="","",G767/M_CLI)</f>
        <v/>
      </c>
      <c r="J767" s="386" t="s">
        <v>503</v>
      </c>
      <c r="K767" s="3"/>
      <c r="L767" s="3"/>
      <c r="W767" s="384"/>
    </row>
    <row r="768" spans="2:23" ht="12.75" customHeight="1" outlineLevel="3" thickTop="1">
      <c r="B768" s="388"/>
      <c r="C768" s="388"/>
      <c r="D768" s="388"/>
      <c r="E768" s="388"/>
      <c r="F768" s="388"/>
      <c r="G768" s="388"/>
      <c r="H768" s="388"/>
      <c r="I768" s="388"/>
      <c r="J768" s="388"/>
      <c r="K768" s="3"/>
      <c r="L768" s="3"/>
      <c r="W768" s="384"/>
    </row>
    <row r="769" spans="1:12" ht="12.75" customHeight="1" outlineLevel="2">
      <c r="B769" s="3"/>
      <c r="C769" s="3"/>
      <c r="D769" s="3"/>
      <c r="E769" s="3"/>
      <c r="F769" s="3"/>
      <c r="G769" s="188"/>
      <c r="H769" s="9"/>
      <c r="I769" s="34"/>
      <c r="J769" s="3"/>
      <c r="K769" s="3"/>
      <c r="L769" s="3"/>
    </row>
    <row r="770" spans="1:12" ht="12.75" customHeight="1" outlineLevel="2">
      <c r="A770" s="1073">
        <v>25</v>
      </c>
      <c r="B770" s="1071" t="str">
        <f>HBL!$AA$1652</f>
        <v>OTHER HEAT INPUT</v>
      </c>
      <c r="C770" s="906"/>
      <c r="D770" s="906"/>
      <c r="E770" s="917"/>
      <c r="F770" s="1072"/>
      <c r="G770" s="188"/>
      <c r="H770" s="9"/>
      <c r="I770" s="34"/>
      <c r="J770" s="3"/>
      <c r="K770" s="3"/>
      <c r="L770" s="3"/>
    </row>
    <row r="771" spans="1:12" ht="12.75" customHeight="1" outlineLevel="3">
      <c r="B771" s="3"/>
      <c r="C771" s="3"/>
      <c r="D771" s="3"/>
      <c r="E771" s="3"/>
      <c r="F771" s="3"/>
      <c r="G771" s="188"/>
      <c r="H771" s="9"/>
      <c r="I771" s="34"/>
      <c r="J771" s="3"/>
      <c r="K771" s="3"/>
      <c r="L771" s="3"/>
    </row>
    <row r="772" spans="1:12" ht="12.75" customHeight="1" outlineLevel="3">
      <c r="B772" s="3"/>
      <c r="C772" s="3"/>
      <c r="D772" s="3"/>
      <c r="E772" s="3"/>
      <c r="F772" s="3"/>
      <c r="G772" s="188"/>
      <c r="H772" s="9"/>
      <c r="I772" s="34"/>
      <c r="J772" s="3"/>
      <c r="K772" s="3"/>
      <c r="L772" s="3"/>
    </row>
    <row r="773" spans="1:12" ht="12.75" customHeight="1" outlineLevel="3">
      <c r="B773" s="3"/>
      <c r="C773" s="3"/>
      <c r="D773" s="3"/>
      <c r="E773" s="3"/>
      <c r="F773" s="3"/>
      <c r="G773" s="188"/>
      <c r="H773" s="9"/>
      <c r="I773" s="34"/>
      <c r="J773" s="3"/>
      <c r="K773" s="3"/>
      <c r="L773" s="3"/>
    </row>
    <row r="774" spans="1:12" ht="12.75" customHeight="1" outlineLevel="3" thickBot="1">
      <c r="B774" s="3"/>
      <c r="C774" s="3"/>
      <c r="D774" s="3"/>
      <c r="E774" s="3"/>
      <c r="F774" s="3"/>
      <c r="G774" s="188"/>
      <c r="H774" s="9"/>
      <c r="I774" s="34"/>
      <c r="J774" s="3"/>
      <c r="K774" s="3"/>
      <c r="L774" s="3"/>
    </row>
    <row r="775" spans="1:12" ht="12.75" customHeight="1" outlineLevel="3" thickBot="1">
      <c r="B775" s="3"/>
      <c r="C775" s="3"/>
      <c r="D775" s="3"/>
      <c r="E775" s="3"/>
      <c r="F775" s="3"/>
      <c r="G775" s="190"/>
      <c r="H775" s="158" t="s">
        <v>501</v>
      </c>
      <c r="I775" s="1059"/>
      <c r="J775" s="9" t="s">
        <v>443</v>
      </c>
      <c r="K775" s="3"/>
      <c r="L775" s="3"/>
    </row>
    <row r="776" spans="1:12" ht="12.75" customHeight="1" outlineLevel="2" thickTop="1">
      <c r="B776" s="3"/>
      <c r="C776" s="3"/>
      <c r="D776" s="3"/>
      <c r="E776" s="3"/>
      <c r="F776" s="3"/>
      <c r="G776" s="188"/>
      <c r="H776" s="9"/>
      <c r="I776" s="34"/>
      <c r="J776" s="3"/>
      <c r="K776" s="3"/>
    </row>
    <row r="777" spans="1:12" ht="12.75" customHeight="1" outlineLevel="1">
      <c r="B777" s="3"/>
      <c r="C777" s="3"/>
      <c r="D777" s="3"/>
      <c r="E777" s="3"/>
      <c r="F777" s="3"/>
      <c r="G777" s="188"/>
      <c r="H777" s="9"/>
      <c r="I777" s="34"/>
      <c r="J777" s="3"/>
      <c r="K777" s="3"/>
    </row>
    <row r="778" spans="1:12" ht="12.75" customHeight="1" outlineLevel="1">
      <c r="B778" s="3"/>
      <c r="C778" s="3"/>
      <c r="D778" s="3"/>
      <c r="E778" s="3"/>
      <c r="F778" s="3"/>
      <c r="G778" s="188"/>
      <c r="H778" s="9"/>
      <c r="I778" s="34"/>
      <c r="J778" s="3"/>
      <c r="K778" s="3"/>
    </row>
    <row r="779" spans="1:12" ht="12.75" customHeight="1" outlineLevel="1" collapsed="1">
      <c r="B779" s="3"/>
      <c r="C779" s="3"/>
      <c r="D779" s="3"/>
      <c r="E779" s="3"/>
      <c r="F779" s="3"/>
      <c r="G779" s="188"/>
      <c r="H779" s="9"/>
      <c r="I779" s="34"/>
      <c r="J779" s="3"/>
      <c r="K779" s="3"/>
    </row>
    <row r="780" spans="1:12" ht="12.75" customHeight="1" outlineLevel="1">
      <c r="B780" s="913" t="str">
        <f>HBL!$AA$1610</f>
        <v>HEAT OUTPUT</v>
      </c>
      <c r="C780" s="913"/>
      <c r="D780" s="913"/>
      <c r="E780" s="913"/>
      <c r="F780" s="913"/>
      <c r="G780" s="913"/>
      <c r="H780" s="913"/>
      <c r="I780" s="913"/>
      <c r="J780" s="913"/>
      <c r="K780" s="1016"/>
    </row>
    <row r="781" spans="1:12" ht="12.75" customHeight="1" outlineLevel="2"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2" ht="12.75" customHeight="1" outlineLevel="2"/>
    <row r="783" spans="1:12" ht="12.75" customHeight="1" outlineLevel="2">
      <c r="A783" s="1073">
        <v>31</v>
      </c>
      <c r="B783" s="1071" t="str">
        <f>HBL!$AA$1433</f>
        <v>HEAT OF FORMATION</v>
      </c>
      <c r="C783" s="906"/>
      <c r="D783" s="906"/>
      <c r="E783" s="917"/>
      <c r="F783" s="1072"/>
    </row>
    <row r="784" spans="1:12" ht="12.75" customHeight="1" outlineLevel="3" thickBot="1"/>
    <row r="785" spans="1:23" ht="12.75" customHeight="1" outlineLevel="3" thickBot="1">
      <c r="B785" s="38" t="str">
        <f>HBL!$AA$1432</f>
        <v>Heat of formation</v>
      </c>
      <c r="G785" s="336">
        <f>IF(QOUT_CLIFORM="","",QOUT_CLIFORM*M_CLI)</f>
        <v>293825</v>
      </c>
      <c r="H785" s="41" t="s">
        <v>501</v>
      </c>
      <c r="I785" s="1061">
        <f>IF(QOUT_CLIFORM="","",QOUT_CLIFORM)</f>
        <v>1750</v>
      </c>
      <c r="J785" s="41" t="s">
        <v>443</v>
      </c>
    </row>
    <row r="786" spans="1:23" ht="12.75" customHeight="1" outlineLevel="3" thickTop="1">
      <c r="G786" s="202"/>
      <c r="H786" s="38"/>
      <c r="I786" s="203"/>
      <c r="J786" s="203"/>
    </row>
    <row r="787" spans="1:23" ht="12.75" customHeight="1" outlineLevel="2"/>
    <row r="788" spans="1:23" ht="12.75" customHeight="1" outlineLevel="2">
      <c r="A788" s="1073">
        <v>32</v>
      </c>
      <c r="B788" s="1071" t="str">
        <f>HBL!$AA$1649</f>
        <v>WATER EVAPORATION</v>
      </c>
      <c r="C788" s="906"/>
      <c r="D788" s="906"/>
      <c r="E788" s="917"/>
      <c r="F788" s="1072"/>
    </row>
    <row r="789" spans="1:23" ht="12.75" customHeight="1" outlineLevel="3">
      <c r="B789" s="5"/>
    </row>
    <row r="790" spans="1:23" ht="12.75" customHeight="1" outlineLevel="3">
      <c r="B790" s="38" t="str">
        <f>HBL!$AA$1482</f>
        <v>Kiln feed</v>
      </c>
      <c r="E790" s="38" t="str">
        <f>HBL!$AA$1457</f>
        <v>Massflow</v>
      </c>
      <c r="G790" s="205">
        <f>M_FEED</f>
        <v>265</v>
      </c>
      <c r="H790" s="41" t="s">
        <v>493</v>
      </c>
    </row>
    <row r="791" spans="1:23" ht="12.75" customHeight="1" outlineLevel="3">
      <c r="E791" s="38" t="str">
        <f>HBL!$AA$1357</f>
        <v>Moisture content</v>
      </c>
      <c r="G791" s="206">
        <f>IF(H2O_FEED="","",H2O_FEED)</f>
        <v>0.3</v>
      </c>
      <c r="H791" s="41" t="s">
        <v>423</v>
      </c>
      <c r="I791" s="205">
        <f>IF(M_FEED="","",M_FEED*H2O_FEED/100)</f>
        <v>0.79500000000000004</v>
      </c>
      <c r="J791" s="41" t="s">
        <v>504</v>
      </c>
    </row>
    <row r="792" spans="1:23" ht="12.75" customHeight="1" outlineLevel="3" thickBot="1">
      <c r="D792" s="38"/>
      <c r="F792" s="207"/>
      <c r="G792" s="38"/>
      <c r="H792" s="208"/>
      <c r="I792" s="41"/>
    </row>
    <row r="793" spans="1:23" ht="12.75" customHeight="1" outlineLevel="3" thickBot="1">
      <c r="B793" s="1" t="str">
        <f>HBL!$AA$1631</f>
        <v>Heat output from kiln feed water evaporation</v>
      </c>
      <c r="D793" s="38"/>
      <c r="F793" s="207"/>
      <c r="G793" s="335">
        <f>IF(M_FEED="","",I791*2450)</f>
        <v>1947.75</v>
      </c>
      <c r="H793" s="5" t="s">
        <v>501</v>
      </c>
      <c r="I793" s="1062">
        <f>IF(G793="","",G793/M_CLI)</f>
        <v>11.600655151876117</v>
      </c>
      <c r="J793" s="5" t="s">
        <v>443</v>
      </c>
    </row>
    <row r="794" spans="1:23" ht="12.75" customHeight="1" outlineLevel="3" thickTop="1">
      <c r="D794" s="38"/>
      <c r="F794" s="207"/>
      <c r="G794" s="399"/>
      <c r="H794" s="5"/>
      <c r="I794" s="209"/>
      <c r="J794" s="5"/>
    </row>
    <row r="795" spans="1:23" ht="12.75" customHeight="1" outlineLevel="3" thickBot="1">
      <c r="B795" t="str">
        <f>AA1655</f>
        <v>Water injection into preheater tower</v>
      </c>
      <c r="D795" s="38"/>
      <c r="F795" s="207"/>
      <c r="G795" s="204" t="str">
        <f>IF(H2O_PREHEATER="","",H2O_PREHEATER)</f>
        <v/>
      </c>
      <c r="H795" s="363" t="s">
        <v>493</v>
      </c>
      <c r="I795" s="209"/>
      <c r="J795" s="5"/>
    </row>
    <row r="796" spans="1:23" ht="12.75" customHeight="1" outlineLevel="3" thickBot="1">
      <c r="B796" t="str">
        <f>AA1656</f>
        <v>Heat comsumption for water evaporation</v>
      </c>
      <c r="D796" s="38"/>
      <c r="F796" s="207"/>
      <c r="G796" s="223" t="str">
        <f>IF(H2O_PREHEATER="","",H2O_PREHEATER*2450)</f>
        <v/>
      </c>
      <c r="H796" s="363" t="s">
        <v>501</v>
      </c>
      <c r="I796" s="1062" t="str">
        <f>IF(G796="","",G796/M_CLI)</f>
        <v/>
      </c>
      <c r="J796" s="363" t="s">
        <v>442</v>
      </c>
    </row>
    <row r="797" spans="1:23" ht="12.75" customHeight="1" outlineLevel="3" thickTop="1">
      <c r="D797" s="38"/>
      <c r="F797" s="207"/>
      <c r="G797" s="399"/>
      <c r="H797" s="5"/>
      <c r="I797" s="209"/>
      <c r="J797" s="5"/>
    </row>
    <row r="798" spans="1:23" ht="12.75" customHeight="1" outlineLevel="3" thickBot="1">
      <c r="B798" s="1" t="str">
        <f>HBL!$AA$1648</f>
        <v>Water injection into cooler</v>
      </c>
      <c r="D798" s="38"/>
      <c r="E798" s="401"/>
      <c r="F798" s="207"/>
      <c r="G798" s="204">
        <f>IF(M_H2OCOOLER="","",M_H2OCOOLER/1000)</f>
        <v>0</v>
      </c>
      <c r="H798" s="208" t="s">
        <v>493</v>
      </c>
      <c r="I798" s="41"/>
      <c r="J798"/>
      <c r="W798" s="384"/>
    </row>
    <row r="799" spans="1:23" ht="12.75" customHeight="1" outlineLevel="3" thickBot="1">
      <c r="B799" s="1" t="str">
        <f>HBL!$AA$1641</f>
        <v>Heat loss from water evaporation in cooler</v>
      </c>
      <c r="D799" s="38"/>
      <c r="E799" s="38"/>
      <c r="F799" s="207"/>
      <c r="G799" s="223">
        <f>IF(M_H2OCOOLER="","",M_H2OCOOLER*2450/1000)</f>
        <v>0</v>
      </c>
      <c r="H799" s="5" t="s">
        <v>501</v>
      </c>
      <c r="I799" s="1062">
        <f>IF(G799="","",G799/M_CLI)</f>
        <v>0</v>
      </c>
      <c r="J799" s="5" t="s">
        <v>443</v>
      </c>
      <c r="W799" s="384"/>
    </row>
    <row r="800" spans="1:23" ht="12.75" customHeight="1" outlineLevel="3" thickTop="1">
      <c r="D800" s="38"/>
      <c r="E800" s="38"/>
      <c r="F800" s="207"/>
      <c r="G800" s="400"/>
      <c r="H800" s="5"/>
      <c r="I800" s="209"/>
      <c r="J800" s="5"/>
      <c r="W800" s="384"/>
    </row>
    <row r="801" spans="1:23" ht="12.75" customHeight="1" outlineLevel="2">
      <c r="D801" s="38"/>
      <c r="E801" s="38"/>
      <c r="F801" s="207"/>
      <c r="G801" s="326"/>
      <c r="H801" s="5"/>
      <c r="I801" s="209"/>
      <c r="J801" s="5"/>
      <c r="W801" s="384"/>
    </row>
    <row r="802" spans="1:23" ht="12.75" customHeight="1" outlineLevel="2">
      <c r="A802" s="1073">
        <v>33</v>
      </c>
      <c r="B802" s="1071" t="str">
        <f>HBL!$AA$1480</f>
        <v>PREHEATER EXHAUST GASES (kiln string)</v>
      </c>
      <c r="C802" s="906"/>
      <c r="D802" s="906"/>
      <c r="E802" s="917"/>
      <c r="F802" s="1072"/>
    </row>
    <row r="803" spans="1:23" ht="12.75" customHeight="1" outlineLevel="3">
      <c r="F803" s="39"/>
      <c r="G803" s="326"/>
      <c r="I803" s="51"/>
    </row>
    <row r="804" spans="1:23" ht="12.75" customHeight="1" outlineLevel="3">
      <c r="B804" s="210" t="str">
        <f>HBL!$AA$1339</f>
        <v>SENSIBLE HEAT KILN EXHAUST GASES</v>
      </c>
      <c r="F804" s="39"/>
      <c r="I804" s="51"/>
    </row>
    <row r="805" spans="1:23" ht="12.75" customHeight="1" outlineLevel="3">
      <c r="B805" s="69" t="str">
        <f>HBL!$AA$1595</f>
        <v>Combustion gas (wet)</v>
      </c>
      <c r="F805" s="211"/>
      <c r="G805" s="326">
        <f>IF(SUM(E410:J410)=0,"", IF(PRECAL&lt;5, SUM(SUM($E$410:$J$410),M_CLI*Q_ORGMATTER*0.28), SUM(SUM($E$404:$J$404),SUM(E406:J406),M_CLI*Q_ORGMATTER*0.28*(100-FEED_CALCINER)/100)))</f>
        <v>158563.82209999999</v>
      </c>
      <c r="H805" s="68" t="s">
        <v>458</v>
      </c>
      <c r="I805" s="403">
        <f t="shared" ref="I805:I812" si="9">IF(G805="","",G805/(M_CLI*1000))</f>
        <v>0.94439441393686707</v>
      </c>
      <c r="J805" s="68" t="s">
        <v>505</v>
      </c>
    </row>
    <row r="806" spans="1:23" ht="12.75" customHeight="1" outlineLevel="3">
      <c r="B806" s="68" t="str">
        <f>HBL!$AA$1364</f>
        <v>Gas from raw meal CO2 + H2Ohyd</v>
      </c>
      <c r="F806" s="212"/>
      <c r="G806" s="326">
        <f>IF(M_CLI="","",IF(PRECAL&lt;5, 0.28*M_CLI*1000, M_CLI*1000*((100-FEED_CALCINER)/100*0.01+0.1*0.27)))</f>
        <v>47012.000000000007</v>
      </c>
      <c r="H806" s="68" t="s">
        <v>458</v>
      </c>
      <c r="I806" s="403">
        <f t="shared" si="9"/>
        <v>0.28000000000000003</v>
      </c>
      <c r="J806" s="68" t="s">
        <v>505</v>
      </c>
    </row>
    <row r="807" spans="1:23" ht="12.75" customHeight="1" outlineLevel="3">
      <c r="B807" s="68" t="str">
        <f>HBL!$AA$1380</f>
        <v>H2O kiln feed</v>
      </c>
      <c r="D807"/>
      <c r="E807" s="31">
        <f>IF(M_H2OFEED="","",IF(PRECAL&lt;5, M_H2OFEED, M_H2OFEED*(100-FEED_CALCINER)/100))</f>
        <v>0.79500000000000004</v>
      </c>
      <c r="F807" s="5" t="s">
        <v>504</v>
      </c>
      <c r="G807" s="326">
        <f>IF(M_H2OFEED="","",IF(PRECAL&lt;5, M_H2OFEED*1000*1.24, M_H2OFEED*1000*(100-FEED_CALCINER)/100))</f>
        <v>985.8</v>
      </c>
      <c r="H807" s="68" t="s">
        <v>458</v>
      </c>
      <c r="I807" s="403">
        <f t="shared" si="9"/>
        <v>5.8713519952352591E-3</v>
      </c>
      <c r="J807" s="68" t="s">
        <v>505</v>
      </c>
    </row>
    <row r="808" spans="1:23" ht="12.75" customHeight="1" outlineLevel="3">
      <c r="B808" s="68" t="str">
        <f>HBL!$AA$1379</f>
        <v>H2O fuel/coal mill</v>
      </c>
      <c r="C808" s="326"/>
      <c r="D808" s="205" t="str">
        <f>IF(H2OVAPOR_COALMILL="",IF(SUM(E399:J399)=0,"",SUM(E399:J399)),SUM(E399:J399)+H2OVAPOR_COALMILL/(1000*1.24))</f>
        <v/>
      </c>
      <c r="E808" s="205">
        <f>IF(M_CLI="", "", IF(AND(PRECAL&lt;5, H2OVAPOR_COALMILL=""), SUM(E399:J400), IF(AND(PRECAL=5, H2OVAPOR_COALMILL=""),SUM(E399:J399), IF(AND(PRECAL&lt;5, H2OVAPOR_COALMILL&gt;0), SUM(E399:J400)+H2OVAPOR_COALMILL/1000*1.24, SUM(E399:J399)+H2OVAPOR_COALMILL/(1000*1.24)))))</f>
        <v>0</v>
      </c>
      <c r="F808" s="5" t="s">
        <v>504</v>
      </c>
      <c r="G808" s="326">
        <f>IF(M_H2OFUEL="","",M_H2OFUEL*1000*1.24)</f>
        <v>0</v>
      </c>
      <c r="H808" s="68" t="s">
        <v>458</v>
      </c>
      <c r="I808" s="403">
        <f t="shared" si="9"/>
        <v>0</v>
      </c>
      <c r="J808" s="68" t="s">
        <v>505</v>
      </c>
    </row>
    <row r="809" spans="1:23" ht="12.75" customHeight="1" outlineLevel="3">
      <c r="B809" s="68" t="str">
        <f>HBL!$AA$1381</f>
        <v>H2O air humidity</v>
      </c>
      <c r="D809"/>
      <c r="E809" s="296">
        <f>IF(VN_H2OAIR="","",VN_H2OAIR/1.24/1000)</f>
        <v>1.7822812936826888</v>
      </c>
      <c r="F809" s="5" t="s">
        <v>504</v>
      </c>
      <c r="G809" s="326">
        <f>IF(SUM(E401:J401)=0,"", IF(PRECAL&lt;5, (SUM(SUM($E$401:$J$403),M_CLI*Q_ORGMATTER*0.26,VN_EXCESS))*ABSHUM, (SUM(SUM($E$401:$J$401),SUM(E402:J402),M_CLI*Q_ORGMATTER*0.26*(100-FEED_CALCINER)/100,VN_EXCESS))*ABSHUM))</f>
        <v>2210.028804166534</v>
      </c>
      <c r="H809" s="68" t="s">
        <v>458</v>
      </c>
      <c r="I809" s="403">
        <f t="shared" si="9"/>
        <v>1.3162768339288469E-2</v>
      </c>
      <c r="J809" s="68" t="s">
        <v>505</v>
      </c>
    </row>
    <row r="810" spans="1:23" ht="12.75" customHeight="1" outlineLevel="3">
      <c r="B810" s="69" t="str">
        <f>HBL!$AA$1680</f>
        <v>Excess and false air (dry)</v>
      </c>
      <c r="C810" s="213"/>
      <c r="D810"/>
      <c r="E810" s="1">
        <f>IF(O2_EXHAUST="","",O2_EXHAUST)</f>
        <v>3</v>
      </c>
      <c r="F810" s="69" t="str">
        <f>HBL!$AA$1677</f>
        <v>% O2 dry</v>
      </c>
      <c r="G810" s="330">
        <f>IF(Q_FUEL="","", VN_EXHAUSTCOMBCO2*O2_EXHAUST/(21-O2_EXHAUST))</f>
        <v>32412.836611499995</v>
      </c>
      <c r="H810" s="68" t="s">
        <v>458</v>
      </c>
      <c r="I810" s="403">
        <f t="shared" si="9"/>
        <v>0.19304846105717685</v>
      </c>
      <c r="J810" s="68" t="s">
        <v>505</v>
      </c>
    </row>
    <row r="811" spans="1:23" ht="12.75" customHeight="1" outlineLevel="3">
      <c r="B811" s="397" t="str">
        <f>HBL!$AA$1644</f>
        <v>Water vapor from cooler</v>
      </c>
      <c r="D811"/>
      <c r="E811" s="205" t="str">
        <f>IF(AND(ISNUMBER(M_H2OCOOLER), Cooler=2), M_H2OCOOLER/1000,"")</f>
        <v/>
      </c>
      <c r="F811" s="5" t="s">
        <v>504</v>
      </c>
      <c r="G811" s="205">
        <f>IF(AND(ISNUMBER(M_H2OCOOLER), Cooler=2), M_H2OCOOLER*1.24,)</f>
        <v>0</v>
      </c>
      <c r="H811" s="68" t="s">
        <v>458</v>
      </c>
      <c r="I811" s="403" t="str">
        <f>IF(G811=0,"",G811/(M_CLI*1000))</f>
        <v/>
      </c>
      <c r="J811" s="68" t="s">
        <v>505</v>
      </c>
    </row>
    <row r="812" spans="1:23" ht="12.75" customHeight="1" outlineLevel="3">
      <c r="B812" s="397" t="s">
        <v>1182</v>
      </c>
      <c r="D812"/>
      <c r="E812" s="204" t="str">
        <f>IF(H2O_PREHEATER="","",H2O_PREHEATER)</f>
        <v/>
      </c>
      <c r="F812" s="363" t="s">
        <v>504</v>
      </c>
      <c r="G812" s="438" t="str">
        <f>IF(E812="","",E812*1000*1.24)</f>
        <v/>
      </c>
      <c r="H812" s="397" t="s">
        <v>458</v>
      </c>
      <c r="I812" s="403" t="str">
        <f t="shared" si="9"/>
        <v/>
      </c>
      <c r="J812" s="397" t="s">
        <v>505</v>
      </c>
    </row>
    <row r="813" spans="1:23" ht="12.75" customHeight="1" outlineLevel="3">
      <c r="B813" s="3" t="str">
        <f>HBL!$AA$1280</f>
        <v>Bypass flowrate (wet)</v>
      </c>
      <c r="D813"/>
      <c r="E813" s="326"/>
      <c r="F813" s="5"/>
      <c r="G813" s="333" t="str">
        <f>IF(VN_BYPASS="","",-VN_BYPASS)</f>
        <v/>
      </c>
      <c r="H813" s="363" t="s">
        <v>458</v>
      </c>
      <c r="I813" s="403">
        <f>IF(M_CLI="","", IF(G813="", 0, G813/(M_CLI*1000)))</f>
        <v>0</v>
      </c>
      <c r="J813" s="68" t="s">
        <v>505</v>
      </c>
    </row>
    <row r="814" spans="1:23" ht="12.75" customHeight="1" outlineLevel="3" thickBot="1">
      <c r="E814" s="330"/>
      <c r="N814" s="330"/>
    </row>
    <row r="815" spans="1:23" ht="12.75" customHeight="1" outlineLevel="3" thickBot="1">
      <c r="B815" s="69" t="str">
        <f>HBL!$AA$1253</f>
        <v>Calculated total exhaust gas quantity (wet)</v>
      </c>
      <c r="F815" s="330"/>
      <c r="G815" s="326">
        <f>IF(SUM(VN_COMBUSTION:VN_H2OCOOLER)=0,"",SUM($G$805:$G$813))</f>
        <v>241184.48751566652</v>
      </c>
      <c r="H815" s="68" t="s">
        <v>458</v>
      </c>
      <c r="I815" s="1063">
        <f>IF(G815="","",G815/(M_CLI*1000))</f>
        <v>1.4364769953285677</v>
      </c>
      <c r="J815" s="68" t="s">
        <v>476</v>
      </c>
    </row>
    <row r="816" spans="1:23" ht="12.75" customHeight="1" outlineLevel="3">
      <c r="B816" s="69" t="str">
        <f>HBL!$AA$1254</f>
        <v>Calculated total exhaust gas quantity (dry)</v>
      </c>
      <c r="F816" s="330"/>
      <c r="G816" s="330">
        <f>IF(OR($G$817="", $G$810=""),"", SUM($G$817,$G$810))</f>
        <v>226889.85628050001</v>
      </c>
      <c r="H816" s="397" t="s">
        <v>458</v>
      </c>
      <c r="I816" s="403">
        <f>IF(G816="","",G816/(M_CLI*1000))</f>
        <v>1.3513392274002383</v>
      </c>
      <c r="J816" s="68" t="s">
        <v>476</v>
      </c>
    </row>
    <row r="817" spans="2:10" ht="12.75" customHeight="1" outlineLevel="3">
      <c r="B817" s="69" t="str">
        <f>HBL!$AA$1578</f>
        <v>dry exhaust gas from combustion and raw meal</v>
      </c>
      <c r="F817" s="330"/>
      <c r="G817" s="330">
        <f>IF(SUM(E411:J411)=0,"",IF(PRECAL&lt;5,
SUM(SUM($E$411:$J$411),M_CLI*Q_ORGMATTER*0.28,VN_RAWMEAL),
SUM(SUM($E$405:$J$405),SUM(E407:J407),M_CLI*Q_ORGMATTER*0.28*(100-FEED_CALCINER)/100,VN_RAWMEAL)))</f>
        <v>194477.019669</v>
      </c>
      <c r="H817" s="397" t="s">
        <v>458</v>
      </c>
      <c r="I817" s="403">
        <f>IF(G817="","",G817/(M_CLI*1000))</f>
        <v>1.1582907663430613</v>
      </c>
      <c r="J817" s="68" t="s">
        <v>476</v>
      </c>
    </row>
    <row r="818" spans="2:10" ht="12.75" customHeight="1" outlineLevel="3">
      <c r="B818" s="69" t="str">
        <f>HBL!$AA$1564</f>
        <v>Temperature</v>
      </c>
      <c r="E818" s="330"/>
      <c r="F818" s="211"/>
      <c r="G818" s="46">
        <f>IF(T_EXHAUST="","",T_EXHAUST)</f>
        <v>340</v>
      </c>
      <c r="H818" s="68" t="s">
        <v>425</v>
      </c>
    </row>
    <row r="819" spans="2:10" ht="12.75" customHeight="1" outlineLevel="3">
      <c r="B819" s="1" t="str">
        <f>HBL!$AA$1295</f>
        <v>cp gas</v>
      </c>
      <c r="E819" s="330"/>
      <c r="F819" s="212"/>
      <c r="G819" s="215">
        <f>IF(CP_EXHAUSTman="","", CP_EXHAUSTman)</f>
        <v>1.5009999999999999</v>
      </c>
      <c r="H819" s="68" t="s">
        <v>456</v>
      </c>
    </row>
    <row r="820" spans="2:10" ht="12.75" customHeight="1" outlineLevel="3" thickBot="1"/>
    <row r="821" spans="2:10" ht="12.75" customHeight="1" outlineLevel="3" thickBot="1">
      <c r="B821" s="68" t="str">
        <f>HBL!$AA$1342</f>
        <v>Sensible heat kiln exhaust gases</v>
      </c>
      <c r="F821" s="214"/>
      <c r="G821" s="327">
        <f>IF(VN_EXHAUSTWET="","",VN_EXHAUSTWET*CP_EXHAUSTman*(T_EXHAUST-20)/1000)</f>
        <v>115845.73304352493</v>
      </c>
      <c r="H821" s="68" t="s">
        <v>501</v>
      </c>
      <c r="I821" s="1062">
        <f>IF(G821="","",G821/M_CLI)</f>
        <v>689.96863039621758</v>
      </c>
      <c r="J821" s="68" t="s">
        <v>443</v>
      </c>
    </row>
    <row r="822" spans="2:10" ht="12.75" customHeight="1" outlineLevel="3" thickTop="1"/>
    <row r="823" spans="2:10" ht="12.75" customHeight="1" outlineLevel="3">
      <c r="B823" s="216" t="str">
        <f>HBL!$AA$1635</f>
        <v>HEAT LOSS DUE TO INCOMPLETE COMBUSTION</v>
      </c>
      <c r="C823" s="15"/>
      <c r="D823" s="15"/>
      <c r="E823" s="15"/>
      <c r="F823" s="217"/>
      <c r="G823" s="15"/>
    </row>
    <row r="824" spans="2:10" ht="12.75" customHeight="1" outlineLevel="3" thickBot="1">
      <c r="B824" s="69" t="str">
        <f>HBL!$AA$1290</f>
        <v>CO content in kiln exhaust gas</v>
      </c>
      <c r="F824" s="72"/>
      <c r="G824" s="334">
        <f>IF(CO_EXHAUST="","",CO_EXHAUST)</f>
        <v>700</v>
      </c>
      <c r="H824" s="413" t="s">
        <v>506</v>
      </c>
    </row>
    <row r="825" spans="2:10" ht="12.75" customHeight="1" outlineLevel="3" thickBot="1">
      <c r="B825" s="69" t="str">
        <f>HBL!$AA$1479</f>
        <v>Kiln exhaust gas flowrate (dry)</v>
      </c>
      <c r="F825" s="72"/>
      <c r="G825" s="297">
        <f>VN_EXHAUSTDRY</f>
        <v>226889.85628050001</v>
      </c>
      <c r="H825" s="68" t="s">
        <v>458</v>
      </c>
      <c r="I825" s="1062">
        <f>IF(G816="","",G816/(M_CLI*1000))</f>
        <v>1.3513392274002383</v>
      </c>
      <c r="J825" s="5" t="s">
        <v>476</v>
      </c>
    </row>
    <row r="826" spans="2:10" ht="12.75" customHeight="1" outlineLevel="3">
      <c r="B826" s="69" t="str">
        <f>HBL!$AA$1291</f>
        <v>CO flowrate</v>
      </c>
      <c r="F826" s="72"/>
      <c r="G826" s="71">
        <f>IF(VN_EXHAUSTDRY="","",VN_EXHAUSTDRY*CO_EXHAUST/10^6)</f>
        <v>158.82289939635001</v>
      </c>
      <c r="H826" s="68" t="s">
        <v>458</v>
      </c>
    </row>
    <row r="827" spans="2:10" ht="12.75" customHeight="1" outlineLevel="3">
      <c r="B827" s="69" t="str">
        <f>HBL!$AA$1589</f>
        <v>Low heat value for CO</v>
      </c>
      <c r="F827" s="72"/>
      <c r="G827" s="218">
        <f>IF(VN_COEXHAUST="","",12640)</f>
        <v>12640</v>
      </c>
      <c r="H827" s="68" t="s">
        <v>507</v>
      </c>
    </row>
    <row r="828" spans="2:10" ht="12.75" customHeight="1" outlineLevel="3" thickBot="1">
      <c r="F828" s="214"/>
      <c r="G828" s="46"/>
    </row>
    <row r="829" spans="2:10" ht="12.75" customHeight="1" outlineLevel="3" thickBot="1">
      <c r="B829" s="69" t="str">
        <f>HBL!$AA$1639</f>
        <v>Heat loss from incomplete combustion</v>
      </c>
      <c r="F829" s="214"/>
      <c r="G829" s="327">
        <f>IF(VN_COEXHAUST="","",VN_COEXHAUST*LHV_CO/10^3)</f>
        <v>2007.5214483698642</v>
      </c>
      <c r="H829" s="68" t="s">
        <v>501</v>
      </c>
      <c r="I829" s="1062">
        <f>IF(G829="","",G829/M_CLI)</f>
        <v>11.956649484037309</v>
      </c>
      <c r="J829" s="68" t="s">
        <v>443</v>
      </c>
    </row>
    <row r="830" spans="2:10" ht="12.75" customHeight="1" outlineLevel="3" thickTop="1">
      <c r="G830" s="326"/>
    </row>
    <row r="831" spans="2:10" ht="12.75" customHeight="1" outlineLevel="3">
      <c r="B831" s="219" t="str">
        <f>HBL!$AA$1329</f>
        <v>SENSIBLE HEAT OUTPUT VIA DUST</v>
      </c>
      <c r="F831" s="214"/>
    </row>
    <row r="832" spans="2:10" ht="12.75" customHeight="1" outlineLevel="3">
      <c r="B832" s="1" t="str">
        <f>HBL!$AA$1549</f>
        <v>Dust loss</v>
      </c>
      <c r="G832" s="31" t="str">
        <f>IF(M_DUSTFILTER="","",IF(PRECAL&lt;5, M_DUSTFILTER, M_DUSTFILTER*(100-FEED_CALCINER)/100))</f>
        <v/>
      </c>
      <c r="H832" s="5" t="s">
        <v>493</v>
      </c>
    </row>
    <row r="833" spans="1:10" ht="12.75" customHeight="1" outlineLevel="3">
      <c r="B833" s="1" t="str">
        <f>HBL!$AA$1564</f>
        <v>Temperature</v>
      </c>
      <c r="G833" s="46" t="str">
        <f>IF(M_DUSTFILTER="","",T_EXHAUST)</f>
        <v/>
      </c>
      <c r="H833" s="5" t="s">
        <v>425</v>
      </c>
    </row>
    <row r="834" spans="1:10" ht="12.75" customHeight="1" outlineLevel="3">
      <c r="B834" s="1" t="str">
        <f>HBL!$AA$1300</f>
        <v>cp dust</v>
      </c>
      <c r="G834" s="193">
        <f>IF(CP_DUSTEXHAUST="","",CP_DUSTEXHAUST)</f>
        <v>1.00848352</v>
      </c>
      <c r="H834" s="5" t="s">
        <v>429</v>
      </c>
    </row>
    <row r="835" spans="1:10" ht="12.75" customHeight="1" outlineLevel="3" thickBot="1"/>
    <row r="836" spans="1:10" ht="12.75" customHeight="1" outlineLevel="3" thickBot="1">
      <c r="B836" s="68" t="str">
        <f>HBL!$AA$1330</f>
        <v>Heat output via dust loss</v>
      </c>
      <c r="F836" s="214"/>
      <c r="G836" s="325" t="str">
        <f>IF(M_DUSTFILTER="","",$G$832*CP_DUSTEXHAUST*(T_EXHAUST-20))</f>
        <v/>
      </c>
      <c r="H836" s="5" t="s">
        <v>501</v>
      </c>
      <c r="I836" s="1061" t="str">
        <f>IF(G836="","",G836/M_CLI)</f>
        <v/>
      </c>
      <c r="J836" s="68" t="s">
        <v>443</v>
      </c>
    </row>
    <row r="837" spans="1:10" ht="12.75" customHeight="1" outlineLevel="3" thickTop="1">
      <c r="B837" s="68"/>
      <c r="F837" s="214"/>
      <c r="G837" s="404"/>
      <c r="H837" s="5"/>
      <c r="I837" s="40"/>
      <c r="J837" s="68"/>
    </row>
    <row r="838" spans="1:10" ht="12.75" customHeight="1" outlineLevel="3">
      <c r="B838" s="68"/>
      <c r="F838" s="214"/>
      <c r="G838" s="404"/>
      <c r="H838" s="5"/>
      <c r="I838" s="40"/>
      <c r="J838" s="68"/>
    </row>
    <row r="839" spans="1:10" ht="12.75" customHeight="1" outlineLevel="3">
      <c r="B839" s="219" t="s">
        <v>1000</v>
      </c>
      <c r="E839" t="s">
        <v>1424</v>
      </c>
      <c r="F839" s="214"/>
    </row>
    <row r="840" spans="1:10" ht="12.75" customHeight="1" outlineLevel="3">
      <c r="B840" s="1" t="s">
        <v>1881</v>
      </c>
      <c r="G840" s="31" t="str">
        <f>IF(M_DUSTFILTER="","",IF(PRECAL&lt;5, M_DUSTFILTER, M_DUSTFILTER*(FEED_CALCINER)/100))</f>
        <v/>
      </c>
      <c r="H840" s="5" t="s">
        <v>493</v>
      </c>
    </row>
    <row r="841" spans="1:10" ht="12.75" customHeight="1" outlineLevel="3">
      <c r="B841" s="1" t="s">
        <v>1954</v>
      </c>
      <c r="G841" s="46" t="str">
        <f>IF(T_EXHAUSTCALCINER="","",T_EXHAUSTCALCINER)</f>
        <v/>
      </c>
      <c r="H841" s="5" t="s">
        <v>425</v>
      </c>
    </row>
    <row r="842" spans="1:10" ht="12.75" customHeight="1" outlineLevel="3">
      <c r="B842" s="1" t="s">
        <v>864</v>
      </c>
      <c r="G842" s="193">
        <f>IF(CP_DUSTEXHAUST="","",CP_DUSTEXHAUST)</f>
        <v>1.00848352</v>
      </c>
      <c r="H842" s="5" t="s">
        <v>429</v>
      </c>
    </row>
    <row r="843" spans="1:10" ht="12.75" customHeight="1" outlineLevel="3"/>
    <row r="844" spans="1:10" ht="12.75" customHeight="1" outlineLevel="3" thickBot="1">
      <c r="B844" s="68" t="s">
        <v>1004</v>
      </c>
      <c r="F844" s="214"/>
      <c r="G844" s="325" t="str">
        <f>IF(M_DUSTFILTER="","",$G$840*CP_DUSTEXHAUST*(T_EXHAUST-20))</f>
        <v/>
      </c>
      <c r="H844" s="5" t="s">
        <v>501</v>
      </c>
      <c r="I844" s="40" t="str">
        <f>IF(G844="","",G844/M_CLI)</f>
        <v/>
      </c>
      <c r="J844" s="68" t="s">
        <v>443</v>
      </c>
    </row>
    <row r="845" spans="1:10" ht="12.75" customHeight="1" outlineLevel="3" thickTop="1">
      <c r="B845" s="68"/>
      <c r="F845" s="214"/>
      <c r="G845" s="404"/>
      <c r="H845" s="5"/>
      <c r="I845" s="40"/>
      <c r="J845" s="68"/>
    </row>
    <row r="846" spans="1:10" ht="12.75" customHeight="1" outlineLevel="3">
      <c r="B846" s="68"/>
      <c r="F846" s="214"/>
      <c r="G846" s="404"/>
      <c r="H846" s="5"/>
      <c r="I846" s="40"/>
      <c r="J846" s="68"/>
    </row>
    <row r="847" spans="1:10" ht="12.75" customHeight="1" outlineLevel="2"/>
    <row r="848" spans="1:10" ht="12.75" customHeight="1" outlineLevel="2">
      <c r="A848" s="1073" t="s">
        <v>508</v>
      </c>
      <c r="B848" s="1071" t="str">
        <f>HBL!$AA$1421</f>
        <v>CALCINER EXHAUST GASES</v>
      </c>
      <c r="C848" s="906"/>
      <c r="D848" s="906"/>
      <c r="E848" s="917"/>
      <c r="F848" s="1072"/>
    </row>
    <row r="849" spans="2:10" ht="12.75" customHeight="1" outlineLevel="3">
      <c r="F849" s="39"/>
      <c r="I849" s="51"/>
    </row>
    <row r="850" spans="2:10" ht="12.75" customHeight="1" outlineLevel="3">
      <c r="B850" s="210" t="str">
        <f>HBL!$AA$1343</f>
        <v>Sensible heat calciner exhaust gases</v>
      </c>
      <c r="F850" s="39"/>
      <c r="I850" s="51"/>
    </row>
    <row r="851" spans="2:10" ht="12.75" customHeight="1" outlineLevel="3">
      <c r="B851" s="69" t="str">
        <f>HBL!$AA$1595</f>
        <v>Combustion gas (wet)</v>
      </c>
      <c r="F851" s="211"/>
      <c r="G851" s="326" t="str">
        <f>IF(OR(PRECAL&lt;5, SUM($E$408:$J$408)=0), "", SUM($E$408:$J$408)+M_CLI*Q_ORGMATTER*0.28*FEED_CALCINER/100)</f>
        <v/>
      </c>
      <c r="H851" s="68" t="s">
        <v>458</v>
      </c>
      <c r="I851" s="403" t="str">
        <f t="shared" ref="I851:I856" si="10">IF(G851="","",G851/(M_CLI*1000))</f>
        <v/>
      </c>
      <c r="J851" s="68" t="s">
        <v>505</v>
      </c>
    </row>
    <row r="852" spans="2:10" ht="12.75" customHeight="1" outlineLevel="3">
      <c r="B852" s="68" t="str">
        <f>HBL!$AA$1364</f>
        <v>Gas from raw meal CO2 + H2Ohyd</v>
      </c>
      <c r="F852" s="212"/>
      <c r="G852" s="326" t="str">
        <f>IF(OR(M_CLI=0, PRECAL&lt;5),"", M_CLI*1000*(FEED_CALCINER/100*0.01+0.9*0.27))</f>
        <v/>
      </c>
      <c r="H852" s="68" t="s">
        <v>458</v>
      </c>
      <c r="I852" s="403" t="str">
        <f t="shared" si="10"/>
        <v/>
      </c>
      <c r="J852" s="68" t="s">
        <v>505</v>
      </c>
    </row>
    <row r="853" spans="2:10" ht="12.75" customHeight="1" outlineLevel="3">
      <c r="B853" s="68" t="str">
        <f>HBL!$AA$1380</f>
        <v>H2O kiln feed</v>
      </c>
      <c r="D853"/>
      <c r="E853" s="31" t="str">
        <f>IF(PRECAL&lt;5,"",M_H2OFEED*FEED_CALCINER/100)</f>
        <v/>
      </c>
      <c r="F853" s="5" t="s">
        <v>504</v>
      </c>
      <c r="G853" s="326" t="str">
        <f>IF(PRECAL&lt;5,"",M_H2OFEED*1000*1.24*FEED_CALCINER/100)</f>
        <v/>
      </c>
      <c r="H853" s="68" t="s">
        <v>458</v>
      </c>
      <c r="I853" s="403" t="str">
        <f t="shared" si="10"/>
        <v/>
      </c>
      <c r="J853" s="68" t="s">
        <v>505</v>
      </c>
    </row>
    <row r="854" spans="2:10" ht="12.75" customHeight="1" outlineLevel="3">
      <c r="B854" s="68" t="str">
        <f>HBL!$AA$1379</f>
        <v>H2O fuel/coal mill</v>
      </c>
      <c r="C854" s="326"/>
      <c r="D854" s="205" t="str">
        <f>IF(H2OVAPOR_COALMILL="",IF(SUM(D444:I444)=0,"",SUM(D444:I444)/1000),SUM(D444:I444)/1000+H2OVAPOR_COALMILL/(1000*1.24))</f>
        <v/>
      </c>
      <c r="E854" s="205" t="str">
        <f>IF(PRECAL&lt;5, "", IF(H2OVAPOR_COALMILLCAL="", SUM(E400:J400), SUM(E400:J400)+H2OVAPOR_COALMILLCAL/(1000*1.24)))</f>
        <v/>
      </c>
      <c r="F854" s="5" t="s">
        <v>504</v>
      </c>
      <c r="G854" s="326" t="str">
        <f>IF(M_H2OFUELCAL="","",M_H2OFUELCAL*1000*1.24)</f>
        <v/>
      </c>
      <c r="H854" s="68" t="s">
        <v>458</v>
      </c>
      <c r="I854" s="403" t="str">
        <f t="shared" si="10"/>
        <v/>
      </c>
      <c r="J854" s="68" t="s">
        <v>505</v>
      </c>
    </row>
    <row r="855" spans="2:10" ht="12.75" customHeight="1" outlineLevel="3">
      <c r="B855" s="68" t="str">
        <f>HBL!$AA$1381</f>
        <v>H2O air humidity</v>
      </c>
      <c r="D855"/>
      <c r="E855" s="296" t="str">
        <f>IF(PRECAL&lt;5,"",VN_H2OAIR/1.24/1000)</f>
        <v/>
      </c>
      <c r="F855" s="5" t="s">
        <v>504</v>
      </c>
      <c r="G855" s="326" t="str">
        <f>IF(PRECAL&lt;5,"", (SUM($E$403:$J$403)+M_CLI*Q_ORGMATTER*0.26*FEED_CALCINER/100+$G$856)*ABSHUM)</f>
        <v/>
      </c>
      <c r="H855" s="68" t="s">
        <v>458</v>
      </c>
      <c r="I855" s="403" t="str">
        <f t="shared" si="10"/>
        <v/>
      </c>
      <c r="J855" s="68" t="s">
        <v>505</v>
      </c>
    </row>
    <row r="856" spans="2:10" ht="12.75" customHeight="1" outlineLevel="3">
      <c r="B856" s="69" t="str">
        <f>HBL!$AA$1680</f>
        <v>Excess and false air (dry)</v>
      </c>
      <c r="C856" s="213"/>
      <c r="D856"/>
      <c r="E856" s="1" t="str">
        <f>IF(PRECAL&lt;5,"",O2_EXHAUSTCALCINER)</f>
        <v/>
      </c>
      <c r="F856" s="69" t="str">
        <f>HBL!$AA$1677</f>
        <v>% O2 dry</v>
      </c>
      <c r="G856" s="330" t="str">
        <f>IF(PRECAL&lt;5,"", VN_EXHAUSTCOMBCO2CALCINER*O2_EXHAUSTCALCINER/(21-O2_EXHAUSTCALCINER))</f>
        <v/>
      </c>
      <c r="H856" s="68" t="s">
        <v>458</v>
      </c>
      <c r="I856" s="403" t="str">
        <f t="shared" si="10"/>
        <v/>
      </c>
      <c r="J856" s="68" t="s">
        <v>505</v>
      </c>
    </row>
    <row r="857" spans="2:10" ht="12.75" customHeight="1" outlineLevel="3" thickBot="1"/>
    <row r="858" spans="2:10" ht="12.75" customHeight="1" outlineLevel="3" thickBot="1">
      <c r="B858" s="69" t="str">
        <f>HBL!$AA$1253</f>
        <v>Calculated total exhaust gas quantity (wet)</v>
      </c>
      <c r="F858" s="214"/>
      <c r="G858" s="326" t="str">
        <f>IF(SUM(G851:G856)=0,"",SUM(G851:G856))</f>
        <v/>
      </c>
      <c r="H858" s="68" t="s">
        <v>458</v>
      </c>
      <c r="I858" s="1063" t="str">
        <f>IF(G858="","",G858/(M_CLI*1000))</f>
        <v/>
      </c>
      <c r="J858" s="68" t="s">
        <v>476</v>
      </c>
    </row>
    <row r="859" spans="2:10" ht="12.75" customHeight="1" outlineLevel="3">
      <c r="B859" s="69" t="str">
        <f>HBL!$AA$1254</f>
        <v>Calculated total exhaust gas quantity (dry)</v>
      </c>
      <c r="F859" s="214"/>
      <c r="G859" s="330" t="str">
        <f>IF(OR($G$856="", $G$860=""),"", $G$856+$G$860)</f>
        <v/>
      </c>
      <c r="H859" s="68" t="s">
        <v>458</v>
      </c>
      <c r="I859" s="403"/>
      <c r="J859" s="68"/>
    </row>
    <row r="860" spans="2:10" ht="12.75" customHeight="1" outlineLevel="3">
      <c r="B860" s="69" t="str">
        <f>HBL!$AA$1578</f>
        <v>dry exhaust gas from combustion and raw meal</v>
      </c>
      <c r="F860" s="214"/>
      <c r="G860" s="326" t="str">
        <f>IF(PRECAL&lt;5,"", SUM($E$409:$J$409)+(0.27*0.9+0.25*Q_ORGMATTER/1000*FEED_CALCINER/100)*M_CLI*1000)</f>
        <v/>
      </c>
      <c r="H860" s="68" t="s">
        <v>458</v>
      </c>
      <c r="I860" s="403"/>
      <c r="J860" s="68"/>
    </row>
    <row r="861" spans="2:10" ht="12.75" customHeight="1" outlineLevel="3">
      <c r="B861" s="69" t="str">
        <f>HBL!$AA$1564</f>
        <v>Temperature</v>
      </c>
      <c r="F861" s="211"/>
      <c r="G861" s="46" t="str">
        <f>IF(T_EXHAUSTCALCINER="","",T_EXHAUSTCALCINER)</f>
        <v/>
      </c>
      <c r="H861" s="68" t="s">
        <v>425</v>
      </c>
    </row>
    <row r="862" spans="2:10" ht="12.75" customHeight="1" outlineLevel="3">
      <c r="B862" s="1" t="str">
        <f>HBL!$AA$1295</f>
        <v>cp gas</v>
      </c>
      <c r="F862" s="212"/>
      <c r="G862" s="215" t="str">
        <f>IF(CP_EXHAUSTCALCINER="","", CP_EXHAUSTCALCINERman)</f>
        <v/>
      </c>
      <c r="H862" s="68" t="s">
        <v>456</v>
      </c>
    </row>
    <row r="863" spans="2:10" ht="12.75" customHeight="1" outlineLevel="3" thickBot="1"/>
    <row r="864" spans="2:10" ht="12.75" customHeight="1" outlineLevel="3" thickBot="1">
      <c r="B864" s="68" t="str">
        <f>HBL!$AA$1343</f>
        <v>Sensible heat calciner exhaust gases</v>
      </c>
      <c r="F864" s="214"/>
      <c r="G864" s="327" t="str">
        <f>IF(VN_EXHAUSTWETCALCINER="","",VN_EXHAUSTWETCALCINER*CP_EXHAUSTCALCINERman*(T_EXHAUSTCALCINER-20)/1000)</f>
        <v/>
      </c>
      <c r="H864" s="68" t="s">
        <v>501</v>
      </c>
      <c r="I864" s="1062" t="str">
        <f>IF(G864="","",G864/M_CLI)</f>
        <v/>
      </c>
      <c r="J864" s="68" t="s">
        <v>443</v>
      </c>
    </row>
    <row r="865" spans="2:10" ht="12.75" customHeight="1" outlineLevel="3" thickTop="1"/>
    <row r="866" spans="2:10" ht="12.75" customHeight="1" outlineLevel="3">
      <c r="B866" s="216" t="str">
        <f>HBL!$AA$1635</f>
        <v>HEAT LOSS DUE TO INCOMPLETE COMBUSTION</v>
      </c>
      <c r="C866" s="15"/>
      <c r="D866" s="15"/>
      <c r="E866" s="15"/>
      <c r="F866" s="217"/>
      <c r="G866" s="15"/>
    </row>
    <row r="867" spans="2:10" ht="12.75" customHeight="1" outlineLevel="3" thickBot="1">
      <c r="B867" s="69" t="str">
        <f>HBL!$AA$1290</f>
        <v>CO content in kiln exhaust gas</v>
      </c>
      <c r="F867" s="72"/>
      <c r="G867" s="334" t="str">
        <f>IF(CO_EXHAUSTCALCINER="","",CO_EXHAUSTCALCINER)</f>
        <v/>
      </c>
      <c r="H867" s="68" t="s">
        <v>457</v>
      </c>
    </row>
    <row r="868" spans="2:10" ht="12.75" customHeight="1" outlineLevel="3" thickBot="1">
      <c r="B868" s="69" t="str">
        <f>HBL!$AA$1605</f>
        <v>Calciner exhaust gas flowrate (dry)</v>
      </c>
      <c r="F868" s="72"/>
      <c r="G868" t="str">
        <f>VN_EXHAUSTDRYCALCINER</f>
        <v/>
      </c>
      <c r="H868" s="68" t="s">
        <v>458</v>
      </c>
      <c r="I868" s="1062" t="str">
        <f>IF(G859="","",G859/(M_CLI*1000))</f>
        <v/>
      </c>
      <c r="J868" s="5" t="s">
        <v>476</v>
      </c>
    </row>
    <row r="869" spans="2:10" ht="12.75" customHeight="1" outlineLevel="3">
      <c r="B869" s="69" t="str">
        <f>HBL!$AA$1291</f>
        <v>CO flowrate</v>
      </c>
      <c r="F869" s="72"/>
      <c r="G869" s="71" t="str">
        <f>IF(VN_EXHAUSTDRYCALCINER="","",VN_EXHAUSTDRYCALCINER*CO_EXHAUSTCALCINER/10^6)</f>
        <v/>
      </c>
      <c r="H869" s="68" t="s">
        <v>458</v>
      </c>
    </row>
    <row r="870" spans="2:10" ht="12.75" customHeight="1" outlineLevel="3">
      <c r="B870" s="69" t="str">
        <f>HBL!$AA$1589</f>
        <v>Low heat value for CO</v>
      </c>
      <c r="F870" s="72"/>
      <c r="G870" s="218" t="str">
        <f>IF(VN_COEXHAUSTCALCINER="","",12640)</f>
        <v/>
      </c>
      <c r="H870" s="68" t="s">
        <v>507</v>
      </c>
    </row>
    <row r="871" spans="2:10" ht="12.75" customHeight="1" outlineLevel="3" thickBot="1">
      <c r="F871" s="214"/>
      <c r="G871" s="46"/>
    </row>
    <row r="872" spans="2:10" ht="12.75" customHeight="1" outlineLevel="3" thickBot="1">
      <c r="B872" s="69" t="str">
        <f>HBL!$AA$1639</f>
        <v>Heat loss from incomplete combustion</v>
      </c>
      <c r="F872" s="214"/>
      <c r="G872" s="327" t="str">
        <f>IF(VN_COEXHAUSTCALCINER="","",VN_COEXHAUSTCALCINER*LHV_CO/10^3)</f>
        <v/>
      </c>
      <c r="H872" s="68" t="s">
        <v>501</v>
      </c>
      <c r="I872" s="1062" t="str">
        <f>IF(G872="","",G872/M_CLI)</f>
        <v/>
      </c>
      <c r="J872" s="68" t="s">
        <v>443</v>
      </c>
    </row>
    <row r="873" spans="2:10" ht="12.75" customHeight="1" outlineLevel="3" thickTop="1">
      <c r="G873" s="326" t="str">
        <f>IF(PRECAL&lt;5, "", IF(Q_ORGMATTER="", (0.27+0.25*Q_CZ/1000)*(1+O2_EXHAUSTCALCINER/(21-O2_EXHAUSTCALCINER))*M_CLI*1000, (0.27+0.25*(Q_CZ+Q_ORGMATTER)/1000*FEED_CALCINER/100)*(1+O2_EXHAUSTCALCINER/(21-O2_EXHAUSTCALCINER))*M_CLI*1000))</f>
        <v/>
      </c>
    </row>
    <row r="874" spans="2:10" ht="12.75" customHeight="1" outlineLevel="3">
      <c r="B874" s="219" t="str">
        <f>HBL!$AA$1329</f>
        <v>SENSIBLE HEAT OUTPUT VIA DUST</v>
      </c>
      <c r="F874" s="214"/>
    </row>
    <row r="875" spans="2:10" ht="12.75" customHeight="1" outlineLevel="3">
      <c r="B875" s="1" t="str">
        <f>HBL!$AA$1549</f>
        <v>Dust loss</v>
      </c>
      <c r="G875" s="31" t="str">
        <f>IF(PRECAL&lt;5,"",M_DUSTFILTER*(FEED_CALCINER/100))</f>
        <v/>
      </c>
      <c r="H875" s="5" t="s">
        <v>493</v>
      </c>
    </row>
    <row r="876" spans="2:10" ht="12.75" customHeight="1" outlineLevel="3">
      <c r="B876" s="1" t="str">
        <f>HBL!$AA$1564</f>
        <v>Temperature</v>
      </c>
      <c r="G876" s="46" t="str">
        <f>IF(PRECAL&lt;5,"",T_EXHAUSTCALCINER)</f>
        <v/>
      </c>
      <c r="H876" s="5" t="s">
        <v>425</v>
      </c>
    </row>
    <row r="877" spans="2:10" ht="12.75" customHeight="1" outlineLevel="3">
      <c r="B877" s="1" t="str">
        <f>HBL!$AA$1300</f>
        <v>cp dust</v>
      </c>
      <c r="G877" s="193" t="str">
        <f>IF(PRECAL&lt;5,"",CP_EXHAUSTCALCINERman)</f>
        <v/>
      </c>
      <c r="H877" s="5" t="s">
        <v>429</v>
      </c>
    </row>
    <row r="878" spans="2:10" ht="12.75" customHeight="1" outlineLevel="3" thickBot="1"/>
    <row r="879" spans="2:10" ht="12.75" customHeight="1" outlineLevel="3" thickBot="1">
      <c r="B879" s="68" t="str">
        <f>HBL!$AA$1330</f>
        <v>Heat output via dust loss</v>
      </c>
      <c r="F879" s="214"/>
      <c r="G879" s="325" t="str">
        <f>IF(PRECAL&lt;5,"",$G$875*CP_DUSTEXHAUST*(T_EXHAUSTCALCINER-20))</f>
        <v/>
      </c>
      <c r="H879" s="5" t="s">
        <v>501</v>
      </c>
      <c r="I879" s="1061" t="str">
        <f>IF(G879="","",G879/M_CLI)</f>
        <v/>
      </c>
      <c r="J879" s="68" t="s">
        <v>443</v>
      </c>
    </row>
    <row r="880" spans="2:10" ht="12.75" customHeight="1" outlineLevel="3" thickTop="1">
      <c r="B880" s="68"/>
    </row>
    <row r="881" spans="1:12" ht="12.75" customHeight="1" outlineLevel="2"/>
    <row r="882" spans="1:12" ht="12.75" customHeight="1" outlineLevel="2">
      <c r="A882" s="1073">
        <v>34</v>
      </c>
      <c r="B882" s="1071" t="str">
        <f>HBL!$AA$1398</f>
        <v>COOLER</v>
      </c>
      <c r="C882" s="906"/>
      <c r="D882" s="906"/>
      <c r="E882" s="917"/>
      <c r="F882" s="1072"/>
    </row>
    <row r="883" spans="1:12" ht="12.75" customHeight="1" outlineLevel="3"/>
    <row r="884" spans="1:12" ht="12.75" customHeight="1" outlineLevel="3">
      <c r="B884" s="216" t="str">
        <f>HBL!$AA$1334</f>
        <v>SENSIBLE HEAT COOLER WASTE AIR</v>
      </c>
      <c r="F884" s="214"/>
    </row>
    <row r="885" spans="1:12" ht="12.75" customHeight="1" outlineLevel="3">
      <c r="B885" s="69" t="str">
        <f>HBL!$AA$1602</f>
        <v>Flowrate air</v>
      </c>
      <c r="F885" s="72"/>
      <c r="G885" s="326" t="str">
        <f>IF(VN_WASTE="","",VN_WASTE)</f>
        <v/>
      </c>
      <c r="H885" s="68" t="s">
        <v>458</v>
      </c>
      <c r="I885" s="69"/>
    </row>
    <row r="886" spans="1:12" ht="12.75" customHeight="1" outlineLevel="3">
      <c r="B886" s="1" t="str">
        <f>HBL!$AA$1564</f>
        <v>Temperature</v>
      </c>
      <c r="C886" s="214"/>
      <c r="F886" s="72"/>
      <c r="G886" s="71">
        <f>IF(T_WASTE="","",T_WASTE)</f>
        <v>300</v>
      </c>
      <c r="H886" s="68" t="s">
        <v>425</v>
      </c>
    </row>
    <row r="887" spans="1:12" ht="12.75" customHeight="1" outlineLevel="3">
      <c r="B887" s="1" t="str">
        <f>HBL!$AA$1297</f>
        <v>cp air</v>
      </c>
      <c r="F887" s="72"/>
      <c r="G887" s="215">
        <f>IF(CP_WASTE="","",CP_WASTE)</f>
        <v>1.3223424992000001</v>
      </c>
      <c r="H887" s="68" t="s">
        <v>456</v>
      </c>
    </row>
    <row r="888" spans="1:12" ht="12.75" customHeight="1" outlineLevel="3" thickBot="1">
      <c r="F888" s="214"/>
    </row>
    <row r="889" spans="1:12" ht="12.75" customHeight="1" outlineLevel="3" thickBot="1">
      <c r="B889" s="69" t="str">
        <f>HBL!$AA$1335</f>
        <v>Heat output through cooler waste air</v>
      </c>
      <c r="F889" s="214"/>
      <c r="G889" s="327" t="str">
        <f>IF(VN_WASTE="","",VN_WASTE*CP_WASTE*(T_WASTE-20)/10^3)</f>
        <v/>
      </c>
      <c r="H889" s="68" t="s">
        <v>501</v>
      </c>
      <c r="I889" s="1061" t="str">
        <f>IF(G889="","",G889/M_CLI)</f>
        <v/>
      </c>
      <c r="J889" s="68" t="s">
        <v>443</v>
      </c>
    </row>
    <row r="890" spans="1:12" ht="12.75" customHeight="1" outlineLevel="3" thickTop="1"/>
    <row r="891" spans="1:12" ht="12.75" customHeight="1" outlineLevel="3">
      <c r="B891" s="216" t="str">
        <f>HBL!$AA$1338</f>
        <v>SENSIBLE HEAT OF WATER VAPOR IN WASTE AIR</v>
      </c>
      <c r="F891" s="214"/>
    </row>
    <row r="892" spans="1:12" ht="12.75" customHeight="1" outlineLevel="3">
      <c r="B892" s="192" t="str">
        <f>HBL!$AA$1601</f>
        <v>Flowrate</v>
      </c>
      <c r="F892" s="72"/>
      <c r="G892" s="393">
        <f>IF(AND(ISNUMBER(M_H2OCOOLER), Cooler=1),M_H2OCOOLER*1.24, "")</f>
        <v>0</v>
      </c>
      <c r="H892" s="68" t="s">
        <v>458</v>
      </c>
      <c r="I892" s="69"/>
      <c r="L892" s="393">
        <f>IF(M_H2OCOOLER="","",M_H2OCOOLER)</f>
        <v>0</v>
      </c>
    </row>
    <row r="893" spans="1:12" ht="12.75" customHeight="1" outlineLevel="3">
      <c r="B893" s="192" t="str">
        <f>HBL!$AA$1564</f>
        <v>Temperature</v>
      </c>
      <c r="C893" s="214"/>
      <c r="F893" s="72"/>
      <c r="G893" s="393">
        <f>IF(AND(ISNUMBER(M_H2OCOOLER), Cooler=1),T_WASTE, "")</f>
        <v>300</v>
      </c>
      <c r="H893" s="68" t="s">
        <v>425</v>
      </c>
      <c r="L893" s="388" t="str">
        <f>IF(T_H2OCOOLER="","",T_H2OCOOLER)</f>
        <v/>
      </c>
    </row>
    <row r="894" spans="1:12" ht="12.75" customHeight="1" outlineLevel="3">
      <c r="B894" s="192" t="str">
        <f>HBL!$AA$1542</f>
        <v>Specific heat capacity</v>
      </c>
      <c r="F894" s="72"/>
      <c r="G894" s="394">
        <f>IF(ISNUMBER($G$893), 1.51+(T_WASTE-100)*(1.545-1.51)/(300-100), "")</f>
        <v>1.5449999999999999</v>
      </c>
      <c r="H894" s="68" t="s">
        <v>456</v>
      </c>
      <c r="L894"/>
    </row>
    <row r="895" spans="1:12" ht="12.75" customHeight="1" outlineLevel="3" thickBot="1">
      <c r="F895" s="214"/>
    </row>
    <row r="896" spans="1:12" ht="12.75" customHeight="1" outlineLevel="3" thickBot="1">
      <c r="B896" s="69" t="str">
        <f>HBL!$AA$1335</f>
        <v>Heat output through cooler waste air</v>
      </c>
      <c r="F896" s="214"/>
      <c r="G896" s="327">
        <f>IF($G$892="","",$G$892*$G$894*(T_WASTE-20)/10^3)</f>
        <v>0</v>
      </c>
      <c r="H896" s="68" t="s">
        <v>501</v>
      </c>
      <c r="I896" s="1061">
        <f>IF(G896="","",G896/M_CLI)</f>
        <v>0</v>
      </c>
      <c r="J896" s="68" t="s">
        <v>443</v>
      </c>
    </row>
    <row r="897" spans="2:10" ht="12.75" customHeight="1" outlineLevel="3" thickTop="1"/>
    <row r="898" spans="2:10" ht="12.75" customHeight="1" outlineLevel="3">
      <c r="B898" s="216" t="str">
        <f>HBL!$AA$1336</f>
        <v>SENSIBLE HEAT COOLER MIDDLE AIR</v>
      </c>
      <c r="C898" s="15"/>
      <c r="D898" s="15"/>
      <c r="E898" s="217"/>
      <c r="F898" s="217"/>
      <c r="G898" s="39"/>
      <c r="I898" s="39"/>
    </row>
    <row r="899" spans="2:10" ht="12.75" customHeight="1" outlineLevel="3">
      <c r="B899" s="69" t="str">
        <f>HBL!$AA$1602</f>
        <v>Flowrate air</v>
      </c>
      <c r="F899" s="72"/>
      <c r="G899" s="326" t="str">
        <f>IF(VN_MIDDLE="","",VN_MIDDLE)</f>
        <v/>
      </c>
      <c r="H899" s="68" t="s">
        <v>458</v>
      </c>
      <c r="I899" s="214"/>
    </row>
    <row r="900" spans="2:10" ht="12.75" customHeight="1" outlineLevel="3">
      <c r="B900" s="1" t="str">
        <f>HBL!$AA$1564</f>
        <v>Temperature</v>
      </c>
      <c r="C900" s="214"/>
      <c r="F900" s="72"/>
      <c r="G900" s="71" t="str">
        <f>IF(VN_MIDDLE="","",T_MIDDLE)</f>
        <v/>
      </c>
      <c r="H900" s="68" t="s">
        <v>425</v>
      </c>
    </row>
    <row r="901" spans="2:10" ht="12.75" customHeight="1" outlineLevel="3">
      <c r="B901" s="1" t="str">
        <f>HBL!$AA$1297</f>
        <v>cp air</v>
      </c>
      <c r="F901" s="72"/>
      <c r="G901" s="215" t="str">
        <f>IF(CP_MIDDLE="","",CP_MIDDLE)</f>
        <v/>
      </c>
      <c r="H901" s="68" t="s">
        <v>456</v>
      </c>
    </row>
    <row r="902" spans="2:10" ht="12.75" customHeight="1" outlineLevel="3" thickBot="1">
      <c r="F902" s="214"/>
    </row>
    <row r="903" spans="2:10" ht="12.75" customHeight="1" outlineLevel="3" thickBot="1">
      <c r="B903" s="69" t="str">
        <f>HBL!$AA$1337</f>
        <v>Heat output through cooler middle air</v>
      </c>
      <c r="F903" s="214"/>
      <c r="G903" s="327" t="str">
        <f>IF(VN_MIDDLE="","",VN_MIDDLE*CP_MIDDLE*(T_MIDDLE-20)/10^3)</f>
        <v/>
      </c>
      <c r="H903" s="68" t="s">
        <v>501</v>
      </c>
      <c r="I903" s="1061" t="str">
        <f>IF(G903="","",G903/M_CLI)</f>
        <v/>
      </c>
      <c r="J903" s="68" t="s">
        <v>443</v>
      </c>
    </row>
    <row r="904" spans="2:10" ht="12.75" customHeight="1" outlineLevel="3" thickTop="1"/>
    <row r="905" spans="2:10" ht="12.75" customHeight="1" outlineLevel="3">
      <c r="B905" s="210" t="str">
        <f>HBL!$AA$1324</f>
        <v>SENSIBLE HEAT OF CLINKER</v>
      </c>
      <c r="C905" s="15"/>
      <c r="D905" s="15"/>
    </row>
    <row r="906" spans="2:10" ht="12.75" customHeight="1" outlineLevel="3">
      <c r="B906" s="69" t="str">
        <f>HBL!$AA$1457</f>
        <v>Massflow</v>
      </c>
      <c r="G906" s="31">
        <f>IF(M_CLI="","",M_CLI)</f>
        <v>167.9</v>
      </c>
      <c r="H906" s="5" t="s">
        <v>493</v>
      </c>
    </row>
    <row r="907" spans="2:10" ht="12.75" customHeight="1" outlineLevel="3">
      <c r="B907" s="1" t="str">
        <f>HBL!$AA$1564</f>
        <v>Temperature</v>
      </c>
      <c r="G907" s="46" t="str">
        <f>IF(T_CLI="","",T_CLI)</f>
        <v/>
      </c>
      <c r="H907" s="5" t="s">
        <v>425</v>
      </c>
    </row>
    <row r="908" spans="2:10" ht="12.75" customHeight="1" outlineLevel="3">
      <c r="B908" s="1" t="str">
        <f>HBL!$AA$1293</f>
        <v>cp clinker</v>
      </c>
      <c r="G908" s="193" t="str">
        <f>IF(CP_CLI="","",CP_CLI)</f>
        <v/>
      </c>
      <c r="H908" s="5" t="s">
        <v>429</v>
      </c>
    </row>
    <row r="909" spans="2:10" ht="12.75" customHeight="1" outlineLevel="3" thickBot="1"/>
    <row r="910" spans="2:10" ht="12.75" customHeight="1" outlineLevel="3" thickBot="1">
      <c r="B910" s="41" t="str">
        <f>HBL!$AA$1325</f>
        <v>Heat output via the clinker</v>
      </c>
      <c r="F910" s="220"/>
      <c r="G910" s="327" t="e">
        <f>IF(M_CLI="","",M_CLI*CP_CLI*(T_CLI-20))</f>
        <v>#VALUE!</v>
      </c>
      <c r="H910" s="41" t="s">
        <v>501</v>
      </c>
      <c r="I910" s="1061" t="e">
        <f>IF(G910="","",G910/M_CLI)</f>
        <v>#VALUE!</v>
      </c>
      <c r="J910" s="5" t="s">
        <v>509</v>
      </c>
    </row>
    <row r="911" spans="2:10" ht="12.75" customHeight="1" outlineLevel="3" thickTop="1"/>
    <row r="912" spans="2:10" ht="12.75" customHeight="1" outlineLevel="2"/>
    <row r="913" spans="1:11" ht="12.75" customHeight="1" outlineLevel="2">
      <c r="A913" s="1073">
        <v>35</v>
      </c>
      <c r="B913" s="1071" t="str">
        <f>HBL!$AA$1276</f>
        <v>BYPASS</v>
      </c>
      <c r="C913" s="906"/>
      <c r="D913" s="906"/>
      <c r="E913" s="917"/>
      <c r="F913" s="1072"/>
    </row>
    <row r="914" spans="1:11" ht="12.75" customHeight="1" outlineLevel="3"/>
    <row r="915" spans="1:11" ht="12.75" customHeight="1" outlineLevel="3">
      <c r="B915" s="4" t="str">
        <f>HBL!$AA$1323</f>
        <v>SENSIBLE HEAT BYPASS FLOWRATE</v>
      </c>
      <c r="G915"/>
      <c r="H915"/>
      <c r="I915"/>
      <c r="J915"/>
      <c r="K915"/>
    </row>
    <row r="916" spans="1:11" ht="12.75" customHeight="1" outlineLevel="3">
      <c r="B916" s="420" t="str">
        <f>HBL!$AA$1259</f>
        <v>Heat input due to condensation of circulating elements on the bypass dust:</v>
      </c>
      <c r="G916"/>
      <c r="H916"/>
      <c r="I916"/>
      <c r="J916"/>
      <c r="K916"/>
    </row>
    <row r="917" spans="1:11" ht="12.75" customHeight="1" outlineLevel="3">
      <c r="B917" s="252" t="s">
        <v>451</v>
      </c>
      <c r="C917" s="417">
        <f>IF(M_BYPASS="",0,(Cl_BYPASS-Cl_HOTMEAL)/100*M_BYPASS/M_CLI*1000/35.5)</f>
        <v>0</v>
      </c>
      <c r="D917" t="s">
        <v>510</v>
      </c>
      <c r="E917" t="s">
        <v>511</v>
      </c>
      <c r="F917" s="416">
        <f>IF(K&gt;CL, CL*74.5, K*74.5)</f>
        <v>0</v>
      </c>
      <c r="G917" t="s">
        <v>444</v>
      </c>
      <c r="H917" s="252" t="s">
        <v>467</v>
      </c>
      <c r="I917" s="296">
        <f>F917*3.13</f>
        <v>0</v>
      </c>
      <c r="J917" t="s">
        <v>442</v>
      </c>
      <c r="K917"/>
    </row>
    <row r="918" spans="1:11" ht="12.75" customHeight="1" outlineLevel="3">
      <c r="B918" s="363" t="s">
        <v>512</v>
      </c>
      <c r="C918" s="417">
        <f>IF(M_BYPASS="",0,(SO3_BYPASS-SO3_HOTMEAL)/100*M_BYPASS/M_CLI*1000/80)</f>
        <v>0</v>
      </c>
      <c r="D918" t="s">
        <v>510</v>
      </c>
      <c r="E918" t="s">
        <v>513</v>
      </c>
      <c r="F918" s="416">
        <f>IF(K&gt;CL, 0, IF(Na&gt;(CL-K), (CL-K)*58.5, Na*58.5))</f>
        <v>0</v>
      </c>
      <c r="G918" t="s">
        <v>444</v>
      </c>
      <c r="H918" s="252" t="s">
        <v>467</v>
      </c>
      <c r="I918" s="296">
        <f>F918*3.13</f>
        <v>0</v>
      </c>
      <c r="J918" t="s">
        <v>442</v>
      </c>
      <c r="K918"/>
    </row>
    <row r="919" spans="1:11" ht="12.75" customHeight="1" outlineLevel="3">
      <c r="B919" s="363" t="s">
        <v>514</v>
      </c>
      <c r="C919" s="417">
        <f>IF(M_BYPASS="",0,(K2O_BYPASS-K2O_HOTMEAL)/100*M_BYPASS/M_CLI*1000*2/94)</f>
        <v>0</v>
      </c>
      <c r="D919" t="s">
        <v>510</v>
      </c>
      <c r="E919" t="s">
        <v>515</v>
      </c>
      <c r="F919" s="416">
        <f>IF(Na&gt;(CL-K), 0, (CL-(K+Na))*0.5*111)</f>
        <v>0</v>
      </c>
      <c r="G919" t="s">
        <v>444</v>
      </c>
      <c r="H919" s="252" t="s">
        <v>467</v>
      </c>
      <c r="I919" s="296">
        <f>F919*3.13</f>
        <v>0</v>
      </c>
      <c r="J919" t="s">
        <v>442</v>
      </c>
      <c r="K919"/>
    </row>
    <row r="920" spans="1:11" ht="12.75" customHeight="1" outlineLevel="3">
      <c r="B920" s="363" t="s">
        <v>516</v>
      </c>
      <c r="C920" s="417">
        <f>IF(M_BYPASS="",0,(Na2O_BYPASS-Na2O_HOTMEAL)/100*M_BYPASS/M_CLI*1000*2/62)</f>
        <v>0</v>
      </c>
      <c r="D920" t="s">
        <v>510</v>
      </c>
      <c r="E920" t="s">
        <v>517</v>
      </c>
      <c r="F920" s="416">
        <f>IF(ABS($F$918)&gt;0, 0, IF((K-CL)&gt;2*S, S*174, (K-CL)*0.5*174))</f>
        <v>0</v>
      </c>
      <c r="G920" t="s">
        <v>444</v>
      </c>
      <c r="H920" s="252" t="s">
        <v>467</v>
      </c>
      <c r="I920" s="296">
        <f>F920*4.45</f>
        <v>0</v>
      </c>
      <c r="J920" t="s">
        <v>442</v>
      </c>
      <c r="K920"/>
    </row>
    <row r="921" spans="1:11" ht="12.75" customHeight="1" outlineLevel="3">
      <c r="B921"/>
      <c r="C921"/>
      <c r="D921"/>
      <c r="E921" t="s">
        <v>518</v>
      </c>
      <c r="F921" s="416">
        <f>IF(OR($F$919&gt;0, $F$920=S*174), 0, IF(AND($F$920&gt;0, (K-CL)&lt;2*S), IF(Na&gt;2*(S-(K-CL)*0.5), (S-(K-CL)*0.5)*142, Na*0.5*142), IF(Na-(CL-K)&gt;2*S, S*142, (Na-(CL-K))*0.5*142)))</f>
        <v>0</v>
      </c>
      <c r="G921" t="s">
        <v>444</v>
      </c>
      <c r="H921" s="252" t="s">
        <v>467</v>
      </c>
      <c r="I921" s="296">
        <f>F921*4.72</f>
        <v>0</v>
      </c>
      <c r="J921" t="s">
        <v>442</v>
      </c>
      <c r="K921"/>
    </row>
    <row r="922" spans="1:11" ht="12.75" customHeight="1" outlineLevel="3">
      <c r="B922" s="4"/>
      <c r="E922" t="s">
        <v>519</v>
      </c>
      <c r="F922" s="416">
        <f>IF(F919&gt;0, S*136, IF(AND(F920&gt;0, (K-CL)&gt;2*S, Na&lt;2*(S-(K-CL)*0.5)), (S-(0.5*(K-CL+Na))), IF(OR((Na-(CL-K))&gt;2*S, Na&gt;2*(S-(K-CL)*0.5)), 0, (S-(Na-(CL-K))*0.5)*136)))</f>
        <v>0</v>
      </c>
      <c r="G922" t="s">
        <v>444</v>
      </c>
      <c r="H922" s="252" t="s">
        <v>467</v>
      </c>
      <c r="I922" s="418">
        <f>F922*3.62</f>
        <v>0</v>
      </c>
      <c r="J922" s="419" t="s">
        <v>442</v>
      </c>
    </row>
    <row r="923" spans="1:11" ht="12.75" customHeight="1" outlineLevel="3">
      <c r="B923" s="4"/>
      <c r="F923" s="69" t="str">
        <f>HBL!$AA$1371</f>
        <v>Total heat of condensation:</v>
      </c>
      <c r="G923"/>
      <c r="H923" s="416"/>
      <c r="I923" s="428">
        <f>SUM(I917:I922)</f>
        <v>0</v>
      </c>
      <c r="J923" s="429" t="s">
        <v>442</v>
      </c>
    </row>
    <row r="924" spans="1:11" ht="12.75" customHeight="1" outlineLevel="3">
      <c r="B924" s="69" t="str">
        <f>HBL!$AA$1603</f>
        <v>Flowrate gas</v>
      </c>
      <c r="G924" s="46" t="str">
        <f>IF(VN_BYPASS=0,"",VN_BYPASS)</f>
        <v/>
      </c>
      <c r="H924" s="1" t="s">
        <v>458</v>
      </c>
    </row>
    <row r="925" spans="1:11" ht="12.75" customHeight="1" outlineLevel="3">
      <c r="B925" s="1" t="str">
        <f>HBL!$AA$1564</f>
        <v>Temperature</v>
      </c>
      <c r="G925" s="46" t="str">
        <f>IF(G924="","",T_BYPASSEXTRAC)</f>
        <v/>
      </c>
      <c r="H925" s="1" t="s">
        <v>425</v>
      </c>
    </row>
    <row r="926" spans="1:11" ht="12.75" customHeight="1" outlineLevel="3">
      <c r="B926" s="1" t="str">
        <f>HBL!$AA$1295</f>
        <v>cp gas</v>
      </c>
      <c r="G926" s="193" t="str">
        <f>IF(G924="","",CP_BYPASSEXTRAC)</f>
        <v/>
      </c>
      <c r="H926" s="1" t="s">
        <v>520</v>
      </c>
    </row>
    <row r="927" spans="1:11" ht="12.75" customHeight="1" outlineLevel="3" thickBot="1"/>
    <row r="928" spans="1:11" ht="12.75" customHeight="1" outlineLevel="3" thickBot="1">
      <c r="B928" s="69" t="str">
        <f>HBL!$AA$1322</f>
        <v>Heat output via bypass gasflow</v>
      </c>
      <c r="G928" s="325" t="str">
        <f>IF(VN_BYPASS="","",VN_BYPASS*CP_BYPASSEXTRAC*(T_BYPASSEXTRAC-20)/1000)</f>
        <v/>
      </c>
      <c r="H928" s="41" t="s">
        <v>501</v>
      </c>
      <c r="I928" s="972" t="str">
        <f>IF(G928="","",G928/M_CLI)</f>
        <v/>
      </c>
      <c r="J928" s="5" t="s">
        <v>509</v>
      </c>
    </row>
    <row r="929" spans="2:10" ht="12.75" customHeight="1" outlineLevel="3" thickTop="1"/>
    <row r="930" spans="2:10" ht="12.75" customHeight="1" outlineLevel="3">
      <c r="B930" s="216" t="str">
        <f>HBL!$AA$1635</f>
        <v>HEAT LOSS DUE TO INCOMPLETE COMBUSTION</v>
      </c>
    </row>
    <row r="931" spans="2:10" ht="12.75" customHeight="1" outlineLevel="3">
      <c r="B931" s="69" t="str">
        <f>HBL!$AA$1289</f>
        <v>CO content in bypass flowrate</v>
      </c>
      <c r="F931" s="72"/>
      <c r="G931" s="71" t="str">
        <f>IF(VN_BYPASS="","",CO_BYPASSEXTRAC)</f>
        <v/>
      </c>
      <c r="H931" s="68" t="s">
        <v>457</v>
      </c>
    </row>
    <row r="932" spans="2:10" ht="12.75" customHeight="1" outlineLevel="3">
      <c r="B932" s="69" t="str">
        <f>HBL!$AA$1281</f>
        <v>Bypass flowrate (dry)</v>
      </c>
      <c r="F932" s="72"/>
      <c r="G932" s="71" t="str">
        <f>IF(VN_BYPASS=0,"",VN_BYPASS*0.89)</f>
        <v/>
      </c>
      <c r="H932" s="68" t="s">
        <v>458</v>
      </c>
    </row>
    <row r="933" spans="2:10" ht="12.75" customHeight="1" outlineLevel="3">
      <c r="B933" s="69" t="str">
        <f>HBL!$AA$1291</f>
        <v>CO flowrate</v>
      </c>
      <c r="F933" s="72"/>
      <c r="G933" s="71" t="str">
        <f>IF(VN_BYPASS="","",VN_BYPASS*CO_BYPASSEXTRAC/10^6)</f>
        <v/>
      </c>
      <c r="H933" s="68" t="s">
        <v>458</v>
      </c>
    </row>
    <row r="934" spans="2:10" ht="12.75" customHeight="1" outlineLevel="3">
      <c r="B934" s="69" t="str">
        <f>HBL!$AA$1589</f>
        <v>Low heat value for CO</v>
      </c>
      <c r="F934" s="72"/>
      <c r="G934" s="218" t="str">
        <f>IF(VN_BYPASS="","",12640)</f>
        <v/>
      </c>
      <c r="H934" s="68" t="s">
        <v>507</v>
      </c>
      <c r="I934" s="221"/>
      <c r="J934" s="69"/>
    </row>
    <row r="935" spans="2:10" ht="12.75" customHeight="1" outlineLevel="3" thickBot="1">
      <c r="F935" s="214"/>
      <c r="G935" s="46"/>
    </row>
    <row r="936" spans="2:10" ht="12.75" customHeight="1" outlineLevel="3" thickBot="1">
      <c r="B936" s="69" t="str">
        <f>HBL!$AA$1639</f>
        <v>Heat loss from incomplete combustion</v>
      </c>
      <c r="F936" s="214"/>
      <c r="G936" s="327" t="str">
        <f>IF(VN_BYPASS="","",VNCO_BYPASS*LHV_CO/10^3)</f>
        <v/>
      </c>
      <c r="H936" s="68" t="s">
        <v>501</v>
      </c>
      <c r="I936" s="972" t="str">
        <f>IF(G936="","",G936/M_CLI)</f>
        <v/>
      </c>
      <c r="J936" s="5" t="s">
        <v>509</v>
      </c>
    </row>
    <row r="937" spans="2:10" ht="12.75" customHeight="1" outlineLevel="3" thickTop="1"/>
    <row r="938" spans="2:10" ht="12.75" customHeight="1" outlineLevel="3">
      <c r="B938" s="219" t="str">
        <f>HBL!$AA$1329</f>
        <v>SENSIBLE HEAT OUTPUT VIA DUST</v>
      </c>
      <c r="F938" s="214"/>
    </row>
    <row r="939" spans="2:10" ht="12.75" customHeight="1" outlineLevel="3">
      <c r="B939" s="1" t="str">
        <f>HBL!$AA$1549</f>
        <v>Dust loss</v>
      </c>
      <c r="G939" s="31" t="str">
        <f>IF(M_BYPASS="","",M_BYPASS)</f>
        <v/>
      </c>
      <c r="H939" s="5" t="s">
        <v>493</v>
      </c>
    </row>
    <row r="940" spans="2:10" ht="12.75" customHeight="1" outlineLevel="3">
      <c r="B940" s="1" t="str">
        <f>HBL!$AA$1564</f>
        <v>Temperature</v>
      </c>
      <c r="G940" s="46" t="str">
        <f>IF(T_BYPASSEXTRAC="","",T_BYPASSEXTRAC)</f>
        <v/>
      </c>
      <c r="H940" s="5" t="s">
        <v>425</v>
      </c>
    </row>
    <row r="941" spans="2:10" ht="12.75" customHeight="1" outlineLevel="3">
      <c r="B941" s="1" t="str">
        <f>HBL!$AA$1300</f>
        <v>cp dust</v>
      </c>
      <c r="G941" s="193" t="str">
        <f>IF(CP_BYPASSEXTRAC="","",CP_BYDUSTEXTRAC)</f>
        <v/>
      </c>
      <c r="H941" s="5" t="s">
        <v>429</v>
      </c>
    </row>
    <row r="942" spans="2:10" ht="12.75" customHeight="1" outlineLevel="3" thickBot="1"/>
    <row r="943" spans="2:10" ht="12.75" customHeight="1" outlineLevel="3" thickBot="1">
      <c r="B943" s="68" t="str">
        <f>HBL!$AA$1330</f>
        <v>Heat output via dust loss</v>
      </c>
      <c r="F943" s="214"/>
      <c r="G943" s="325" t="str">
        <f>IF(M_BYPASS="","",M_BYPASS*CP_BYDUSTEXTRAC*(T_BYPASSEXTRAC-20))</f>
        <v/>
      </c>
      <c r="H943" s="5" t="s">
        <v>501</v>
      </c>
      <c r="I943" s="972" t="str">
        <f>IF(G943="","",G943/M_CLI)</f>
        <v/>
      </c>
      <c r="J943" s="5" t="s">
        <v>509</v>
      </c>
    </row>
    <row r="944" spans="2:10" ht="12.75" customHeight="1" outlineLevel="3" thickTop="1">
      <c r="B944"/>
      <c r="F944" s="214"/>
      <c r="G944" s="221"/>
      <c r="H944" s="69"/>
      <c r="I944" s="221"/>
      <c r="J944" s="69"/>
    </row>
    <row r="945" spans="1:10" ht="12.75" customHeight="1" outlineLevel="3">
      <c r="B945" s="219" t="str">
        <f>HBL!$AA$1637</f>
        <v>HEAT OUTPUT FROM CaO (NON CARBONATIC) IN BYPASS DUST</v>
      </c>
      <c r="F945" s="214"/>
      <c r="G945" s="221"/>
      <c r="H945" s="69"/>
      <c r="I945" s="221"/>
      <c r="J945" s="69"/>
    </row>
    <row r="946" spans="1:10" ht="12.75" customHeight="1" outlineLevel="3">
      <c r="B946" s="3" t="str">
        <f>HBL!$AA$1285</f>
        <v>CaO content in bypass dust</v>
      </c>
      <c r="G946" s="34" t="str">
        <f>IF(CaO_BYPASS="","",CaO_BYPASS)</f>
        <v/>
      </c>
      <c r="H946" s="9" t="s">
        <v>423</v>
      </c>
    </row>
    <row r="947" spans="1:10" ht="12.75" customHeight="1" outlineLevel="3">
      <c r="B947" s="3" t="str">
        <f>HBL!$AA$1376</f>
        <v>LOI of bypass dust</v>
      </c>
      <c r="G947" s="34" t="str">
        <f>IF(LOI_BYPASS="","",LOI_BYPASS)</f>
        <v/>
      </c>
      <c r="H947" s="9" t="s">
        <v>423</v>
      </c>
    </row>
    <row r="948" spans="1:10" ht="12.75" customHeight="1" outlineLevel="3">
      <c r="B948" s="9" t="str">
        <f>HBL!$AA$1283</f>
        <v>CaO (non carbonatic)</v>
      </c>
      <c r="G948" s="222" t="str">
        <f>IF(G947="","",CaO_BYPASS-56/44*LOI_BYPASS)</f>
        <v/>
      </c>
      <c r="H948" s="9" t="s">
        <v>423</v>
      </c>
    </row>
    <row r="949" spans="1:10" ht="12.75" customHeight="1" outlineLevel="3" thickBot="1">
      <c r="B949" s="3"/>
      <c r="G949" s="34"/>
      <c r="H949" s="9"/>
    </row>
    <row r="950" spans="1:10" ht="12.75" customHeight="1" outlineLevel="3" thickBot="1">
      <c r="B950" s="1" t="str">
        <f>HBL!$AA$1636</f>
        <v>Heat loss from CaO (non carbonatic) in bypass dust</v>
      </c>
      <c r="F950" s="214"/>
      <c r="G950" s="332" t="str">
        <f>IF(CaOnc_BYPASS="","",M_BYPASS*CaOnc_BYPASS/100*3150)</f>
        <v/>
      </c>
      <c r="H950" s="5" t="s">
        <v>501</v>
      </c>
      <c r="I950" s="1068" t="str">
        <f>IF(G950="","",G950/M_CLI)</f>
        <v/>
      </c>
      <c r="J950" s="68" t="s">
        <v>443</v>
      </c>
    </row>
    <row r="951" spans="1:10" ht="12.75" customHeight="1" outlineLevel="3" thickTop="1">
      <c r="F951" s="214"/>
      <c r="G951" s="221"/>
      <c r="H951" s="69"/>
      <c r="I951" s="224"/>
    </row>
    <row r="952" spans="1:10" ht="12.75" customHeight="1" outlineLevel="2">
      <c r="F952" s="39"/>
    </row>
    <row r="953" spans="1:10" ht="12.75" customHeight="1" outlineLevel="2">
      <c r="A953" s="1073">
        <v>36</v>
      </c>
      <c r="B953" s="1071" t="str">
        <f>HBL!$AA$1638</f>
        <v>HEAT LOSS FROM RADIATION &amp; CONVECTION</v>
      </c>
      <c r="C953" s="906"/>
      <c r="D953" s="906"/>
      <c r="E953" s="917"/>
      <c r="F953" s="1072"/>
      <c r="G953" s="15"/>
    </row>
    <row r="954" spans="1:10" ht="12.75" customHeight="1" outlineLevel="3" thickBot="1">
      <c r="F954" s="39"/>
    </row>
    <row r="955" spans="1:10" ht="12.75" customHeight="1" outlineLevel="3">
      <c r="B955" s="1" t="str">
        <f>HBL!$AA$1629</f>
        <v>Preheater tower incl. Calciner</v>
      </c>
      <c r="G955" s="300">
        <f>IF(QOUT_PREHEATER="","",QOUT_PREHEATER*M_CLI)</f>
        <v>40463.9</v>
      </c>
      <c r="H955" s="68" t="s">
        <v>501</v>
      </c>
      <c r="I955" s="1064">
        <f>IF(QOUT_PREHEATER="","",QOUT_PREHEATER)</f>
        <v>241</v>
      </c>
      <c r="J955" s="68" t="s">
        <v>443</v>
      </c>
    </row>
    <row r="956" spans="1:10" ht="12.75" customHeight="1" outlineLevel="3">
      <c r="B956" s="69" t="str">
        <f>HBL!$AA$1487</f>
        <v>Kiln shell</v>
      </c>
      <c r="F956" s="70"/>
      <c r="G956" s="326">
        <f>IF(QOUT_KILNRAD="","",QOUT_KILNRAD*M_CLI)</f>
        <v>28207.200000000001</v>
      </c>
      <c r="H956" s="68" t="s">
        <v>501</v>
      </c>
      <c r="I956" s="1065">
        <f>IF(QOUT_KILNRAD="","",QOUT_KILNRAD)</f>
        <v>168</v>
      </c>
      <c r="J956" s="68" t="s">
        <v>443</v>
      </c>
    </row>
    <row r="957" spans="1:10" ht="12.75" customHeight="1" outlineLevel="3">
      <c r="B957" s="68" t="str">
        <f>HBL!$AA$1400</f>
        <v>Cooler and kiln hood</v>
      </c>
      <c r="E957" s="72"/>
      <c r="F957" s="70"/>
      <c r="G957" s="326">
        <f>IF(QOUT_COOLRAD="","",QOUT_COOLRAD*M_CLI)</f>
        <v>3358</v>
      </c>
      <c r="H957" s="68" t="s">
        <v>501</v>
      </c>
      <c r="I957" s="1066">
        <f>IF(QOUT_COOLRAD="","",QOUT_COOLRAD)</f>
        <v>20</v>
      </c>
      <c r="J957" s="68" t="s">
        <v>443</v>
      </c>
    </row>
    <row r="958" spans="1:10" ht="12.75" customHeight="1" outlineLevel="3" thickBot="1">
      <c r="B958" s="69" t="str">
        <f>HBL!$AA$1573</f>
        <v>Tertiary air duct</v>
      </c>
      <c r="E958" s="72"/>
      <c r="F958" s="70"/>
      <c r="G958" s="300">
        <f>IF(QOUT_TERTIARYDUCT="","",QOUT_TERTIARYDUCT*M_CLI)</f>
        <v>4533.3</v>
      </c>
      <c r="H958" s="68" t="s">
        <v>501</v>
      </c>
      <c r="I958" s="1067">
        <f>IF(QOUT_TERTIARYDUCT="","",QOUT_TERTIARYDUCT)</f>
        <v>27</v>
      </c>
      <c r="J958" s="68" t="s">
        <v>443</v>
      </c>
    </row>
    <row r="959" spans="1:10" ht="12.75" customHeight="1" outlineLevel="3">
      <c r="B959" s="69"/>
      <c r="E959" s="72"/>
      <c r="F959" s="70"/>
      <c r="G959" s="71"/>
    </row>
    <row r="960" spans="1:10" ht="12.75" customHeight="1" outlineLevel="2"/>
    <row r="961" spans="1:23" ht="12.75" customHeight="1" outlineLevel="2">
      <c r="A961" s="1073">
        <v>37</v>
      </c>
      <c r="B961" s="1071" t="str">
        <f>HBL!$AA$1650</f>
        <v>OTHER HEAT OUTPUT</v>
      </c>
      <c r="C961" s="906"/>
      <c r="D961" s="906"/>
      <c r="E961" s="917"/>
      <c r="F961" s="1072"/>
      <c r="G961" s="71"/>
      <c r="H961" s="68"/>
      <c r="I961" s="225"/>
      <c r="J961" s="68"/>
    </row>
    <row r="962" spans="1:23" ht="12.75" customHeight="1" outlineLevel="3">
      <c r="B962" s="69"/>
      <c r="E962" s="72"/>
      <c r="F962" s="214"/>
      <c r="G962" s="71"/>
      <c r="H962" s="68"/>
      <c r="I962" s="225"/>
      <c r="J962" s="68"/>
    </row>
    <row r="963" spans="1:23" ht="12.75" customHeight="1" outlineLevel="3">
      <c r="B963" s="69"/>
      <c r="E963" s="72"/>
      <c r="F963" s="214"/>
      <c r="G963" s="71"/>
      <c r="H963" s="68"/>
      <c r="I963" s="225"/>
      <c r="J963" s="68"/>
    </row>
    <row r="964" spans="1:23" ht="12.75" customHeight="1" outlineLevel="3">
      <c r="B964" s="69"/>
      <c r="E964" s="72"/>
      <c r="F964" s="214"/>
      <c r="G964" s="71"/>
      <c r="H964" s="68"/>
      <c r="I964" s="225"/>
      <c r="J964" s="68"/>
    </row>
    <row r="965" spans="1:23" ht="12.75" customHeight="1" outlineLevel="3" thickBot="1">
      <c r="B965" s="69"/>
      <c r="E965" s="72"/>
      <c r="F965" s="214"/>
      <c r="G965" s="71"/>
      <c r="H965" s="68"/>
      <c r="I965" s="225"/>
      <c r="J965" s="68"/>
    </row>
    <row r="966" spans="1:23" ht="12.75" customHeight="1" outlineLevel="3" thickBot="1">
      <c r="F966" s="214"/>
      <c r="G966" s="223"/>
      <c r="H966" s="68" t="s">
        <v>501</v>
      </c>
      <c r="I966" s="1069" t="str">
        <f>IF(G966="","",G966/M_CLI)</f>
        <v/>
      </c>
      <c r="J966" s="68" t="s">
        <v>443</v>
      </c>
    </row>
    <row r="967" spans="1:23" ht="12.75" customHeight="1" outlineLevel="2" thickTop="1">
      <c r="F967" s="214"/>
      <c r="G967" s="400"/>
      <c r="H967" s="68"/>
      <c r="I967" s="204"/>
      <c r="J967" s="68"/>
    </row>
    <row r="968" spans="1:23" ht="12.75" customHeight="1" outlineLevel="1"/>
    <row r="969" spans="1:23" ht="12.75" customHeight="1">
      <c r="W969" s="1"/>
    </row>
    <row r="970" spans="1:23" ht="12.75" customHeight="1">
      <c r="W970" s="1"/>
    </row>
    <row r="971" spans="1:23" ht="18.75" customHeight="1">
      <c r="A971" s="1073">
        <v>41</v>
      </c>
      <c r="B971" s="911" t="str">
        <f>HBL!$AA$1451</f>
        <v>AIR BALANCE GRATE COOLER</v>
      </c>
      <c r="C971" s="911"/>
      <c r="D971" s="911"/>
      <c r="E971" s="911"/>
      <c r="F971" s="911"/>
      <c r="G971" s="911"/>
      <c r="H971" s="911"/>
      <c r="I971" s="911"/>
      <c r="J971" s="911"/>
      <c r="K971" s="911"/>
      <c r="W971" s="1"/>
    </row>
    <row r="972" spans="1:23" ht="12.75" customHeight="1" outlineLevel="1">
      <c r="W972" s="1"/>
    </row>
    <row r="973" spans="1:23" ht="12.75" customHeight="1" outlineLevel="2">
      <c r="B973" s="5" t="str">
        <f>HBL!$AA$1498</f>
        <v>Primary air main burner</v>
      </c>
      <c r="G973" s="300">
        <f>VN_PRIMAIR</f>
        <v>10000</v>
      </c>
      <c r="H973" s="5" t="s">
        <v>458</v>
      </c>
      <c r="I973" s="191">
        <f>IF(G973="","",G973/(M_CLI*1000))</f>
        <v>5.9559261465157831E-2</v>
      </c>
      <c r="J973" s="5" t="s">
        <v>460</v>
      </c>
      <c r="W973" s="1"/>
    </row>
    <row r="974" spans="1:23" ht="12.75" customHeight="1" outlineLevel="2">
      <c r="B974" s="1" t="str">
        <f>HBL!$AA$1351</f>
        <v>False air kiln hood</v>
      </c>
      <c r="G974" s="300">
        <f>IF(VN_FALSEKILNHOOD="","",VN_FALSEKILNHOOD)</f>
        <v>3000</v>
      </c>
      <c r="H974" s="5" t="s">
        <v>458</v>
      </c>
      <c r="I974" s="191">
        <f>IF(G974="","",G974/(M_CLI*1000))</f>
        <v>1.7867778439547351E-2</v>
      </c>
      <c r="J974" s="5" t="s">
        <v>460</v>
      </c>
      <c r="W974" s="1"/>
    </row>
    <row r="975" spans="1:23" ht="12.75" customHeight="1" outlineLevel="2">
      <c r="B975" s="5" t="str">
        <f>HBL!$AA$1596</f>
        <v>Combustion air</v>
      </c>
      <c r="G975" s="300">
        <f>IF(VN_AminBZ="","",VN_AminBZ)</f>
        <v>58508.395400000001</v>
      </c>
      <c r="H975" s="5" t="s">
        <v>458</v>
      </c>
      <c r="I975" s="191">
        <f>IF(G975="","",G975/(M_CLI*1000))</f>
        <v>0.34847168195354378</v>
      </c>
      <c r="J975" s="5" t="s">
        <v>460</v>
      </c>
      <c r="W975" s="1"/>
    </row>
    <row r="976" spans="1:23" ht="12.75" customHeight="1" outlineLevel="2">
      <c r="B976" s="45" t="str">
        <f>HBL!$AA$1679</f>
        <v>Excess air</v>
      </c>
      <c r="C976"/>
      <c r="D976" s="226">
        <f>IF(VN_EXCESSINLET="","",VN_EXCESSINLET/(VN_EXCESSINLET+VN_AminBZ))</f>
        <v>8.1873242616716718E-2</v>
      </c>
      <c r="E976" s="1">
        <f>IF(O2_KILNINLET="","",O2_KILNINLET)</f>
        <v>1</v>
      </c>
      <c r="F976" s="69" t="str">
        <f>HBL!$AA$1677</f>
        <v>% O2 dry</v>
      </c>
      <c r="G976" s="300">
        <f>IF(VN_EXCESSINLET="","",VN_EXCESSINLET)</f>
        <v>5217.4408524500013</v>
      </c>
      <c r="H976" s="5" t="s">
        <v>458</v>
      </c>
      <c r="I976" s="191">
        <f>IF(G976="","",G976/(M_CLI*1000))</f>
        <v>3.1074692391006558E-2</v>
      </c>
      <c r="J976" s="5" t="s">
        <v>460</v>
      </c>
      <c r="W976" s="1"/>
    </row>
    <row r="977" spans="2:23" ht="12.75" customHeight="1" outlineLevel="2">
      <c r="B977" s="45" t="str">
        <f>HBL!$AA$1449</f>
        <v>at kiln inlet</v>
      </c>
      <c r="W977" s="1"/>
    </row>
    <row r="978" spans="2:23" ht="12.75" customHeight="1" outlineLevel="2">
      <c r="W978" s="1"/>
    </row>
    <row r="979" spans="2:23" ht="12.75" customHeight="1" outlineLevel="2">
      <c r="B979" s="961"/>
      <c r="C979" s="962"/>
      <c r="D979" s="962"/>
      <c r="E979" s="962"/>
      <c r="F979" s="962"/>
      <c r="G979" s="963"/>
      <c r="H979" s="964"/>
      <c r="I979" s="191"/>
      <c r="W979" s="1"/>
    </row>
    <row r="980" spans="2:23" ht="12.75" customHeight="1" outlineLevel="2">
      <c r="B980" s="965"/>
      <c r="C980" s="951"/>
      <c r="D980" s="951"/>
      <c r="E980" s="951"/>
      <c r="F980" s="966"/>
      <c r="G980" s="947" t="s">
        <v>474</v>
      </c>
      <c r="H980" s="967" t="s">
        <v>487</v>
      </c>
      <c r="I980" s="191"/>
      <c r="W980" s="1"/>
    </row>
    <row r="981" spans="2:23" ht="12.75" customHeight="1" outlineLevel="2">
      <c r="B981" s="948"/>
      <c r="C981" s="968"/>
      <c r="D981" s="968"/>
      <c r="E981" s="969"/>
      <c r="F981" s="968"/>
      <c r="G981" s="970"/>
      <c r="H981" s="971"/>
    </row>
    <row r="982" spans="2:23" ht="12.75" customHeight="1" outlineLevel="2">
      <c r="B982" s="108"/>
      <c r="C982" s="109"/>
      <c r="D982" s="109"/>
      <c r="E982" s="109"/>
      <c r="F982" s="109"/>
      <c r="G982" s="111"/>
      <c r="H982" s="126"/>
    </row>
    <row r="983" spans="2:23" ht="12.75" customHeight="1" outlineLevel="2">
      <c r="B983" s="125" t="str">
        <f>HBL!$AA$1314</f>
        <v>INPUT</v>
      </c>
      <c r="C983" s="15"/>
      <c r="D983" s="15"/>
      <c r="E983" s="15"/>
      <c r="F983" s="15"/>
      <c r="G983" s="111"/>
      <c r="H983" s="126"/>
    </row>
    <row r="984" spans="2:23" ht="12.75" customHeight="1" outlineLevel="2">
      <c r="B984" s="73" t="str">
        <f>HBL!$AA$1366</f>
        <v>Total cooling air</v>
      </c>
      <c r="C984" s="15"/>
      <c r="D984" s="15"/>
      <c r="E984" s="15"/>
      <c r="F984" s="15"/>
      <c r="G984" s="322">
        <f>VN_COOLAIR</f>
        <v>333217.24336402596</v>
      </c>
      <c r="H984" s="150">
        <f>VNSP_COOLAIR</f>
        <v>1.9846172922217151</v>
      </c>
    </row>
    <row r="985" spans="2:23" ht="12.75" customHeight="1" outlineLevel="2">
      <c r="B985" s="73" t="str">
        <f>HBL!$AA$1347</f>
        <v>False air</v>
      </c>
      <c r="C985" s="15"/>
      <c r="D985" s="15"/>
      <c r="E985" s="15"/>
      <c r="F985" s="15"/>
      <c r="G985" s="322">
        <f>IF(VNSP_FALSECOOLER="","",VNSP_FALSECOOLER*M_CLI*1000)</f>
        <v>5000</v>
      </c>
      <c r="H985" s="302">
        <f>IF(VNSP_FALSECOOLER="","",VNSP_FALSECOOLER)</f>
        <v>2.9779630732578916E-2</v>
      </c>
    </row>
    <row r="986" spans="2:23" ht="12.75" customHeight="1" outlineLevel="2">
      <c r="B986" s="73"/>
      <c r="C986" s="15"/>
      <c r="D986" s="15"/>
      <c r="E986" s="15"/>
      <c r="F986" s="15"/>
      <c r="G986" s="322"/>
      <c r="H986" s="150"/>
    </row>
    <row r="987" spans="2:23" ht="12.75" customHeight="1" outlineLevel="2">
      <c r="B987" s="96" t="str">
        <f>HBL!$AA$1560</f>
        <v>TOTAL OF INPUTS</v>
      </c>
      <c r="C987" s="13"/>
      <c r="D987" s="13"/>
      <c r="E987" s="13"/>
      <c r="F987" s="13"/>
      <c r="G987" s="323">
        <f>IF(SUM(G984:G985)=0,"",SUM(G984:G985))</f>
        <v>338217.24336402596</v>
      </c>
      <c r="H987" s="151">
        <f>IF(G987="","",G987/(M_CLI*1000))</f>
        <v>2.014396922954294</v>
      </c>
    </row>
    <row r="988" spans="2:23" ht="12.75" customHeight="1" outlineLevel="2">
      <c r="B988" s="73"/>
      <c r="C988" s="15"/>
      <c r="D988" s="15"/>
      <c r="E988" s="15"/>
      <c r="F988" s="15"/>
      <c r="G988" s="322"/>
      <c r="H988" s="150"/>
    </row>
    <row r="989" spans="2:23" ht="12.75" customHeight="1" outlineLevel="2">
      <c r="B989" s="125" t="str">
        <f>HBL!$AA$1244</f>
        <v>OUTPUT</v>
      </c>
      <c r="C989" s="15"/>
      <c r="D989" s="15"/>
      <c r="E989" s="15"/>
      <c r="F989" s="15"/>
      <c r="G989" s="322"/>
      <c r="H989" s="150"/>
    </row>
    <row r="990" spans="2:23" ht="12.75" customHeight="1" outlineLevel="2">
      <c r="B990" s="135" t="str">
        <f>HBL!$AA$1535</f>
        <v>Secondary air</v>
      </c>
      <c r="C990" s="15"/>
      <c r="D990" s="15"/>
      <c r="E990" s="15"/>
      <c r="F990" s="15"/>
      <c r="G990" s="322">
        <f>IF(VN_SECONDAIR="","",VN_SECONDAIR)</f>
        <v>51353.401637300209</v>
      </c>
      <c r="H990" s="150">
        <f>IF(VN_SECONDAIR="","",VN_SECONDAIR/(M_CLI*1000))</f>
        <v>0.30585706752412273</v>
      </c>
    </row>
    <row r="991" spans="2:23" ht="12.75" customHeight="1" outlineLevel="2">
      <c r="B991" s="73" t="str">
        <f>HBL!$AA$1572</f>
        <v>Tertiary air (incl dust)</v>
      </c>
      <c r="F991" s="113"/>
      <c r="G991" s="324">
        <f>IF(VN_TERTAIR="","",VN_TERTAIR)</f>
        <v>74709.986192517099</v>
      </c>
      <c r="H991" s="150">
        <f>IF(VN_TERTAIR="","",VN_TERTAIR/(M_CLI*1000))</f>
        <v>0.44496716016984572</v>
      </c>
    </row>
    <row r="992" spans="2:23" ht="12.75" customHeight="1" outlineLevel="2">
      <c r="B992" s="73" t="str">
        <f>HBL!$AA$1411</f>
        <v>Cooler middle air</v>
      </c>
      <c r="C992" s="15"/>
      <c r="D992" s="15"/>
      <c r="E992" s="15"/>
      <c r="F992" s="15"/>
      <c r="G992" s="322">
        <f>VN_MIDDLE</f>
        <v>0</v>
      </c>
      <c r="H992" s="150" t="str">
        <f>IF(VN_MIDDLE="","",VN_MIDDLE/(M_CLI*1000))</f>
        <v/>
      </c>
    </row>
    <row r="993" spans="1:23" ht="12.75" customHeight="1" outlineLevel="2">
      <c r="B993" s="73" t="str">
        <f>HBL!$AA$1405</f>
        <v>Cooler waste air</v>
      </c>
      <c r="C993" s="15"/>
      <c r="D993" s="15"/>
      <c r="E993" s="15"/>
      <c r="F993" s="15"/>
      <c r="G993" s="322" t="str">
        <f>IF(VN_WASTE="","",VN_WASTE)</f>
        <v/>
      </c>
      <c r="H993" s="150" t="str">
        <f>IF(VNSP_WASTE="","",VNSP_WASTE)</f>
        <v/>
      </c>
    </row>
    <row r="994" spans="1:23" ht="12.75" customHeight="1" outlineLevel="2">
      <c r="B994" s="73" t="str">
        <f>HBL!$AA$1261</f>
        <v>Balance</v>
      </c>
      <c r="C994" s="148">
        <f>IF(G987="","",G994/G987*100)</f>
        <v>62.727096177608466</v>
      </c>
      <c r="D994" s="114" t="s">
        <v>423</v>
      </c>
      <c r="E994" s="15"/>
      <c r="F994" s="15"/>
      <c r="G994" s="322">
        <f>IF(G996="","",G996-SUM(G990:G993))</f>
        <v>212153.85553420865</v>
      </c>
      <c r="H994" s="150">
        <f>IF(G994="","",G994/(M_CLI*1000))</f>
        <v>1.2635726952603255</v>
      </c>
    </row>
    <row r="995" spans="1:23" ht="12.75" customHeight="1" outlineLevel="2">
      <c r="B995" s="73"/>
      <c r="C995" s="15"/>
      <c r="D995" s="15"/>
      <c r="E995" s="15"/>
      <c r="F995" s="15"/>
      <c r="G995" s="322"/>
      <c r="H995" s="150"/>
    </row>
    <row r="996" spans="1:23" ht="12.75" customHeight="1" outlineLevel="2">
      <c r="B996" s="96" t="str">
        <f>HBL!$AA$1559</f>
        <v>TOTAL OF OUTPUTS</v>
      </c>
      <c r="C996" s="13"/>
      <c r="D996" s="13"/>
      <c r="E996" s="13"/>
      <c r="F996" s="13"/>
      <c r="G996" s="323">
        <f>IF(G987="","",G987)</f>
        <v>338217.24336402596</v>
      </c>
      <c r="H996" s="151">
        <f>IF(G996="","",G996/(M_CLI*1000))</f>
        <v>2.014396922954294</v>
      </c>
    </row>
    <row r="997" spans="1:23" ht="12.75" customHeight="1" outlineLevel="1">
      <c r="W997" s="1"/>
    </row>
    <row r="998" spans="1:23" ht="12.75" customHeight="1">
      <c r="W998" s="1"/>
    </row>
    <row r="999" spans="1:23" ht="12.75" customHeight="1">
      <c r="W999" s="1"/>
    </row>
    <row r="1000" spans="1:23" ht="18.75" customHeight="1">
      <c r="B1000" s="911" t="str">
        <f>HBL!$AA$1614</f>
        <v>HEAT BALANCE CLINKER COOLER</v>
      </c>
      <c r="C1000" s="911"/>
      <c r="D1000" s="911"/>
      <c r="E1000" s="911"/>
      <c r="F1000" s="911"/>
      <c r="G1000" s="911"/>
      <c r="H1000" s="911"/>
      <c r="I1000" s="911"/>
      <c r="J1000" s="911"/>
      <c r="K1000" s="911"/>
      <c r="W1000" s="1"/>
    </row>
    <row r="1001" spans="1:23" ht="12.75" customHeight="1" outlineLevel="1">
      <c r="B1001" s="162"/>
      <c r="C1001" s="15"/>
      <c r="D1001" s="15"/>
      <c r="E1001" s="15"/>
      <c r="F1001" s="15"/>
      <c r="W1001" s="1"/>
    </row>
    <row r="1002" spans="1:23" ht="12.75" customHeight="1" outlineLevel="1">
      <c r="B1002"/>
      <c r="C1002" s="15"/>
      <c r="D1002" s="15"/>
      <c r="E1002" s="15"/>
      <c r="F1002" s="15"/>
      <c r="W1002" s="1"/>
    </row>
    <row r="1003" spans="1:23" ht="15.75" outlineLevel="1">
      <c r="B1003" s="913" t="str">
        <f>HBL!$AA$1616</f>
        <v>HEAT INPUT</v>
      </c>
      <c r="C1003" s="913"/>
      <c r="D1003" s="913"/>
      <c r="E1003" s="913"/>
      <c r="F1003" s="913"/>
      <c r="G1003" s="913"/>
      <c r="H1003" s="913"/>
      <c r="I1003" s="913"/>
      <c r="J1003" s="913"/>
      <c r="K1003" s="1016"/>
      <c r="W1003" s="1"/>
    </row>
    <row r="1004" spans="1:23" ht="12.75" customHeight="1" outlineLevel="2">
      <c r="W1004" s="1"/>
    </row>
    <row r="1005" spans="1:23" ht="12.75" customHeight="1" outlineLevel="2">
      <c r="W1005" s="1"/>
    </row>
    <row r="1006" spans="1:23" ht="12.75" customHeight="1" outlineLevel="2">
      <c r="A1006" s="1073">
        <v>51</v>
      </c>
      <c r="B1006" s="1071" t="str">
        <f>HBL!$AA$1425</f>
        <v>CLINKER</v>
      </c>
      <c r="C1006" s="906"/>
      <c r="D1006" s="906"/>
      <c r="E1006" s="917"/>
      <c r="F1006" s="1072"/>
      <c r="W1006" s="1"/>
    </row>
    <row r="1007" spans="1:23" ht="12.75" customHeight="1" outlineLevel="3">
      <c r="F1007" s="214"/>
      <c r="W1007" s="1"/>
    </row>
    <row r="1008" spans="1:23" ht="12.75" customHeight="1" outlineLevel="3">
      <c r="B1008" s="69" t="str">
        <f>HBL!$AA$1434</f>
        <v>Clinker production rate</v>
      </c>
      <c r="F1008" s="72"/>
      <c r="G1008" s="205">
        <f>M_CLI</f>
        <v>167.9</v>
      </c>
      <c r="H1008" s="68" t="s">
        <v>493</v>
      </c>
      <c r="W1008" s="1"/>
    </row>
    <row r="1009" spans="1:23" ht="12.75" customHeight="1" outlineLevel="3">
      <c r="B1009" s="69" t="str">
        <f>HBL!$AA$1435</f>
        <v>Clinker dust recirculation at the kiln discharge</v>
      </c>
      <c r="F1009" s="72"/>
      <c r="G1009" s="205">
        <f>IF(M_CLI="","",IF(CLI_DUST="",,CLI_DUST))</f>
        <v>3</v>
      </c>
      <c r="H1009" s="69" t="s">
        <v>423</v>
      </c>
      <c r="W1009" s="1"/>
    </row>
    <row r="1010" spans="1:23" ht="12.75" customHeight="1" outlineLevel="3">
      <c r="B1010" s="69" t="str">
        <f>HBL!$AA$1429</f>
        <v>Clinker temperature at kiln discharge</v>
      </c>
      <c r="F1010" s="72"/>
      <c r="G1010" s="1" t="str">
        <f>IF(T_CLIHOT="","",T_CLIHOT)</f>
        <v/>
      </c>
      <c r="H1010" s="68" t="s">
        <v>425</v>
      </c>
      <c r="W1010" s="1"/>
    </row>
    <row r="1011" spans="1:23" ht="12.75" customHeight="1" outlineLevel="3">
      <c r="B1011" s="1" t="str">
        <f>HBL!$AA$1293</f>
        <v>cp clinker</v>
      </c>
      <c r="F1011" s="72"/>
      <c r="G1011" s="227" t="str">
        <f>IF(T_CLIHOT="","",((0.729+5.921*10^-4*T_CLIHOT-5.369*10^-7*T_CLIHOT^2+2.124*10^-10*T_CLIHOT^3)*T_CLIHOT-(0.729+5.921*10^-4*20-5.369*10^-7*20^2+2.124*10^-10*20^3)*20)/(T_CLIHOT-20))</f>
        <v/>
      </c>
      <c r="H1011" s="68" t="s">
        <v>429</v>
      </c>
      <c r="W1011" s="1"/>
    </row>
    <row r="1012" spans="1:23" ht="12.75" customHeight="1" outlineLevel="3" thickBot="1">
      <c r="F1012" s="214"/>
      <c r="G1012" s="39"/>
      <c r="I1012" s="39"/>
      <c r="W1012" s="1"/>
    </row>
    <row r="1013" spans="1:23" ht="12.75" customHeight="1" outlineLevel="3" thickBot="1">
      <c r="B1013" s="69" t="str">
        <f>HBL!$AA$1617</f>
        <v>Heat input from hot clinker</v>
      </c>
      <c r="F1013" s="214"/>
      <c r="G1013" s="327" t="e">
        <f>IF(M_CLI="","",M_CLI*(1+CLI_DUST/100)*CP_CLIHOT*(T_CLIHOT-20))</f>
        <v>#VALUE!</v>
      </c>
      <c r="H1013" s="41" t="s">
        <v>501</v>
      </c>
      <c r="I1013" s="1061" t="e">
        <f>IF(G1013="","",G1013/M_CLI)</f>
        <v>#VALUE!</v>
      </c>
      <c r="J1013" s="68" t="s">
        <v>443</v>
      </c>
      <c r="W1013" s="1"/>
    </row>
    <row r="1014" spans="1:23" ht="12.75" customHeight="1" outlineLevel="3" thickTop="1">
      <c r="W1014" s="1"/>
    </row>
    <row r="1015" spans="1:23" ht="12.75" customHeight="1" outlineLevel="2">
      <c r="F1015" s="214"/>
      <c r="G1015" s="221"/>
      <c r="H1015" s="69"/>
      <c r="I1015" s="221"/>
      <c r="J1015" s="69"/>
      <c r="W1015" s="1"/>
    </row>
    <row r="1016" spans="1:23" ht="12.75" customHeight="1" outlineLevel="2">
      <c r="A1016" s="1073">
        <v>52</v>
      </c>
      <c r="B1016" s="1071" t="str">
        <f>HBL!$AA$1407</f>
        <v>COOLING AIR</v>
      </c>
      <c r="C1016" s="906"/>
      <c r="D1016" s="906"/>
      <c r="E1016" s="917"/>
      <c r="F1016" s="1072"/>
      <c r="H1016" s="3"/>
      <c r="I1016" s="3"/>
      <c r="J1016" s="3"/>
      <c r="W1016" s="1"/>
    </row>
    <row r="1017" spans="1:23" ht="12.75" customHeight="1" outlineLevel="3">
      <c r="B1017" s="18"/>
      <c r="C1017" s="3"/>
      <c r="D1017" s="3"/>
      <c r="E1017" s="3"/>
      <c r="F1017" s="3"/>
      <c r="G1017" s="3"/>
      <c r="H1017" s="3"/>
      <c r="I1017" s="3"/>
      <c r="J1017" s="3"/>
    </row>
    <row r="1018" spans="1:23" ht="12.75" customHeight="1" outlineLevel="3"/>
    <row r="1019" spans="1:23" ht="12.75" customHeight="1" outlineLevel="3">
      <c r="B1019" s="1109" t="str">
        <f>HBL!$AA$1591</f>
        <v>Fan</v>
      </c>
      <c r="C1019" s="1110">
        <v>1</v>
      </c>
      <c r="D1019" s="1110">
        <v>2</v>
      </c>
      <c r="E1019" s="1110">
        <v>3</v>
      </c>
      <c r="F1019" s="1110">
        <v>4</v>
      </c>
      <c r="G1019" s="1110">
        <v>5</v>
      </c>
      <c r="H1019" s="1110">
        <v>6</v>
      </c>
      <c r="I1019" s="1110">
        <v>7</v>
      </c>
      <c r="J1019" s="1110">
        <v>8</v>
      </c>
    </row>
    <row r="1020" spans="1:23" ht="12.75" customHeight="1" outlineLevel="3">
      <c r="B1020" s="78" t="s">
        <v>473</v>
      </c>
      <c r="C1020" s="89">
        <f>IF(T_FAN1=0,"",T_FAN1)</f>
        <v>30</v>
      </c>
      <c r="D1020" s="89">
        <f>IF(T_FAN2=0,"",T_FAN2)</f>
        <v>30</v>
      </c>
      <c r="E1020" s="89">
        <f>IF(T_FAN3=0,"",T_FAN3)</f>
        <v>30</v>
      </c>
      <c r="F1020" s="89">
        <f>IF(T_FAN4=0,"",T_FAN4)</f>
        <v>30</v>
      </c>
      <c r="G1020" s="89">
        <f>IF(T_FAN5=0,"",T_FAN5)</f>
        <v>30</v>
      </c>
      <c r="H1020" s="89">
        <f>IF(T_FAN6=0,"",T_FAN6)</f>
        <v>30</v>
      </c>
      <c r="I1020" s="89">
        <f>IF(T_FAN7=0,"",T_FAN7)</f>
        <v>30</v>
      </c>
      <c r="J1020" s="89">
        <f>IF(T_FAN8=0,"",T_FAN8)</f>
        <v>30</v>
      </c>
    </row>
    <row r="1021" spans="1:23" ht="12.75" customHeight="1" outlineLevel="3">
      <c r="B1021" s="78" t="s">
        <v>474</v>
      </c>
      <c r="C1021" s="338">
        <f>IF(VN_FAN1="","",VN_FAN1)</f>
        <v>36162.507906142178</v>
      </c>
      <c r="D1021" s="338">
        <f>IF(VN_FAN2="","",VN_FAN2)</f>
        <v>37059.465985346571</v>
      </c>
      <c r="E1021" s="338">
        <f>IF(VN_FAN3="","",VN_FAN3)</f>
        <v>36730.877382073675</v>
      </c>
      <c r="F1021" s="338">
        <f>IF(VN_FAN4="","",VN_FAN4)</f>
        <v>38427.105036806781</v>
      </c>
      <c r="G1021" s="338">
        <f>IF(VN_FAN5="","",VN_FAN5)</f>
        <v>40050.560561753802</v>
      </c>
      <c r="H1021" s="338">
        <f>IF(VN_FAN6="","",VN_FAN6)</f>
        <v>37465.094510406801</v>
      </c>
      <c r="I1021" s="338">
        <f>IF(VN_FAN7="","",VN_FAN7)</f>
        <v>27939.288621140637</v>
      </c>
      <c r="J1021" s="338">
        <f>IF(VN_FAN8="","",VN_FAN8)</f>
        <v>25794.880044628953</v>
      </c>
    </row>
    <row r="1022" spans="1:23" ht="12.75" customHeight="1" outlineLevel="3">
      <c r="B1022" s="78" t="s">
        <v>486</v>
      </c>
      <c r="C1022" s="89">
        <f>IF(C1021="","",C752)</f>
        <v>470.12210664855132</v>
      </c>
      <c r="D1022" s="89">
        <f t="shared" ref="D1022:J1022" si="11">IF(D1021="","",D752)</f>
        <v>481.78279740776117</v>
      </c>
      <c r="E1022" s="89">
        <f t="shared" si="11"/>
        <v>477.51105920884265</v>
      </c>
      <c r="F1022" s="89">
        <f t="shared" si="11"/>
        <v>499.56246450596302</v>
      </c>
      <c r="G1022" s="89">
        <f t="shared" si="11"/>
        <v>520.66781299062075</v>
      </c>
      <c r="H1022" s="89">
        <f t="shared" si="11"/>
        <v>487.05607483677682</v>
      </c>
      <c r="I1022" s="89">
        <f t="shared" si="11"/>
        <v>363.21809479927089</v>
      </c>
      <c r="J1022" s="89">
        <f t="shared" si="11"/>
        <v>335.34021973260099</v>
      </c>
    </row>
    <row r="1023" spans="1:23" ht="12.75" customHeight="1" outlineLevel="3">
      <c r="B1023" s="1109" t="str">
        <f>HBL!$AA$1591</f>
        <v>Fan</v>
      </c>
      <c r="C1023" s="1110">
        <v>9</v>
      </c>
      <c r="D1023" s="1110">
        <v>10</v>
      </c>
      <c r="E1023" s="1110">
        <v>11</v>
      </c>
      <c r="F1023" s="1110">
        <v>12</v>
      </c>
      <c r="G1023" s="1111">
        <v>13</v>
      </c>
      <c r="H1023" s="1112"/>
      <c r="I1023" s="1110"/>
      <c r="J1023" s="1110"/>
    </row>
    <row r="1024" spans="1:23" ht="12.75" customHeight="1" outlineLevel="3">
      <c r="B1024" s="78" t="s">
        <v>473</v>
      </c>
      <c r="C1024" s="89">
        <f>IF(T_FAN9=0,"",T_FAN9)</f>
        <v>30</v>
      </c>
      <c r="D1024" s="89">
        <f>IF(T_FAN10=0,"",T_FAN10)</f>
        <v>30</v>
      </c>
      <c r="E1024" s="89" t="str">
        <f>IF(T_FAN11=0,"",T_FAN11)</f>
        <v/>
      </c>
      <c r="F1024" s="89" t="str">
        <f>IF(T_FAN12=0,"",T_FAN12)</f>
        <v/>
      </c>
      <c r="G1024" s="89" t="str">
        <f>IF(T_FAN13=0,"",T_FAN13)</f>
        <v/>
      </c>
      <c r="H1024" s="198"/>
      <c r="I1024" s="89"/>
      <c r="J1024" s="89"/>
    </row>
    <row r="1025" spans="1:10" ht="12.75" customHeight="1" outlineLevel="3">
      <c r="B1025" s="78" t="s">
        <v>474</v>
      </c>
      <c r="C1025" s="338">
        <f>IF(VN_FAN9="","",VN_FAN9)</f>
        <v>25079.240363830693</v>
      </c>
      <c r="D1025" s="338">
        <f>IF(VN_FAN10="","",VN_FAN10)</f>
        <v>28508.222951895837</v>
      </c>
      <c r="E1025" s="338" t="str">
        <f>IF(VN_FAN11="","",VN_FAN11)</f>
        <v/>
      </c>
      <c r="F1025" s="338" t="str">
        <f>IF(VN_FAN12="","",VN_FAN12)</f>
        <v/>
      </c>
      <c r="G1025" s="338" t="str">
        <f>IF(VN_FAN13="","",VN_FAN13)</f>
        <v/>
      </c>
      <c r="H1025" s="339"/>
      <c r="I1025" s="338"/>
      <c r="J1025" s="338"/>
    </row>
    <row r="1026" spans="1:10" ht="12.75" customHeight="1" outlineLevel="3">
      <c r="B1026" s="32" t="s">
        <v>486</v>
      </c>
      <c r="C1026" s="199">
        <f>IF(C1025="","",(((1.297+0.0000575*T_FAN9+0.0000000806*T_FAN9^2-0.0000000000286*T_FAN9^3)*T_FAN9-(1.297+0.0000575*20+0.0000000806*20^2-0.0000000000286*20^3)*20)/(T_FAN9-20)))</f>
        <v>1.3000262810000003</v>
      </c>
      <c r="D1026" s="199">
        <f>IF(D1025="","",(((1.297+0.0000575*T_FAN10+0.0000000806*T_FAN10^2-0.0000000000286*T_FAN10^3)*T_FAN10-(1.297+0.0000575*20+0.0000000806*20^2-0.0000000000286*20^3)*20)/(T_FAN10-20)))</f>
        <v>1.3000262810000003</v>
      </c>
      <c r="E1026" s="199" t="str">
        <f>IF(E1025="","",(((1.297+0.0000575*T_FAN11+0.0000000806*T_FAN11^2-0.0000000000286*T_FAN11^3)*T_FAN11-(1.297+0.0000575*20+0.0000000806*20^2-0.0000000000286*20^3)*20)/(T_FAN11-20)))</f>
        <v/>
      </c>
      <c r="F1026" s="199" t="str">
        <f>IF(F1025="","",(((1.297+0.0000575*T_FAN12+0.0000000806*T_FAN12^2-0.0000000000286*T_FAN12^3)*T_FAN12-(1.297+0.0000575*20+0.0000000806*20^2-0.0000000000286*20^3)*20)/(T_FAN12-20)))</f>
        <v/>
      </c>
      <c r="G1026" s="199" t="str">
        <f>IF(G1025="","",(((1.297+0.0000575*T_FAN13+0.0000000806*T_FAN13^2-0.0000000000286*T_FAN13^3)*T_FAN13-(1.297+0.0000575*20+0.0000000806*20^2-0.0000000000286*20^3)*20)/(T_FAN13-20)))</f>
        <v/>
      </c>
      <c r="H1026" s="200"/>
      <c r="I1026" s="199"/>
      <c r="J1026" s="199"/>
    </row>
    <row r="1027" spans="1:10" ht="12.75" customHeight="1" outlineLevel="3">
      <c r="B1027" s="3"/>
      <c r="C1027" s="22"/>
      <c r="D1027" s="22"/>
      <c r="E1027" s="22"/>
      <c r="F1027" s="22"/>
      <c r="G1027" s="22"/>
      <c r="H1027" s="158"/>
      <c r="I1027" s="22"/>
      <c r="J1027" s="22"/>
    </row>
    <row r="1028" spans="1:10" ht="12.75" customHeight="1" outlineLevel="3" thickBot="1">
      <c r="B1028" s="3"/>
      <c r="C1028" s="3"/>
      <c r="D1028" s="3"/>
      <c r="E1028" s="3"/>
      <c r="F1028" s="3"/>
      <c r="G1028" s="3"/>
      <c r="H1028" s="3"/>
      <c r="I1028" s="3"/>
      <c r="J1028" s="3"/>
    </row>
    <row r="1029" spans="1:10" ht="12.75" customHeight="1" outlineLevel="3" thickBot="1">
      <c r="B1029" s="3" t="str">
        <f>HBL!$AA$1618</f>
        <v>Heat input from cooling air</v>
      </c>
      <c r="C1029" s="3"/>
      <c r="D1029" s="3"/>
      <c r="E1029" s="3"/>
      <c r="F1029" s="3"/>
      <c r="G1029" s="337">
        <f>G759</f>
        <v>4331.9117365560669</v>
      </c>
      <c r="H1029" s="158" t="s">
        <v>501</v>
      </c>
      <c r="I1029" s="1059">
        <f>IF(G1029="","",G1029/M_CLI)</f>
        <v>25.800546376152869</v>
      </c>
      <c r="J1029" s="9" t="s">
        <v>443</v>
      </c>
    </row>
    <row r="1030" spans="1:10" ht="12.75" customHeight="1" outlineLevel="3" thickTop="1"/>
    <row r="1031" spans="1:10" ht="12.75" customHeight="1" outlineLevel="2">
      <c r="F1031" s="214"/>
      <c r="G1031" s="221"/>
      <c r="H1031" s="69"/>
    </row>
    <row r="1032" spans="1:10" ht="12.75" customHeight="1" outlineLevel="2">
      <c r="A1032" s="1073">
        <v>53</v>
      </c>
      <c r="B1032" s="1071" t="str">
        <f>HBL!$AA$1346</f>
        <v>FALSE AIR</v>
      </c>
      <c r="C1032" s="906"/>
      <c r="D1032" s="906"/>
      <c r="E1032" s="917"/>
      <c r="F1032" s="1072"/>
      <c r="G1032" s="221"/>
      <c r="H1032" s="69"/>
    </row>
    <row r="1033" spans="1:10" ht="12.75" customHeight="1" outlineLevel="3">
      <c r="F1033" s="214"/>
      <c r="G1033" s="221"/>
      <c r="H1033" s="69"/>
    </row>
    <row r="1034" spans="1:10" ht="12.75" customHeight="1" outlineLevel="3">
      <c r="B1034" s="1" t="str">
        <f>HBL!$AA$1602</f>
        <v>Flowrate air</v>
      </c>
      <c r="F1034" s="214"/>
      <c r="G1034" s="331">
        <f>IF(VN_FALSECOOLER="","",VN_FALSECOOLER)</f>
        <v>5000</v>
      </c>
      <c r="H1034" s="68" t="s">
        <v>458</v>
      </c>
    </row>
    <row r="1035" spans="1:10" ht="12.75" customHeight="1" outlineLevel="3">
      <c r="B1035" s="1" t="str">
        <f>HBL!$AA$1564</f>
        <v>Temperature</v>
      </c>
      <c r="F1035" s="214"/>
      <c r="G1035" s="228">
        <f>IF(VN_FALSECOOLER="","",TAMB)</f>
        <v>20.399999999999999</v>
      </c>
      <c r="H1035" s="68" t="s">
        <v>425</v>
      </c>
    </row>
    <row r="1036" spans="1:10" ht="12.75" customHeight="1" outlineLevel="3">
      <c r="B1036" s="1" t="str">
        <f>HBL!$AA$1297</f>
        <v>cp air</v>
      </c>
      <c r="F1036" s="214"/>
      <c r="G1036" s="229">
        <f>IF(VN_FALSECOOLER="","",IF(VN_FALSECOOLER=20,1.29,((1.297+0.0000575*TAMB+0.0000000806*TAMB^2-0.0000000000286*TAMB^3)*TAMB-(1.297+0.0000575*20+0.0000000806*20^2-0.0000000000286*20^3)*20)/(TAMB-20)))</f>
        <v>1.2994207242721114</v>
      </c>
      <c r="H1036" s="68" t="s">
        <v>456</v>
      </c>
    </row>
    <row r="1037" spans="1:10" ht="12.75" customHeight="1" outlineLevel="3" thickBot="1">
      <c r="F1037" s="214"/>
      <c r="G1037" s="221"/>
      <c r="H1037" s="69"/>
    </row>
    <row r="1038" spans="1:10" ht="12.75" customHeight="1" outlineLevel="3" thickBot="1">
      <c r="B1038" s="68" t="str">
        <f>HBL!$AA$1331</f>
        <v>Heat input via false air</v>
      </c>
      <c r="F1038" s="214"/>
      <c r="G1038" s="223">
        <f>IF(VN_FALSECOOLER="","",VN_FALSECOOLER*CP_FALSEAIR*(TAMB-20)/1000)</f>
        <v>2.5988414485442135</v>
      </c>
      <c r="H1038" s="68" t="s">
        <v>501</v>
      </c>
      <c r="I1038" s="972">
        <f>IF(VN_FALSECOOLER="","",G1038/M_CLI)</f>
        <v>1.5478507734033434E-2</v>
      </c>
      <c r="J1038" s="9" t="s">
        <v>443</v>
      </c>
    </row>
    <row r="1039" spans="1:10" ht="12.75" customHeight="1" outlineLevel="3" thickTop="1">
      <c r="F1039" s="214"/>
      <c r="G1039" s="221"/>
      <c r="H1039" s="69"/>
    </row>
    <row r="1040" spans="1:10" ht="12.75" customHeight="1" outlineLevel="2">
      <c r="F1040" s="214"/>
      <c r="G1040" s="221"/>
      <c r="H1040" s="69"/>
    </row>
    <row r="1041" spans="1:11" ht="12.75" customHeight="1" outlineLevel="2">
      <c r="A1041" s="1073">
        <v>54</v>
      </c>
      <c r="B1041" s="1071" t="str">
        <f>HBL!$AA$1652</f>
        <v>OTHER HEAT INPUT</v>
      </c>
      <c r="C1041" s="906"/>
      <c r="D1041" s="906"/>
      <c r="E1041" s="917"/>
      <c r="F1041" s="1072"/>
      <c r="G1041" s="188"/>
      <c r="H1041" s="9"/>
      <c r="I1041" s="34"/>
      <c r="J1041" s="3"/>
    </row>
    <row r="1042" spans="1:11" ht="12.75" customHeight="1" outlineLevel="3">
      <c r="B1042" s="3"/>
      <c r="C1042" s="3"/>
      <c r="D1042" s="3"/>
      <c r="E1042" s="3"/>
      <c r="F1042" s="3"/>
      <c r="G1042" s="188"/>
      <c r="H1042" s="9"/>
      <c r="I1042" s="34"/>
      <c r="J1042" s="3"/>
    </row>
    <row r="1043" spans="1:11" ht="12.75" customHeight="1" outlineLevel="3" thickBot="1">
      <c r="B1043" s="230"/>
      <c r="C1043" s="230"/>
      <c r="D1043" s="230"/>
      <c r="E1043" s="230"/>
      <c r="F1043" s="230"/>
      <c r="G1043" s="231"/>
      <c r="H1043" s="232"/>
      <c r="I1043" s="233"/>
      <c r="J1043" s="230"/>
    </row>
    <row r="1044" spans="1:11" ht="12.75" customHeight="1" outlineLevel="3" thickBot="1">
      <c r="B1044" s="230"/>
      <c r="C1044" s="230"/>
      <c r="D1044" s="230"/>
      <c r="E1044" s="230"/>
      <c r="F1044" s="230"/>
      <c r="G1044" s="234"/>
      <c r="H1044" s="235" t="s">
        <v>501</v>
      </c>
      <c r="I1044" s="1070" t="str">
        <f>IF(G1044="","",G1044/M_CLI)</f>
        <v/>
      </c>
      <c r="J1044" s="232" t="s">
        <v>443</v>
      </c>
    </row>
    <row r="1045" spans="1:11" ht="12.75" customHeight="1" outlineLevel="2" thickTop="1">
      <c r="B1045" s="3"/>
      <c r="C1045" s="3"/>
      <c r="D1045" s="3"/>
      <c r="E1045" s="3"/>
      <c r="F1045" s="3"/>
      <c r="G1045" s="188"/>
      <c r="H1045" s="158"/>
      <c r="I1045" s="34"/>
      <c r="J1045" s="9"/>
    </row>
    <row r="1046" spans="1:11" ht="12.75" customHeight="1" outlineLevel="1">
      <c r="B1046" s="3"/>
      <c r="C1046" s="3"/>
      <c r="D1046" s="3"/>
      <c r="E1046" s="3"/>
      <c r="F1046" s="3"/>
      <c r="G1046" s="188"/>
      <c r="H1046" s="158"/>
      <c r="I1046" s="34"/>
      <c r="J1046" s="9"/>
    </row>
    <row r="1047" spans="1:11" ht="15.75" outlineLevel="1">
      <c r="B1047" s="913" t="str">
        <f>HBL!$AA$1610</f>
        <v>HEAT OUTPUT</v>
      </c>
      <c r="C1047" s="913"/>
      <c r="D1047" s="913"/>
      <c r="E1047" s="913"/>
      <c r="F1047" s="913"/>
      <c r="G1047" s="913"/>
      <c r="H1047" s="913"/>
      <c r="I1047" s="913"/>
      <c r="J1047" s="913"/>
      <c r="K1047" s="1016"/>
    </row>
    <row r="1048" spans="1:11" ht="12.75" customHeight="1" outlineLevel="2">
      <c r="B1048" s="216"/>
      <c r="C1048" s="15"/>
      <c r="F1048" s="214"/>
    </row>
    <row r="1049" spans="1:11" ht="12.75" customHeight="1" outlineLevel="2">
      <c r="F1049" s="39"/>
    </row>
    <row r="1050" spans="1:11" ht="12.75" customHeight="1" outlineLevel="2">
      <c r="A1050" s="1073">
        <v>61</v>
      </c>
      <c r="B1050" s="1071" t="str">
        <f>HBL!$AA$1425</f>
        <v>CLINKER</v>
      </c>
      <c r="C1050" s="906"/>
      <c r="D1050" s="906"/>
      <c r="E1050" s="917"/>
      <c r="F1050" s="1072"/>
    </row>
    <row r="1051" spans="1:11" ht="12.75" customHeight="1" outlineLevel="3">
      <c r="F1051" s="39"/>
    </row>
    <row r="1052" spans="1:11" ht="12.75" customHeight="1" outlineLevel="3">
      <c r="B1052" s="68" t="str">
        <f>HBL!$AA$1434</f>
        <v>Clinker production rate</v>
      </c>
      <c r="F1052" s="39"/>
      <c r="G1052" s="31">
        <f>M_CLI</f>
        <v>167.9</v>
      </c>
      <c r="H1052" s="5" t="s">
        <v>493</v>
      </c>
    </row>
    <row r="1053" spans="1:11" ht="12.75" customHeight="1" outlineLevel="3">
      <c r="B1053" s="68" t="str">
        <f>HBL!$AA$1431</f>
        <v>Clinker exit temperature at cooler discharge</v>
      </c>
      <c r="F1053" s="72"/>
      <c r="G1053" s="71" t="str">
        <f>IF(T_CLI="","",T_CLI)</f>
        <v/>
      </c>
      <c r="H1053" s="68" t="s">
        <v>425</v>
      </c>
    </row>
    <row r="1054" spans="1:11" ht="12.75" customHeight="1" outlineLevel="3">
      <c r="B1054" s="1" t="str">
        <f>HBL!$AA$1293</f>
        <v>cp clinker</v>
      </c>
      <c r="F1054" s="72"/>
      <c r="G1054" s="215" t="str">
        <f>CP_CLI</f>
        <v/>
      </c>
      <c r="H1054" s="68" t="s">
        <v>442</v>
      </c>
    </row>
    <row r="1055" spans="1:11" ht="12.75" customHeight="1" outlineLevel="3" thickBot="1">
      <c r="F1055" s="214"/>
      <c r="G1055" s="39"/>
    </row>
    <row r="1056" spans="1:11" ht="12.75" customHeight="1" outlineLevel="3" thickBot="1">
      <c r="B1056" s="69" t="str">
        <f>HBL!$AA$1325</f>
        <v>Heat output via the clinker</v>
      </c>
      <c r="F1056" s="214"/>
      <c r="G1056" s="327" t="e">
        <f>IF(M_CLI="","",M_CLI*CP_CLI*(T_CLI-20))</f>
        <v>#VALUE!</v>
      </c>
      <c r="H1056" s="68" t="s">
        <v>501</v>
      </c>
      <c r="I1056" s="1061" t="e">
        <f>IF(G1056="","",G1056/M_CLI)</f>
        <v>#VALUE!</v>
      </c>
      <c r="J1056" s="9" t="s">
        <v>443</v>
      </c>
    </row>
    <row r="1057" spans="1:14" ht="12.75" customHeight="1" outlineLevel="3" thickTop="1">
      <c r="F1057" s="214"/>
      <c r="G1057" s="221"/>
      <c r="H1057" s="69"/>
      <c r="I1057" s="224"/>
      <c r="J1057" s="69"/>
      <c r="L1057" s="45"/>
    </row>
    <row r="1058" spans="1:14" ht="12.75" customHeight="1" outlineLevel="2">
      <c r="F1058" s="214"/>
    </row>
    <row r="1059" spans="1:14" ht="12.75" customHeight="1" outlineLevel="2">
      <c r="A1059" s="1073">
        <v>62</v>
      </c>
      <c r="B1059" s="1071" t="str">
        <f>HBL!$AA$1524</f>
        <v>SECONDARY AIR AND WATER VAPOR</v>
      </c>
      <c r="C1059" s="906"/>
      <c r="D1059" s="906"/>
      <c r="E1059" s="917"/>
      <c r="F1059" s="1072"/>
      <c r="G1059" s="39"/>
      <c r="I1059" s="39"/>
      <c r="N1059" s="31"/>
    </row>
    <row r="1060" spans="1:14" ht="12.75" customHeight="1" outlineLevel="3">
      <c r="F1060" s="39"/>
    </row>
    <row r="1061" spans="1:14" ht="12.75" customHeight="1" outlineLevel="3">
      <c r="B1061" s="1" t="str">
        <f>HBL!$AA$1602</f>
        <v>Flowrate air</v>
      </c>
      <c r="F1061" s="72"/>
      <c r="G1061" s="326">
        <f>VN_SECONDAIR</f>
        <v>51353.401637300209</v>
      </c>
      <c r="H1061" s="68" t="s">
        <v>458</v>
      </c>
      <c r="I1061" s="236"/>
    </row>
    <row r="1062" spans="1:14" ht="12.75" customHeight="1" outlineLevel="3">
      <c r="B1062" s="1" t="str">
        <f>HBL!$AA$1606</f>
        <v>Water flowrate</v>
      </c>
      <c r="F1062" s="72"/>
      <c r="G1062" s="326">
        <f>VN_H2OCOOLER</f>
        <v>0</v>
      </c>
      <c r="H1062" s="68" t="s">
        <v>458</v>
      </c>
      <c r="I1062" s="236"/>
    </row>
    <row r="1063" spans="1:14" ht="12.75" customHeight="1" outlineLevel="3">
      <c r="B1063" s="1" t="str">
        <f>HBL!$AA$1564</f>
        <v>Temperature</v>
      </c>
      <c r="F1063" s="214"/>
      <c r="G1063" s="46" t="str">
        <f>IF(T_SECONDAIR="","",T_SECONDAIR)</f>
        <v/>
      </c>
      <c r="H1063" s="5" t="s">
        <v>425</v>
      </c>
    </row>
    <row r="1064" spans="1:14" ht="12.75" customHeight="1" outlineLevel="3">
      <c r="B1064" s="1" t="str">
        <f>HBL!$AA$1297</f>
        <v>cp air</v>
      </c>
      <c r="E1064" s="237"/>
      <c r="F1064" s="214"/>
      <c r="G1064" s="237" t="str">
        <f>IF(T_SECONDAIR="","",IF(T_SECONDAIR&lt;500,"ERROR",((1.297+0.0000575*T_SECONDAIR+0.0000000806*T_SECONDAIR^2-0.0000000000286*T_SECONDAIR^3)*T_SECONDAIR-(1.297+0.0000575*20+0.0000000806*20^2-0.0000000000286*20^3)*20)/(T_SECONDAIR-20)))</f>
        <v/>
      </c>
      <c r="H1064" s="5" t="s">
        <v>456</v>
      </c>
    </row>
    <row r="1065" spans="1:14" ht="12.75" customHeight="1" outlineLevel="3">
      <c r="B1065" s="1" t="str">
        <f>HBL!$AA$1302</f>
        <v>cp water vapor</v>
      </c>
      <c r="F1065" s="214"/>
      <c r="G1065" s="193" t="str">
        <f>IF(OR(T_SECONDAIR="", VN_H2OCOOLER=""),"",IF(T_SECONDAIR&lt;600,"ERROR",IF(T_SECONDAIR&gt;1450,"ERROR",1.62+(1.75-1.62)/(1100-600)*(T_SECONDAIR-600))))</f>
        <v/>
      </c>
      <c r="H1065" s="5" t="s">
        <v>456</v>
      </c>
    </row>
    <row r="1066" spans="1:14" ht="12.75" customHeight="1" outlineLevel="3">
      <c r="F1066" s="214"/>
      <c r="G1066" s="330" t="e">
        <f>IF(VN_SECONDAIR="","", IF(VN_H2OCOOLER="", VN_SECONDAIR*CP_SECONDAIR*(T_SECONDAIR-20)/1000, VN_SECONDAIR*CP_SECONDAIR*(T_SECONDAIR-20)/1000+VN_TERTAIR/(VN_TERTAIR+VN_SECONDAIR)*VN_H2OCOOLER*CP_H2Ovap*(T_SECONDAIR-20)/1000))</f>
        <v>#VALUE!</v>
      </c>
      <c r="H1066" s="68" t="s">
        <v>501</v>
      </c>
    </row>
    <row r="1067" spans="1:14" ht="12.75" customHeight="1" outlineLevel="3">
      <c r="F1067" s="214"/>
      <c r="G1067" s="237"/>
      <c r="H1067" s="5"/>
    </row>
    <row r="1068" spans="1:14" ht="12.75" customHeight="1" outlineLevel="3">
      <c r="B1068" s="1" t="str">
        <f>HBL!$AA$1435</f>
        <v>Clinker dust recirculation at the kiln discharge</v>
      </c>
      <c r="F1068" s="214"/>
      <c r="G1068" s="195">
        <f>IF(M_CLI="","",M_CLI*CLI_DUST/100*VN_SECONDAIR/(VN_TERTAIR+VN_SECONDAIR))</f>
        <v>2.0518811091787872</v>
      </c>
      <c r="H1068" s="45" t="s">
        <v>493</v>
      </c>
      <c r="I1068" t="s">
        <v>1266</v>
      </c>
    </row>
    <row r="1069" spans="1:14" ht="12.75" customHeight="1" outlineLevel="3">
      <c r="B1069" s="1" t="str">
        <f>HBL!$AA$1294</f>
        <v>cp clinker dust</v>
      </c>
      <c r="F1069" s="214"/>
      <c r="G1069" s="193" t="str">
        <f>IF(M_CLIDUST="","",IF(T_SECONDAIR&lt;500,"ERROR",((0.729+5.921*10^-4*T_SECONDAIR-5.369*10^-7*T_SECONDAIR^2+2.124*10^-10*T_SECONDAIR^3)*T_SECONDAIR-(0.729+5.921*10^-4*20-5.369*10^-7*20^2+2.124*10^-10*20^3)*20)/(T_SECONDAIR-20)))</f>
        <v>ERROR</v>
      </c>
      <c r="H1069" s="45" t="s">
        <v>430</v>
      </c>
    </row>
    <row r="1070" spans="1:14" ht="12.75" customHeight="1" outlineLevel="3">
      <c r="F1070" s="214"/>
      <c r="G1070" s="195" t="e">
        <f>IF(M_CLIDUST="","",M_CLIDUST*CP_CLIDUST*(T_SECONDAIR-20))</f>
        <v>#VALUE!</v>
      </c>
      <c r="H1070" s="68" t="s">
        <v>501</v>
      </c>
    </row>
    <row r="1071" spans="1:14" ht="12.75" customHeight="1" outlineLevel="3" thickBot="1">
      <c r="B1071" s="69"/>
      <c r="F1071" s="72"/>
      <c r="G1071" s="39"/>
      <c r="H1071" s="69"/>
    </row>
    <row r="1072" spans="1:14" ht="12.75" customHeight="1" outlineLevel="3" thickBot="1">
      <c r="B1072" s="68" t="str">
        <f>HBL!$AA$1326</f>
        <v>Heat output via secondary air</v>
      </c>
      <c r="F1072" s="72"/>
      <c r="G1072" s="325" t="e">
        <f>IF(G1066="","",IF(G1070="",G1066,G1066+G1070))</f>
        <v>#VALUE!</v>
      </c>
      <c r="H1072" s="68" t="s">
        <v>501</v>
      </c>
      <c r="I1072" s="1061" t="e">
        <f>IF(G1072="","",G1072/M_CLI)</f>
        <v>#VALUE!</v>
      </c>
      <c r="J1072" s="9" t="s">
        <v>443</v>
      </c>
    </row>
    <row r="1073" spans="1:17" ht="12.75" customHeight="1" outlineLevel="3" thickTop="1">
      <c r="B1073" s="68"/>
      <c r="F1073" s="72"/>
      <c r="G1073" s="404"/>
      <c r="H1073" s="68"/>
      <c r="I1073" s="205"/>
      <c r="J1073" s="9"/>
      <c r="Q1073" s="487"/>
    </row>
    <row r="1074" spans="1:17" ht="12.75" customHeight="1" outlineLevel="3">
      <c r="B1074" s="1" t="str">
        <f>HBL!$AA$1435</f>
        <v>Clinker dust recirculation at the kiln discharge</v>
      </c>
      <c r="F1074" s="214"/>
      <c r="G1074" s="195">
        <f>IF(M_CLI="","",M_CLI*CLI_DUST/100)</f>
        <v>5.0370000000000008</v>
      </c>
      <c r="H1074" s="45" t="s">
        <v>493</v>
      </c>
      <c r="I1074" s="812" t="s">
        <v>288</v>
      </c>
      <c r="J1074" s="9"/>
      <c r="Q1074" s="487"/>
    </row>
    <row r="1075" spans="1:17" ht="12.75" customHeight="1" outlineLevel="3">
      <c r="B1075" s="1" t="str">
        <f>HBL!$AA$1294&amp; " @"&amp; G1010&amp;"°C"</f>
        <v>cp clinker dust @°C</v>
      </c>
      <c r="F1075" s="214"/>
      <c r="G1075" s="193" t="str">
        <f>CP_CLIHOT</f>
        <v/>
      </c>
      <c r="H1075" s="45" t="s">
        <v>430</v>
      </c>
      <c r="I1075" s="205"/>
      <c r="J1075" s="9"/>
      <c r="Q1075" s="487"/>
    </row>
    <row r="1076" spans="1:17" ht="12.75" customHeight="1" outlineLevel="3">
      <c r="F1076" s="214"/>
      <c r="G1076" s="195" t="e">
        <f>IF(M_CLIDUST="","",G1074*G1075*(1450-20))</f>
        <v>#VALUE!</v>
      </c>
      <c r="H1076" s="68" t="s">
        <v>501</v>
      </c>
      <c r="I1076" s="205"/>
      <c r="J1076" s="9"/>
      <c r="Q1076" s="487"/>
    </row>
    <row r="1077" spans="1:17" ht="12.75" customHeight="1" outlineLevel="3" thickBot="1">
      <c r="I1077" s="205"/>
      <c r="J1077" s="9"/>
      <c r="Q1077" s="487"/>
    </row>
    <row r="1078" spans="1:17" ht="12.75" customHeight="1" outlineLevel="3" thickBot="1">
      <c r="B1078" s="1" t="s">
        <v>908</v>
      </c>
      <c r="G1078" s="325" t="e">
        <f>G1072+G1091-G1029*(F542+F544)/F534-G1076</f>
        <v>#VALUE!</v>
      </c>
      <c r="H1078" s="1" t="s">
        <v>501</v>
      </c>
      <c r="I1078" s="1061" t="e">
        <f>IF(G1078="","",G1078/M_CLI)</f>
        <v>#VALUE!</v>
      </c>
      <c r="J1078" s="9" t="s">
        <v>443</v>
      </c>
      <c r="Q1078" s="487"/>
    </row>
    <row r="1079" spans="1:17" ht="12.75" customHeight="1" outlineLevel="2" thickTop="1">
      <c r="B1079" s="69"/>
      <c r="F1079" s="72"/>
      <c r="G1079" s="39"/>
      <c r="H1079" s="69"/>
    </row>
    <row r="1080" spans="1:17" ht="12.75" customHeight="1" outlineLevel="2">
      <c r="A1080" s="1073">
        <v>63</v>
      </c>
      <c r="B1080" s="1071" t="str">
        <f>HBL!$AA$1571</f>
        <v>TERTIARY AIR</v>
      </c>
      <c r="C1080" s="906"/>
      <c r="D1080" s="906"/>
      <c r="E1080" s="917"/>
      <c r="F1080" s="1072"/>
      <c r="G1080" s="39"/>
      <c r="H1080" s="69"/>
    </row>
    <row r="1081" spans="1:17" ht="12.75" customHeight="1" outlineLevel="3">
      <c r="B1081" s="69"/>
      <c r="F1081" s="72"/>
      <c r="G1081" s="39"/>
      <c r="H1081" s="69"/>
    </row>
    <row r="1082" spans="1:17" ht="12.75" customHeight="1" outlineLevel="3">
      <c r="B1082" s="1" t="str">
        <f>HBL!$AA$1602</f>
        <v>Flowrate air</v>
      </c>
      <c r="F1082" s="72"/>
      <c r="G1082" s="326">
        <f>IF(OR(VN_TERTAIR="",PRECAL&lt;3),"",VN_TERTAIR)</f>
        <v>74709.986192517099</v>
      </c>
      <c r="H1082" s="68" t="s">
        <v>458</v>
      </c>
    </row>
    <row r="1083" spans="1:17" ht="12.75" customHeight="1" outlineLevel="3">
      <c r="B1083" s="1" t="str">
        <f>HBL!$AA$1564</f>
        <v>Temperature</v>
      </c>
      <c r="F1083" s="72"/>
      <c r="G1083" s="46" t="str">
        <f>IF(T_TERTAIR="","",T_TERTAIR)</f>
        <v/>
      </c>
      <c r="H1083" s="5" t="s">
        <v>425</v>
      </c>
    </row>
    <row r="1084" spans="1:17" ht="12.75" customHeight="1" outlineLevel="3">
      <c r="B1084" s="1" t="str">
        <f>HBL!$AA$1297</f>
        <v>cp air</v>
      </c>
      <c r="F1084" s="72"/>
      <c r="G1084" s="193" t="str">
        <f>IF(T_TERTAIR="","",IF(T_TERTAIR&lt;600,"ERROR",((1.297+0.0000575*T_TERTAIR+0.0000000806*T_TERTAIR^2-0.0000000000286*T_TERTAIR^3)*T_TERTAIR-(1.297+0.0000575*20+0.0000000806*20^2-0.0000000000286*20^3)*20)/(T_TERTAIR-20)))</f>
        <v/>
      </c>
      <c r="H1084" s="5" t="s">
        <v>456</v>
      </c>
    </row>
    <row r="1085" spans="1:17" ht="12.75" customHeight="1" outlineLevel="3">
      <c r="B1085" s="1" t="str">
        <f>HBL!$AA$1302</f>
        <v>cp water vapor</v>
      </c>
      <c r="F1085" s="214"/>
      <c r="G1085" s="193" t="str">
        <f>IF(OR(T_TERTAIR="", VN_H2OCOOLER=""),"",IF(T_TERTAIR&lt;600,"ERROR",IF(T_TERTAIR&gt;1450,"ERROR",1.62+(1.75-1.62)/(1100-600)*(T_TERTAIR-600))))</f>
        <v/>
      </c>
      <c r="H1085" s="5" t="s">
        <v>456</v>
      </c>
    </row>
    <row r="1086" spans="1:17" ht="12.75" customHeight="1" outlineLevel="3">
      <c r="B1086" s="1" t="str">
        <f>HBL!$AA$1435</f>
        <v>Clinker dust recirculation at the kiln discharge</v>
      </c>
      <c r="F1086" s="214"/>
      <c r="G1086" s="195">
        <f>IF(M_CLI="","",M_CLI*CLI_DUST/100*VN_TERTAIR/(VN_TERTAIR+VN_SECONDAIR))</f>
        <v>2.9851188908212132</v>
      </c>
      <c r="H1086" s="45" t="s">
        <v>493</v>
      </c>
      <c r="I1086" t="s">
        <v>1265</v>
      </c>
    </row>
    <row r="1087" spans="1:17" ht="12.75" customHeight="1" outlineLevel="3">
      <c r="B1087" s="1" t="str">
        <f>HBL!$AA$1294</f>
        <v>cp clinker dust</v>
      </c>
      <c r="F1087" s="214"/>
      <c r="G1087" s="193" t="str">
        <f>IF(M_CLIDUST="","",IF(T_SECONDAIR&lt;500,"ERROR",((0.729+5.921*10^-4*T_SECONDAIR-5.369*10^-7*T_SECONDAIR^2+2.124*10^-10*T_SECONDAIR^3)*T_SECONDAIR-(0.729+5.921*10^-4*20-5.369*10^-7*20^2+2.124*10^-10*20^3)*20)/(T_SECONDAIR-20)))</f>
        <v>ERROR</v>
      </c>
      <c r="H1087" s="45" t="s">
        <v>430</v>
      </c>
    </row>
    <row r="1088" spans="1:17" ht="12.75" customHeight="1" outlineLevel="3">
      <c r="F1088" s="214"/>
      <c r="G1088" s="195" t="e">
        <f>IF(G1086="","",G1086*G1087*(G1083-20))</f>
        <v>#VALUE!</v>
      </c>
      <c r="H1088" s="68" t="s">
        <v>501</v>
      </c>
    </row>
    <row r="1089" spans="1:10" ht="12.75" customHeight="1" outlineLevel="3">
      <c r="B1089" s="3"/>
      <c r="C1089" s="3"/>
      <c r="D1089" s="3"/>
      <c r="E1089" s="3"/>
      <c r="F1089" s="810"/>
      <c r="G1089" s="693"/>
      <c r="H1089" s="9"/>
    </row>
    <row r="1090" spans="1:10" ht="12.75" customHeight="1" outlineLevel="3" thickBot="1">
      <c r="B1090" s="3"/>
      <c r="C1090" s="3"/>
      <c r="D1090" s="3"/>
      <c r="E1090" s="3"/>
      <c r="F1090" s="810"/>
      <c r="G1090" s="693"/>
      <c r="H1090" s="9"/>
    </row>
    <row r="1091" spans="1:10" ht="12.75" customHeight="1" outlineLevel="3" thickBot="1">
      <c r="B1091" s="68" t="str">
        <f>HBL!$AA$1332</f>
        <v>Heat output via tertiary air</v>
      </c>
      <c r="F1091" s="72"/>
      <c r="G1091" s="811" t="e">
        <f>IF(VN_TERTAIR=0,0,VN_TERTAIR*CP_TERTAIR*(T_TERTAIR-20)/1000+G1088+VN_TERTAIR/(VN_TERTAIR+VN_SECONDAIR)*VN_H2OCOOLER*CP_H2OvapTA*(T_TERTAIR-20)/1000)</f>
        <v>#VALUE!</v>
      </c>
      <c r="H1091" s="68" t="s">
        <v>501</v>
      </c>
      <c r="I1091" s="972" t="e">
        <f>IF(G1091="","",G1091/M_CLI)</f>
        <v>#VALUE!</v>
      </c>
      <c r="J1091" s="9" t="s">
        <v>443</v>
      </c>
    </row>
    <row r="1092" spans="1:10" ht="12.75" customHeight="1" outlineLevel="3" thickTop="1">
      <c r="B1092" s="68"/>
      <c r="F1092" s="72"/>
      <c r="G1092" s="330"/>
      <c r="H1092" s="68"/>
      <c r="I1092" s="31"/>
      <c r="J1092" s="9"/>
    </row>
    <row r="1093" spans="1:10" ht="12.75" customHeight="1" outlineLevel="2">
      <c r="F1093" s="214"/>
    </row>
    <row r="1094" spans="1:10" ht="12.75" customHeight="1" outlineLevel="2">
      <c r="A1094" s="1073">
        <v>64</v>
      </c>
      <c r="B1094" s="1071" t="str">
        <f>HBL!$AA$1410</f>
        <v>COOLER MIDDLE AIR</v>
      </c>
      <c r="C1094" s="906"/>
      <c r="D1094" s="906"/>
      <c r="E1094" s="917"/>
      <c r="F1094" s="1072"/>
      <c r="G1094" s="39"/>
      <c r="I1094" s="39"/>
    </row>
    <row r="1095" spans="1:10" ht="12.75" customHeight="1" outlineLevel="3">
      <c r="F1095" s="214"/>
    </row>
    <row r="1096" spans="1:10" ht="12.75" customHeight="1" outlineLevel="3">
      <c r="B1096" s="1" t="str">
        <f>HBL!$AA$1602</f>
        <v>Flowrate air</v>
      </c>
      <c r="F1096" s="72"/>
      <c r="G1096" s="326">
        <f>VN_MIDDLE</f>
        <v>0</v>
      </c>
      <c r="H1096" s="68" t="s">
        <v>458</v>
      </c>
    </row>
    <row r="1097" spans="1:10" ht="12.75" customHeight="1" outlineLevel="3">
      <c r="B1097" s="1" t="str">
        <f>HBL!$AA$1564</f>
        <v>Temperature</v>
      </c>
      <c r="F1097" s="72"/>
      <c r="G1097" s="71" t="str">
        <f>IF(VN_MIDDLE="","",T_MIDDLE)</f>
        <v/>
      </c>
      <c r="H1097" s="5" t="s">
        <v>425</v>
      </c>
    </row>
    <row r="1098" spans="1:10" ht="12.75" customHeight="1" outlineLevel="3">
      <c r="B1098" s="1" t="str">
        <f>HBL!$AA$1297</f>
        <v>cp air</v>
      </c>
      <c r="F1098" s="72"/>
      <c r="G1098" s="215" t="str">
        <f>CP_MIDDLE</f>
        <v/>
      </c>
      <c r="H1098" s="5" t="s">
        <v>456</v>
      </c>
    </row>
    <row r="1099" spans="1:10" ht="12.75" customHeight="1" outlineLevel="3" thickBot="1">
      <c r="F1099" s="39"/>
      <c r="H1099" s="69"/>
    </row>
    <row r="1100" spans="1:10" ht="12.75" customHeight="1" outlineLevel="3" thickBot="1">
      <c r="B1100" s="1" t="str">
        <f>HBL!$AA$1337</f>
        <v>Heat output through cooler middle air</v>
      </c>
      <c r="F1100" s="214"/>
      <c r="G1100" s="327" t="str">
        <f>IF(VN_MIDDLE="","",VN_MIDDLE*CP_MIDDLE*(T_MIDDLE-20)/1000)</f>
        <v/>
      </c>
      <c r="H1100" s="68" t="s">
        <v>501</v>
      </c>
      <c r="I1100" s="972" t="str">
        <f>IF(G1100="","",G1100/M_CLI)</f>
        <v/>
      </c>
      <c r="J1100" s="9" t="s">
        <v>443</v>
      </c>
    </row>
    <row r="1101" spans="1:10" ht="12.75" customHeight="1" outlineLevel="3" thickTop="1">
      <c r="F1101" s="214"/>
      <c r="G1101" s="221"/>
      <c r="H1101" s="69"/>
      <c r="I1101" s="221"/>
      <c r="J1101" s="69"/>
    </row>
    <row r="1102" spans="1:10" ht="12.75" customHeight="1" outlineLevel="2">
      <c r="F1102" s="214"/>
    </row>
    <row r="1103" spans="1:10" ht="12.75" customHeight="1" outlineLevel="2">
      <c r="A1103" s="1073">
        <v>65</v>
      </c>
      <c r="B1103" s="1071" t="str">
        <f>HBL!$AA$1404</f>
        <v>COOLER WASTE AIR AND WATER VAPOR</v>
      </c>
      <c r="C1103" s="906"/>
      <c r="D1103" s="906"/>
      <c r="E1103" s="917"/>
      <c r="F1103" s="1072"/>
      <c r="I1103" s="39"/>
    </row>
    <row r="1104" spans="1:10" ht="12.75" customHeight="1" outlineLevel="3">
      <c r="F1104" s="214"/>
    </row>
    <row r="1105" spans="1:10" ht="12.75" customHeight="1" outlineLevel="3">
      <c r="B1105" s="1" t="str">
        <f>HBL!$AA$1602</f>
        <v>Flowrate air</v>
      </c>
      <c r="F1105" s="72"/>
      <c r="G1105" s="326" t="str">
        <f>IF(VN_WASTE="","",VN_WASTE)</f>
        <v/>
      </c>
      <c r="H1105" s="68" t="s">
        <v>458</v>
      </c>
    </row>
    <row r="1106" spans="1:10" ht="12.75" customHeight="1" outlineLevel="3">
      <c r="B1106" s="1" t="str">
        <f>HBL!$AA$1606</f>
        <v>Water flowrate</v>
      </c>
      <c r="F1106" s="72"/>
      <c r="G1106" s="393">
        <f>IF(AND(ISNUMBER(M_H2OCOOLER), Cooler=1),M_H2OCOOLER*1.24, "")</f>
        <v>0</v>
      </c>
      <c r="H1106" s="68" t="s">
        <v>458</v>
      </c>
    </row>
    <row r="1107" spans="1:10" ht="12.75" customHeight="1" outlineLevel="3">
      <c r="B1107" s="1" t="str">
        <f>HBL!$AA$1564</f>
        <v>Temperature</v>
      </c>
      <c r="F1107" s="72"/>
      <c r="G1107" s="71">
        <f>IF(T_WASTE="","",T_WASTE)</f>
        <v>300</v>
      </c>
      <c r="H1107" s="5" t="s">
        <v>425</v>
      </c>
    </row>
    <row r="1108" spans="1:10" ht="12.75" customHeight="1" outlineLevel="3">
      <c r="B1108" s="1" t="str">
        <f>HBL!$AA$1297</f>
        <v>cp air</v>
      </c>
      <c r="F1108" s="72"/>
      <c r="G1108" s="426">
        <f>CP_WASTE</f>
        <v>1.3223424992000001</v>
      </c>
      <c r="H1108" s="5" t="s">
        <v>456</v>
      </c>
    </row>
    <row r="1109" spans="1:10" ht="12.75" customHeight="1" outlineLevel="3">
      <c r="B1109" s="1" t="str">
        <f>HBL!$AA$1302</f>
        <v>cp water vapor</v>
      </c>
      <c r="F1109" s="72"/>
      <c r="G1109" s="394">
        <f>IF(ISNUMBER($G$1106), 1.51+(T_WASTE-100)*(1.545-1.51)/(300-100), "")</f>
        <v>1.5449999999999999</v>
      </c>
      <c r="H1109" s="5" t="s">
        <v>456</v>
      </c>
    </row>
    <row r="1110" spans="1:10" ht="12.75" customHeight="1" outlineLevel="3" thickBot="1">
      <c r="F1110" s="39"/>
      <c r="H1110" s="69"/>
    </row>
    <row r="1111" spans="1:10" ht="12.75" customHeight="1" outlineLevel="3" thickBot="1">
      <c r="B1111" s="68" t="str">
        <f>HBL!$AA$1335</f>
        <v>Heat output through cooler waste air</v>
      </c>
      <c r="F1111" s="214"/>
      <c r="G1111" s="327" t="str">
        <f>IF(VN_WASTE="","", IF(AND(ISNUMBER(M_H2OCOOLER), Cooler=1), ($G$1106*$G$1109+VN_WASTE*CP_WASTE)*(T_WASTE-20)/10^3,VN_WASTE*CP_WASTE*(T_WASTE-20)/10^3))</f>
        <v/>
      </c>
      <c r="H1111" s="68" t="s">
        <v>501</v>
      </c>
      <c r="I1111" s="972" t="str">
        <f>IF(G1111="","",G1111/M_CLI)</f>
        <v/>
      </c>
      <c r="J1111" s="9" t="s">
        <v>443</v>
      </c>
    </row>
    <row r="1112" spans="1:10" ht="12.75" customHeight="1" outlineLevel="3" thickTop="1">
      <c r="F1112" s="214"/>
      <c r="G1112" s="221"/>
      <c r="H1112" s="69"/>
      <c r="I1112" s="221"/>
      <c r="J1112" s="69"/>
    </row>
    <row r="1113" spans="1:10" ht="12.75" customHeight="1" outlineLevel="2">
      <c r="F1113" s="214"/>
    </row>
    <row r="1114" spans="1:10" ht="12.75" customHeight="1" outlineLevel="2">
      <c r="A1114" s="1073">
        <v>66</v>
      </c>
      <c r="B1114" s="1071" t="str">
        <f>HBL!$AA$1554</f>
        <v>RADIATION LOSSES</v>
      </c>
      <c r="C1114" s="906"/>
      <c r="D1114" s="906"/>
      <c r="E1114" s="917"/>
      <c r="F1114" s="1072"/>
    </row>
    <row r="1115" spans="1:10" ht="12.75" customHeight="1" outlineLevel="3" thickBot="1">
      <c r="F1115" s="39"/>
    </row>
    <row r="1116" spans="1:10" ht="12.75" customHeight="1" outlineLevel="3" thickBot="1">
      <c r="B1116" s="69" t="str">
        <f>HBL!$AA$1640</f>
        <v>Heat loss from radiation</v>
      </c>
      <c r="F1116" s="214"/>
      <c r="G1116" s="201">
        <f>IF(QOUT_COOLRAD="","",QOUT_COOLRAD*M_CLI)</f>
        <v>3358</v>
      </c>
      <c r="H1116" s="68" t="s">
        <v>501</v>
      </c>
      <c r="I1116" s="1061">
        <f>IF(QOUT_COOLRAD="","",QOUT_COOLRAD)</f>
        <v>20</v>
      </c>
      <c r="J1116" s="9" t="s">
        <v>443</v>
      </c>
    </row>
    <row r="1117" spans="1:10" ht="12.75" customHeight="1" outlineLevel="3" thickTop="1">
      <c r="B1117" s="69"/>
      <c r="F1117" s="214"/>
      <c r="G1117" s="423"/>
      <c r="H1117" s="68"/>
      <c r="I1117" s="205"/>
      <c r="J1117" s="9"/>
    </row>
    <row r="1118" spans="1:10" ht="12.75" customHeight="1" outlineLevel="2">
      <c r="D1118" s="38"/>
      <c r="F1118" s="207"/>
      <c r="G1118" s="399"/>
      <c r="H1118" s="5"/>
      <c r="I1118" s="209"/>
      <c r="J1118" s="5"/>
    </row>
    <row r="1119" spans="1:10" ht="12.75" customHeight="1" outlineLevel="2">
      <c r="A1119" s="1073">
        <v>67</v>
      </c>
      <c r="B1119" s="1071" t="str">
        <f>HBL!$AA$1649</f>
        <v>WATER EVAPORATION</v>
      </c>
      <c r="C1119" s="906"/>
      <c r="D1119" s="906"/>
      <c r="E1119" s="917"/>
      <c r="F1119" s="1072"/>
      <c r="G1119" s="399"/>
      <c r="H1119" s="5"/>
      <c r="I1119" s="209"/>
      <c r="J1119" s="5"/>
    </row>
    <row r="1120" spans="1:10" ht="12.75" customHeight="1" outlineLevel="3">
      <c r="D1120" s="38"/>
      <c r="F1120" s="207"/>
      <c r="G1120" s="399"/>
      <c r="H1120" s="5"/>
      <c r="I1120" s="209"/>
      <c r="J1120" s="5"/>
    </row>
    <row r="1121" spans="1:23" ht="12.75" customHeight="1" outlineLevel="3">
      <c r="B1121" s="1" t="str">
        <f>HBL!$AA$1648</f>
        <v>Water injection into cooler</v>
      </c>
      <c r="D1121" s="38"/>
      <c r="E1121" s="401"/>
      <c r="F1121" s="207"/>
      <c r="G1121" s="204">
        <f>IF(M_H2OCOOLER="","",M_H2OCOOLER/1000)</f>
        <v>0</v>
      </c>
      <c r="H1121" s="208" t="s">
        <v>493</v>
      </c>
      <c r="I1121" s="41"/>
      <c r="J1121"/>
      <c r="W1121" s="384"/>
    </row>
    <row r="1122" spans="1:23" ht="12.75" customHeight="1" outlineLevel="3" thickBot="1">
      <c r="B1122"/>
      <c r="D1122" s="38"/>
      <c r="E1122" s="401"/>
      <c r="F1122" s="207"/>
      <c r="G1122" s="204"/>
      <c r="H1122" s="208"/>
      <c r="I1122" s="41"/>
      <c r="J1122"/>
      <c r="W1122" s="384"/>
    </row>
    <row r="1123" spans="1:23" ht="12.75" customHeight="1" outlineLevel="3" thickBot="1">
      <c r="B1123" s="1" t="str">
        <f>HBL!$AA$1641</f>
        <v>Heat loss from water evaporation in cooler</v>
      </c>
      <c r="D1123" s="38"/>
      <c r="E1123" s="38"/>
      <c r="F1123" s="207"/>
      <c r="G1123" s="223">
        <f>IF(M_H2OCOOLER="","",M_H2OCOOLER*2450/1000)</f>
        <v>0</v>
      </c>
      <c r="H1123" s="5" t="s">
        <v>501</v>
      </c>
      <c r="I1123" s="1062">
        <f>IF(G1123="","",G1123/M_CLI)</f>
        <v>0</v>
      </c>
      <c r="J1123" s="5" t="s">
        <v>443</v>
      </c>
      <c r="W1123" s="384"/>
    </row>
    <row r="1124" spans="1:23" ht="12.75" customHeight="1" outlineLevel="3" thickTop="1">
      <c r="D1124" s="38"/>
      <c r="E1124" s="38"/>
      <c r="F1124" s="207"/>
      <c r="G1124" s="400"/>
      <c r="H1124" s="5"/>
      <c r="I1124" s="209"/>
      <c r="J1124" s="5"/>
      <c r="W1124" s="384"/>
    </row>
    <row r="1125" spans="1:23" ht="12.75" customHeight="1" outlineLevel="2">
      <c r="F1125" s="214"/>
      <c r="G1125" s="221"/>
      <c r="H1125" s="69"/>
      <c r="I1125" s="221"/>
      <c r="J1125" s="69"/>
    </row>
    <row r="1126" spans="1:23" ht="12.75" customHeight="1" outlineLevel="2">
      <c r="A1126" s="1073">
        <v>68</v>
      </c>
      <c r="B1126" s="1071" t="str">
        <f>HBL!$AA$1413</f>
        <v>COOLER EFFICIENCY</v>
      </c>
      <c r="C1126" s="906"/>
      <c r="D1126" s="906"/>
      <c r="E1126" s="917"/>
      <c r="F1126" s="1072"/>
    </row>
    <row r="1127" spans="1:23" ht="12.75" customHeight="1" outlineLevel="3">
      <c r="F1127" s="214"/>
    </row>
    <row r="1128" spans="1:23" ht="12.75" customHeight="1" outlineLevel="3" thickBot="1">
      <c r="E1128" s="238" t="e">
        <f>IF(SHOUT_TERTAIR&lt;1,HBL!$AA$1510,HBL!$AA$1511)</f>
        <v>#VALUE!</v>
      </c>
      <c r="G1128" s="308" t="e">
        <f>IF(SHOUT_TERTAIR="",I1078,I1078)</f>
        <v>#VALUE!</v>
      </c>
    </row>
    <row r="1129" spans="1:23" ht="12.75" customHeight="1" outlineLevel="3" thickBot="1">
      <c r="B1129" s="363" t="s">
        <v>1412</v>
      </c>
      <c r="D1129" s="328" t="s">
        <v>521</v>
      </c>
      <c r="E1129" s="221"/>
      <c r="F1129" s="329" t="s">
        <v>521</v>
      </c>
      <c r="G1129" s="69"/>
      <c r="H1129" s="239" t="s">
        <v>521</v>
      </c>
      <c r="I1129" s="1069" t="str">
        <f>IF(ISERR(100*G1128/G1130),"",100*G1128/G1130)</f>
        <v/>
      </c>
      <c r="J1129" s="5" t="s">
        <v>431</v>
      </c>
      <c r="L1129" s="5"/>
    </row>
    <row r="1130" spans="1:23" ht="12.75" customHeight="1" outlineLevel="3">
      <c r="B1130" s="5"/>
      <c r="E1130" s="238" t="str">
        <f>HBL!$AA$1509&amp;"-Q clinker @Tamb"</f>
        <v>Qclinker @ °C-Q clinker @Tamb</v>
      </c>
      <c r="G1130" s="308" t="e">
        <f>IF(TAMB=20,(T_CLIHOT-20)*CP_CLIHOT,(T_CLIHOT-20)*CP_CLIHOT-(TAMB-20)*((0.729+5.921*10^-4*TAMB-5.369*10^-7*TAMB^2+2.124*10^-10*TAMB^3)*TAMB-(0.729+5.921*10^-4*20-5.369*10^-7*20^2+2.124*10^-10*20^3)*20)/(TAMB-20))</f>
        <v>#VALUE!</v>
      </c>
      <c r="I1130" s="221"/>
    </row>
    <row r="1131" spans="1:23" ht="12.75" customHeight="1" outlineLevel="3">
      <c r="B1131" s="5"/>
      <c r="E1131" s="238"/>
      <c r="G1131" s="308"/>
      <c r="I1131" s="221"/>
    </row>
    <row r="1132" spans="1:23" ht="12.75" customHeight="1" outlineLevel="2"/>
    <row r="1133" spans="1:23" ht="12.75" customHeight="1" outlineLevel="1"/>
    <row r="1134" spans="1:23" ht="12.75" customHeight="1"/>
    <row r="1135" spans="1:23" ht="12.75" customHeight="1"/>
    <row r="1136" spans="1:23" ht="12.75" customHeight="1"/>
    <row r="1223" spans="20:31">
      <c r="T1223"/>
      <c r="U1223"/>
      <c r="V1223"/>
    </row>
    <row r="1224" spans="20:31">
      <c r="T1224"/>
      <c r="U1224"/>
      <c r="V1224"/>
    </row>
    <row r="1225" spans="20:31">
      <c r="T1225"/>
      <c r="U1225"/>
      <c r="V1225"/>
      <c r="AA1225" s="865" t="s">
        <v>522</v>
      </c>
      <c r="AB1225" s="865" t="s">
        <v>523</v>
      </c>
      <c r="AC1225" s="866" t="s">
        <v>414</v>
      </c>
      <c r="AD1225" s="866" t="s">
        <v>524</v>
      </c>
      <c r="AE1225" s="866" t="s">
        <v>525</v>
      </c>
    </row>
    <row r="1226" spans="20:31">
      <c r="T1226"/>
      <c r="U1226"/>
      <c r="V1226"/>
      <c r="AA1226" s="240"/>
      <c r="AB1226" s="241" t="s">
        <v>526</v>
      </c>
      <c r="AC1226" s="240"/>
      <c r="AD1226" s="240"/>
      <c r="AE1226" s="240"/>
    </row>
    <row r="1227" spans="20:31">
      <c r="T1227"/>
      <c r="U1227"/>
      <c r="V1227"/>
      <c r="AA1227" s="240" t="str">
        <f t="shared" ref="AA1227:AA1247" si="12">INDEX($AB:$AE,ROW(),Language)</f>
        <v>Waste air</v>
      </c>
      <c r="AB1227" s="240" t="s">
        <v>527</v>
      </c>
      <c r="AC1227" s="240" t="s">
        <v>528</v>
      </c>
      <c r="AD1227" s="242" t="s">
        <v>529</v>
      </c>
      <c r="AE1227" s="242" t="s">
        <v>530</v>
      </c>
    </row>
    <row r="1228" spans="20:31" ht="25.5">
      <c r="T1228"/>
      <c r="U1228"/>
      <c r="V1228"/>
      <c r="AA1228" s="240" t="str">
        <f t="shared" si="12"/>
        <v>Waste air flow at cooler take out</v>
      </c>
      <c r="AB1228" s="240" t="s">
        <v>531</v>
      </c>
      <c r="AC1228" s="242" t="s">
        <v>532</v>
      </c>
      <c r="AD1228" s="242" t="s">
        <v>533</v>
      </c>
      <c r="AE1228" s="242" t="s">
        <v>534</v>
      </c>
    </row>
    <row r="1229" spans="20:31">
      <c r="T1229"/>
      <c r="U1229"/>
      <c r="V1229"/>
      <c r="AA1229" s="240" t="str">
        <f t="shared" si="12"/>
        <v>Absolute humidity</v>
      </c>
      <c r="AB1229" s="240" t="s">
        <v>535</v>
      </c>
      <c r="AC1229" s="240" t="s">
        <v>536</v>
      </c>
      <c r="AD1229" s="240" t="s">
        <v>537</v>
      </c>
      <c r="AE1229" s="243" t="s">
        <v>538</v>
      </c>
    </row>
    <row r="1230" spans="20:31">
      <c r="T1230"/>
      <c r="U1230"/>
      <c r="V1230"/>
      <c r="AA1230" s="240" t="str">
        <f t="shared" si="12"/>
        <v>Actual production rate</v>
      </c>
      <c r="AB1230" s="240" t="s">
        <v>539</v>
      </c>
      <c r="AC1230" s="242" t="s">
        <v>540</v>
      </c>
      <c r="AD1230" s="240" t="s">
        <v>541</v>
      </c>
      <c r="AE1230" s="240" t="s">
        <v>542</v>
      </c>
    </row>
    <row r="1231" spans="20:31">
      <c r="T1231"/>
      <c r="U1231"/>
      <c r="V1231"/>
      <c r="AA1231" s="240" t="str">
        <f t="shared" si="12"/>
        <v>ALTERNATIVE FUELS</v>
      </c>
      <c r="AB1231" s="240" t="s">
        <v>543</v>
      </c>
      <c r="AC1231" s="243" t="s">
        <v>544</v>
      </c>
      <c r="AD1231" s="240" t="s">
        <v>545</v>
      </c>
      <c r="AE1231" s="242" t="s">
        <v>546</v>
      </c>
    </row>
    <row r="1232" spans="20:31">
      <c r="T1232"/>
      <c r="U1232"/>
      <c r="V1232"/>
      <c r="AA1232" s="240" t="str">
        <f t="shared" si="12"/>
        <v>Alternative</v>
      </c>
      <c r="AB1232" s="240" t="s">
        <v>547</v>
      </c>
      <c r="AC1232" s="243" t="s">
        <v>548</v>
      </c>
      <c r="AD1232" s="242" t="s">
        <v>549</v>
      </c>
      <c r="AE1232" s="242" t="s">
        <v>550</v>
      </c>
    </row>
    <row r="1233" spans="20:31">
      <c r="T1233"/>
      <c r="U1233"/>
      <c r="V1233"/>
      <c r="AA1233" s="240" t="str">
        <f t="shared" si="12"/>
        <v>Alternative fuels</v>
      </c>
      <c r="AB1233" s="240" t="s">
        <v>551</v>
      </c>
      <c r="AC1233" s="243" t="s">
        <v>552</v>
      </c>
      <c r="AD1233" s="240" t="s">
        <v>562</v>
      </c>
      <c r="AE1233" s="242" t="s">
        <v>563</v>
      </c>
    </row>
    <row r="1234" spans="20:31">
      <c r="T1234"/>
      <c r="U1234"/>
      <c r="V1234"/>
      <c r="AA1234" s="240" t="str">
        <f t="shared" si="12"/>
        <v>at kiln inlet</v>
      </c>
      <c r="AB1234" s="240" t="s">
        <v>564</v>
      </c>
      <c r="AC1234" s="243" t="s">
        <v>565</v>
      </c>
      <c r="AD1234" s="240" t="s">
        <v>566</v>
      </c>
      <c r="AE1234" s="243" t="s">
        <v>567</v>
      </c>
    </row>
    <row r="1235" spans="20:31">
      <c r="T1235"/>
      <c r="U1235"/>
      <c r="V1235"/>
      <c r="AA1235" s="240" t="str">
        <f t="shared" si="12"/>
        <v>at precalciner outlet</v>
      </c>
      <c r="AB1235" s="240" t="s">
        <v>568</v>
      </c>
      <c r="AC1235" s="243" t="s">
        <v>569</v>
      </c>
      <c r="AD1235" s="240" t="s">
        <v>570</v>
      </c>
      <c r="AE1235" s="243" t="s">
        <v>571</v>
      </c>
    </row>
    <row r="1236" spans="20:31">
      <c r="T1236"/>
      <c r="U1236"/>
      <c r="V1236"/>
      <c r="AA1236" s="240" t="str">
        <f t="shared" si="12"/>
        <v>at preheater outlet</v>
      </c>
      <c r="AB1236" s="240" t="s">
        <v>572</v>
      </c>
      <c r="AC1236" s="243" t="s">
        <v>573</v>
      </c>
      <c r="AD1236" s="240" t="s">
        <v>574</v>
      </c>
      <c r="AE1236" s="243" t="s">
        <v>575</v>
      </c>
    </row>
    <row r="1237" spans="20:31">
      <c r="T1237"/>
      <c r="U1237"/>
      <c r="V1237"/>
      <c r="AA1237" s="240" t="str">
        <f t="shared" si="12"/>
        <v>Ash input</v>
      </c>
      <c r="AB1237" s="240" t="s">
        <v>576</v>
      </c>
      <c r="AC1237" s="243" t="s">
        <v>577</v>
      </c>
      <c r="AD1237" s="240" t="s">
        <v>578</v>
      </c>
      <c r="AE1237" s="242" t="s">
        <v>579</v>
      </c>
    </row>
    <row r="1238" spans="20:31">
      <c r="T1238"/>
      <c r="U1238"/>
      <c r="V1238"/>
      <c r="AA1238" s="240" t="str">
        <f t="shared" si="12"/>
        <v>Ash</v>
      </c>
      <c r="AB1238" s="240" t="s">
        <v>580</v>
      </c>
      <c r="AC1238" s="243" t="s">
        <v>581</v>
      </c>
      <c r="AD1238" s="240" t="s">
        <v>582</v>
      </c>
      <c r="AE1238" s="243" t="s">
        <v>583</v>
      </c>
    </row>
    <row r="1239" spans="20:31">
      <c r="T1239"/>
      <c r="U1239"/>
      <c r="V1239"/>
      <c r="AA1239" s="240" t="str">
        <f t="shared" si="12"/>
        <v>Ash content</v>
      </c>
      <c r="AB1239" s="240" t="s">
        <v>584</v>
      </c>
      <c r="AC1239" s="243" t="s">
        <v>585</v>
      </c>
      <c r="AD1239" s="240" t="s">
        <v>586</v>
      </c>
      <c r="AE1239" s="242" t="s">
        <v>587</v>
      </c>
    </row>
    <row r="1240" spans="20:31">
      <c r="T1240"/>
      <c r="U1240"/>
      <c r="V1240"/>
      <c r="AA1240" s="240" t="str">
        <f t="shared" si="12"/>
        <v>on the O2 measurement</v>
      </c>
      <c r="AB1240" s="242" t="s">
        <v>588</v>
      </c>
      <c r="AC1240" s="243" t="s">
        <v>589</v>
      </c>
      <c r="AD1240" s="240" t="s">
        <v>590</v>
      </c>
      <c r="AE1240" s="242" t="s">
        <v>591</v>
      </c>
    </row>
    <row r="1241" spans="20:31">
      <c r="T1241"/>
      <c r="U1241"/>
      <c r="V1241"/>
      <c r="AA1241" s="240" t="str">
        <f t="shared" si="12"/>
        <v>Feedrate</v>
      </c>
      <c r="AB1241" s="243" t="s">
        <v>592</v>
      </c>
      <c r="AC1241" s="243" t="s">
        <v>593</v>
      </c>
      <c r="AD1241" s="240" t="s">
        <v>594</v>
      </c>
      <c r="AE1241" s="242" t="s">
        <v>595</v>
      </c>
    </row>
    <row r="1242" spans="20:31">
      <c r="T1242"/>
      <c r="U1242"/>
      <c r="V1242"/>
      <c r="AA1242" s="240" t="str">
        <f t="shared" si="12"/>
        <v>Feedrate</v>
      </c>
      <c r="AB1242" s="242" t="s">
        <v>600</v>
      </c>
      <c r="AC1242" s="240" t="s">
        <v>593</v>
      </c>
      <c r="AD1242" s="242" t="s">
        <v>601</v>
      </c>
      <c r="AE1242" s="240" t="s">
        <v>602</v>
      </c>
    </row>
    <row r="1243" spans="20:31" ht="25.5">
      <c r="T1243"/>
      <c r="U1243"/>
      <c r="V1243"/>
      <c r="AA1243" s="240" t="str">
        <f t="shared" si="12"/>
        <v>Feedrate to the coal mill</v>
      </c>
      <c r="AB1243" s="243" t="s">
        <v>603</v>
      </c>
      <c r="AC1243" s="243" t="s">
        <v>604</v>
      </c>
      <c r="AD1243" s="242" t="s">
        <v>605</v>
      </c>
      <c r="AE1243" s="242" t="s">
        <v>606</v>
      </c>
    </row>
    <row r="1244" spans="20:31">
      <c r="T1244"/>
      <c r="U1244"/>
      <c r="V1244"/>
      <c r="AA1244" s="240" t="str">
        <f t="shared" si="12"/>
        <v>OUTPUT</v>
      </c>
      <c r="AB1244" s="243" t="s">
        <v>607</v>
      </c>
      <c r="AC1244" s="243" t="s">
        <v>608</v>
      </c>
      <c r="AD1244" s="240" t="s">
        <v>609</v>
      </c>
      <c r="AE1244" s="243" t="s">
        <v>610</v>
      </c>
    </row>
    <row r="1245" spans="20:31" ht="38.25">
      <c r="T1245"/>
      <c r="U1245"/>
      <c r="V1245"/>
      <c r="AA1245" s="240" t="str">
        <f t="shared" si="12"/>
        <v>Dry cooler waste air flow, calculated by an air balance</v>
      </c>
      <c r="AB1245" s="242" t="s">
        <v>611</v>
      </c>
      <c r="AC1245" s="414" t="s">
        <v>612</v>
      </c>
      <c r="AD1245" s="242" t="s">
        <v>613</v>
      </c>
      <c r="AE1245" s="242" t="s">
        <v>614</v>
      </c>
    </row>
    <row r="1246" spans="20:31" ht="25.5">
      <c r="T1246"/>
      <c r="U1246"/>
      <c r="V1246"/>
      <c r="AA1246" s="240" t="str">
        <f t="shared" si="12"/>
        <v>Fill in only in case of a prandtl measurement:</v>
      </c>
      <c r="AB1246" s="414" t="s">
        <v>615</v>
      </c>
      <c r="AC1246" s="414" t="s">
        <v>616</v>
      </c>
      <c r="AD1246" s="414" t="s">
        <v>617</v>
      </c>
      <c r="AE1246" s="414" t="s">
        <v>618</v>
      </c>
    </row>
    <row r="1247" spans="20:31">
      <c r="T1247"/>
      <c r="U1247"/>
      <c r="V1247"/>
      <c r="AA1247" s="240" t="str">
        <f t="shared" si="12"/>
        <v>Axial air</v>
      </c>
      <c r="AB1247" s="243" t="s">
        <v>619</v>
      </c>
      <c r="AC1247" s="242" t="s">
        <v>620</v>
      </c>
      <c r="AD1247" s="240" t="s">
        <v>621</v>
      </c>
      <c r="AE1247" s="243" t="s">
        <v>622</v>
      </c>
    </row>
    <row r="1248" spans="20:31">
      <c r="T1248"/>
      <c r="U1248"/>
      <c r="V1248"/>
      <c r="AA1248" s="240"/>
      <c r="AB1248" s="241" t="s">
        <v>623</v>
      </c>
      <c r="AC1248" s="240"/>
      <c r="AD1248" s="240"/>
      <c r="AE1248" s="240"/>
    </row>
    <row r="1249" spans="20:31">
      <c r="T1249"/>
      <c r="U1249"/>
      <c r="V1249"/>
      <c r="AA1249" s="240" t="str">
        <f t="shared" ref="AA1249:AA1281" si="13">INDEX($AB:$AE,ROW(),Language)</f>
        <v>Remark</v>
      </c>
      <c r="AB1249" s="240" t="s">
        <v>624</v>
      </c>
      <c r="AC1249" s="242" t="s">
        <v>625</v>
      </c>
      <c r="AD1249" s="242" t="s">
        <v>626</v>
      </c>
      <c r="AE1249" s="242" t="s">
        <v>627</v>
      </c>
    </row>
    <row r="1250" spans="20:31" ht="25.5">
      <c r="T1250"/>
      <c r="U1250"/>
      <c r="V1250"/>
      <c r="AA1250" s="240" t="str">
        <f t="shared" si="13"/>
        <v>REMARKS &amp; COMMENTS</v>
      </c>
      <c r="AB1250" s="240" t="s">
        <v>628</v>
      </c>
      <c r="AC1250" s="242" t="s">
        <v>629</v>
      </c>
      <c r="AD1250" s="243" t="s">
        <v>630</v>
      </c>
      <c r="AE1250" s="243" t="s">
        <v>631</v>
      </c>
    </row>
    <row r="1251" spans="20:31">
      <c r="AA1251" s="240" t="str">
        <f t="shared" si="13"/>
        <v>(calculated)</v>
      </c>
      <c r="AB1251" s="240" t="s">
        <v>632</v>
      </c>
      <c r="AC1251" s="243" t="s">
        <v>633</v>
      </c>
      <c r="AD1251" s="243" t="s">
        <v>634</v>
      </c>
      <c r="AE1251" s="242" t="s">
        <v>635</v>
      </c>
    </row>
    <row r="1252" spans="20:31" ht="25.5">
      <c r="AA1252" s="240" t="str">
        <f t="shared" si="13"/>
        <v>Calculated cooler middle air flowrate at cooler outlet</v>
      </c>
      <c r="AB1252" s="242" t="s">
        <v>636</v>
      </c>
      <c r="AC1252" s="243" t="s">
        <v>637</v>
      </c>
      <c r="AD1252" s="242" t="s">
        <v>638</v>
      </c>
      <c r="AE1252" s="242" t="s">
        <v>640</v>
      </c>
    </row>
    <row r="1253" spans="20:31" ht="25.5">
      <c r="AA1253" s="240" t="str">
        <f t="shared" si="13"/>
        <v>Calculated total exhaust gas quantity (wet)</v>
      </c>
      <c r="AB1253" s="242" t="s">
        <v>641</v>
      </c>
      <c r="AC1253" s="242" t="s">
        <v>675</v>
      </c>
      <c r="AD1253" s="242" t="s">
        <v>676</v>
      </c>
      <c r="AE1253" s="242" t="s">
        <v>677</v>
      </c>
    </row>
    <row r="1254" spans="20:31" ht="25.5">
      <c r="AA1254" s="240" t="str">
        <f t="shared" si="13"/>
        <v>Calculated total exhaust gas quantity (dry)</v>
      </c>
      <c r="AB1254" s="242" t="s">
        <v>678</v>
      </c>
      <c r="AC1254" s="242" t="s">
        <v>679</v>
      </c>
      <c r="AD1254" s="242" t="s">
        <v>680</v>
      </c>
      <c r="AE1254" s="242" t="s">
        <v>681</v>
      </c>
    </row>
    <row r="1255" spans="20:31">
      <c r="AA1255" s="240" t="str">
        <f t="shared" si="13"/>
        <v>CALCULATED VALUES</v>
      </c>
      <c r="AB1255" s="240" t="s">
        <v>682</v>
      </c>
      <c r="AC1255" s="243" t="s">
        <v>683</v>
      </c>
      <c r="AD1255" s="243" t="s">
        <v>684</v>
      </c>
      <c r="AE1255" s="243" t="s">
        <v>685</v>
      </c>
    </row>
    <row r="1256" spans="20:31" ht="25.5">
      <c r="AA1256" s="240" t="str">
        <f t="shared" si="13"/>
        <v>Calculated bypass flowrate based on O2 measurement</v>
      </c>
      <c r="AB1256" s="242" t="s">
        <v>686</v>
      </c>
      <c r="AC1256" s="242" t="s">
        <v>687</v>
      </c>
      <c r="AD1256" s="242" t="s">
        <v>688</v>
      </c>
      <c r="AE1256" s="242" t="s">
        <v>689</v>
      </c>
    </row>
    <row r="1257" spans="20:31" ht="25.5">
      <c r="AA1257" s="240" t="str">
        <f t="shared" si="13"/>
        <v>Calculated bypass flowrate based on a heat balance</v>
      </c>
      <c r="AB1257" s="242" t="s">
        <v>690</v>
      </c>
      <c r="AC1257" s="242" t="s">
        <v>691</v>
      </c>
      <c r="AD1257" s="242" t="s">
        <v>692</v>
      </c>
      <c r="AE1257" s="242" t="s">
        <v>693</v>
      </c>
    </row>
    <row r="1258" spans="20:31">
      <c r="AA1258" s="240" t="str">
        <f t="shared" si="13"/>
        <v>Calculated value</v>
      </c>
      <c r="AB1258" s="242" t="s">
        <v>694</v>
      </c>
      <c r="AC1258" s="242" t="s">
        <v>695</v>
      </c>
      <c r="AD1258" s="242" t="s">
        <v>696</v>
      </c>
      <c r="AE1258" s="242" t="s">
        <v>697</v>
      </c>
    </row>
    <row r="1259" spans="20:31" ht="51">
      <c r="AA1259" s="240" t="str">
        <f t="shared" si="13"/>
        <v>Heat input due to condensation of circulating elements on the bypass dust:</v>
      </c>
      <c r="AB1259" s="242" t="s">
        <v>700</v>
      </c>
      <c r="AC1259" s="242" t="s">
        <v>701</v>
      </c>
      <c r="AD1259" s="242" t="s">
        <v>701</v>
      </c>
      <c r="AE1259" s="242" t="s">
        <v>702</v>
      </c>
    </row>
    <row r="1260" spans="20:31">
      <c r="AA1260" s="240" t="str">
        <f t="shared" si="13"/>
        <v>Operation</v>
      </c>
      <c r="AB1260" s="243" t="s">
        <v>703</v>
      </c>
      <c r="AC1260" s="243" t="s">
        <v>704</v>
      </c>
      <c r="AD1260" s="243" t="s">
        <v>705</v>
      </c>
      <c r="AE1260" s="243" t="s">
        <v>706</v>
      </c>
    </row>
    <row r="1261" spans="20:31">
      <c r="AA1261" s="240" t="str">
        <f t="shared" si="13"/>
        <v>Balance</v>
      </c>
      <c r="AB1261" s="240" t="s">
        <v>707</v>
      </c>
      <c r="AC1261" s="243" t="s">
        <v>708</v>
      </c>
      <c r="AD1261" s="243" t="s">
        <v>709</v>
      </c>
      <c r="AE1261" s="243" t="s">
        <v>708</v>
      </c>
    </row>
    <row r="1262" spans="20:31">
      <c r="AA1262" s="240" t="str">
        <f t="shared" si="13"/>
        <v>to</v>
      </c>
      <c r="AB1262" s="240" t="s">
        <v>710</v>
      </c>
      <c r="AC1262" s="243" t="s">
        <v>711</v>
      </c>
      <c r="AD1262" s="243" t="s">
        <v>712</v>
      </c>
      <c r="AE1262" s="243" t="s">
        <v>713</v>
      </c>
    </row>
    <row r="1263" spans="20:31" ht="25.5">
      <c r="AA1263" s="240" t="str">
        <f t="shared" si="13"/>
        <v>COMBUSTIBLE MATTER IN KILN FEED</v>
      </c>
      <c r="AB1263" s="242" t="s">
        <v>715</v>
      </c>
      <c r="AC1263" s="242" t="s">
        <v>716</v>
      </c>
      <c r="AD1263" s="243" t="s">
        <v>717</v>
      </c>
      <c r="AE1263" s="243" t="s">
        <v>718</v>
      </c>
    </row>
    <row r="1264" spans="20:31">
      <c r="AA1264" s="240" t="str">
        <f t="shared" si="13"/>
        <v>Combustible matter</v>
      </c>
      <c r="AB1264" s="243" t="s">
        <v>719</v>
      </c>
      <c r="AC1264" s="243" t="s">
        <v>720</v>
      </c>
      <c r="AD1264" s="243" t="s">
        <v>721</v>
      </c>
      <c r="AE1264" s="243" t="s">
        <v>721</v>
      </c>
    </row>
    <row r="1265" spans="27:31">
      <c r="AA1265" s="240" t="str">
        <f t="shared" si="13"/>
        <v>FUEL</v>
      </c>
      <c r="AB1265" s="240" t="s">
        <v>722</v>
      </c>
      <c r="AC1265" s="243" t="s">
        <v>723</v>
      </c>
      <c r="AD1265" s="242" t="s">
        <v>724</v>
      </c>
      <c r="AE1265" s="243" t="s">
        <v>725</v>
      </c>
    </row>
    <row r="1266" spans="27:31">
      <c r="AA1266" s="240" t="str">
        <f t="shared" si="13"/>
        <v>Fuel</v>
      </c>
      <c r="AB1266" s="240" t="s">
        <v>726</v>
      </c>
      <c r="AC1266" s="243" t="s">
        <v>446</v>
      </c>
      <c r="AD1266" s="243" t="s">
        <v>721</v>
      </c>
      <c r="AE1266" s="243" t="s">
        <v>721</v>
      </c>
    </row>
    <row r="1267" spans="27:31">
      <c r="AA1267" s="240" t="str">
        <f t="shared" si="13"/>
        <v>Fuelrate main burner</v>
      </c>
      <c r="AB1267" s="240" t="s">
        <v>727</v>
      </c>
      <c r="AC1267" s="243" t="s">
        <v>728</v>
      </c>
      <c r="AD1267" s="243" t="s">
        <v>729</v>
      </c>
      <c r="AE1267" s="242" t="s">
        <v>730</v>
      </c>
    </row>
    <row r="1268" spans="27:31">
      <c r="AA1268" s="240" t="str">
        <f t="shared" si="13"/>
        <v>Fuel input main burner</v>
      </c>
      <c r="AB1268" s="240" t="s">
        <v>731</v>
      </c>
      <c r="AC1268" s="243" t="s">
        <v>732</v>
      </c>
      <c r="AD1268" s="242" t="s">
        <v>733</v>
      </c>
      <c r="AE1268" s="242" t="s">
        <v>734</v>
      </c>
    </row>
    <row r="1269" spans="27:31">
      <c r="AA1269" s="240" t="str">
        <f t="shared" si="13"/>
        <v>Fuelrate calciner</v>
      </c>
      <c r="AB1269" s="240" t="s">
        <v>735</v>
      </c>
      <c r="AC1269" s="243" t="s">
        <v>736</v>
      </c>
      <c r="AD1269" s="243" t="s">
        <v>737</v>
      </c>
      <c r="AE1269" s="243" t="s">
        <v>738</v>
      </c>
    </row>
    <row r="1270" spans="27:31">
      <c r="AA1270" s="240" t="str">
        <f t="shared" si="13"/>
        <v>Fuelrate kiln inlet</v>
      </c>
      <c r="AB1270" s="240" t="s">
        <v>739</v>
      </c>
      <c r="AC1270" s="243" t="s">
        <v>740</v>
      </c>
      <c r="AD1270" s="242" t="s">
        <v>741</v>
      </c>
      <c r="AE1270" s="242" t="s">
        <v>742</v>
      </c>
    </row>
    <row r="1271" spans="27:31" ht="25.5">
      <c r="AA1271" s="240" t="str">
        <f t="shared" si="13"/>
        <v>FUEL DATA</v>
      </c>
      <c r="AB1271" s="240" t="s">
        <v>743</v>
      </c>
      <c r="AC1271" s="243" t="s">
        <v>744</v>
      </c>
      <c r="AD1271" s="243" t="s">
        <v>745</v>
      </c>
      <c r="AE1271" s="242" t="s">
        <v>746</v>
      </c>
    </row>
    <row r="1272" spans="27:31">
      <c r="AA1272" s="240" t="str">
        <f t="shared" si="13"/>
        <v>FUEL INPUT</v>
      </c>
      <c r="AB1272" s="240" t="s">
        <v>747</v>
      </c>
      <c r="AC1272" s="243" t="s">
        <v>748</v>
      </c>
      <c r="AD1272" s="243" t="s">
        <v>749</v>
      </c>
      <c r="AE1272" s="242" t="s">
        <v>750</v>
      </c>
    </row>
    <row r="1273" spans="27:31">
      <c r="AA1273" s="240" t="str">
        <f t="shared" si="13"/>
        <v>TOTAL FEEDRATE</v>
      </c>
      <c r="AB1273" s="240" t="s">
        <v>751</v>
      </c>
      <c r="AC1273" s="243" t="s">
        <v>752</v>
      </c>
      <c r="AD1273" s="243" t="s">
        <v>753</v>
      </c>
      <c r="AE1273" s="243" t="s">
        <v>754</v>
      </c>
    </row>
    <row r="1274" spans="27:31">
      <c r="AA1274" s="240" t="str">
        <f t="shared" si="13"/>
        <v>Total feedrate</v>
      </c>
      <c r="AB1274" s="240" t="s">
        <v>755</v>
      </c>
      <c r="AC1274" s="243" t="s">
        <v>756</v>
      </c>
      <c r="AD1274" s="243" t="s">
        <v>757</v>
      </c>
      <c r="AE1274" s="243" t="s">
        <v>758</v>
      </c>
    </row>
    <row r="1275" spans="27:31" ht="25.5">
      <c r="AA1275" s="240" t="str">
        <f t="shared" si="13"/>
        <v>COMBUSTION OF FUELS</v>
      </c>
      <c r="AB1275" s="240" t="s">
        <v>759</v>
      </c>
      <c r="AC1275" s="243" t="s">
        <v>760</v>
      </c>
      <c r="AD1275" s="243" t="s">
        <v>761</v>
      </c>
      <c r="AE1275" s="243" t="s">
        <v>762</v>
      </c>
    </row>
    <row r="1276" spans="27:31">
      <c r="AA1276" s="240" t="str">
        <f t="shared" si="13"/>
        <v>BYPASS</v>
      </c>
      <c r="AB1276" s="240" t="s">
        <v>763</v>
      </c>
      <c r="AC1276" s="243" t="s">
        <v>763</v>
      </c>
      <c r="AD1276" s="243" t="s">
        <v>763</v>
      </c>
      <c r="AE1276" s="243" t="s">
        <v>763</v>
      </c>
    </row>
    <row r="1277" spans="27:31">
      <c r="AA1277" s="240" t="str">
        <f t="shared" si="13"/>
        <v>Bypass losses</v>
      </c>
      <c r="AB1277" s="240" t="s">
        <v>764</v>
      </c>
      <c r="AC1277" s="243" t="s">
        <v>765</v>
      </c>
      <c r="AD1277" s="243" t="s">
        <v>766</v>
      </c>
      <c r="AE1277" s="242" t="s">
        <v>767</v>
      </c>
    </row>
    <row r="1278" spans="27:31">
      <c r="AA1278" s="240" t="str">
        <f t="shared" si="13"/>
        <v>BYPASS DUST</v>
      </c>
      <c r="AB1278" s="240" t="s">
        <v>768</v>
      </c>
      <c r="AC1278" s="243" t="s">
        <v>769</v>
      </c>
      <c r="AD1278" s="243" t="s">
        <v>770</v>
      </c>
      <c r="AE1278" s="243" t="s">
        <v>771</v>
      </c>
    </row>
    <row r="1279" spans="27:31">
      <c r="AA1279" s="240" t="str">
        <f t="shared" si="13"/>
        <v>Bypass dust</v>
      </c>
      <c r="AB1279" s="240" t="s">
        <v>772</v>
      </c>
      <c r="AC1279" s="243" t="s">
        <v>773</v>
      </c>
      <c r="AD1279" s="243" t="s">
        <v>774</v>
      </c>
      <c r="AE1279" s="243" t="s">
        <v>775</v>
      </c>
    </row>
    <row r="1280" spans="27:31">
      <c r="AA1280" s="240" t="str">
        <f t="shared" si="13"/>
        <v>Bypass flowrate (wet)</v>
      </c>
      <c r="AB1280" s="242" t="s">
        <v>776</v>
      </c>
      <c r="AC1280" s="242" t="s">
        <v>777</v>
      </c>
      <c r="AD1280" s="242" t="s">
        <v>778</v>
      </c>
      <c r="AE1280" s="242" t="s">
        <v>779</v>
      </c>
    </row>
    <row r="1281" spans="27:31">
      <c r="AA1281" s="240" t="str">
        <f t="shared" si="13"/>
        <v>Bypass flowrate (dry)</v>
      </c>
      <c r="AB1281" s="242" t="s">
        <v>780</v>
      </c>
      <c r="AC1281" s="242" t="s">
        <v>781</v>
      </c>
      <c r="AD1281" s="242" t="s">
        <v>782</v>
      </c>
      <c r="AE1281" s="242" t="s">
        <v>783</v>
      </c>
    </row>
    <row r="1282" spans="27:31">
      <c r="AA1282" s="240"/>
      <c r="AB1282" s="241" t="s">
        <v>784</v>
      </c>
      <c r="AC1282" s="240"/>
      <c r="AD1282" s="240"/>
      <c r="AE1282" s="240"/>
    </row>
    <row r="1283" spans="27:31">
      <c r="AA1283" s="240" t="str">
        <f t="shared" ref="AA1283:AA1302" si="14">INDEX($AB:$AE,ROW(),Language)</f>
        <v>CaO (non carbonatic)</v>
      </c>
      <c r="AB1283" s="242" t="s">
        <v>785</v>
      </c>
      <c r="AC1283" s="240" t="s">
        <v>786</v>
      </c>
      <c r="AD1283" s="240" t="s">
        <v>787</v>
      </c>
      <c r="AE1283" s="242" t="s">
        <v>788</v>
      </c>
    </row>
    <row r="1284" spans="27:31">
      <c r="AA1284" s="240" t="str">
        <f t="shared" si="14"/>
        <v>CaO content</v>
      </c>
      <c r="AB1284" s="240" t="s">
        <v>789</v>
      </c>
      <c r="AC1284" s="240" t="s">
        <v>790</v>
      </c>
      <c r="AD1284" s="240" t="s">
        <v>791</v>
      </c>
      <c r="AE1284" s="240" t="s">
        <v>792</v>
      </c>
    </row>
    <row r="1285" spans="27:31" ht="25.5">
      <c r="AA1285" s="240" t="str">
        <f t="shared" si="14"/>
        <v>CaO content in bypass dust</v>
      </c>
      <c r="AB1285" s="240" t="s">
        <v>793</v>
      </c>
      <c r="AC1285" s="242" t="s">
        <v>794</v>
      </c>
      <c r="AD1285" s="240" t="s">
        <v>795</v>
      </c>
      <c r="AE1285" s="240" t="s">
        <v>796</v>
      </c>
    </row>
    <row r="1286" spans="27:31">
      <c r="AA1286" s="240" t="str">
        <f t="shared" si="14"/>
        <v>Chlor content (Cl)</v>
      </c>
      <c r="AB1286" s="240" t="s">
        <v>797</v>
      </c>
      <c r="AC1286" s="240" t="s">
        <v>798</v>
      </c>
      <c r="AD1286" s="240" t="s">
        <v>799</v>
      </c>
      <c r="AE1286" s="240" t="s">
        <v>800</v>
      </c>
    </row>
    <row r="1287" spans="27:31">
      <c r="AA1287" s="240" t="str">
        <f t="shared" si="14"/>
        <v>CO</v>
      </c>
      <c r="AB1287" s="242" t="s">
        <v>801</v>
      </c>
      <c r="AC1287" s="240" t="s">
        <v>801</v>
      </c>
      <c r="AD1287" s="240" t="s">
        <v>801</v>
      </c>
      <c r="AE1287" s="240" t="s">
        <v>801</v>
      </c>
    </row>
    <row r="1288" spans="27:31">
      <c r="AA1288" s="240" t="str">
        <f t="shared" si="14"/>
        <v>CO content</v>
      </c>
      <c r="AB1288" s="240" t="s">
        <v>802</v>
      </c>
      <c r="AC1288" s="240" t="s">
        <v>803</v>
      </c>
      <c r="AD1288" s="240" t="s">
        <v>804</v>
      </c>
      <c r="AE1288" s="240" t="s">
        <v>805</v>
      </c>
    </row>
    <row r="1289" spans="27:31" ht="25.5">
      <c r="AA1289" s="240" t="str">
        <f t="shared" si="14"/>
        <v>CO content in bypass flowrate</v>
      </c>
      <c r="AB1289" s="240" t="s">
        <v>806</v>
      </c>
      <c r="AC1289" s="240" t="s">
        <v>807</v>
      </c>
      <c r="AD1289" s="240" t="s">
        <v>808</v>
      </c>
      <c r="AE1289" s="240" t="s">
        <v>809</v>
      </c>
    </row>
    <row r="1290" spans="27:31" ht="25.5">
      <c r="AA1290" s="240" t="str">
        <f t="shared" si="14"/>
        <v>CO content in kiln exhaust gas</v>
      </c>
      <c r="AB1290" s="240" t="s">
        <v>810</v>
      </c>
      <c r="AC1290" s="240" t="s">
        <v>830</v>
      </c>
      <c r="AD1290" s="240" t="s">
        <v>831</v>
      </c>
      <c r="AE1290" s="240" t="s">
        <v>832</v>
      </c>
    </row>
    <row r="1291" spans="27:31">
      <c r="AA1291" s="240" t="str">
        <f t="shared" si="14"/>
        <v>CO flowrate</v>
      </c>
      <c r="AB1291" s="240" t="s">
        <v>833</v>
      </c>
      <c r="AC1291" s="240" t="s">
        <v>834</v>
      </c>
      <c r="AD1291" s="240" t="s">
        <v>835</v>
      </c>
      <c r="AE1291" s="240" t="s">
        <v>836</v>
      </c>
    </row>
    <row r="1292" spans="27:31">
      <c r="AA1292" s="240" t="str">
        <f t="shared" si="14"/>
        <v>cp fuel</v>
      </c>
      <c r="AB1292" s="240" t="s">
        <v>837</v>
      </c>
      <c r="AC1292" s="240" t="s">
        <v>838</v>
      </c>
      <c r="AD1292" s="240" t="s">
        <v>839</v>
      </c>
      <c r="AE1292" s="240" t="s">
        <v>839</v>
      </c>
    </row>
    <row r="1293" spans="27:31">
      <c r="AA1293" s="240" t="str">
        <f t="shared" si="14"/>
        <v>cp clinker</v>
      </c>
      <c r="AB1293" s="242" t="s">
        <v>840</v>
      </c>
      <c r="AC1293" s="240" t="s">
        <v>841</v>
      </c>
      <c r="AD1293" s="240" t="s">
        <v>841</v>
      </c>
      <c r="AE1293" s="240" t="s">
        <v>841</v>
      </c>
    </row>
    <row r="1294" spans="27:31">
      <c r="AA1294" s="240" t="str">
        <f t="shared" si="14"/>
        <v>cp clinker dust</v>
      </c>
      <c r="AB1294" s="243" t="s">
        <v>842</v>
      </c>
      <c r="AC1294" s="240" t="s">
        <v>843</v>
      </c>
      <c r="AD1294" s="240" t="s">
        <v>844</v>
      </c>
      <c r="AE1294" s="240" t="s">
        <v>845</v>
      </c>
    </row>
    <row r="1295" spans="27:31">
      <c r="AA1295" s="240" t="str">
        <f t="shared" si="14"/>
        <v>cp gas</v>
      </c>
      <c r="AB1295" s="240" t="s">
        <v>846</v>
      </c>
      <c r="AC1295" s="240" t="s">
        <v>847</v>
      </c>
      <c r="AD1295" s="240" t="s">
        <v>848</v>
      </c>
      <c r="AE1295" s="240" t="s">
        <v>847</v>
      </c>
    </row>
    <row r="1296" spans="27:31">
      <c r="AA1296" s="240" t="str">
        <f t="shared" si="14"/>
        <v>cp gas manual</v>
      </c>
      <c r="AB1296" s="240" t="s">
        <v>849</v>
      </c>
      <c r="AC1296" s="240" t="s">
        <v>850</v>
      </c>
      <c r="AD1296" s="240" t="s">
        <v>851</v>
      </c>
      <c r="AE1296" s="240" t="s">
        <v>850</v>
      </c>
    </row>
    <row r="1297" spans="1:31">
      <c r="AA1297" s="240" t="str">
        <f t="shared" si="14"/>
        <v>cp air</v>
      </c>
      <c r="AB1297" s="242" t="s">
        <v>852</v>
      </c>
      <c r="AC1297" s="240" t="s">
        <v>853</v>
      </c>
      <c r="AD1297" s="240" t="s">
        <v>853</v>
      </c>
      <c r="AE1297" s="240" t="s">
        <v>854</v>
      </c>
    </row>
    <row r="1298" spans="1:31">
      <c r="AA1298" s="240" t="str">
        <f t="shared" si="14"/>
        <v>cp humid air</v>
      </c>
      <c r="AB1298" s="242" t="s">
        <v>855</v>
      </c>
      <c r="AC1298" s="242" t="s">
        <v>856</v>
      </c>
      <c r="AD1298" s="242" t="s">
        <v>857</v>
      </c>
      <c r="AE1298" s="242" t="s">
        <v>858</v>
      </c>
    </row>
    <row r="1299" spans="1:31">
      <c r="AA1299" s="240" t="str">
        <f t="shared" si="14"/>
        <v>cp feed (dry)</v>
      </c>
      <c r="AB1299" s="240" t="s">
        <v>859</v>
      </c>
      <c r="AC1299" s="240" t="s">
        <v>860</v>
      </c>
      <c r="AD1299" s="240" t="s">
        <v>861</v>
      </c>
      <c r="AE1299" s="240" t="s">
        <v>862</v>
      </c>
    </row>
    <row r="1300" spans="1:31">
      <c r="AA1300" s="240" t="str">
        <f t="shared" si="14"/>
        <v>cp dust</v>
      </c>
      <c r="AB1300" s="240" t="s">
        <v>863</v>
      </c>
      <c r="AC1300" s="240" t="s">
        <v>864</v>
      </c>
      <c r="AD1300" s="240" t="s">
        <v>865</v>
      </c>
      <c r="AE1300" s="240" t="s">
        <v>866</v>
      </c>
    </row>
    <row r="1301" spans="1:31">
      <c r="AA1301" s="240" t="str">
        <f t="shared" si="14"/>
        <v>cp water</v>
      </c>
      <c r="AB1301" s="242" t="s">
        <v>867</v>
      </c>
      <c r="AC1301" s="240" t="s">
        <v>872</v>
      </c>
      <c r="AD1301" s="240" t="s">
        <v>873</v>
      </c>
      <c r="AE1301" s="240" t="s">
        <v>874</v>
      </c>
    </row>
    <row r="1302" spans="1:31">
      <c r="AA1302" s="240" t="str">
        <f t="shared" si="14"/>
        <v>cp water vapor</v>
      </c>
      <c r="AB1302" s="243" t="s">
        <v>875</v>
      </c>
      <c r="AC1302" s="240" t="s">
        <v>876</v>
      </c>
      <c r="AD1302" s="240" t="s">
        <v>877</v>
      </c>
      <c r="AE1302" s="240" t="s">
        <v>878</v>
      </c>
    </row>
    <row r="1303" spans="1:31">
      <c r="AA1303" s="240"/>
      <c r="AB1303" s="241" t="s">
        <v>879</v>
      </c>
      <c r="AC1303" s="240"/>
      <c r="AD1303" s="240"/>
      <c r="AE1303" s="240"/>
    </row>
    <row r="1304" spans="1:31" s="430" customFormat="1">
      <c r="A1304" s="1074"/>
      <c r="B1304" s="388"/>
      <c r="C1304" s="388"/>
      <c r="D1304" s="388"/>
      <c r="E1304" s="388"/>
      <c r="F1304" s="388"/>
      <c r="G1304" s="388"/>
      <c r="H1304" s="388"/>
      <c r="I1304" s="388"/>
      <c r="J1304" s="388"/>
      <c r="K1304" s="388"/>
      <c r="L1304" s="388"/>
      <c r="M1304" s="388"/>
      <c r="N1304" s="388"/>
      <c r="O1304" s="388"/>
      <c r="P1304" s="388"/>
      <c r="Q1304" s="388"/>
      <c r="R1304" s="388"/>
      <c r="S1304" s="388"/>
      <c r="T1304" s="388"/>
      <c r="U1304" s="388"/>
      <c r="V1304" s="388"/>
      <c r="W1304" s="388"/>
      <c r="X1304" s="388"/>
      <c r="Y1304" s="388"/>
      <c r="Z1304" s="388"/>
      <c r="AA1304" s="240" t="str">
        <f t="shared" ref="AA1304:AA1309" si="15">INDEX($AB:$AE,ROW(),Language)</f>
        <v>Vapor from waterinjection</v>
      </c>
      <c r="AB1304" s="242" t="s">
        <v>881</v>
      </c>
      <c r="AC1304" s="240" t="s">
        <v>882</v>
      </c>
      <c r="AD1304" s="240" t="s">
        <v>883</v>
      </c>
      <c r="AE1304" s="240" t="s">
        <v>884</v>
      </c>
    </row>
    <row r="1305" spans="1:31">
      <c r="AA1305" s="240" t="str">
        <f t="shared" si="15"/>
        <v>Date</v>
      </c>
      <c r="AB1305" s="240" t="s">
        <v>885</v>
      </c>
      <c r="AC1305" s="240" t="s">
        <v>886</v>
      </c>
      <c r="AD1305" s="240" t="s">
        <v>886</v>
      </c>
      <c r="AE1305" s="240" t="s">
        <v>887</v>
      </c>
    </row>
    <row r="1306" spans="1:31">
      <c r="AA1306" s="240" t="str">
        <f t="shared" si="15"/>
        <v>Period</v>
      </c>
      <c r="AB1306" s="240" t="s">
        <v>888</v>
      </c>
      <c r="AC1306" s="240" t="s">
        <v>889</v>
      </c>
      <c r="AD1306" s="240" t="s">
        <v>890</v>
      </c>
      <c r="AE1306" s="240" t="s">
        <v>891</v>
      </c>
    </row>
    <row r="1307" spans="1:31" ht="25.5">
      <c r="AA1307" s="240" t="str">
        <f t="shared" si="15"/>
        <v>Direct- or semi direct firing system</v>
      </c>
      <c r="AB1307" s="242" t="s">
        <v>892</v>
      </c>
      <c r="AC1307" s="242" t="s">
        <v>893</v>
      </c>
      <c r="AD1307" s="242" t="s">
        <v>894</v>
      </c>
      <c r="AE1307" s="242" t="s">
        <v>895</v>
      </c>
    </row>
    <row r="1308" spans="1:31">
      <c r="AA1308" s="240" t="str">
        <f t="shared" si="15"/>
        <v>diameter</v>
      </c>
      <c r="AB1308" s="240" t="s">
        <v>896</v>
      </c>
      <c r="AC1308" s="240" t="s">
        <v>897</v>
      </c>
      <c r="AD1308" s="243" t="s">
        <v>898</v>
      </c>
      <c r="AE1308" s="242" t="s">
        <v>899</v>
      </c>
    </row>
    <row r="1309" spans="1:31">
      <c r="AA1309" s="240" t="str">
        <f t="shared" si="15"/>
        <v>Diameter burning zone</v>
      </c>
      <c r="AB1309" s="242" t="s">
        <v>900</v>
      </c>
      <c r="AC1309" s="242" t="s">
        <v>901</v>
      </c>
      <c r="AD1309" s="242" t="s">
        <v>902</v>
      </c>
      <c r="AE1309" s="242" t="s">
        <v>903</v>
      </c>
    </row>
    <row r="1310" spans="1:31">
      <c r="AA1310" s="240"/>
      <c r="AB1310" s="241" t="s">
        <v>904</v>
      </c>
      <c r="AC1310" s="240"/>
      <c r="AD1310" s="240"/>
      <c r="AE1310" s="240"/>
    </row>
    <row r="1311" spans="1:31" ht="25.5">
      <c r="AA1311" s="240" t="str">
        <f t="shared" ref="AA1311:AA1317" si="16">INDEX($AB:$AE,ROW(),Language)</f>
        <v>KILN FEED PROPERTIES</v>
      </c>
      <c r="AB1311" s="240" t="s">
        <v>905</v>
      </c>
      <c r="AC1311" s="240" t="s">
        <v>906</v>
      </c>
      <c r="AD1311" s="240" t="s">
        <v>907</v>
      </c>
      <c r="AE1311" s="240" t="s">
        <v>910</v>
      </c>
    </row>
    <row r="1312" spans="1:31">
      <c r="AA1312" s="240" t="str">
        <f t="shared" si="16"/>
        <v>Unit</v>
      </c>
      <c r="AB1312" s="240" t="s">
        <v>911</v>
      </c>
      <c r="AC1312" s="240" t="s">
        <v>912</v>
      </c>
      <c r="AD1312" s="240" t="s">
        <v>913</v>
      </c>
      <c r="AE1312" s="240" t="s">
        <v>477</v>
      </c>
    </row>
    <row r="1313" spans="27:31">
      <c r="AA1313" s="240" t="str">
        <f t="shared" si="16"/>
        <v>Intake</v>
      </c>
      <c r="AB1313" s="240" t="s">
        <v>914</v>
      </c>
      <c r="AC1313" s="240" t="s">
        <v>915</v>
      </c>
      <c r="AD1313" s="240" t="s">
        <v>916</v>
      </c>
      <c r="AE1313" s="242" t="s">
        <v>917</v>
      </c>
    </row>
    <row r="1314" spans="27:31">
      <c r="AA1314" s="240" t="str">
        <f t="shared" si="16"/>
        <v>INPUT</v>
      </c>
      <c r="AB1314" s="240" t="s">
        <v>918</v>
      </c>
      <c r="AC1314" s="243" t="s">
        <v>919</v>
      </c>
      <c r="AD1314" s="243" t="s">
        <v>920</v>
      </c>
      <c r="AE1314" s="243" t="s">
        <v>921</v>
      </c>
    </row>
    <row r="1315" spans="27:31">
      <c r="AA1315" s="240" t="str">
        <f t="shared" si="16"/>
        <v>Intake</v>
      </c>
      <c r="AB1315" s="240" t="s">
        <v>922</v>
      </c>
      <c r="AC1315" s="240" t="s">
        <v>915</v>
      </c>
      <c r="AD1315" s="242" t="s">
        <v>923</v>
      </c>
      <c r="AE1315" s="240" t="s">
        <v>924</v>
      </c>
    </row>
    <row r="1316" spans="27:31">
      <c r="AA1316" s="240" t="str">
        <f t="shared" si="16"/>
        <v>ENERGY</v>
      </c>
      <c r="AB1316" s="240" t="s">
        <v>925</v>
      </c>
      <c r="AC1316" s="240" t="s">
        <v>926</v>
      </c>
      <c r="AD1316" s="243" t="s">
        <v>927</v>
      </c>
      <c r="AE1316" s="240" t="s">
        <v>928</v>
      </c>
    </row>
    <row r="1317" spans="27:31" ht="25.5">
      <c r="AA1317" s="240" t="str">
        <f t="shared" si="16"/>
        <v>Calcination degree of the hot meal</v>
      </c>
      <c r="AB1317" s="240" t="s">
        <v>929</v>
      </c>
      <c r="AC1317" s="240" t="s">
        <v>930</v>
      </c>
      <c r="AD1317" s="243" t="s">
        <v>931</v>
      </c>
      <c r="AE1317" s="240" t="s">
        <v>932</v>
      </c>
    </row>
    <row r="1318" spans="27:31">
      <c r="AA1318" s="240"/>
      <c r="AB1318" s="241" t="s">
        <v>933</v>
      </c>
      <c r="AC1318" s="240"/>
      <c r="AD1318" s="240"/>
      <c r="AE1318" s="240"/>
    </row>
    <row r="1319" spans="27:31">
      <c r="AA1319" s="240" t="str">
        <f t="shared" ref="AA1319:AA1360" si="17">INDEX($AB:$AE,ROW(),Language)</f>
        <v>SENSIBLE HEAT</v>
      </c>
      <c r="AB1319" s="243" t="s">
        <v>934</v>
      </c>
      <c r="AC1319" s="240" t="s">
        <v>935</v>
      </c>
      <c r="AD1319" s="243" t="s">
        <v>936</v>
      </c>
      <c r="AE1319" s="240" t="s">
        <v>937</v>
      </c>
    </row>
    <row r="1320" spans="27:31">
      <c r="AA1320" s="240" t="str">
        <f t="shared" si="17"/>
        <v>Sensible heat</v>
      </c>
      <c r="AB1320" s="243" t="s">
        <v>938</v>
      </c>
      <c r="AC1320" s="240" t="s">
        <v>939</v>
      </c>
      <c r="AD1320" s="243" t="s">
        <v>940</v>
      </c>
      <c r="AE1320" s="240" t="s">
        <v>941</v>
      </c>
    </row>
    <row r="1321" spans="27:31" ht="25.5">
      <c r="AA1321" s="240" t="str">
        <f t="shared" si="17"/>
        <v>Sensible heat from fuel(s)</v>
      </c>
      <c r="AB1321" s="243" t="s">
        <v>942</v>
      </c>
      <c r="AC1321" s="240" t="s">
        <v>943</v>
      </c>
      <c r="AD1321" s="243" t="s">
        <v>944</v>
      </c>
      <c r="AE1321" s="240" t="s">
        <v>945</v>
      </c>
    </row>
    <row r="1322" spans="27:31" ht="25.5">
      <c r="AA1322" s="240" t="str">
        <f t="shared" si="17"/>
        <v>Heat output via bypass gasflow</v>
      </c>
      <c r="AB1322" s="242" t="s">
        <v>946</v>
      </c>
      <c r="AC1322" s="242" t="s">
        <v>947</v>
      </c>
      <c r="AD1322" s="243" t="s">
        <v>948</v>
      </c>
      <c r="AE1322" s="242" t="s">
        <v>949</v>
      </c>
    </row>
    <row r="1323" spans="27:31" ht="25.5">
      <c r="AA1323" s="240" t="str">
        <f t="shared" si="17"/>
        <v>SENSIBLE HEAT BYPASS FLOWRATE</v>
      </c>
      <c r="AB1323" s="243" t="s">
        <v>951</v>
      </c>
      <c r="AC1323" s="240" t="s">
        <v>952</v>
      </c>
      <c r="AD1323" s="243" t="s">
        <v>953</v>
      </c>
      <c r="AE1323" s="240" t="s">
        <v>954</v>
      </c>
    </row>
    <row r="1324" spans="27:31" ht="25.5">
      <c r="AA1324" s="240" t="str">
        <f t="shared" si="17"/>
        <v>SENSIBLE HEAT OF CLINKER</v>
      </c>
      <c r="AB1324" s="243" t="s">
        <v>956</v>
      </c>
      <c r="AC1324" s="242" t="s">
        <v>957</v>
      </c>
      <c r="AD1324" s="243" t="s">
        <v>958</v>
      </c>
      <c r="AE1324" s="240" t="s">
        <v>959</v>
      </c>
    </row>
    <row r="1325" spans="27:31">
      <c r="AA1325" s="240" t="str">
        <f t="shared" si="17"/>
        <v>Heat output via the clinker</v>
      </c>
      <c r="AB1325" s="243" t="s">
        <v>960</v>
      </c>
      <c r="AC1325" s="240" t="s">
        <v>961</v>
      </c>
      <c r="AD1325" s="243" t="s">
        <v>962</v>
      </c>
      <c r="AE1325" s="242" t="s">
        <v>963</v>
      </c>
    </row>
    <row r="1326" spans="27:31" ht="25.5">
      <c r="AA1326" s="240" t="str">
        <f t="shared" si="17"/>
        <v>Heat output via secondary air</v>
      </c>
      <c r="AB1326" s="243" t="s">
        <v>964</v>
      </c>
      <c r="AC1326" s="240" t="s">
        <v>965</v>
      </c>
      <c r="AD1326" s="243" t="s">
        <v>966</v>
      </c>
      <c r="AE1326" s="242" t="s">
        <v>967</v>
      </c>
    </row>
    <row r="1327" spans="27:31" ht="16.5" customHeight="1">
      <c r="AA1327" s="240" t="str">
        <f t="shared" si="17"/>
        <v>Sensible heat water</v>
      </c>
      <c r="AB1327" s="242" t="s">
        <v>968</v>
      </c>
      <c r="AC1327" s="242" t="s">
        <v>969</v>
      </c>
      <c r="AD1327" s="242" t="s">
        <v>970</v>
      </c>
      <c r="AE1327" s="242" t="s">
        <v>971</v>
      </c>
    </row>
    <row r="1328" spans="27:31" ht="12.75" customHeight="1">
      <c r="AA1328" s="240" t="str">
        <f t="shared" si="17"/>
        <v>Sensible heat air</v>
      </c>
      <c r="AB1328" s="243" t="s">
        <v>972</v>
      </c>
      <c r="AC1328" s="242" t="s">
        <v>973</v>
      </c>
      <c r="AD1328" s="242" t="s">
        <v>974</v>
      </c>
      <c r="AE1328" s="242" t="s">
        <v>975</v>
      </c>
    </row>
    <row r="1329" spans="27:31" ht="25.5">
      <c r="AA1329" s="240" t="str">
        <f t="shared" si="17"/>
        <v>SENSIBLE HEAT OUTPUT VIA DUST</v>
      </c>
      <c r="AB1329" s="243" t="s">
        <v>976</v>
      </c>
      <c r="AC1329" s="242" t="s">
        <v>1000</v>
      </c>
      <c r="AD1329" s="242" t="s">
        <v>1001</v>
      </c>
      <c r="AE1329" s="242" t="s">
        <v>1002</v>
      </c>
    </row>
    <row r="1330" spans="27:31" ht="25.5">
      <c r="AA1330" s="240" t="str">
        <f t="shared" si="17"/>
        <v>Heat output via dust loss</v>
      </c>
      <c r="AB1330" s="242" t="s">
        <v>1003</v>
      </c>
      <c r="AC1330" s="242" t="s">
        <v>1004</v>
      </c>
      <c r="AD1330" s="242" t="s">
        <v>1005</v>
      </c>
      <c r="AE1330" s="242" t="s">
        <v>1006</v>
      </c>
    </row>
    <row r="1331" spans="27:31">
      <c r="AA1331" s="240" t="str">
        <f t="shared" si="17"/>
        <v>Heat input via false air</v>
      </c>
      <c r="AB1331" s="243" t="s">
        <v>1007</v>
      </c>
      <c r="AC1331" s="243" t="s">
        <v>1008</v>
      </c>
      <c r="AD1331" s="242" t="s">
        <v>1009</v>
      </c>
      <c r="AE1331" s="242" t="s">
        <v>1010</v>
      </c>
    </row>
    <row r="1332" spans="27:31">
      <c r="AA1332" s="240" t="str">
        <f t="shared" si="17"/>
        <v>Heat output via tertiary air</v>
      </c>
      <c r="AB1332" s="243" t="s">
        <v>1011</v>
      </c>
      <c r="AC1332" s="243" t="s">
        <v>1012</v>
      </c>
      <c r="AD1332" s="242" t="s">
        <v>1013</v>
      </c>
      <c r="AE1332" s="242" t="s">
        <v>1014</v>
      </c>
    </row>
    <row r="1333" spans="27:31" ht="25.5">
      <c r="AA1333" s="240" t="str">
        <f t="shared" si="17"/>
        <v>SENSIBLE HEAT MAIN BURNER</v>
      </c>
      <c r="AB1333" s="243" t="s">
        <v>1015</v>
      </c>
      <c r="AC1333" s="240" t="s">
        <v>1016</v>
      </c>
      <c r="AD1333" s="243" t="s">
        <v>1017</v>
      </c>
      <c r="AE1333" s="240" t="s">
        <v>1018</v>
      </c>
    </row>
    <row r="1334" spans="27:31" ht="38.25">
      <c r="AA1334" s="240" t="str">
        <f t="shared" si="17"/>
        <v>SENSIBLE HEAT COOLER WASTE AIR</v>
      </c>
      <c r="AB1334" s="243" t="s">
        <v>1019</v>
      </c>
      <c r="AC1334" s="240" t="s">
        <v>1020</v>
      </c>
      <c r="AD1334" s="243" t="s">
        <v>1021</v>
      </c>
      <c r="AE1334" s="242" t="s">
        <v>1022</v>
      </c>
    </row>
    <row r="1335" spans="27:31" ht="25.5">
      <c r="AA1335" s="240" t="str">
        <f t="shared" si="17"/>
        <v>Heat output through cooler waste air</v>
      </c>
      <c r="AB1335" s="243" t="s">
        <v>1023</v>
      </c>
      <c r="AC1335" s="242" t="s">
        <v>1024</v>
      </c>
      <c r="AD1335" s="242" t="s">
        <v>1025</v>
      </c>
      <c r="AE1335" s="242" t="s">
        <v>1026</v>
      </c>
    </row>
    <row r="1336" spans="27:31" ht="25.5">
      <c r="AA1336" s="240" t="str">
        <f t="shared" si="17"/>
        <v>SENSIBLE HEAT COOLER MIDDLE AIR</v>
      </c>
      <c r="AB1336" s="243" t="s">
        <v>1027</v>
      </c>
      <c r="AC1336" s="240" t="s">
        <v>1028</v>
      </c>
      <c r="AD1336" s="242" t="s">
        <v>1031</v>
      </c>
      <c r="AE1336" s="242" t="s">
        <v>1032</v>
      </c>
    </row>
    <row r="1337" spans="27:31" ht="25.5">
      <c r="AA1337" s="240" t="str">
        <f t="shared" si="17"/>
        <v>Heat output through cooler middle air</v>
      </c>
      <c r="AB1337" s="243" t="s">
        <v>1033</v>
      </c>
      <c r="AC1337" s="243" t="s">
        <v>1034</v>
      </c>
      <c r="AD1337" s="243" t="s">
        <v>1035</v>
      </c>
      <c r="AE1337" s="242" t="s">
        <v>1036</v>
      </c>
    </row>
    <row r="1338" spans="27:31" ht="38.25">
      <c r="AA1338" s="240" t="str">
        <f t="shared" si="17"/>
        <v>SENSIBLE HEAT OF WATER VAPOR IN WASTE AIR</v>
      </c>
      <c r="AB1338" s="242" t="s">
        <v>1037</v>
      </c>
      <c r="AC1338" s="242" t="s">
        <v>1038</v>
      </c>
      <c r="AD1338" s="242" t="s">
        <v>1039</v>
      </c>
      <c r="AE1338" s="242" t="s">
        <v>1040</v>
      </c>
    </row>
    <row r="1339" spans="27:31" ht="25.5">
      <c r="AA1339" s="240" t="str">
        <f t="shared" si="17"/>
        <v>SENSIBLE HEAT KILN EXHAUST GASES</v>
      </c>
      <c r="AB1339" s="242" t="s">
        <v>1041</v>
      </c>
      <c r="AC1339" s="240" t="s">
        <v>1042</v>
      </c>
      <c r="AD1339" s="243" t="s">
        <v>1043</v>
      </c>
      <c r="AE1339" s="240" t="s">
        <v>1044</v>
      </c>
    </row>
    <row r="1340" spans="27:31" ht="25.5">
      <c r="AA1340" s="240" t="str">
        <f t="shared" si="17"/>
        <v>SENSIBLE HEAT COOLING AIR</v>
      </c>
      <c r="AB1340" s="243" t="s">
        <v>1045</v>
      </c>
      <c r="AC1340" s="240" t="s">
        <v>1046</v>
      </c>
      <c r="AD1340" s="243" t="s">
        <v>1047</v>
      </c>
      <c r="AE1340" s="240" t="s">
        <v>1082</v>
      </c>
    </row>
    <row r="1341" spans="27:31" ht="25.5">
      <c r="AA1341" s="240" t="str">
        <f t="shared" si="17"/>
        <v>SENSIBLE HEAT OF INJECTED WATER</v>
      </c>
      <c r="AB1341" s="243" t="s">
        <v>1083</v>
      </c>
      <c r="AC1341" s="242" t="s">
        <v>1084</v>
      </c>
      <c r="AD1341" s="242" t="s">
        <v>1085</v>
      </c>
      <c r="AE1341" s="240" t="s">
        <v>1086</v>
      </c>
    </row>
    <row r="1342" spans="27:31" ht="25.5">
      <c r="AA1342" s="240" t="str">
        <f t="shared" si="17"/>
        <v>Sensible heat kiln exhaust gases</v>
      </c>
      <c r="AB1342" s="243" t="s">
        <v>1087</v>
      </c>
      <c r="AC1342" s="242" t="s">
        <v>1088</v>
      </c>
      <c r="AD1342" s="242" t="s">
        <v>1089</v>
      </c>
      <c r="AE1342" s="242" t="s">
        <v>1090</v>
      </c>
    </row>
    <row r="1343" spans="27:31" ht="25.5">
      <c r="AA1343" s="240" t="str">
        <f t="shared" si="17"/>
        <v>Sensible heat calciner exhaust gases</v>
      </c>
      <c r="AB1343" s="242" t="s">
        <v>1091</v>
      </c>
      <c r="AC1343" s="242" t="s">
        <v>1099</v>
      </c>
      <c r="AD1343" s="242" t="s">
        <v>1100</v>
      </c>
      <c r="AE1343" s="242" t="s">
        <v>1101</v>
      </c>
    </row>
    <row r="1344" spans="27:31" ht="25.5">
      <c r="AA1344" s="240" t="str">
        <f t="shared" si="17"/>
        <v>SENSIBLE HEAT CALCINER EXHAUST GASES</v>
      </c>
      <c r="AB1344" s="242" t="s">
        <v>1102</v>
      </c>
      <c r="AC1344" s="243" t="s">
        <v>1103</v>
      </c>
      <c r="AD1344" s="243" t="s">
        <v>1117</v>
      </c>
      <c r="AE1344" s="242" t="s">
        <v>1118</v>
      </c>
    </row>
    <row r="1345" spans="27:31">
      <c r="AA1345" s="240" t="str">
        <f t="shared" si="17"/>
        <v>factor</v>
      </c>
      <c r="AB1345" s="240" t="s">
        <v>1119</v>
      </c>
      <c r="AC1345" s="240" t="s">
        <v>1120</v>
      </c>
      <c r="AD1345" s="240" t="s">
        <v>1121</v>
      </c>
      <c r="AE1345" s="240" t="s">
        <v>1122</v>
      </c>
    </row>
    <row r="1346" spans="27:31">
      <c r="AA1346" s="240" t="str">
        <f t="shared" si="17"/>
        <v>FALSE AIR</v>
      </c>
      <c r="AB1346" s="240" t="s">
        <v>1123</v>
      </c>
      <c r="AC1346" s="240" t="s">
        <v>1124</v>
      </c>
      <c r="AD1346" s="240" t="s">
        <v>1125</v>
      </c>
      <c r="AE1346" s="240" t="s">
        <v>1127</v>
      </c>
    </row>
    <row r="1347" spans="27:31">
      <c r="AA1347" s="240" t="str">
        <f t="shared" si="17"/>
        <v>False air</v>
      </c>
      <c r="AB1347" s="240" t="s">
        <v>1128</v>
      </c>
      <c r="AC1347" s="240" t="s">
        <v>1129</v>
      </c>
      <c r="AD1347" s="240" t="s">
        <v>1130</v>
      </c>
      <c r="AE1347" s="240" t="s">
        <v>1131</v>
      </c>
    </row>
    <row r="1348" spans="27:31">
      <c r="AA1348" s="240" t="str">
        <f t="shared" si="17"/>
        <v>False air cooler</v>
      </c>
      <c r="AB1348" s="240" t="s">
        <v>1132</v>
      </c>
      <c r="AC1348" s="240" t="s">
        <v>1143</v>
      </c>
      <c r="AD1348" s="240" t="s">
        <v>1144</v>
      </c>
      <c r="AE1348" s="240" t="s">
        <v>1152</v>
      </c>
    </row>
    <row r="1349" spans="27:31">
      <c r="AA1349" s="240" t="str">
        <f t="shared" si="17"/>
        <v>False air tertiary air duct</v>
      </c>
      <c r="AB1349" s="240" t="s">
        <v>868</v>
      </c>
      <c r="AC1349" s="240" t="s">
        <v>869</v>
      </c>
      <c r="AD1349" s="240" t="s">
        <v>870</v>
      </c>
      <c r="AE1349" s="240" t="s">
        <v>871</v>
      </c>
    </row>
    <row r="1350" spans="27:31">
      <c r="AA1350" s="240" t="str">
        <f t="shared" si="17"/>
        <v>False air kiln inlet seal</v>
      </c>
      <c r="AB1350" s="240" t="s">
        <v>1153</v>
      </c>
      <c r="AC1350" s="240" t="s">
        <v>1154</v>
      </c>
      <c r="AD1350" s="240" t="s">
        <v>1155</v>
      </c>
      <c r="AE1350" s="240" t="s">
        <v>1156</v>
      </c>
    </row>
    <row r="1351" spans="27:31">
      <c r="AA1351" s="240" t="str">
        <f t="shared" si="17"/>
        <v>False air kiln hood</v>
      </c>
      <c r="AB1351" s="939" t="s">
        <v>1157</v>
      </c>
      <c r="AC1351" s="939" t="s">
        <v>1158</v>
      </c>
      <c r="AD1351" s="939" t="s">
        <v>2180</v>
      </c>
      <c r="AE1351" s="939" t="s">
        <v>1159</v>
      </c>
    </row>
    <row r="1352" spans="27:31">
      <c r="AA1352" s="240" t="str">
        <f t="shared" si="17"/>
        <v>Cooler air balance error</v>
      </c>
      <c r="AB1352" s="242" t="s">
        <v>1160</v>
      </c>
      <c r="AC1352" s="240" t="s">
        <v>1161</v>
      </c>
      <c r="AD1352" s="240" t="s">
        <v>1162</v>
      </c>
      <c r="AE1352" s="240" t="s">
        <v>1163</v>
      </c>
    </row>
    <row r="1353" spans="27:31" ht="25.5">
      <c r="AA1353" s="240" t="str">
        <f t="shared" si="17"/>
        <v>Cooler heat balance error</v>
      </c>
      <c r="AB1353" s="243" t="s">
        <v>1164</v>
      </c>
      <c r="AC1353" s="240" t="s">
        <v>1165</v>
      </c>
      <c r="AD1353" s="240" t="s">
        <v>1166</v>
      </c>
      <c r="AE1353" s="240" t="s">
        <v>1167</v>
      </c>
    </row>
    <row r="1354" spans="27:31">
      <c r="AA1354" s="240" t="str">
        <f t="shared" si="17"/>
        <v>Mass balance error</v>
      </c>
      <c r="AB1354" s="240" t="s">
        <v>1168</v>
      </c>
      <c r="AC1354" s="240" t="s">
        <v>1169</v>
      </c>
      <c r="AD1354" s="240" t="s">
        <v>1170</v>
      </c>
      <c r="AE1354" s="240" t="s">
        <v>1171</v>
      </c>
    </row>
    <row r="1355" spans="27:31">
      <c r="AA1355" s="240" t="str">
        <f t="shared" si="17"/>
        <v>Kiln heat balance error</v>
      </c>
      <c r="AB1355" s="240" t="s">
        <v>1172</v>
      </c>
      <c r="AC1355" s="240" t="s">
        <v>1173</v>
      </c>
      <c r="AD1355" s="242" t="s">
        <v>1174</v>
      </c>
      <c r="AE1355" s="240" t="s">
        <v>1175</v>
      </c>
    </row>
    <row r="1356" spans="27:31">
      <c r="AA1356" s="240" t="str">
        <f t="shared" si="17"/>
        <v>wet</v>
      </c>
      <c r="AB1356" s="240" t="s">
        <v>1176</v>
      </c>
      <c r="AC1356" s="240" t="s">
        <v>1177</v>
      </c>
      <c r="AD1356" s="243" t="s">
        <v>1178</v>
      </c>
      <c r="AE1356" s="240" t="s">
        <v>1179</v>
      </c>
    </row>
    <row r="1357" spans="27:31">
      <c r="AA1357" s="240" t="str">
        <f t="shared" si="17"/>
        <v>Moisture content</v>
      </c>
      <c r="AB1357" s="240" t="s">
        <v>1180</v>
      </c>
      <c r="AC1357" s="240" t="s">
        <v>1181</v>
      </c>
      <c r="AD1357" s="240" t="s">
        <v>1186</v>
      </c>
      <c r="AE1357" s="240" t="s">
        <v>1187</v>
      </c>
    </row>
    <row r="1358" spans="27:31" ht="25.5">
      <c r="AA1358" s="240" t="str">
        <f t="shared" si="17"/>
        <v>Moisture content of the coal fed to the burner</v>
      </c>
      <c r="AB1358" s="243" t="s">
        <v>1188</v>
      </c>
      <c r="AC1358" s="240" t="s">
        <v>1189</v>
      </c>
      <c r="AD1358" s="243" t="s">
        <v>1190</v>
      </c>
      <c r="AE1358" s="242" t="s">
        <v>1191</v>
      </c>
    </row>
    <row r="1359" spans="27:31" ht="25.5">
      <c r="AA1359" s="240" t="str">
        <f t="shared" si="17"/>
        <v>Moisture content of the raw coal/coke as fed to the coal mill</v>
      </c>
      <c r="AB1359" s="244" t="s">
        <v>1192</v>
      </c>
      <c r="AC1359" s="240" t="s">
        <v>1193</v>
      </c>
      <c r="AD1359" s="242" t="s">
        <v>1194</v>
      </c>
      <c r="AE1359" s="240" t="s">
        <v>1195</v>
      </c>
    </row>
    <row r="1360" spans="27:31">
      <c r="AA1360" s="240" t="str">
        <f t="shared" si="17"/>
        <v>flow</v>
      </c>
      <c r="AB1360" s="240" t="s">
        <v>1196</v>
      </c>
      <c r="AC1360" s="240" t="s">
        <v>1197</v>
      </c>
      <c r="AD1360" s="243" t="s">
        <v>1198</v>
      </c>
      <c r="AE1360" s="240" t="s">
        <v>1199</v>
      </c>
    </row>
    <row r="1361" spans="27:31">
      <c r="AA1361" s="240"/>
      <c r="AB1361" s="241" t="s">
        <v>1200</v>
      </c>
      <c r="AC1361" s="240"/>
      <c r="AD1361" s="240"/>
      <c r="AE1361" s="240"/>
    </row>
    <row r="1362" spans="27:31" ht="25.5">
      <c r="AA1362" s="240" t="str">
        <f t="shared" ref="AA1362:AA1376" si="18">INDEX($AB:$AE,ROW(),Language)</f>
        <v>GAS PROPERTIES AT KILN INLET</v>
      </c>
      <c r="AB1362" s="240" t="s">
        <v>1201</v>
      </c>
      <c r="AC1362" s="240" t="s">
        <v>1202</v>
      </c>
      <c r="AD1362" s="240" t="s">
        <v>1203</v>
      </c>
      <c r="AE1362" s="242" t="s">
        <v>1204</v>
      </c>
    </row>
    <row r="1363" spans="27:31" ht="38.25">
      <c r="AA1363" s="240" t="str">
        <f t="shared" si="18"/>
        <v>GAS PROPERTIES AT PREHEATER OUTLET</v>
      </c>
      <c r="AB1363" s="242" t="s">
        <v>1205</v>
      </c>
      <c r="AC1363" s="240" t="s">
        <v>1206</v>
      </c>
      <c r="AD1363" s="242" t="s">
        <v>1207</v>
      </c>
      <c r="AE1363" s="242" t="s">
        <v>1208</v>
      </c>
    </row>
    <row r="1364" spans="27:31" ht="25.5">
      <c r="AA1364" s="240" t="str">
        <f t="shared" si="18"/>
        <v>Gas from raw meal CO2 + H2Ohyd</v>
      </c>
      <c r="AB1364" s="242" t="s">
        <v>1209</v>
      </c>
      <c r="AC1364" s="240" t="s">
        <v>1210</v>
      </c>
      <c r="AD1364" s="243" t="s">
        <v>1214</v>
      </c>
      <c r="AE1364" s="240" t="s">
        <v>1215</v>
      </c>
    </row>
    <row r="1365" spans="27:31">
      <c r="AA1365" s="240" t="str">
        <f t="shared" si="18"/>
        <v>content</v>
      </c>
      <c r="AB1365" s="243" t="s">
        <v>1216</v>
      </c>
      <c r="AC1365" s="240" t="s">
        <v>1217</v>
      </c>
      <c r="AD1365" s="243" t="s">
        <v>1218</v>
      </c>
      <c r="AE1365" s="242" t="s">
        <v>1219</v>
      </c>
    </row>
    <row r="1366" spans="27:31" ht="25.5">
      <c r="AA1366" s="240" t="str">
        <f t="shared" si="18"/>
        <v>Total cooling air</v>
      </c>
      <c r="AB1366" s="240" t="s">
        <v>1220</v>
      </c>
      <c r="AC1366" s="240" t="s">
        <v>1221</v>
      </c>
      <c r="AD1366" s="243" t="s">
        <v>1222</v>
      </c>
      <c r="AE1366" s="240" t="s">
        <v>1223</v>
      </c>
    </row>
    <row r="1367" spans="27:31" ht="25.5">
      <c r="AA1367" s="240" t="str">
        <f t="shared" si="18"/>
        <v>Total primary air main burner</v>
      </c>
      <c r="AB1367" s="242" t="s">
        <v>1224</v>
      </c>
      <c r="AC1367" s="242" t="s">
        <v>1225</v>
      </c>
      <c r="AD1367" s="242" t="s">
        <v>1226</v>
      </c>
      <c r="AE1367" s="242" t="s">
        <v>1227</v>
      </c>
    </row>
    <row r="1368" spans="27:31" ht="25.5">
      <c r="AA1368" s="240" t="str">
        <f t="shared" si="18"/>
        <v>Total primary air precalciner or secondary firing</v>
      </c>
      <c r="AB1368" s="243" t="s">
        <v>1228</v>
      </c>
      <c r="AC1368" s="242" t="s">
        <v>1229</v>
      </c>
      <c r="AD1368" s="242" t="s">
        <v>1236</v>
      </c>
      <c r="AE1368" s="242" t="s">
        <v>1237</v>
      </c>
    </row>
    <row r="1369" spans="27:31">
      <c r="AA1369" s="240" t="str">
        <f t="shared" si="18"/>
        <v>Total heat input</v>
      </c>
      <c r="AB1369" s="240" t="s">
        <v>1238</v>
      </c>
      <c r="AC1369" s="240" t="s">
        <v>1239</v>
      </c>
      <c r="AD1369" s="243" t="s">
        <v>1240</v>
      </c>
      <c r="AE1369" s="240" t="s">
        <v>1241</v>
      </c>
    </row>
    <row r="1370" spans="27:31" ht="25.5">
      <c r="AA1370" s="240" t="str">
        <f t="shared" si="18"/>
        <v>Total heat input from fuel combustion</v>
      </c>
      <c r="AB1370" s="240" t="s">
        <v>1242</v>
      </c>
      <c r="AC1370" s="240" t="s">
        <v>1243</v>
      </c>
      <c r="AD1370" s="242" t="s">
        <v>1244</v>
      </c>
      <c r="AE1370" s="242" t="s">
        <v>1245</v>
      </c>
    </row>
    <row r="1371" spans="27:31">
      <c r="AA1371" s="240" t="str">
        <f t="shared" si="18"/>
        <v>Total heat of condensation:</v>
      </c>
      <c r="AB1371" s="242" t="s">
        <v>1246</v>
      </c>
      <c r="AC1371" s="242" t="s">
        <v>1247</v>
      </c>
      <c r="AD1371" s="243" t="s">
        <v>1248</v>
      </c>
      <c r="AE1371" s="243" t="s">
        <v>1249</v>
      </c>
    </row>
    <row r="1372" spans="27:31">
      <c r="AA1372" s="240" t="str">
        <f t="shared" si="18"/>
        <v>Velocity</v>
      </c>
      <c r="AB1372" s="240" t="s">
        <v>1250</v>
      </c>
      <c r="AC1372" s="243" t="s">
        <v>1251</v>
      </c>
      <c r="AD1372" s="243" t="s">
        <v>1252</v>
      </c>
      <c r="AE1372" s="243" t="s">
        <v>1253</v>
      </c>
    </row>
    <row r="1373" spans="27:31">
      <c r="AA1373" s="240" t="str">
        <f t="shared" si="18"/>
        <v>Velocity</v>
      </c>
      <c r="AB1373" s="240" t="s">
        <v>1254</v>
      </c>
      <c r="AC1373" s="242" t="s">
        <v>1251</v>
      </c>
      <c r="AD1373" s="242" t="s">
        <v>1252</v>
      </c>
      <c r="AE1373" s="242" t="s">
        <v>1253</v>
      </c>
    </row>
    <row r="1374" spans="27:31">
      <c r="AA1374" s="240" t="str">
        <f t="shared" si="18"/>
        <v>LOI</v>
      </c>
      <c r="AB1374" s="240" t="s">
        <v>1255</v>
      </c>
      <c r="AC1374" s="240" t="s">
        <v>1256</v>
      </c>
      <c r="AD1374" s="242" t="s">
        <v>1257</v>
      </c>
      <c r="AE1374" s="242" t="s">
        <v>1258</v>
      </c>
    </row>
    <row r="1375" spans="27:31">
      <c r="AA1375" s="240" t="str">
        <f t="shared" si="18"/>
        <v>LOI</v>
      </c>
      <c r="AB1375" s="240" t="s">
        <v>1255</v>
      </c>
      <c r="AC1375" s="240" t="s">
        <v>1256</v>
      </c>
      <c r="AD1375" s="243" t="s">
        <v>1259</v>
      </c>
      <c r="AE1375" s="242" t="s">
        <v>1260</v>
      </c>
    </row>
    <row r="1376" spans="27:31" ht="25.5">
      <c r="AA1376" s="240" t="str">
        <f t="shared" si="18"/>
        <v>LOI of bypass dust</v>
      </c>
      <c r="AB1376" s="240" t="s">
        <v>1261</v>
      </c>
      <c r="AC1376" s="240" t="s">
        <v>1262</v>
      </c>
      <c r="AD1376" s="243" t="s">
        <v>1263</v>
      </c>
      <c r="AE1376" s="242" t="s">
        <v>1264</v>
      </c>
    </row>
    <row r="1377" spans="27:31">
      <c r="AA1377" s="240"/>
      <c r="AB1377" s="241" t="s">
        <v>1271</v>
      </c>
      <c r="AC1377" s="240"/>
      <c r="AD1377" s="240"/>
      <c r="AE1377" s="240"/>
    </row>
    <row r="1378" spans="27:31">
      <c r="AA1378" s="240" t="str">
        <f t="shared" ref="AA1378:AA1388" si="19">INDEX($AB:$AE,ROW(),Language)</f>
        <v>Altitude</v>
      </c>
      <c r="AB1378" s="240" t="s">
        <v>1272</v>
      </c>
      <c r="AC1378" s="240" t="s">
        <v>1273</v>
      </c>
      <c r="AD1378" s="240" t="s">
        <v>1273</v>
      </c>
      <c r="AE1378" s="242" t="s">
        <v>1274</v>
      </c>
    </row>
    <row r="1379" spans="27:31">
      <c r="AA1379" s="240" t="str">
        <f t="shared" si="19"/>
        <v>H2O fuel/coal mill</v>
      </c>
      <c r="AB1379" s="242" t="s">
        <v>1275</v>
      </c>
      <c r="AC1379" s="242" t="s">
        <v>1276</v>
      </c>
      <c r="AD1379" s="242" t="s">
        <v>1277</v>
      </c>
      <c r="AE1379" s="242" t="s">
        <v>1278</v>
      </c>
    </row>
    <row r="1380" spans="27:31">
      <c r="AA1380" s="240" t="str">
        <f t="shared" si="19"/>
        <v>H2O kiln feed</v>
      </c>
      <c r="AB1380" s="240" t="s">
        <v>1279</v>
      </c>
      <c r="AC1380" s="240" t="s">
        <v>1280</v>
      </c>
      <c r="AD1380" s="240" t="s">
        <v>1281</v>
      </c>
      <c r="AE1380" s="242" t="s">
        <v>1282</v>
      </c>
    </row>
    <row r="1381" spans="27:31">
      <c r="AA1381" s="240" t="str">
        <f t="shared" si="19"/>
        <v>H2O air humidity</v>
      </c>
      <c r="AB1381" s="240" t="s">
        <v>1283</v>
      </c>
      <c r="AC1381" s="240" t="s">
        <v>1284</v>
      </c>
      <c r="AD1381" s="240" t="s">
        <v>1285</v>
      </c>
      <c r="AE1381" s="243" t="s">
        <v>1286</v>
      </c>
    </row>
    <row r="1382" spans="27:31">
      <c r="AA1382" s="240" t="str">
        <f t="shared" si="19"/>
        <v>H2O in Vmin</v>
      </c>
      <c r="AB1382" s="240" t="s">
        <v>1287</v>
      </c>
      <c r="AC1382" s="240" t="s">
        <v>1287</v>
      </c>
      <c r="AD1382" s="240" t="s">
        <v>1292</v>
      </c>
      <c r="AE1382" s="243" t="s">
        <v>1293</v>
      </c>
    </row>
    <row r="1383" spans="27:31">
      <c r="AA1383" s="240" t="str">
        <f t="shared" si="19"/>
        <v>average H2O in Vmin</v>
      </c>
      <c r="AB1383" s="242" t="s">
        <v>1294</v>
      </c>
      <c r="AC1383" s="242" t="s">
        <v>1295</v>
      </c>
      <c r="AD1383" s="242" t="s">
        <v>1296</v>
      </c>
      <c r="AE1383" s="242" t="s">
        <v>1297</v>
      </c>
    </row>
    <row r="1384" spans="27:31" ht="25.5">
      <c r="AA1384" s="240" t="str">
        <f t="shared" si="19"/>
        <v>H2O-input into planetary cooler</v>
      </c>
      <c r="AB1384" s="242" t="s">
        <v>1298</v>
      </c>
      <c r="AC1384" s="242" t="s">
        <v>1299</v>
      </c>
      <c r="AD1384" s="242" t="s">
        <v>1300</v>
      </c>
      <c r="AE1384" s="242" t="s">
        <v>1301</v>
      </c>
    </row>
    <row r="1385" spans="27:31">
      <c r="AA1385" s="240" t="str">
        <f t="shared" si="19"/>
        <v>MAIN BURNER</v>
      </c>
      <c r="AB1385" s="240" t="s">
        <v>1302</v>
      </c>
      <c r="AC1385" s="240" t="s">
        <v>1303</v>
      </c>
      <c r="AD1385" s="240" t="s">
        <v>1304</v>
      </c>
      <c r="AE1385" s="240" t="s">
        <v>1305</v>
      </c>
    </row>
    <row r="1386" spans="27:31">
      <c r="AA1386" s="240" t="str">
        <f t="shared" si="19"/>
        <v>Main burner</v>
      </c>
      <c r="AB1386" s="240" t="s">
        <v>1306</v>
      </c>
      <c r="AC1386" s="240" t="s">
        <v>1307</v>
      </c>
      <c r="AD1386" s="240" t="s">
        <v>1308</v>
      </c>
      <c r="AE1386" s="242" t="s">
        <v>1309</v>
      </c>
    </row>
    <row r="1387" spans="27:31">
      <c r="AA1387" s="240" t="str">
        <f t="shared" si="19"/>
        <v>NCV</v>
      </c>
      <c r="AB1387" s="240" t="s">
        <v>1310</v>
      </c>
      <c r="AC1387" s="939" t="s">
        <v>2172</v>
      </c>
      <c r="AD1387" s="240" t="s">
        <v>1311</v>
      </c>
      <c r="AE1387" s="243" t="s">
        <v>1311</v>
      </c>
    </row>
    <row r="1388" spans="27:31">
      <c r="AA1388" s="240" t="str">
        <f t="shared" si="19"/>
        <v>NCV as fired</v>
      </c>
      <c r="AB1388" s="240" t="s">
        <v>1312</v>
      </c>
      <c r="AC1388" s="939" t="s">
        <v>2173</v>
      </c>
      <c r="AD1388" s="240" t="s">
        <v>1313</v>
      </c>
      <c r="AE1388" s="240" t="s">
        <v>1314</v>
      </c>
    </row>
    <row r="1389" spans="27:31">
      <c r="AA1389" s="240"/>
      <c r="AB1389" s="241" t="s">
        <v>1315</v>
      </c>
      <c r="AC1389" s="240"/>
      <c r="AD1389" s="240"/>
      <c r="AE1389" s="240"/>
    </row>
    <row r="1390" spans="27:31" ht="25.5">
      <c r="AA1390" s="240" t="str">
        <f>INDEX($AB:$AE,ROW(),Language)</f>
        <v>In case of a "separate line" calciner</v>
      </c>
      <c r="AB1390" s="240" t="s">
        <v>1316</v>
      </c>
      <c r="AC1390" s="243" t="s">
        <v>1317</v>
      </c>
      <c r="AD1390" s="243" t="s">
        <v>1317</v>
      </c>
      <c r="AE1390" s="240" t="s">
        <v>1318</v>
      </c>
    </row>
    <row r="1391" spans="27:31">
      <c r="AA1391" s="240" t="str">
        <f>INDEX($AB:$AE,ROW(),Language)</f>
        <v>Indirect firing system</v>
      </c>
      <c r="AB1391" s="242" t="s">
        <v>1319</v>
      </c>
      <c r="AC1391" s="242" t="s">
        <v>1320</v>
      </c>
      <c r="AD1391" s="242" t="s">
        <v>1321</v>
      </c>
      <c r="AE1391" s="242" t="s">
        <v>1322</v>
      </c>
    </row>
    <row r="1392" spans="27:31">
      <c r="AA1392" s="240"/>
      <c r="AB1392" s="241" t="s">
        <v>1323</v>
      </c>
      <c r="AC1392" s="240"/>
      <c r="AD1392" s="240"/>
      <c r="AE1392" s="240"/>
    </row>
    <row r="1393" spans="27:31">
      <c r="AA1393" s="240"/>
      <c r="AB1393" s="241" t="s">
        <v>514</v>
      </c>
      <c r="AC1393" s="240"/>
      <c r="AD1393" s="240"/>
      <c r="AE1393" s="240"/>
    </row>
    <row r="1394" spans="27:31">
      <c r="AA1394" s="240" t="str">
        <f t="shared" ref="AA1394:AA1425" si="20">INDEX($AB:$AE,ROW(),Language)</f>
        <v>K2O kiln feed</v>
      </c>
      <c r="AB1394" s="240" t="s">
        <v>1324</v>
      </c>
      <c r="AC1394" s="240" t="s">
        <v>1325</v>
      </c>
      <c r="AD1394" s="240" t="s">
        <v>1326</v>
      </c>
      <c r="AE1394" s="240" t="s">
        <v>1327</v>
      </c>
    </row>
    <row r="1395" spans="27:31">
      <c r="AA1395" s="240" t="str">
        <f t="shared" si="20"/>
        <v>K2O clinker</v>
      </c>
      <c r="AB1395" s="240" t="s">
        <v>1328</v>
      </c>
      <c r="AC1395" s="240" t="s">
        <v>1329</v>
      </c>
      <c r="AD1395" s="240" t="s">
        <v>1329</v>
      </c>
      <c r="AE1395" s="240" t="s">
        <v>1329</v>
      </c>
    </row>
    <row r="1396" spans="27:31">
      <c r="AA1396" s="240" t="str">
        <f t="shared" si="20"/>
        <v>K2O kiln dust</v>
      </c>
      <c r="AB1396" s="240" t="s">
        <v>1330</v>
      </c>
      <c r="AC1396" s="242" t="s">
        <v>1331</v>
      </c>
      <c r="AD1396" s="240" t="s">
        <v>1332</v>
      </c>
      <c r="AE1396" s="240" t="s">
        <v>1333</v>
      </c>
    </row>
    <row r="1397" spans="27:31" ht="25.5">
      <c r="AA1397" s="240" t="str">
        <f t="shared" si="20"/>
        <v>Heat of condensation of the alcalis</v>
      </c>
      <c r="AB1397" s="240" t="s">
        <v>1334</v>
      </c>
      <c r="AC1397" s="243" t="s">
        <v>1335</v>
      </c>
      <c r="AD1397" s="240" t="s">
        <v>1336</v>
      </c>
      <c r="AE1397" s="240" t="s">
        <v>1337</v>
      </c>
    </row>
    <row r="1398" spans="27:31">
      <c r="AA1398" s="240" t="str">
        <f t="shared" si="20"/>
        <v>COOLER</v>
      </c>
      <c r="AB1398" s="240" t="s">
        <v>1338</v>
      </c>
      <c r="AC1398" s="240" t="s">
        <v>1339</v>
      </c>
      <c r="AD1398" s="243" t="s">
        <v>1340</v>
      </c>
      <c r="AE1398" s="240" t="s">
        <v>1341</v>
      </c>
    </row>
    <row r="1399" spans="27:31">
      <c r="AA1399" s="240" t="str">
        <f t="shared" si="20"/>
        <v>Cooler</v>
      </c>
      <c r="AB1399" s="240" t="s">
        <v>1342</v>
      </c>
      <c r="AC1399" s="240" t="s">
        <v>1343</v>
      </c>
      <c r="AD1399" s="243" t="s">
        <v>1344</v>
      </c>
      <c r="AE1399" s="240" t="s">
        <v>1345</v>
      </c>
    </row>
    <row r="1400" spans="27:31">
      <c r="AA1400" s="240" t="str">
        <f t="shared" si="20"/>
        <v>Cooler and kiln hood</v>
      </c>
      <c r="AB1400" s="240" t="s">
        <v>1346</v>
      </c>
      <c r="AC1400" s="240" t="s">
        <v>1347</v>
      </c>
      <c r="AD1400" s="242" t="s">
        <v>1348</v>
      </c>
      <c r="AE1400" s="242" t="s">
        <v>1349</v>
      </c>
    </row>
    <row r="1401" spans="27:31">
      <c r="AA1401" s="240" t="str">
        <f t="shared" si="20"/>
        <v>Cooler and kiln hood</v>
      </c>
      <c r="AB1401" s="240" t="s">
        <v>1346</v>
      </c>
      <c r="AC1401" s="240" t="s">
        <v>1347</v>
      </c>
      <c r="AD1401" s="243" t="s">
        <v>1350</v>
      </c>
      <c r="AE1401" s="242" t="s">
        <v>1349</v>
      </c>
    </row>
    <row r="1402" spans="27:31" ht="25.5">
      <c r="AA1402" s="240" t="str">
        <f t="shared" si="20"/>
        <v>COOLER HEAT BALANCE</v>
      </c>
      <c r="AB1402" s="242" t="s">
        <v>1351</v>
      </c>
      <c r="AC1402" s="242" t="s">
        <v>1352</v>
      </c>
      <c r="AD1402" s="242" t="s">
        <v>1353</v>
      </c>
      <c r="AE1402" s="242" t="s">
        <v>1354</v>
      </c>
    </row>
    <row r="1403" spans="27:31" ht="25.5">
      <c r="AA1403" s="240" t="str">
        <f t="shared" si="20"/>
        <v>COOLER WASTE AIR</v>
      </c>
      <c r="AB1403" s="240" t="s">
        <v>1355</v>
      </c>
      <c r="AC1403" s="240" t="s">
        <v>1356</v>
      </c>
      <c r="AD1403" s="240" t="s">
        <v>1357</v>
      </c>
      <c r="AE1403" s="242" t="s">
        <v>1358</v>
      </c>
    </row>
    <row r="1404" spans="27:31" ht="38.25">
      <c r="AA1404" s="240" t="str">
        <f t="shared" si="20"/>
        <v>COOLER WASTE AIR AND WATER VAPOR</v>
      </c>
      <c r="AB1404" s="242" t="s">
        <v>1359</v>
      </c>
      <c r="AC1404" s="242" t="s">
        <v>1360</v>
      </c>
      <c r="AD1404" s="242" t="s">
        <v>1361</v>
      </c>
      <c r="AE1404" s="242" t="s">
        <v>1362</v>
      </c>
    </row>
    <row r="1405" spans="27:31">
      <c r="AA1405" s="240" t="str">
        <f t="shared" si="20"/>
        <v>Cooler waste air</v>
      </c>
      <c r="AB1405" s="240" t="s">
        <v>1363</v>
      </c>
      <c r="AC1405" s="240" t="s">
        <v>1364</v>
      </c>
      <c r="AD1405" s="240" t="s">
        <v>1365</v>
      </c>
      <c r="AE1405" s="242" t="s">
        <v>1366</v>
      </c>
    </row>
    <row r="1406" spans="27:31" ht="25.5">
      <c r="AA1406" s="240" t="str">
        <f t="shared" si="20"/>
        <v>Cooler waste air (without water vapor)</v>
      </c>
      <c r="AB1406" s="242" t="s">
        <v>1367</v>
      </c>
      <c r="AC1406" s="242" t="s">
        <v>1368</v>
      </c>
      <c r="AD1406" s="242" t="s">
        <v>1369</v>
      </c>
      <c r="AE1406" s="242" t="s">
        <v>1370</v>
      </c>
    </row>
    <row r="1407" spans="27:31">
      <c r="AA1407" s="240" t="str">
        <f t="shared" si="20"/>
        <v>COOLING AIR</v>
      </c>
      <c r="AB1407" s="242" t="s">
        <v>1371</v>
      </c>
      <c r="AC1407" s="243" t="s">
        <v>1372</v>
      </c>
      <c r="AD1407" s="242" t="s">
        <v>1373</v>
      </c>
      <c r="AE1407" s="242" t="s">
        <v>1380</v>
      </c>
    </row>
    <row r="1408" spans="27:31">
      <c r="AA1408" s="240" t="str">
        <f t="shared" si="20"/>
        <v>Cooling air</v>
      </c>
      <c r="AB1408" s="243" t="s">
        <v>1381</v>
      </c>
      <c r="AC1408" s="243" t="s">
        <v>1382</v>
      </c>
      <c r="AD1408" s="243" t="s">
        <v>1383</v>
      </c>
      <c r="AE1408" s="243" t="s">
        <v>1384</v>
      </c>
    </row>
    <row r="1409" spans="27:31" ht="25.5">
      <c r="AA1409" s="240" t="str">
        <f t="shared" si="20"/>
        <v>COOLER AIR BALANCE</v>
      </c>
      <c r="AB1409" s="243" t="s">
        <v>1385</v>
      </c>
      <c r="AC1409" s="243" t="s">
        <v>1386</v>
      </c>
      <c r="AD1409" s="243" t="s">
        <v>1387</v>
      </c>
      <c r="AE1409" s="243" t="s">
        <v>1388</v>
      </c>
    </row>
    <row r="1410" spans="27:31" ht="25.5">
      <c r="AA1410" s="240" t="str">
        <f t="shared" si="20"/>
        <v>COOLER MIDDLE AIR</v>
      </c>
      <c r="AB1410" s="242" t="s">
        <v>1389</v>
      </c>
      <c r="AC1410" s="242" t="s">
        <v>1390</v>
      </c>
      <c r="AD1410" s="242" t="s">
        <v>1391</v>
      </c>
      <c r="AE1410" s="242" t="s">
        <v>1392</v>
      </c>
    </row>
    <row r="1411" spans="27:31" ht="25.5">
      <c r="AA1411" s="240" t="str">
        <f t="shared" si="20"/>
        <v>Cooler middle air</v>
      </c>
      <c r="AB1411" s="240" t="s">
        <v>1393</v>
      </c>
      <c r="AC1411" s="240" t="s">
        <v>1394</v>
      </c>
      <c r="AD1411" s="240" t="s">
        <v>1395</v>
      </c>
      <c r="AE1411" s="242" t="s">
        <v>1396</v>
      </c>
    </row>
    <row r="1412" spans="27:31" ht="25.5">
      <c r="AA1412" s="240" t="str">
        <f t="shared" si="20"/>
        <v>COOLER AIR FANS</v>
      </c>
      <c r="AB1412" s="240" t="s">
        <v>1402</v>
      </c>
      <c r="AC1412" s="242" t="s">
        <v>1403</v>
      </c>
      <c r="AD1412" s="242" t="s">
        <v>1404</v>
      </c>
      <c r="AE1412" s="240" t="s">
        <v>1406</v>
      </c>
    </row>
    <row r="1413" spans="27:31" ht="25.5">
      <c r="AA1413" s="240" t="str">
        <f t="shared" si="20"/>
        <v>COOLER EFFICIENCY</v>
      </c>
      <c r="AB1413" s="240" t="s">
        <v>1407</v>
      </c>
      <c r="AC1413" s="243" t="s">
        <v>1408</v>
      </c>
      <c r="AD1413" s="240" t="s">
        <v>1409</v>
      </c>
      <c r="AE1413" s="242" t="s">
        <v>1410</v>
      </c>
    </row>
    <row r="1414" spans="27:31">
      <c r="AA1414" s="240" t="str">
        <f t="shared" si="20"/>
        <v>Cooler efficiency</v>
      </c>
      <c r="AB1414" s="240" t="s">
        <v>1411</v>
      </c>
      <c r="AC1414" s="243" t="s">
        <v>1412</v>
      </c>
      <c r="AD1414" s="240" t="s">
        <v>1413</v>
      </c>
      <c r="AE1414" s="243" t="s">
        <v>1414</v>
      </c>
    </row>
    <row r="1415" spans="27:31">
      <c r="AA1415" s="240" t="str">
        <f t="shared" si="20"/>
        <v>Cooling tower</v>
      </c>
      <c r="AB1415" s="240" t="s">
        <v>1415</v>
      </c>
      <c r="AC1415" s="243" t="s">
        <v>1416</v>
      </c>
      <c r="AD1415" s="240" t="s">
        <v>1417</v>
      </c>
      <c r="AE1415" s="243" t="s">
        <v>1418</v>
      </c>
    </row>
    <row r="1416" spans="27:31">
      <c r="AA1416" s="240" t="str">
        <f t="shared" si="20"/>
        <v>CALCINER</v>
      </c>
      <c r="AB1416" s="240" t="s">
        <v>1419</v>
      </c>
      <c r="AC1416" s="240" t="s">
        <v>1420</v>
      </c>
      <c r="AD1416" s="240" t="s">
        <v>1421</v>
      </c>
      <c r="AE1416" s="240" t="s">
        <v>1422</v>
      </c>
    </row>
    <row r="1417" spans="27:31">
      <c r="AA1417" s="240" t="str">
        <f t="shared" si="20"/>
        <v>Calciner</v>
      </c>
      <c r="AB1417" s="240" t="s">
        <v>1423</v>
      </c>
      <c r="AC1417" s="240" t="s">
        <v>1424</v>
      </c>
      <c r="AD1417" s="240" t="s">
        <v>1425</v>
      </c>
      <c r="AE1417" s="242" t="s">
        <v>1426</v>
      </c>
    </row>
    <row r="1418" spans="27:31">
      <c r="AA1418" s="240" t="str">
        <f t="shared" si="20"/>
        <v>Calciner exhaust gas</v>
      </c>
      <c r="AB1418" s="240" t="s">
        <v>1427</v>
      </c>
      <c r="AC1418" s="242" t="s">
        <v>1428</v>
      </c>
      <c r="AD1418" s="240" t="s">
        <v>1429</v>
      </c>
      <c r="AE1418" s="242" t="s">
        <v>1430</v>
      </c>
    </row>
    <row r="1419" spans="27:31">
      <c r="AA1419" s="240" t="str">
        <f t="shared" si="20"/>
        <v>Calciner system</v>
      </c>
      <c r="AB1419" s="242" t="s">
        <v>1431</v>
      </c>
      <c r="AC1419" s="242" t="s">
        <v>1432</v>
      </c>
      <c r="AD1419" s="242" t="s">
        <v>1433</v>
      </c>
      <c r="AE1419" s="242" t="s">
        <v>1434</v>
      </c>
    </row>
    <row r="1420" spans="27:31">
      <c r="AA1420" s="240" t="str">
        <f t="shared" si="20"/>
        <v>or Secondary firing</v>
      </c>
      <c r="AB1420" s="240" t="s">
        <v>1435</v>
      </c>
      <c r="AC1420" s="240" t="s">
        <v>1436</v>
      </c>
      <c r="AD1420" s="240" t="s">
        <v>1437</v>
      </c>
      <c r="AE1420" s="243" t="s">
        <v>1438</v>
      </c>
    </row>
    <row r="1421" spans="27:31" ht="25.5">
      <c r="AA1421" s="240" t="str">
        <f t="shared" si="20"/>
        <v>CALCINER EXHAUST GASES</v>
      </c>
      <c r="AB1421" s="242" t="s">
        <v>1439</v>
      </c>
      <c r="AC1421" s="240" t="s">
        <v>1440</v>
      </c>
      <c r="AD1421" s="240" t="s">
        <v>1441</v>
      </c>
      <c r="AE1421" s="243" t="s">
        <v>1442</v>
      </c>
    </row>
    <row r="1422" spans="27:31">
      <c r="AA1422" s="240" t="str">
        <f t="shared" si="20"/>
        <v xml:space="preserve"> </v>
      </c>
      <c r="AB1422" s="240" t="s">
        <v>1443</v>
      </c>
      <c r="AC1422" s="240" t="s">
        <v>1444</v>
      </c>
      <c r="AD1422" s="240" t="s">
        <v>1444</v>
      </c>
      <c r="AE1422" s="240" t="s">
        <v>1444</v>
      </c>
    </row>
    <row r="1423" spans="27:31">
      <c r="AA1423" s="240" t="str">
        <f t="shared" si="20"/>
        <v>Difference</v>
      </c>
      <c r="AB1423" s="243" t="s">
        <v>1445</v>
      </c>
      <c r="AC1423" s="240" t="s">
        <v>1446</v>
      </c>
      <c r="AD1423" s="240" t="s">
        <v>1446</v>
      </c>
      <c r="AE1423" s="240" t="s">
        <v>1447</v>
      </c>
    </row>
    <row r="1424" spans="27:31">
      <c r="AA1424" s="240" t="str">
        <f t="shared" si="20"/>
        <v>Clinker</v>
      </c>
      <c r="AB1424" s="240" t="s">
        <v>1448</v>
      </c>
      <c r="AC1424" s="240" t="s">
        <v>447</v>
      </c>
      <c r="AD1424" s="240" t="s">
        <v>447</v>
      </c>
      <c r="AE1424" s="240" t="s">
        <v>447</v>
      </c>
    </row>
    <row r="1425" spans="27:31">
      <c r="AA1425" s="240" t="str">
        <f t="shared" si="20"/>
        <v>CLINKER</v>
      </c>
      <c r="AB1425" s="240" t="s">
        <v>1449</v>
      </c>
      <c r="AC1425" s="240" t="s">
        <v>1450</v>
      </c>
      <c r="AD1425" s="240" t="s">
        <v>1450</v>
      </c>
      <c r="AE1425" s="240" t="s">
        <v>1450</v>
      </c>
    </row>
    <row r="1426" spans="27:31">
      <c r="AA1426" s="240" t="str">
        <f t="shared" ref="AA1426:AA1444" si="21">INDEX($AB:$AE,ROW(),Language)</f>
        <v>Clinker from the kiln</v>
      </c>
      <c r="AB1426" s="240" t="s">
        <v>1451</v>
      </c>
      <c r="AC1426" s="240" t="s">
        <v>1452</v>
      </c>
      <c r="AD1426" s="240" t="s">
        <v>1453</v>
      </c>
      <c r="AE1426" s="242" t="s">
        <v>1454</v>
      </c>
    </row>
    <row r="1427" spans="27:31">
      <c r="AA1427" s="240" t="str">
        <f t="shared" si="21"/>
        <v>Clinker exit</v>
      </c>
      <c r="AB1427" s="240" t="s">
        <v>1455</v>
      </c>
      <c r="AC1427" s="240" t="s">
        <v>1456</v>
      </c>
      <c r="AD1427" s="240" t="s">
        <v>1457</v>
      </c>
      <c r="AE1427" s="240" t="s">
        <v>1458</v>
      </c>
    </row>
    <row r="1428" spans="27:31">
      <c r="AA1428" s="240" t="str">
        <f t="shared" si="21"/>
        <v>CLINKER PROPERTIES</v>
      </c>
      <c r="AB1428" s="240" t="s">
        <v>1459</v>
      </c>
      <c r="AC1428" s="240" t="s">
        <v>1460</v>
      </c>
      <c r="AD1428" s="242" t="s">
        <v>1461</v>
      </c>
      <c r="AE1428" s="242" t="s">
        <v>1462</v>
      </c>
    </row>
    <row r="1429" spans="27:31" ht="25.5">
      <c r="AA1429" s="240" t="str">
        <f t="shared" si="21"/>
        <v>Clinker temperature at kiln discharge</v>
      </c>
      <c r="AB1429" s="240" t="s">
        <v>1463</v>
      </c>
      <c r="AC1429" s="240" t="s">
        <v>1464</v>
      </c>
      <c r="AD1429" s="242" t="s">
        <v>1465</v>
      </c>
      <c r="AE1429" s="242" t="s">
        <v>1466</v>
      </c>
    </row>
    <row r="1430" spans="27:31">
      <c r="AA1430" s="240" t="str">
        <f t="shared" si="21"/>
        <v>CLINKER ANALYSIS</v>
      </c>
      <c r="AB1430" s="240" t="s">
        <v>1467</v>
      </c>
      <c r="AC1430" s="240" t="s">
        <v>1468</v>
      </c>
      <c r="AD1430" s="242" t="s">
        <v>1469</v>
      </c>
      <c r="AE1430" s="242" t="s">
        <v>1470</v>
      </c>
    </row>
    <row r="1431" spans="27:31" ht="25.5">
      <c r="AA1431" s="240" t="str">
        <f t="shared" si="21"/>
        <v>Clinker exit temperature at cooler discharge</v>
      </c>
      <c r="AB1431" s="242" t="s">
        <v>1471</v>
      </c>
      <c r="AC1431" s="242" t="s">
        <v>1472</v>
      </c>
      <c r="AD1431" s="243" t="s">
        <v>1473</v>
      </c>
      <c r="AE1431" s="243" t="s">
        <v>1474</v>
      </c>
    </row>
    <row r="1432" spans="27:31">
      <c r="AA1432" s="240" t="str">
        <f t="shared" si="21"/>
        <v>Heat of formation</v>
      </c>
      <c r="AB1432" s="240" t="s">
        <v>1475</v>
      </c>
      <c r="AC1432" s="240" t="s">
        <v>1476</v>
      </c>
      <c r="AD1432" s="240" t="s">
        <v>1477</v>
      </c>
      <c r="AE1432" s="240" t="s">
        <v>1478</v>
      </c>
    </row>
    <row r="1433" spans="27:31">
      <c r="AA1433" s="240" t="str">
        <f t="shared" si="21"/>
        <v>HEAT OF FORMATION</v>
      </c>
      <c r="AB1433" s="240" t="s">
        <v>1479</v>
      </c>
      <c r="AC1433" s="240" t="s">
        <v>1480</v>
      </c>
      <c r="AD1433" s="240" t="s">
        <v>1481</v>
      </c>
      <c r="AE1433" s="240" t="s">
        <v>1482</v>
      </c>
    </row>
    <row r="1434" spans="27:31">
      <c r="AA1434" s="240" t="str">
        <f t="shared" si="21"/>
        <v>Clinker production rate</v>
      </c>
      <c r="AB1434" s="240" t="s">
        <v>1483</v>
      </c>
      <c r="AC1434" s="240" t="s">
        <v>1484</v>
      </c>
      <c r="AD1434" s="240" t="s">
        <v>1485</v>
      </c>
      <c r="AE1434" s="240" t="s">
        <v>1486</v>
      </c>
    </row>
    <row r="1435" spans="27:31" ht="25.5">
      <c r="AA1435" s="240" t="str">
        <f t="shared" si="21"/>
        <v>Clinker dust recirculation at the kiln discharge</v>
      </c>
      <c r="AB1435" s="240" t="s">
        <v>1487</v>
      </c>
      <c r="AC1435" s="242" t="s">
        <v>1488</v>
      </c>
      <c r="AD1435" s="242" t="s">
        <v>307</v>
      </c>
      <c r="AE1435" s="242" t="s">
        <v>1489</v>
      </c>
    </row>
    <row r="1436" spans="27:31" ht="25.5">
      <c r="AA1436" s="240" t="str">
        <f t="shared" si="21"/>
        <v>Clinker temperatur at cooler inlet</v>
      </c>
      <c r="AB1436" s="242" t="s">
        <v>1490</v>
      </c>
      <c r="AC1436" s="240" t="s">
        <v>1491</v>
      </c>
      <c r="AD1436" s="240" t="s">
        <v>1492</v>
      </c>
      <c r="AE1436" s="242" t="s">
        <v>1493</v>
      </c>
    </row>
    <row r="1437" spans="27:31">
      <c r="AA1437" s="240" t="str">
        <f t="shared" si="21"/>
        <v>Convection</v>
      </c>
      <c r="AB1437" s="240" t="s">
        <v>1494</v>
      </c>
      <c r="AC1437" s="243" t="s">
        <v>1495</v>
      </c>
      <c r="AD1437" s="240" t="s">
        <v>1495</v>
      </c>
      <c r="AE1437" s="240" t="s">
        <v>1496</v>
      </c>
    </row>
    <row r="1438" spans="27:31">
      <c r="AA1438" s="240" t="str">
        <f t="shared" si="21"/>
        <v>Conventional</v>
      </c>
      <c r="AB1438" s="240" t="s">
        <v>1497</v>
      </c>
      <c r="AC1438" s="243" t="s">
        <v>1498</v>
      </c>
      <c r="AD1438" s="242" t="s">
        <v>1499</v>
      </c>
      <c r="AE1438" s="240" t="s">
        <v>1498</v>
      </c>
    </row>
    <row r="1439" spans="27:31">
      <c r="AA1439" s="240" t="str">
        <f t="shared" si="21"/>
        <v>CONVENTIONAL</v>
      </c>
      <c r="AB1439" s="240" t="s">
        <v>1500</v>
      </c>
      <c r="AC1439" s="243" t="s">
        <v>1501</v>
      </c>
      <c r="AD1439" s="240" t="s">
        <v>1502</v>
      </c>
      <c r="AE1439" s="240" t="s">
        <v>1502</v>
      </c>
    </row>
    <row r="1440" spans="27:31">
      <c r="AA1440" s="240" t="str">
        <f t="shared" si="21"/>
        <v>Conventional fuel</v>
      </c>
      <c r="AB1440" s="242" t="s">
        <v>1503</v>
      </c>
      <c r="AC1440" s="243" t="s">
        <v>1504</v>
      </c>
      <c r="AD1440" s="240" t="s">
        <v>1505</v>
      </c>
      <c r="AE1440" s="242" t="s">
        <v>1506</v>
      </c>
    </row>
    <row r="1441" spans="27:31" ht="25.5">
      <c r="AA1441" s="240" t="str">
        <f t="shared" si="21"/>
        <v>Concentrations at kiln inlet (hot meal)</v>
      </c>
      <c r="AB1441" s="243" t="s">
        <v>1517</v>
      </c>
      <c r="AC1441" s="243" t="s">
        <v>1518</v>
      </c>
      <c r="AD1441" s="242" t="s">
        <v>1519</v>
      </c>
      <c r="AE1441" s="243" t="s">
        <v>1520</v>
      </c>
    </row>
    <row r="1442" spans="27:31">
      <c r="AA1442" s="240" t="str">
        <f t="shared" si="21"/>
        <v>Correction</v>
      </c>
      <c r="AB1442" s="240" t="s">
        <v>1521</v>
      </c>
      <c r="AC1442" s="240" t="s">
        <v>1522</v>
      </c>
      <c r="AD1442" s="240" t="s">
        <v>1523</v>
      </c>
      <c r="AE1442" s="240" t="s">
        <v>1524</v>
      </c>
    </row>
    <row r="1443" spans="27:31">
      <c r="AA1443" s="240" t="str">
        <f t="shared" si="21"/>
        <v>Correction factor</v>
      </c>
      <c r="AB1443" s="240" t="s">
        <v>1525</v>
      </c>
      <c r="AC1443" s="240" t="s">
        <v>1526</v>
      </c>
      <c r="AD1443" s="240" t="s">
        <v>1527</v>
      </c>
      <c r="AE1443" s="240" t="s">
        <v>1528</v>
      </c>
    </row>
    <row r="1444" spans="27:31">
      <c r="AA1444" s="240" t="str">
        <f t="shared" si="21"/>
        <v>Cooler type</v>
      </c>
      <c r="AB1444" s="240" t="s">
        <v>1529</v>
      </c>
      <c r="AC1444" s="240" t="s">
        <v>1530</v>
      </c>
      <c r="AD1444" s="240" t="s">
        <v>1531</v>
      </c>
      <c r="AE1444" s="240" t="s">
        <v>1532</v>
      </c>
    </row>
    <row r="1445" spans="27:31">
      <c r="AA1445" s="240"/>
      <c r="AB1445" s="241" t="s">
        <v>1533</v>
      </c>
      <c r="AC1445" s="240"/>
      <c r="AD1445" s="240"/>
      <c r="AE1445" s="240"/>
    </row>
    <row r="1446" spans="27:31">
      <c r="AA1446" s="240" t="str">
        <f t="shared" ref="AA1446:AA1452" si="22">INDEX($AB:$AE,ROW(),Language)</f>
        <v>Kiln length</v>
      </c>
      <c r="AB1446" s="240" t="s">
        <v>1534</v>
      </c>
      <c r="AC1446" s="240" t="s">
        <v>1535</v>
      </c>
      <c r="AD1446" s="240" t="s">
        <v>1536</v>
      </c>
      <c r="AE1446" s="240" t="s">
        <v>1537</v>
      </c>
    </row>
    <row r="1447" spans="27:31">
      <c r="AA1447" s="240" t="str">
        <f t="shared" si="22"/>
        <v>leave empty</v>
      </c>
      <c r="AB1447" s="240" t="s">
        <v>1538</v>
      </c>
      <c r="AC1447" s="240" t="s">
        <v>1539</v>
      </c>
      <c r="AD1447" s="240" t="s">
        <v>1539</v>
      </c>
      <c r="AE1447" s="240" t="s">
        <v>1540</v>
      </c>
    </row>
    <row r="1448" spans="27:31">
      <c r="AA1448" s="240" t="str">
        <f t="shared" si="22"/>
        <v>Supplier / Type</v>
      </c>
      <c r="AB1448" s="240" t="s">
        <v>1541</v>
      </c>
      <c r="AC1448" s="242" t="s">
        <v>1542</v>
      </c>
      <c r="AD1448" s="242" t="s">
        <v>1543</v>
      </c>
      <c r="AE1448" s="242" t="s">
        <v>1544</v>
      </c>
    </row>
    <row r="1449" spans="27:31">
      <c r="AA1449" s="240" t="str">
        <f t="shared" si="22"/>
        <v>at kiln inlet</v>
      </c>
      <c r="AB1449" s="240" t="s">
        <v>1545</v>
      </c>
      <c r="AC1449" s="240" t="s">
        <v>565</v>
      </c>
      <c r="AD1449" s="243" t="s">
        <v>1546</v>
      </c>
      <c r="AE1449" s="243" t="s">
        <v>567</v>
      </c>
    </row>
    <row r="1450" spans="27:31">
      <c r="AA1450" s="240" t="str">
        <f t="shared" si="22"/>
        <v>Air</v>
      </c>
      <c r="AB1450" s="240" t="s">
        <v>1547</v>
      </c>
      <c r="AC1450" s="240" t="s">
        <v>1548</v>
      </c>
      <c r="AD1450" s="242" t="s">
        <v>1549</v>
      </c>
      <c r="AE1450" s="242" t="s">
        <v>1562</v>
      </c>
    </row>
    <row r="1451" spans="27:31" ht="25.5">
      <c r="AA1451" s="240" t="str">
        <f t="shared" si="22"/>
        <v>AIR BALANCE GRATE COOLER</v>
      </c>
      <c r="AB1451" s="240" t="s">
        <v>1563</v>
      </c>
      <c r="AC1451" s="240" t="s">
        <v>1564</v>
      </c>
      <c r="AD1451" s="243" t="s">
        <v>1565</v>
      </c>
      <c r="AE1451" s="242" t="s">
        <v>1388</v>
      </c>
    </row>
    <row r="1452" spans="27:31">
      <c r="AA1452" s="240" t="str">
        <f t="shared" si="22"/>
        <v>Air density</v>
      </c>
      <c r="AB1452" s="240" t="s">
        <v>1566</v>
      </c>
      <c r="AC1452" s="240" t="s">
        <v>1567</v>
      </c>
      <c r="AD1452" s="240" t="s">
        <v>1568</v>
      </c>
      <c r="AE1452" s="240" t="s">
        <v>1569</v>
      </c>
    </row>
    <row r="1453" spans="27:31">
      <c r="AA1453" s="240"/>
      <c r="AB1453" s="241" t="s">
        <v>1570</v>
      </c>
      <c r="AC1453" s="240"/>
      <c r="AD1453" s="240"/>
      <c r="AE1453" s="240"/>
    </row>
    <row r="1454" spans="27:31" ht="25.5">
      <c r="AA1454" s="240" t="str">
        <f t="shared" ref="AA1454:AA1464" si="23">INDEX($AB:$AE,ROW(),Language)</f>
        <v>MASS BALANCE OF COOLER AIR</v>
      </c>
      <c r="AB1454" s="434" t="s">
        <v>1399</v>
      </c>
      <c r="AC1454" s="240" t="s">
        <v>1398</v>
      </c>
      <c r="AD1454" s="240" t="s">
        <v>1400</v>
      </c>
      <c r="AE1454" s="240" t="s">
        <v>1401</v>
      </c>
    </row>
    <row r="1455" spans="27:31" ht="25.5">
      <c r="AA1455" s="240" t="str">
        <f t="shared" si="23"/>
        <v>MASS BALANCE OF KILN SYSTEM</v>
      </c>
      <c r="AB1455" s="240" t="s">
        <v>1571</v>
      </c>
      <c r="AC1455" s="242" t="s">
        <v>1572</v>
      </c>
      <c r="AD1455" s="242" t="s">
        <v>1573</v>
      </c>
      <c r="AE1455" s="242" t="s">
        <v>1574</v>
      </c>
    </row>
    <row r="1456" spans="27:31">
      <c r="AA1456" s="240" t="str">
        <f t="shared" si="23"/>
        <v>Mass-</v>
      </c>
      <c r="AB1456" s="240" t="s">
        <v>1575</v>
      </c>
      <c r="AC1456" s="242" t="s">
        <v>1576</v>
      </c>
      <c r="AD1456" s="243" t="s">
        <v>594</v>
      </c>
      <c r="AE1456" s="243" t="s">
        <v>1577</v>
      </c>
    </row>
    <row r="1457" spans="27:31">
      <c r="AA1457" s="240" t="str">
        <f t="shared" si="23"/>
        <v>Massflow</v>
      </c>
      <c r="AB1457" s="240" t="s">
        <v>1578</v>
      </c>
      <c r="AC1457" s="240" t="s">
        <v>1579</v>
      </c>
      <c r="AD1457" s="240" t="s">
        <v>594</v>
      </c>
      <c r="AE1457" s="240" t="s">
        <v>602</v>
      </c>
    </row>
    <row r="1458" spans="27:31">
      <c r="AA1458" s="240" t="str">
        <f t="shared" si="23"/>
        <v>Maximum kiln speed</v>
      </c>
      <c r="AB1458" s="240" t="s">
        <v>1580</v>
      </c>
      <c r="AC1458" s="240" t="s">
        <v>1581</v>
      </c>
      <c r="AD1458" s="240" t="s">
        <v>1582</v>
      </c>
      <c r="AE1458" s="242" t="s">
        <v>1583</v>
      </c>
    </row>
    <row r="1459" spans="27:31">
      <c r="AA1459" s="240" t="str">
        <f t="shared" si="23"/>
        <v>Massflow</v>
      </c>
      <c r="AB1459" s="240" t="s">
        <v>1584</v>
      </c>
      <c r="AC1459" s="240" t="s">
        <v>1579</v>
      </c>
      <c r="AD1459" s="240" t="s">
        <v>594</v>
      </c>
      <c r="AE1459" s="240" t="s">
        <v>1585</v>
      </c>
    </row>
    <row r="1460" spans="27:31" ht="25.5">
      <c r="AA1460" s="240" t="str">
        <f t="shared" si="23"/>
        <v>Minimum air for main firing</v>
      </c>
      <c r="AB1460" s="242" t="s">
        <v>1586</v>
      </c>
      <c r="AC1460" s="240" t="s">
        <v>1587</v>
      </c>
      <c r="AD1460" s="240" t="s">
        <v>1587</v>
      </c>
      <c r="AE1460" s="240" t="s">
        <v>1588</v>
      </c>
    </row>
    <row r="1461" spans="27:31" ht="25.5">
      <c r="AA1461" s="240" t="str">
        <f t="shared" si="23"/>
        <v>Minimum air for calciner firing</v>
      </c>
      <c r="AB1461" s="242" t="s">
        <v>1589</v>
      </c>
      <c r="AC1461" s="242" t="s">
        <v>1590</v>
      </c>
      <c r="AD1461" s="242" t="s">
        <v>1590</v>
      </c>
      <c r="AE1461" s="240" t="s">
        <v>1591</v>
      </c>
    </row>
    <row r="1462" spans="27:31">
      <c r="AA1462" s="240" t="str">
        <f t="shared" si="23"/>
        <v>Middle air</v>
      </c>
      <c r="AB1462" s="240" t="s">
        <v>1592</v>
      </c>
      <c r="AC1462" s="240" t="s">
        <v>1593</v>
      </c>
      <c r="AD1462" s="242" t="s">
        <v>1594</v>
      </c>
      <c r="AE1462" s="242" t="s">
        <v>1595</v>
      </c>
    </row>
    <row r="1463" spans="27:31" ht="25.5">
      <c r="AA1463" s="240" t="str">
        <f t="shared" si="23"/>
        <v>Middle air flowrate from prandtl measurement</v>
      </c>
      <c r="AB1463" s="242" t="s">
        <v>1596</v>
      </c>
      <c r="AC1463" s="242" t="s">
        <v>1597</v>
      </c>
      <c r="AD1463" s="242" t="s">
        <v>1598</v>
      </c>
      <c r="AE1463" s="242" t="s">
        <v>1599</v>
      </c>
    </row>
    <row r="1464" spans="27:31">
      <c r="AA1464" s="240" t="str">
        <f t="shared" si="23"/>
        <v>Average heat output</v>
      </c>
      <c r="AB1464" s="242" t="s">
        <v>1600</v>
      </c>
      <c r="AC1464" s="242" t="s">
        <v>1601</v>
      </c>
      <c r="AD1464" s="242" t="s">
        <v>1602</v>
      </c>
      <c r="AE1464" s="242" t="s">
        <v>1603</v>
      </c>
    </row>
    <row r="1465" spans="27:31">
      <c r="AA1465" s="240"/>
      <c r="AB1465" s="241" t="s">
        <v>1604</v>
      </c>
      <c r="AC1465" s="240"/>
      <c r="AD1465" s="240"/>
      <c r="AE1465" s="240"/>
    </row>
    <row r="1466" spans="27:31">
      <c r="AA1466" s="240" t="str">
        <f>INDEX($AB:$AE,ROW(),Language)</f>
        <v>Na2O kiln feed</v>
      </c>
      <c r="AB1466" s="240" t="s">
        <v>1605</v>
      </c>
      <c r="AC1466" s="240" t="s">
        <v>1606</v>
      </c>
      <c r="AD1466" s="240" t="s">
        <v>1607</v>
      </c>
      <c r="AE1466" s="240" t="s">
        <v>1608</v>
      </c>
    </row>
    <row r="1467" spans="27:31">
      <c r="AA1467" s="240" t="str">
        <f>INDEX($AB:$AE,ROW(),Language)</f>
        <v>Na2O clinker</v>
      </c>
      <c r="AB1467" s="240" t="s">
        <v>1609</v>
      </c>
      <c r="AC1467" s="242" t="s">
        <v>1610</v>
      </c>
      <c r="AD1467" s="240" t="s">
        <v>1610</v>
      </c>
      <c r="AE1467" s="240" t="s">
        <v>1610</v>
      </c>
    </row>
    <row r="1468" spans="27:31">
      <c r="AA1468" s="240" t="str">
        <f>INDEX($AB:$AE,ROW(),Language)</f>
        <v>Na2O kiln dust</v>
      </c>
      <c r="AB1468" s="240" t="s">
        <v>1611</v>
      </c>
      <c r="AC1468" s="243" t="s">
        <v>1612</v>
      </c>
      <c r="AD1468" s="240" t="s">
        <v>1613</v>
      </c>
      <c r="AE1468" s="240" t="s">
        <v>1614</v>
      </c>
    </row>
    <row r="1469" spans="27:31">
      <c r="AA1469" s="240" t="str">
        <f>INDEX($AB:$AE,ROW(),Language)</f>
        <v>(do not fill in)</v>
      </c>
      <c r="AB1469" s="240" t="s">
        <v>1615</v>
      </c>
      <c r="AC1469" s="243" t="s">
        <v>1616</v>
      </c>
      <c r="AD1469" s="243" t="s">
        <v>1616</v>
      </c>
      <c r="AE1469" s="240" t="s">
        <v>1617</v>
      </c>
    </row>
    <row r="1470" spans="27:31">
      <c r="AA1470" s="240" t="str">
        <f>INDEX($AB:$AE,ROW(),Language)</f>
        <v>NOx content</v>
      </c>
      <c r="AB1470" s="240" t="s">
        <v>1618</v>
      </c>
      <c r="AC1470" s="240" t="s">
        <v>1619</v>
      </c>
      <c r="AD1470" s="240" t="s">
        <v>1620</v>
      </c>
      <c r="AE1470" s="240" t="s">
        <v>1621</v>
      </c>
    </row>
    <row r="1471" spans="27:31">
      <c r="AA1471" s="240"/>
      <c r="AB1471" s="241" t="s">
        <v>1622</v>
      </c>
      <c r="AC1471" s="240"/>
      <c r="AD1471" s="240"/>
      <c r="AE1471" s="240"/>
    </row>
    <row r="1472" spans="27:31">
      <c r="AA1472" s="240" t="str">
        <f t="shared" ref="AA1472:AA1492" si="24">INDEX($AB:$AE,ROW(),Language)</f>
        <v>O2 content</v>
      </c>
      <c r="AB1472" s="240" t="s">
        <v>1623</v>
      </c>
      <c r="AC1472" s="240" t="s">
        <v>1624</v>
      </c>
      <c r="AD1472" s="240" t="s">
        <v>1625</v>
      </c>
      <c r="AE1472" s="240" t="s">
        <v>1626</v>
      </c>
    </row>
    <row r="1473" spans="27:31">
      <c r="AA1473" s="240" t="str">
        <f t="shared" si="24"/>
        <v>O2 kiln inlet</v>
      </c>
      <c r="AB1473" s="240" t="s">
        <v>1627</v>
      </c>
      <c r="AC1473" s="240" t="s">
        <v>1628</v>
      </c>
      <c r="AD1473" s="240" t="s">
        <v>1629</v>
      </c>
      <c r="AE1473" s="240" t="s">
        <v>1630</v>
      </c>
    </row>
    <row r="1474" spans="27:31">
      <c r="AA1474" s="240" t="str">
        <f t="shared" si="24"/>
        <v>O2 after calciner</v>
      </c>
      <c r="AB1474" s="240" t="s">
        <v>1631</v>
      </c>
      <c r="AC1474" s="240" t="s">
        <v>1632</v>
      </c>
      <c r="AD1474" s="242" t="s">
        <v>1633</v>
      </c>
      <c r="AE1474" s="240" t="s">
        <v>1634</v>
      </c>
    </row>
    <row r="1475" spans="27:31">
      <c r="AA1475" s="240" t="str">
        <f t="shared" si="24"/>
        <v>OR SECONDARY FIRING</v>
      </c>
      <c r="AB1475" s="240" t="s">
        <v>1635</v>
      </c>
      <c r="AC1475" s="243" t="s">
        <v>1636</v>
      </c>
      <c r="AD1475" s="240" t="s">
        <v>1636</v>
      </c>
      <c r="AE1475" s="240" t="s">
        <v>1637</v>
      </c>
    </row>
    <row r="1476" spans="27:31">
      <c r="AA1476" s="240" t="str">
        <f t="shared" si="24"/>
        <v>Upper boundary</v>
      </c>
      <c r="AB1476" s="240" t="s">
        <v>1638</v>
      </c>
      <c r="AC1476" s="242" t="s">
        <v>1639</v>
      </c>
      <c r="AD1476" s="240" t="s">
        <v>1640</v>
      </c>
      <c r="AE1476" s="240" t="s">
        <v>1641</v>
      </c>
    </row>
    <row r="1477" spans="27:31">
      <c r="AA1477" s="240" t="str">
        <f t="shared" si="24"/>
        <v>Kiln shell</v>
      </c>
      <c r="AB1477" s="242" t="s">
        <v>1642</v>
      </c>
      <c r="AC1477" s="242" t="s">
        <v>1643</v>
      </c>
      <c r="AD1477" s="240" t="s">
        <v>1644</v>
      </c>
      <c r="AE1477" s="240" t="s">
        <v>1645</v>
      </c>
    </row>
    <row r="1478" spans="27:31">
      <c r="AA1478" s="240" t="str">
        <f t="shared" si="24"/>
        <v>Kiln No.</v>
      </c>
      <c r="AB1478" s="240" t="s">
        <v>1646</v>
      </c>
      <c r="AC1478" s="240" t="s">
        <v>1647</v>
      </c>
      <c r="AD1478" s="240" t="s">
        <v>1648</v>
      </c>
      <c r="AE1478" s="240" t="s">
        <v>1649</v>
      </c>
    </row>
    <row r="1479" spans="27:31" ht="25.5">
      <c r="AA1479" s="240" t="str">
        <f t="shared" si="24"/>
        <v>Kiln exhaust gas flowrate (dry)</v>
      </c>
      <c r="AB1479" s="240" t="s">
        <v>1650</v>
      </c>
      <c r="AC1479" s="240" t="s">
        <v>1651</v>
      </c>
      <c r="AD1479" s="240" t="s">
        <v>1652</v>
      </c>
      <c r="AE1479" s="240" t="s">
        <v>1653</v>
      </c>
    </row>
    <row r="1480" spans="27:31" ht="25.5">
      <c r="AA1480" s="240" t="str">
        <f t="shared" si="24"/>
        <v>PREHEATER EXHAUST GASES (kiln string)</v>
      </c>
      <c r="AB1480" s="240" t="s">
        <v>2178</v>
      </c>
      <c r="AC1480" s="240" t="s">
        <v>2177</v>
      </c>
      <c r="AD1480" s="240" t="s">
        <v>2176</v>
      </c>
      <c r="AE1480" s="242" t="s">
        <v>1662</v>
      </c>
    </row>
    <row r="1481" spans="27:31">
      <c r="AA1481" s="240" t="str">
        <f t="shared" si="24"/>
        <v>Kiln exhaust gas</v>
      </c>
      <c r="AB1481" s="240" t="s">
        <v>1663</v>
      </c>
      <c r="AC1481" s="240" t="s">
        <v>1664</v>
      </c>
      <c r="AD1481" s="240" t="s">
        <v>1665</v>
      </c>
      <c r="AE1481" s="242" t="s">
        <v>1666</v>
      </c>
    </row>
    <row r="1482" spans="27:31">
      <c r="AA1482" s="240" t="str">
        <f t="shared" si="24"/>
        <v>Kiln feed</v>
      </c>
      <c r="AB1482" s="240" t="s">
        <v>1667</v>
      </c>
      <c r="AC1482" s="242" t="s">
        <v>445</v>
      </c>
      <c r="AD1482" s="240" t="s">
        <v>594</v>
      </c>
      <c r="AE1482" s="240" t="s">
        <v>1668</v>
      </c>
    </row>
    <row r="1483" spans="27:31">
      <c r="AA1483" s="240" t="str">
        <f t="shared" si="24"/>
        <v>KILN FEED</v>
      </c>
      <c r="AB1483" s="240" t="s">
        <v>1669</v>
      </c>
      <c r="AC1483" s="240" t="s">
        <v>1670</v>
      </c>
      <c r="AD1483" s="240" t="s">
        <v>1671</v>
      </c>
      <c r="AE1483" s="240" t="s">
        <v>910</v>
      </c>
    </row>
    <row r="1484" spans="27:31">
      <c r="AA1484" s="240" t="str">
        <f t="shared" si="24"/>
        <v>KILN DATA</v>
      </c>
      <c r="AB1484" s="240" t="s">
        <v>1672</v>
      </c>
      <c r="AC1484" s="240" t="s">
        <v>1674</v>
      </c>
      <c r="AD1484" s="240" t="s">
        <v>1675</v>
      </c>
      <c r="AE1484" s="242" t="s">
        <v>1676</v>
      </c>
    </row>
    <row r="1485" spans="27:31" ht="25.5">
      <c r="AA1485" s="240" t="str">
        <f t="shared" si="24"/>
        <v>Kiln speed at normal operation</v>
      </c>
      <c r="AB1485" s="242" t="s">
        <v>1677</v>
      </c>
      <c r="AC1485" s="242" t="s">
        <v>1678</v>
      </c>
      <c r="AD1485" s="242" t="s">
        <v>1679</v>
      </c>
      <c r="AE1485" s="242" t="s">
        <v>1680</v>
      </c>
    </row>
    <row r="1486" spans="27:31">
      <c r="AA1486" s="240" t="str">
        <f t="shared" si="24"/>
        <v>SECONDARY FIRING</v>
      </c>
      <c r="AB1486" s="240" t="s">
        <v>1681</v>
      </c>
      <c r="AC1486" s="240" t="s">
        <v>1682</v>
      </c>
      <c r="AD1486" s="240" t="s">
        <v>1683</v>
      </c>
      <c r="AE1486" s="242" t="s">
        <v>1684</v>
      </c>
    </row>
    <row r="1487" spans="27:31">
      <c r="AA1487" s="240" t="str">
        <f t="shared" si="24"/>
        <v>Kiln shell</v>
      </c>
      <c r="AB1487" s="240" t="s">
        <v>1642</v>
      </c>
      <c r="AC1487" s="240" t="s">
        <v>1643</v>
      </c>
      <c r="AD1487" s="240" t="s">
        <v>1644</v>
      </c>
      <c r="AE1487" s="240" t="s">
        <v>1685</v>
      </c>
    </row>
    <row r="1488" spans="27:31">
      <c r="AA1488" s="240" t="str">
        <f t="shared" si="24"/>
        <v>Kiln shell surface</v>
      </c>
      <c r="AB1488" s="240" t="s">
        <v>1686</v>
      </c>
      <c r="AC1488" s="240" t="s">
        <v>1687</v>
      </c>
      <c r="AD1488" s="240" t="s">
        <v>1688</v>
      </c>
      <c r="AE1488" s="242" t="s">
        <v>1689</v>
      </c>
    </row>
    <row r="1489" spans="27:31">
      <c r="AA1489" s="240" t="str">
        <f t="shared" si="24"/>
        <v>Kiln slope</v>
      </c>
      <c r="AB1489" s="240" t="s">
        <v>1690</v>
      </c>
      <c r="AC1489" s="240" t="s">
        <v>1691</v>
      </c>
      <c r="AD1489" s="240" t="s">
        <v>1692</v>
      </c>
      <c r="AE1489" s="240" t="s">
        <v>1693</v>
      </c>
    </row>
    <row r="1490" spans="27:31">
      <c r="AA1490" s="240" t="str">
        <f t="shared" si="24"/>
        <v>without water injection</v>
      </c>
      <c r="AB1490" s="240" t="s">
        <v>1694</v>
      </c>
      <c r="AC1490" s="240" t="s">
        <v>1695</v>
      </c>
      <c r="AD1490" s="240" t="s">
        <v>1696</v>
      </c>
      <c r="AE1490" s="240" t="s">
        <v>1697</v>
      </c>
    </row>
    <row r="1491" spans="27:31">
      <c r="AA1491" s="240" t="str">
        <f t="shared" si="24"/>
        <v>Organic carbon content</v>
      </c>
      <c r="AB1491" s="240" t="s">
        <v>1698</v>
      </c>
      <c r="AC1491" s="240" t="s">
        <v>1699</v>
      </c>
      <c r="AD1491" s="240" t="s">
        <v>1700</v>
      </c>
      <c r="AE1491" s="242" t="s">
        <v>1701</v>
      </c>
    </row>
    <row r="1492" spans="27:31" ht="25.5">
      <c r="AA1492" s="240" t="str">
        <f t="shared" si="24"/>
        <v>Organic carbon weight fraction in kiln feed</v>
      </c>
      <c r="AB1492" s="240" t="s">
        <v>1702</v>
      </c>
      <c r="AC1492" s="242" t="s">
        <v>1703</v>
      </c>
      <c r="AD1492" s="242" t="s">
        <v>1704</v>
      </c>
      <c r="AE1492" s="242" t="s">
        <v>1705</v>
      </c>
    </row>
    <row r="1493" spans="27:31">
      <c r="AA1493" s="240"/>
      <c r="AB1493" s="241" t="s">
        <v>1706</v>
      </c>
      <c r="AC1493" s="240"/>
      <c r="AD1493" s="240"/>
      <c r="AE1493" s="240"/>
    </row>
    <row r="1494" spans="27:31">
      <c r="AA1494" s="240" t="str">
        <f t="shared" ref="AA1494:AA1507" si="25">INDEX($AB:$AE,ROW(),Language)</f>
        <v>Position</v>
      </c>
      <c r="AB1494" s="240" t="s">
        <v>1707</v>
      </c>
      <c r="AC1494" s="240" t="s">
        <v>1707</v>
      </c>
      <c r="AD1494" s="240" t="s">
        <v>1707</v>
      </c>
      <c r="AE1494" s="240" t="s">
        <v>1708</v>
      </c>
    </row>
    <row r="1495" spans="27:31">
      <c r="AA1495" s="240" t="str">
        <f t="shared" si="25"/>
        <v>PRIMARY AIR</v>
      </c>
      <c r="AB1495" s="240" t="s">
        <v>1709</v>
      </c>
      <c r="AC1495" s="240" t="s">
        <v>1710</v>
      </c>
      <c r="AD1495" s="240" t="s">
        <v>1711</v>
      </c>
      <c r="AE1495" s="240" t="s">
        <v>1712</v>
      </c>
    </row>
    <row r="1496" spans="27:31">
      <c r="AA1496" s="240" t="str">
        <f t="shared" si="25"/>
        <v>Primary air</v>
      </c>
      <c r="AB1496" s="240" t="s">
        <v>1713</v>
      </c>
      <c r="AC1496" s="240" t="s">
        <v>1714</v>
      </c>
      <c r="AD1496" s="240" t="s">
        <v>1715</v>
      </c>
      <c r="AE1496" s="240" t="s">
        <v>1716</v>
      </c>
    </row>
    <row r="1497" spans="27:31" ht="25.5">
      <c r="AA1497" s="240" t="str">
        <f t="shared" si="25"/>
        <v>PRIMARY AIR MAIN BURNER</v>
      </c>
      <c r="AB1497" s="240" t="s">
        <v>1717</v>
      </c>
      <c r="AC1497" s="240" t="s">
        <v>1718</v>
      </c>
      <c r="AD1497" s="242" t="s">
        <v>1719</v>
      </c>
      <c r="AE1497" s="240" t="s">
        <v>1720</v>
      </c>
    </row>
    <row r="1498" spans="27:31">
      <c r="AA1498" s="240" t="str">
        <f t="shared" si="25"/>
        <v>Primary air main burner</v>
      </c>
      <c r="AB1498" s="240" t="s">
        <v>1721</v>
      </c>
      <c r="AC1498" s="240" t="s">
        <v>1722</v>
      </c>
      <c r="AD1498" s="240" t="s">
        <v>1723</v>
      </c>
      <c r="AE1498" s="240" t="s">
        <v>1227</v>
      </c>
    </row>
    <row r="1499" spans="27:31">
      <c r="AA1499" s="240" t="str">
        <f t="shared" si="25"/>
        <v>Primary air main burner</v>
      </c>
      <c r="AB1499" s="240" t="s">
        <v>1721</v>
      </c>
      <c r="AC1499" s="240" t="s">
        <v>1722</v>
      </c>
      <c r="AD1499" s="242" t="s">
        <v>1724</v>
      </c>
      <c r="AE1499" s="242" t="s">
        <v>1725</v>
      </c>
    </row>
    <row r="1500" spans="27:31">
      <c r="AA1500" s="240" t="str">
        <f t="shared" si="25"/>
        <v>Primary air calciner</v>
      </c>
      <c r="AB1500" s="242" t="s">
        <v>1726</v>
      </c>
      <c r="AC1500" s="242" t="s">
        <v>1727</v>
      </c>
      <c r="AD1500" s="242" t="s">
        <v>1727</v>
      </c>
      <c r="AE1500" s="242" t="s">
        <v>1728</v>
      </c>
    </row>
    <row r="1501" spans="27:31" ht="25.5">
      <c r="AA1501" s="240" t="str">
        <f t="shared" si="25"/>
        <v>Percent of kiln feed into calciner string</v>
      </c>
      <c r="AB1501" s="243" t="s">
        <v>1729</v>
      </c>
      <c r="AC1501" s="242" t="s">
        <v>1730</v>
      </c>
      <c r="AD1501" s="243" t="s">
        <v>1731</v>
      </c>
      <c r="AE1501" s="242" t="s">
        <v>1732</v>
      </c>
    </row>
    <row r="1502" spans="27:31" ht="25.5">
      <c r="AA1502" s="240" t="str">
        <f t="shared" si="25"/>
        <v>PRIMARY AIR CALCINER OR SECONDARY FIRING</v>
      </c>
      <c r="AB1502" s="242" t="s">
        <v>1733</v>
      </c>
      <c r="AC1502" s="242" t="s">
        <v>1734</v>
      </c>
      <c r="AD1502" s="242" t="s">
        <v>1735</v>
      </c>
      <c r="AE1502" s="242" t="s">
        <v>1736</v>
      </c>
    </row>
    <row r="1503" spans="27:31" ht="25.5">
      <c r="AA1503" s="240" t="str">
        <f t="shared" si="25"/>
        <v xml:space="preserve">Primary air flowrate (result from </v>
      </c>
      <c r="AB1503" s="242" t="s">
        <v>1737</v>
      </c>
      <c r="AC1503" s="240" t="s">
        <v>1738</v>
      </c>
      <c r="AD1503" s="240" t="s">
        <v>1739</v>
      </c>
      <c r="AE1503" s="242" t="s">
        <v>1740</v>
      </c>
    </row>
    <row r="1504" spans="27:31">
      <c r="AA1504" s="240" t="str">
        <f t="shared" si="25"/>
        <v>Production</v>
      </c>
      <c r="AB1504" s="240" t="s">
        <v>1741</v>
      </c>
      <c r="AC1504" s="240" t="s">
        <v>1742</v>
      </c>
      <c r="AD1504" s="240" t="s">
        <v>1742</v>
      </c>
      <c r="AE1504" s="240" t="s">
        <v>1743</v>
      </c>
    </row>
    <row r="1505" spans="27:31">
      <c r="AA1505" s="240" t="str">
        <f t="shared" si="25"/>
        <v>Production rate</v>
      </c>
      <c r="AB1505" s="242" t="s">
        <v>1744</v>
      </c>
      <c r="AC1505" s="240" t="s">
        <v>1745</v>
      </c>
      <c r="AD1505" s="240" t="s">
        <v>1746</v>
      </c>
      <c r="AE1505" s="240" t="s">
        <v>1743</v>
      </c>
    </row>
    <row r="1506" spans="27:31">
      <c r="AA1506" s="240" t="str">
        <f t="shared" si="25"/>
        <v>Pyrite content as S</v>
      </c>
      <c r="AB1506" s="243" t="s">
        <v>1747</v>
      </c>
      <c r="AC1506" s="242" t="s">
        <v>1748</v>
      </c>
      <c r="AD1506" s="242" t="s">
        <v>1749</v>
      </c>
      <c r="AE1506" s="242" t="s">
        <v>1750</v>
      </c>
    </row>
    <row r="1507" spans="27:31" ht="25.5">
      <c r="AA1507" s="240" t="str">
        <f t="shared" si="25"/>
        <v>Pyrite content in the kiln feed</v>
      </c>
      <c r="AB1507" s="243" t="s">
        <v>1751</v>
      </c>
      <c r="AC1507" s="243" t="s">
        <v>1752</v>
      </c>
      <c r="AD1507" s="243" t="s">
        <v>1753</v>
      </c>
      <c r="AE1507" s="243" t="s">
        <v>1754</v>
      </c>
    </row>
    <row r="1508" spans="27:31">
      <c r="AA1508" s="240"/>
      <c r="AB1508" s="241" t="s">
        <v>1755</v>
      </c>
      <c r="AC1508" s="240"/>
      <c r="AD1508" s="240"/>
      <c r="AE1508" s="240"/>
    </row>
    <row r="1509" spans="27:31">
      <c r="AA1509" s="240" t="str">
        <f>INDEX($AB:$AE,ROW(),Language)&amp;" @"&amp;T_CLIHOT&amp;" °C"</f>
        <v>Qclinker @ °C</v>
      </c>
      <c r="AB1509" s="242" t="s">
        <v>559</v>
      </c>
      <c r="AC1509" s="242" t="s">
        <v>560</v>
      </c>
      <c r="AD1509" s="242" t="s">
        <v>560</v>
      </c>
      <c r="AE1509" s="242" t="s">
        <v>560</v>
      </c>
    </row>
    <row r="1510" spans="27:31" ht="25.5">
      <c r="AA1510" s="240" t="str">
        <f>INDEX($AB:$AE,ROW(),Language)</f>
        <v xml:space="preserve">Q Sec out - Q sec in  + Q Staub out - Q dust in </v>
      </c>
      <c r="AB1510" s="242" t="s">
        <v>1654</v>
      </c>
      <c r="AC1510" s="242" t="s">
        <v>1655</v>
      </c>
      <c r="AD1510" s="242" t="s">
        <v>1656</v>
      </c>
      <c r="AE1510" s="242" t="s">
        <v>1660</v>
      </c>
    </row>
    <row r="1511" spans="27:31" ht="25.5">
      <c r="AA1511" s="240" t="str">
        <f>INDEX($AB:$AE,ROW(),Language)</f>
        <v xml:space="preserve">Q Sec,Tert out - Q Sec,Ter in + Q Staub out - Q dust in </v>
      </c>
      <c r="AB1511" s="242" t="s">
        <v>1658</v>
      </c>
      <c r="AC1511" s="242" t="s">
        <v>1659</v>
      </c>
      <c r="AD1511" s="242" t="s">
        <v>1657</v>
      </c>
      <c r="AE1511" s="242" t="s">
        <v>1661</v>
      </c>
    </row>
    <row r="1512" spans="27:31">
      <c r="AA1512" s="240" t="str">
        <f>INDEX($AB:$AE,ROW(),Language)</f>
        <v>Quenching air</v>
      </c>
      <c r="AB1512" s="240" t="s">
        <v>1756</v>
      </c>
      <c r="AC1512" s="240" t="s">
        <v>1757</v>
      </c>
      <c r="AD1512" s="240"/>
      <c r="AE1512" s="242" t="s">
        <v>1758</v>
      </c>
    </row>
    <row r="1513" spans="27:31">
      <c r="AA1513" s="240" t="str">
        <f>INDEX($AB:$AE,ROW(),Language)</f>
        <v>area</v>
      </c>
      <c r="AB1513" s="240" t="s">
        <v>1759</v>
      </c>
      <c r="AC1513" s="240" t="s">
        <v>1760</v>
      </c>
      <c r="AD1513" s="240" t="s">
        <v>1761</v>
      </c>
      <c r="AE1513" s="242" t="s">
        <v>899</v>
      </c>
    </row>
    <row r="1514" spans="27:31">
      <c r="AA1514" s="240"/>
      <c r="AB1514" s="241" t="s">
        <v>1762</v>
      </c>
      <c r="AC1514" s="240"/>
      <c r="AD1514" s="240"/>
      <c r="AE1514" s="240"/>
    </row>
    <row r="1515" spans="27:31">
      <c r="AA1515" s="240" t="str">
        <f t="shared" ref="AA1515:AA1520" si="26">INDEX($AB:$AE,ROW(),Language)</f>
        <v>Swirl air</v>
      </c>
      <c r="AB1515" s="240" t="s">
        <v>1763</v>
      </c>
      <c r="AC1515" s="240" t="s">
        <v>1764</v>
      </c>
      <c r="AD1515" s="240" t="s">
        <v>1765</v>
      </c>
      <c r="AE1515" s="240" t="s">
        <v>1766</v>
      </c>
    </row>
    <row r="1516" spans="27:31">
      <c r="AA1516" s="240" t="str">
        <f t="shared" si="26"/>
        <v>Reference temperature</v>
      </c>
      <c r="AB1516" s="240" t="s">
        <v>1767</v>
      </c>
      <c r="AC1516" s="240" t="s">
        <v>1768</v>
      </c>
      <c r="AD1516" s="242" t="s">
        <v>1769</v>
      </c>
      <c r="AE1516" s="242" t="s">
        <v>1770</v>
      </c>
    </row>
    <row r="1517" spans="27:31">
      <c r="AA1517" s="240" t="str">
        <f t="shared" si="26"/>
        <v>Error</v>
      </c>
      <c r="AB1517" s="240" t="s">
        <v>1771</v>
      </c>
      <c r="AC1517" s="240" t="s">
        <v>1772</v>
      </c>
      <c r="AD1517" s="240" t="s">
        <v>1773</v>
      </c>
      <c r="AE1517" s="240" t="s">
        <v>1774</v>
      </c>
    </row>
    <row r="1518" spans="27:31">
      <c r="AA1518" s="240" t="str">
        <f t="shared" si="26"/>
        <v>Relative humidity</v>
      </c>
      <c r="AB1518" s="240" t="s">
        <v>1775</v>
      </c>
      <c r="AC1518" s="242" t="s">
        <v>1776</v>
      </c>
      <c r="AD1518" s="240" t="s">
        <v>1777</v>
      </c>
      <c r="AE1518" s="240" t="s">
        <v>1778</v>
      </c>
    </row>
    <row r="1519" spans="27:31">
      <c r="AA1519" s="240" t="str">
        <f t="shared" si="26"/>
        <v>Kiln feed - Clinker factor</v>
      </c>
      <c r="AB1519" s="242" t="s">
        <v>1779</v>
      </c>
      <c r="AC1519" s="240" t="s">
        <v>1780</v>
      </c>
      <c r="AD1519" s="240" t="s">
        <v>1781</v>
      </c>
      <c r="AE1519" s="240" t="s">
        <v>1782</v>
      </c>
    </row>
    <row r="1520" spans="27:31" ht="25.5">
      <c r="AA1520" s="240" t="str">
        <f t="shared" si="26"/>
        <v>GRATE COOLER AIR BALANCE</v>
      </c>
      <c r="AB1520" s="240" t="s">
        <v>1783</v>
      </c>
      <c r="AC1520" s="240" t="s">
        <v>1784</v>
      </c>
      <c r="AD1520" s="242" t="s">
        <v>1785</v>
      </c>
      <c r="AE1520" s="242" t="s">
        <v>1786</v>
      </c>
    </row>
    <row r="1521" spans="27:31">
      <c r="AA1521" s="240"/>
      <c r="AB1521" s="241" t="s">
        <v>512</v>
      </c>
      <c r="AC1521" s="240"/>
      <c r="AD1521" s="240"/>
      <c r="AE1521" s="240"/>
    </row>
    <row r="1522" spans="27:31">
      <c r="AA1522" s="240" t="str">
        <f t="shared" ref="AA1522:AA1527" si="27">INDEX($AB:$AE,ROW(),Language)</f>
        <v>SECONDARY FIRING</v>
      </c>
      <c r="AB1522" s="434" t="s">
        <v>1092</v>
      </c>
      <c r="AC1522" s="240" t="s">
        <v>1682</v>
      </c>
      <c r="AD1522" s="240" t="s">
        <v>1093</v>
      </c>
      <c r="AE1522" s="240" t="s">
        <v>1684</v>
      </c>
    </row>
    <row r="1523" spans="27:31">
      <c r="AA1523" s="240" t="str">
        <f t="shared" si="27"/>
        <v>SECONDARY AIR</v>
      </c>
      <c r="AB1523" s="240" t="s">
        <v>1787</v>
      </c>
      <c r="AC1523" s="240" t="s">
        <v>1788</v>
      </c>
      <c r="AD1523" s="240" t="s">
        <v>1789</v>
      </c>
      <c r="AE1523" s="242" t="s">
        <v>1790</v>
      </c>
    </row>
    <row r="1524" spans="27:31" ht="25.5">
      <c r="AA1524" s="240" t="str">
        <f t="shared" si="27"/>
        <v>SECONDARY AIR AND WATER VAPOR</v>
      </c>
      <c r="AB1524" s="240" t="s">
        <v>1791</v>
      </c>
      <c r="AC1524" s="240" t="s">
        <v>1792</v>
      </c>
      <c r="AD1524" s="240" t="s">
        <v>1793</v>
      </c>
      <c r="AE1524" s="243" t="s">
        <v>1794</v>
      </c>
    </row>
    <row r="1525" spans="27:31">
      <c r="AA1525" s="240" t="str">
        <f t="shared" si="27"/>
        <v>SO3 kiln feed</v>
      </c>
      <c r="AB1525" s="240" t="s">
        <v>1795</v>
      </c>
      <c r="AC1525" s="240" t="s">
        <v>1796</v>
      </c>
      <c r="AD1525" s="240" t="s">
        <v>1797</v>
      </c>
      <c r="AE1525" s="243" t="s">
        <v>1798</v>
      </c>
    </row>
    <row r="1526" spans="27:31">
      <c r="AA1526" s="240" t="str">
        <f t="shared" si="27"/>
        <v>SO3 clinker</v>
      </c>
      <c r="AB1526" s="240" t="s">
        <v>1799</v>
      </c>
      <c r="AC1526" s="240" t="s">
        <v>1800</v>
      </c>
      <c r="AD1526" s="240" t="s">
        <v>1800</v>
      </c>
      <c r="AE1526" s="243" t="s">
        <v>1800</v>
      </c>
    </row>
    <row r="1527" spans="27:31">
      <c r="AA1527" s="240" t="str">
        <f t="shared" si="27"/>
        <v>SO3 kiln dust</v>
      </c>
      <c r="AB1527" s="240" t="s">
        <v>1801</v>
      </c>
      <c r="AC1527" s="240" t="s">
        <v>1802</v>
      </c>
      <c r="AD1527" s="240" t="s">
        <v>1803</v>
      </c>
      <c r="AE1527" s="243" t="s">
        <v>1804</v>
      </c>
    </row>
    <row r="1528" spans="27:31">
      <c r="AA1528" s="240"/>
      <c r="AB1528" s="241" t="s">
        <v>1805</v>
      </c>
      <c r="AC1528" s="240"/>
      <c r="AD1528" s="240"/>
      <c r="AE1528" s="240"/>
    </row>
    <row r="1529" spans="27:31" ht="25.5">
      <c r="AA1529" s="240" t="str">
        <f t="shared" ref="AA1529:AA1536" si="28">INDEX($AB:$AE,ROW(),Language)</f>
        <v>SULFUR-ALCALI REACTIONS</v>
      </c>
      <c r="AB1529" s="240" t="s">
        <v>1806</v>
      </c>
      <c r="AC1529" s="242" t="s">
        <v>1807</v>
      </c>
      <c r="AD1529" s="242" t="s">
        <v>1808</v>
      </c>
      <c r="AE1529" s="242" t="s">
        <v>1809</v>
      </c>
    </row>
    <row r="1530" spans="27:31" ht="25.5">
      <c r="AA1530" s="240" t="str">
        <f t="shared" si="28"/>
        <v>Sulfur-Alcali Reactions</v>
      </c>
      <c r="AB1530" s="240" t="s">
        <v>1810</v>
      </c>
      <c r="AC1530" s="242" t="s">
        <v>1811</v>
      </c>
      <c r="AD1530" s="240" t="s">
        <v>1812</v>
      </c>
      <c r="AE1530" s="242" t="s">
        <v>1813</v>
      </c>
    </row>
    <row r="1531" spans="27:31">
      <c r="AA1531" s="240" t="str">
        <f t="shared" si="28"/>
        <v>Sulfur content (S)</v>
      </c>
      <c r="AB1531" s="240" t="s">
        <v>1814</v>
      </c>
      <c r="AC1531" s="240" t="s">
        <v>1815</v>
      </c>
      <c r="AD1531" s="240" t="s">
        <v>1816</v>
      </c>
      <c r="AE1531" s="240" t="s">
        <v>1817</v>
      </c>
    </row>
    <row r="1532" spans="27:31">
      <c r="AA1532" s="240" t="str">
        <f t="shared" si="28"/>
        <v>Secondary firing</v>
      </c>
      <c r="AB1532" s="240" t="s">
        <v>1818</v>
      </c>
      <c r="AC1532" s="240" t="s">
        <v>1819</v>
      </c>
      <c r="AD1532" s="240" t="s">
        <v>1820</v>
      </c>
      <c r="AE1532" s="242" t="s">
        <v>1821</v>
      </c>
    </row>
    <row r="1533" spans="27:31">
      <c r="AA1533" s="240" t="str">
        <f t="shared" si="28"/>
        <v>Secondary air incl. dust</v>
      </c>
      <c r="AB1533" s="240" t="s">
        <v>1822</v>
      </c>
      <c r="AC1533" s="240" t="s">
        <v>1823</v>
      </c>
      <c r="AD1533" s="242" t="s">
        <v>1824</v>
      </c>
      <c r="AE1533" s="242" t="s">
        <v>1825</v>
      </c>
    </row>
    <row r="1534" spans="27:31">
      <c r="AA1534" s="240" t="str">
        <f t="shared" si="28"/>
        <v>and water vapor</v>
      </c>
      <c r="AB1534" s="240" t="s">
        <v>1826</v>
      </c>
      <c r="AC1534" s="240" t="s">
        <v>1827</v>
      </c>
      <c r="AD1534" s="243" t="s">
        <v>1828</v>
      </c>
      <c r="AE1534" s="243" t="s">
        <v>1829</v>
      </c>
    </row>
    <row r="1535" spans="27:31">
      <c r="AA1535" s="240" t="str">
        <f t="shared" si="28"/>
        <v>Secondary air</v>
      </c>
      <c r="AB1535" s="242" t="s">
        <v>1830</v>
      </c>
      <c r="AC1535" s="240" t="s">
        <v>1831</v>
      </c>
      <c r="AD1535" s="240" t="s">
        <v>1832</v>
      </c>
      <c r="AE1535" s="242" t="s">
        <v>1833</v>
      </c>
    </row>
    <row r="1536" spans="27:31">
      <c r="AA1536" s="240" t="str">
        <f t="shared" si="28"/>
        <v>Secondary air temperature</v>
      </c>
      <c r="AB1536" s="240" t="s">
        <v>1834</v>
      </c>
      <c r="AC1536" s="240" t="s">
        <v>1835</v>
      </c>
      <c r="AD1536" s="240" t="s">
        <v>1838</v>
      </c>
      <c r="AE1536" s="240" t="s">
        <v>1839</v>
      </c>
    </row>
    <row r="1537" spans="27:31">
      <c r="AA1537" s="240"/>
      <c r="AB1537" s="241" t="s">
        <v>1840</v>
      </c>
      <c r="AC1537" s="240"/>
      <c r="AD1537" s="240"/>
      <c r="AE1537" s="240"/>
    </row>
    <row r="1538" spans="27:31">
      <c r="AA1538" s="240" t="str">
        <f t="shared" ref="AA1538:AA1543" si="29">INDEX($AB:$AE,ROW(),Language)</f>
        <v>Spec. cooling air</v>
      </c>
      <c r="AB1538" s="242" t="s">
        <v>1841</v>
      </c>
      <c r="AC1538" s="242" t="s">
        <v>1842</v>
      </c>
      <c r="AD1538" s="240" t="s">
        <v>1843</v>
      </c>
      <c r="AE1538" s="242" t="s">
        <v>1384</v>
      </c>
    </row>
    <row r="1539" spans="27:31">
      <c r="AA1539" s="240" t="str">
        <f t="shared" si="29"/>
        <v>SPECIFICATION</v>
      </c>
      <c r="AB1539" s="243" t="s">
        <v>1844</v>
      </c>
      <c r="AC1539" s="243" t="s">
        <v>1845</v>
      </c>
      <c r="AD1539" s="240" t="s">
        <v>1845</v>
      </c>
      <c r="AE1539" s="243" t="s">
        <v>1846</v>
      </c>
    </row>
    <row r="1540" spans="27:31">
      <c r="AA1540" s="240" t="str">
        <f t="shared" si="29"/>
        <v>Specific heat</v>
      </c>
      <c r="AB1540" s="242" t="s">
        <v>1847</v>
      </c>
      <c r="AC1540" s="242" t="s">
        <v>1848</v>
      </c>
      <c r="AD1540" s="242" t="s">
        <v>1849</v>
      </c>
      <c r="AE1540" s="242" t="s">
        <v>1850</v>
      </c>
    </row>
    <row r="1541" spans="27:31">
      <c r="AA1541" s="240" t="str">
        <f t="shared" si="29"/>
        <v>Specific heat cons-</v>
      </c>
      <c r="AB1541" s="243" t="s">
        <v>1851</v>
      </c>
      <c r="AC1541" s="243" t="s">
        <v>1852</v>
      </c>
      <c r="AD1541" s="242" t="s">
        <v>1853</v>
      </c>
      <c r="AE1541" s="242" t="s">
        <v>1854</v>
      </c>
    </row>
    <row r="1542" spans="27:31">
      <c r="AA1542" s="240" t="str">
        <f t="shared" si="29"/>
        <v>Specific heat capacity</v>
      </c>
      <c r="AB1542" s="243" t="s">
        <v>1855</v>
      </c>
      <c r="AC1542" s="243" t="s">
        <v>1856</v>
      </c>
      <c r="AD1542" s="243" t="s">
        <v>1857</v>
      </c>
      <c r="AE1542" s="243" t="s">
        <v>1858</v>
      </c>
    </row>
    <row r="1543" spans="27:31" ht="25.5">
      <c r="AA1543" s="240" t="str">
        <f t="shared" si="29"/>
        <v>Specific dust loss top stage cyclone(s)</v>
      </c>
      <c r="AB1543" s="240" t="s">
        <v>1859</v>
      </c>
      <c r="AC1543" s="242" t="s">
        <v>1860</v>
      </c>
      <c r="AD1543" s="242" t="s">
        <v>1861</v>
      </c>
      <c r="AE1543" s="242" t="s">
        <v>1862</v>
      </c>
    </row>
    <row r="1544" spans="27:31">
      <c r="AA1544" s="240"/>
      <c r="AB1544" s="241" t="s">
        <v>1863</v>
      </c>
      <c r="AC1544" s="240"/>
      <c r="AD1544" s="240"/>
      <c r="AE1544" s="240"/>
    </row>
    <row r="1545" spans="27:31" ht="25.5">
      <c r="AA1545" s="240" t="str">
        <f t="shared" ref="AA1545:AA1560" si="30">INDEX($AB:$AE,ROW(),Language)</f>
        <v>Minimum combustion air for complete in kiln</v>
      </c>
      <c r="AB1545" s="240" t="s">
        <v>1864</v>
      </c>
      <c r="AC1545" s="242" t="s">
        <v>1865</v>
      </c>
      <c r="AD1545" s="240" t="s">
        <v>1866</v>
      </c>
      <c r="AE1545" s="240" t="s">
        <v>1867</v>
      </c>
    </row>
    <row r="1546" spans="27:31">
      <c r="AA1546" s="240" t="str">
        <f t="shared" si="30"/>
        <v>Nominal capacity</v>
      </c>
      <c r="AB1546" s="240" t="s">
        <v>1868</v>
      </c>
      <c r="AC1546" s="240" t="s">
        <v>1869</v>
      </c>
      <c r="AD1546" s="242" t="s">
        <v>1870</v>
      </c>
      <c r="AE1546" s="240" t="s">
        <v>1871</v>
      </c>
    </row>
    <row r="1547" spans="27:31">
      <c r="AA1547" s="240" t="str">
        <f t="shared" si="30"/>
        <v>Standard value</v>
      </c>
      <c r="AB1547" s="240" t="s">
        <v>1872</v>
      </c>
      <c r="AC1547" s="240" t="s">
        <v>1873</v>
      </c>
      <c r="AD1547" s="243" t="s">
        <v>1874</v>
      </c>
      <c r="AE1547" s="240" t="s">
        <v>1875</v>
      </c>
    </row>
    <row r="1548" spans="27:31">
      <c r="AA1548" s="240" t="str">
        <f t="shared" si="30"/>
        <v>dust</v>
      </c>
      <c r="AB1548" s="240" t="s">
        <v>1876</v>
      </c>
      <c r="AC1548" s="240" t="s">
        <v>1877</v>
      </c>
      <c r="AD1548" s="243" t="s">
        <v>1878</v>
      </c>
      <c r="AE1548" s="240" t="s">
        <v>1879</v>
      </c>
    </row>
    <row r="1549" spans="27:31">
      <c r="AA1549" s="240" t="str">
        <f t="shared" si="30"/>
        <v>Dust loss</v>
      </c>
      <c r="AB1549" s="240" t="s">
        <v>1880</v>
      </c>
      <c r="AC1549" s="240" t="s">
        <v>1881</v>
      </c>
      <c r="AD1549" s="243" t="s">
        <v>1882</v>
      </c>
      <c r="AE1549" s="242" t="s">
        <v>1883</v>
      </c>
    </row>
    <row r="1550" spans="27:31" ht="25.5">
      <c r="AA1550" s="240" t="str">
        <f t="shared" si="30"/>
        <v>Dust in exhaust gases</v>
      </c>
      <c r="AB1550" s="240" t="s">
        <v>1884</v>
      </c>
      <c r="AC1550" s="242" t="s">
        <v>1885</v>
      </c>
      <c r="AD1550" s="242" t="s">
        <v>1886</v>
      </c>
      <c r="AE1550" s="242" t="s">
        <v>1887</v>
      </c>
    </row>
    <row r="1551" spans="27:31">
      <c r="AA1551" s="240" t="str">
        <f t="shared" si="30"/>
        <v>stat. pressure</v>
      </c>
      <c r="AB1551" s="240" t="s">
        <v>1888</v>
      </c>
      <c r="AC1551" s="243" t="s">
        <v>1889</v>
      </c>
      <c r="AD1551" s="243" t="s">
        <v>1890</v>
      </c>
      <c r="AE1551" s="243" t="s">
        <v>1891</v>
      </c>
    </row>
    <row r="1552" spans="27:31" ht="25.5">
      <c r="AA1552" s="240" t="str">
        <f t="shared" si="30"/>
        <v>DUST LOSS  IN DIRECT OPERATION</v>
      </c>
      <c r="AB1552" s="240" t="s">
        <v>1892</v>
      </c>
      <c r="AC1552" s="240" t="s">
        <v>1893</v>
      </c>
      <c r="AD1552" s="243" t="s">
        <v>1894</v>
      </c>
      <c r="AE1552" s="242" t="s">
        <v>1895</v>
      </c>
    </row>
    <row r="1553" spans="27:31">
      <c r="AA1553" s="240" t="str">
        <f t="shared" si="30"/>
        <v>to COP</v>
      </c>
      <c r="AB1553" s="242" t="s">
        <v>1896</v>
      </c>
      <c r="AC1553" s="242" t="s">
        <v>1897</v>
      </c>
      <c r="AD1553" s="242" t="s">
        <v>1898</v>
      </c>
      <c r="AE1553" s="242" t="s">
        <v>1899</v>
      </c>
    </row>
    <row r="1554" spans="27:31">
      <c r="AA1554" s="240" t="str">
        <f t="shared" si="30"/>
        <v>RADIATION LOSSES</v>
      </c>
      <c r="AB1554" s="240" t="s">
        <v>1900</v>
      </c>
      <c r="AC1554" s="240" t="s">
        <v>1901</v>
      </c>
      <c r="AD1554" s="243" t="s">
        <v>1908</v>
      </c>
      <c r="AE1554" s="240" t="s">
        <v>1909</v>
      </c>
    </row>
    <row r="1555" spans="27:31" ht="25.5">
      <c r="AA1555" s="240" t="str">
        <f t="shared" si="30"/>
        <v>Radiation and Convection losses</v>
      </c>
      <c r="AB1555" s="240" t="s">
        <v>1910</v>
      </c>
      <c r="AC1555" s="240" t="s">
        <v>1911</v>
      </c>
      <c r="AD1555" s="243" t="s">
        <v>1912</v>
      </c>
      <c r="AE1555" s="242" t="s">
        <v>1913</v>
      </c>
    </row>
    <row r="1556" spans="27:31">
      <c r="AA1556" s="240" t="str">
        <f t="shared" si="30"/>
        <v xml:space="preserve"> </v>
      </c>
      <c r="AB1556" s="240" t="s">
        <v>1914</v>
      </c>
      <c r="AC1556" s="240" t="s">
        <v>1444</v>
      </c>
      <c r="AD1556" s="240" t="s">
        <v>1444</v>
      </c>
      <c r="AE1556" s="240" t="s">
        <v>1915</v>
      </c>
    </row>
    <row r="1557" spans="27:31">
      <c r="AA1557" s="240" t="str">
        <f t="shared" si="30"/>
        <v>Radiation &amp;</v>
      </c>
      <c r="AB1557" s="240" t="s">
        <v>1916</v>
      </c>
      <c r="AC1557" s="240" t="s">
        <v>1926</v>
      </c>
      <c r="AD1557" s="242" t="s">
        <v>1926</v>
      </c>
      <c r="AE1557" s="242" t="s">
        <v>1927</v>
      </c>
    </row>
    <row r="1558" spans="27:31">
      <c r="AA1558" s="240" t="str">
        <f t="shared" si="30"/>
        <v>Radiation losses</v>
      </c>
      <c r="AB1558" s="240" t="s">
        <v>1928</v>
      </c>
      <c r="AC1558" s="240" t="s">
        <v>1929</v>
      </c>
      <c r="AD1558" s="243" t="s">
        <v>1930</v>
      </c>
      <c r="AE1558" s="243" t="s">
        <v>1931</v>
      </c>
    </row>
    <row r="1559" spans="27:31">
      <c r="AA1559" s="240" t="str">
        <f t="shared" si="30"/>
        <v>TOTAL OF OUTPUTS</v>
      </c>
      <c r="AB1559" s="240" t="s">
        <v>1932</v>
      </c>
      <c r="AC1559" s="240" t="s">
        <v>1933</v>
      </c>
      <c r="AD1559" s="240" t="s">
        <v>1934</v>
      </c>
      <c r="AE1559" s="240" t="s">
        <v>1935</v>
      </c>
    </row>
    <row r="1560" spans="27:31">
      <c r="AA1560" s="240" t="str">
        <f t="shared" si="30"/>
        <v>TOTAL OF INPUTS</v>
      </c>
      <c r="AB1560" s="240" t="s">
        <v>1936</v>
      </c>
      <c r="AC1560" s="242" t="s">
        <v>1937</v>
      </c>
      <c r="AD1560" s="242" t="s">
        <v>1938</v>
      </c>
      <c r="AE1560" s="240" t="s">
        <v>1939</v>
      </c>
    </row>
    <row r="1561" spans="27:31">
      <c r="AA1561" s="240"/>
      <c r="AB1561" s="241" t="s">
        <v>489</v>
      </c>
      <c r="AC1561" s="240"/>
      <c r="AD1561" s="240"/>
      <c r="AE1561" s="240"/>
    </row>
    <row r="1562" spans="27:31">
      <c r="AA1562" s="240" t="str">
        <f t="shared" ref="AA1562:AA1578" si="31">INDEX($AB:$AE,ROW(),Language)</f>
        <v>t/d</v>
      </c>
      <c r="AB1562" s="240" t="s">
        <v>1940</v>
      </c>
      <c r="AC1562" s="240" t="s">
        <v>1941</v>
      </c>
      <c r="AD1562" s="240" t="s">
        <v>1942</v>
      </c>
      <c r="AE1562" s="240" t="s">
        <v>1941</v>
      </c>
    </row>
    <row r="1563" spans="27:31">
      <c r="AA1563" s="240" t="str">
        <f t="shared" si="31"/>
        <v>Temp. at burner</v>
      </c>
      <c r="AB1563" s="240" t="s">
        <v>1943</v>
      </c>
      <c r="AC1563" s="240" t="s">
        <v>1944</v>
      </c>
      <c r="AD1563" s="240" t="s">
        <v>1945</v>
      </c>
      <c r="AE1563" s="240" t="s">
        <v>1946</v>
      </c>
    </row>
    <row r="1564" spans="27:31">
      <c r="AA1564" s="240" t="str">
        <f t="shared" si="31"/>
        <v>Temperature</v>
      </c>
      <c r="AB1564" s="240" t="s">
        <v>1953</v>
      </c>
      <c r="AC1564" s="240" t="s">
        <v>1954</v>
      </c>
      <c r="AD1564" s="240" t="s">
        <v>1957</v>
      </c>
      <c r="AE1564" s="240" t="s">
        <v>1958</v>
      </c>
    </row>
    <row r="1565" spans="27:31">
      <c r="AA1565" s="240" t="str">
        <f t="shared" si="31"/>
        <v>temp.</v>
      </c>
      <c r="AB1565" s="240" t="s">
        <v>1959</v>
      </c>
      <c r="AC1565" s="240" t="s">
        <v>1960</v>
      </c>
      <c r="AD1565" s="242" t="s">
        <v>1961</v>
      </c>
      <c r="AE1565" s="242" t="s">
        <v>1962</v>
      </c>
    </row>
    <row r="1566" spans="27:31" ht="25.5">
      <c r="AA1566" s="240" t="str">
        <f t="shared" si="31"/>
        <v>Temperature at cooler takeout (or balance boundary)</v>
      </c>
      <c r="AB1566" s="242" t="s">
        <v>1963</v>
      </c>
      <c r="AC1566" s="242" t="s">
        <v>1964</v>
      </c>
      <c r="AD1566" s="242" t="s">
        <v>1965</v>
      </c>
      <c r="AE1566" s="242" t="s">
        <v>1966</v>
      </c>
    </row>
    <row r="1567" spans="27:31" ht="25.5">
      <c r="AA1567" s="240" t="str">
        <f t="shared" si="31"/>
        <v>Temperature at gas extraction point</v>
      </c>
      <c r="AB1567" s="240" t="s">
        <v>1967</v>
      </c>
      <c r="AC1567" s="240" t="s">
        <v>1968</v>
      </c>
      <c r="AD1567" s="240" t="s">
        <v>1968</v>
      </c>
      <c r="AE1567" s="240" t="s">
        <v>1969</v>
      </c>
    </row>
    <row r="1568" spans="27:31" ht="25.5">
      <c r="AA1568" s="240" t="str">
        <f t="shared" si="31"/>
        <v>Temperature at the Prandtl measuring point</v>
      </c>
      <c r="AB1568" s="240" t="s">
        <v>1970</v>
      </c>
      <c r="AC1568" s="242" t="s">
        <v>1971</v>
      </c>
      <c r="AD1568" s="240" t="s">
        <v>1972</v>
      </c>
      <c r="AE1568" s="240" t="s">
        <v>1973</v>
      </c>
    </row>
    <row r="1569" spans="27:31">
      <c r="AA1569" s="240" t="str">
        <f t="shared" si="31"/>
        <v>Temperature in the duct</v>
      </c>
      <c r="AB1569" s="242" t="s">
        <v>1974</v>
      </c>
      <c r="AC1569" s="242" t="s">
        <v>1975</v>
      </c>
      <c r="AD1569" s="242" t="s">
        <v>1976</v>
      </c>
      <c r="AE1569" s="242" t="s">
        <v>1977</v>
      </c>
    </row>
    <row r="1570" spans="27:31" ht="25.5">
      <c r="AA1570" s="240" t="str">
        <f t="shared" si="31"/>
        <v>Temperature after the quenching chamber</v>
      </c>
      <c r="AB1570" s="240" t="s">
        <v>1978</v>
      </c>
      <c r="AC1570" s="240" t="s">
        <v>1979</v>
      </c>
      <c r="AD1570" s="240"/>
      <c r="AE1570" s="242" t="s">
        <v>1980</v>
      </c>
    </row>
    <row r="1571" spans="27:31">
      <c r="AA1571" s="240" t="str">
        <f t="shared" si="31"/>
        <v>TERTIARY AIR</v>
      </c>
      <c r="AB1571" s="240" t="s">
        <v>1981</v>
      </c>
      <c r="AC1571" s="240" t="s">
        <v>1982</v>
      </c>
      <c r="AD1571" s="242" t="s">
        <v>1983</v>
      </c>
      <c r="AE1571" s="243" t="s">
        <v>1984</v>
      </c>
    </row>
    <row r="1572" spans="27:31">
      <c r="AA1572" s="240" t="str">
        <f t="shared" si="31"/>
        <v>Tertiary air (incl dust)</v>
      </c>
      <c r="AB1572" s="242" t="s">
        <v>1267</v>
      </c>
      <c r="AC1572" s="240" t="s">
        <v>1268</v>
      </c>
      <c r="AD1572" s="240" t="s">
        <v>1269</v>
      </c>
      <c r="AE1572" s="243" t="s">
        <v>1270</v>
      </c>
    </row>
    <row r="1573" spans="27:31">
      <c r="AA1573" s="240" t="str">
        <f t="shared" si="31"/>
        <v>Tertiary air duct</v>
      </c>
      <c r="AB1573" s="240" t="s">
        <v>1985</v>
      </c>
      <c r="AC1573" s="240" t="s">
        <v>1986</v>
      </c>
      <c r="AD1573" s="240" t="s">
        <v>1987</v>
      </c>
      <c r="AE1573" s="242" t="s">
        <v>1988</v>
      </c>
    </row>
    <row r="1574" spans="27:31">
      <c r="AA1574" s="240" t="str">
        <f t="shared" si="31"/>
        <v>Tertiary air temperature</v>
      </c>
      <c r="AB1574" s="240" t="s">
        <v>1989</v>
      </c>
      <c r="AC1574" s="240" t="s">
        <v>1990</v>
      </c>
      <c r="AD1574" s="240" t="s">
        <v>1991</v>
      </c>
      <c r="AE1574" s="243" t="s">
        <v>1992</v>
      </c>
    </row>
    <row r="1575" spans="27:31" ht="25.5">
      <c r="AA1575" s="240" t="str">
        <f t="shared" si="31"/>
        <v>AMBIENT CONDITIONS AND TEST DURATION</v>
      </c>
      <c r="AB1575" s="242" t="s">
        <v>1993</v>
      </c>
      <c r="AC1575" s="242" t="s">
        <v>1994</v>
      </c>
      <c r="AD1575" s="242" t="s">
        <v>1995</v>
      </c>
      <c r="AE1575" s="242" t="s">
        <v>1996</v>
      </c>
    </row>
    <row r="1576" spans="27:31">
      <c r="AA1576" s="240" t="str">
        <f t="shared" si="31"/>
        <v>Transport air</v>
      </c>
      <c r="AB1576" s="240" t="s">
        <v>1997</v>
      </c>
      <c r="AC1576" s="240" t="s">
        <v>1998</v>
      </c>
      <c r="AD1576" s="240" t="s">
        <v>1999</v>
      </c>
      <c r="AE1576" s="242" t="s">
        <v>2000</v>
      </c>
    </row>
    <row r="1577" spans="27:31">
      <c r="AA1577" s="240" t="str">
        <f t="shared" si="31"/>
        <v>dry</v>
      </c>
      <c r="AB1577" s="240" t="s">
        <v>2001</v>
      </c>
      <c r="AC1577" s="240" t="s">
        <v>2002</v>
      </c>
      <c r="AD1577" s="240" t="s">
        <v>2003</v>
      </c>
      <c r="AE1577" s="243" t="s">
        <v>2004</v>
      </c>
    </row>
    <row r="1578" spans="27:31" ht="25.5">
      <c r="AA1578" s="240" t="str">
        <f t="shared" si="31"/>
        <v>dry exhaust gas from combustion and raw meal</v>
      </c>
      <c r="AB1578" s="242" t="s">
        <v>2005</v>
      </c>
      <c r="AC1578" s="242" t="s">
        <v>2006</v>
      </c>
      <c r="AD1578" s="242" t="s">
        <v>2007</v>
      </c>
      <c r="AE1578" s="243" t="s">
        <v>2008</v>
      </c>
    </row>
    <row r="1579" spans="27:31">
      <c r="AA1579" s="240"/>
      <c r="AB1579" s="241" t="s">
        <v>2009</v>
      </c>
      <c r="AC1579" s="240"/>
      <c r="AD1579" s="240"/>
      <c r="AE1579" s="240"/>
    </row>
    <row r="1580" spans="27:31">
      <c r="AA1580" s="240" t="str">
        <f t="shared" ref="AA1580:AA1589" si="32">INDEX($AB:$AE,ROW(),Language)</f>
        <v>rpm</v>
      </c>
      <c r="AB1580" s="240" t="s">
        <v>2010</v>
      </c>
      <c r="AC1580" s="240" t="s">
        <v>2011</v>
      </c>
      <c r="AD1580" s="240" t="s">
        <v>2012</v>
      </c>
      <c r="AE1580" s="240" t="s">
        <v>2011</v>
      </c>
    </row>
    <row r="1581" spans="27:31">
      <c r="AA1581" s="240" t="str">
        <f t="shared" si="32"/>
        <v>Excess air kiln inlet</v>
      </c>
      <c r="AB1581" s="240" t="s">
        <v>2014</v>
      </c>
      <c r="AC1581" s="240" t="s">
        <v>2015</v>
      </c>
      <c r="AD1581" s="240" t="s">
        <v>2015</v>
      </c>
      <c r="AE1581" s="242" t="s">
        <v>2016</v>
      </c>
    </row>
    <row r="1582" spans="27:31" ht="25.5">
      <c r="AA1582" s="240" t="str">
        <f t="shared" si="32"/>
        <v>Excess air after calciner</v>
      </c>
      <c r="AB1582" s="242" t="s">
        <v>2017</v>
      </c>
      <c r="AC1582" s="242" t="s">
        <v>2018</v>
      </c>
      <c r="AD1582" s="242" t="s">
        <v>2018</v>
      </c>
      <c r="AE1582" s="242" t="s">
        <v>2019</v>
      </c>
    </row>
    <row r="1583" spans="27:31">
      <c r="AA1583" s="240" t="str">
        <f t="shared" si="32"/>
        <v>Ambient pressure (calculated)</v>
      </c>
      <c r="AB1583" s="242" t="s">
        <v>2020</v>
      </c>
      <c r="AC1583" s="242" t="s">
        <v>2021</v>
      </c>
      <c r="AD1583" s="242" t="s">
        <v>2022</v>
      </c>
      <c r="AE1583" s="242" t="s">
        <v>2023</v>
      </c>
    </row>
    <row r="1584" spans="27:31">
      <c r="AA1584" s="240" t="str">
        <f t="shared" si="32"/>
        <v>Ambient pressure (actual)</v>
      </c>
      <c r="AB1584" s="242" t="s">
        <v>2024</v>
      </c>
      <c r="AC1584" s="242" t="s">
        <v>2025</v>
      </c>
      <c r="AD1584" s="242" t="s">
        <v>2026</v>
      </c>
      <c r="AE1584" s="242" t="s">
        <v>2027</v>
      </c>
    </row>
    <row r="1585" spans="27:31">
      <c r="AA1585" s="240" t="str">
        <f t="shared" si="32"/>
        <v>Ambient temperature</v>
      </c>
      <c r="AB1585" s="240" t="s">
        <v>2028</v>
      </c>
      <c r="AC1585" s="240" t="s">
        <v>2029</v>
      </c>
      <c r="AD1585" s="240" t="s">
        <v>2030</v>
      </c>
      <c r="AE1585" s="240" t="s">
        <v>2031</v>
      </c>
    </row>
    <row r="1586" spans="27:31" ht="25.5">
      <c r="AA1586" s="240" t="str">
        <f t="shared" si="32"/>
        <v>Ambient temperature Prandtl measurement</v>
      </c>
      <c r="AB1586" s="240" t="s">
        <v>2033</v>
      </c>
      <c r="AC1586" s="240" t="s">
        <v>2034</v>
      </c>
      <c r="AD1586" s="240" t="s">
        <v>2035</v>
      </c>
      <c r="AE1586" s="240" t="s">
        <v>2036</v>
      </c>
    </row>
    <row r="1587" spans="27:31">
      <c r="AA1587" s="240" t="str">
        <f t="shared" si="32"/>
        <v>Lower boundary</v>
      </c>
      <c r="AB1587" s="240" t="s">
        <v>2037</v>
      </c>
      <c r="AC1587" s="240" t="s">
        <v>2038</v>
      </c>
      <c r="AD1587" s="242" t="s">
        <v>302</v>
      </c>
      <c r="AE1587" s="240" t="s">
        <v>2039</v>
      </c>
    </row>
    <row r="1588" spans="27:31">
      <c r="AA1588" s="240" t="str">
        <f t="shared" si="32"/>
        <v>Low heat value LHV</v>
      </c>
      <c r="AB1588" s="240" t="s">
        <v>2040</v>
      </c>
      <c r="AC1588" s="240" t="s">
        <v>2041</v>
      </c>
      <c r="AD1588" s="240" t="s">
        <v>2042</v>
      </c>
      <c r="AE1588" s="240" t="s">
        <v>2043</v>
      </c>
    </row>
    <row r="1589" spans="27:31">
      <c r="AA1589" s="240" t="str">
        <f t="shared" si="32"/>
        <v>Low heat value for CO</v>
      </c>
      <c r="AB1589" s="240" t="s">
        <v>2044</v>
      </c>
      <c r="AC1589" s="240" t="s">
        <v>2045</v>
      </c>
      <c r="AD1589" s="240" t="s">
        <v>2046</v>
      </c>
      <c r="AE1589" s="240" t="s">
        <v>2047</v>
      </c>
    </row>
    <row r="1590" spans="27:31">
      <c r="AA1590" s="240"/>
      <c r="AB1590" s="241" t="s">
        <v>2048</v>
      </c>
      <c r="AC1590" s="240"/>
      <c r="AD1590" s="240"/>
      <c r="AE1590" s="240"/>
    </row>
    <row r="1591" spans="27:31">
      <c r="AA1591" s="240" t="str">
        <f t="shared" ref="AA1591:AA1607" si="33">INDEX($AB:$AE,ROW(),Language)</f>
        <v>Fan</v>
      </c>
      <c r="AB1591" s="240" t="s">
        <v>2049</v>
      </c>
      <c r="AC1591" s="240" t="s">
        <v>2050</v>
      </c>
      <c r="AD1591" s="240" t="s">
        <v>2051</v>
      </c>
      <c r="AE1591" s="240" t="s">
        <v>2052</v>
      </c>
    </row>
    <row r="1592" spans="27:31">
      <c r="AA1592" s="240" t="str">
        <f t="shared" si="33"/>
        <v>Person in charge</v>
      </c>
      <c r="AB1592" s="240" t="s">
        <v>2053</v>
      </c>
      <c r="AC1592" s="240" t="s">
        <v>2054</v>
      </c>
      <c r="AD1592" s="240" t="s">
        <v>2055</v>
      </c>
      <c r="AE1592" s="242" t="s">
        <v>2056</v>
      </c>
    </row>
    <row r="1593" spans="27:31">
      <c r="AA1593" s="240" t="str">
        <f t="shared" si="33"/>
        <v>sumption</v>
      </c>
      <c r="AB1593" s="240" t="s">
        <v>2057</v>
      </c>
      <c r="AC1593" s="240" t="s">
        <v>2058</v>
      </c>
      <c r="AD1593" s="240" t="s">
        <v>2059</v>
      </c>
      <c r="AE1593" s="242" t="s">
        <v>2060</v>
      </c>
    </row>
    <row r="1594" spans="27:31">
      <c r="AA1594" s="240" t="str">
        <f t="shared" si="33"/>
        <v>combustion</v>
      </c>
      <c r="AB1594" s="240" t="s">
        <v>2061</v>
      </c>
      <c r="AC1594" s="240" t="s">
        <v>2062</v>
      </c>
      <c r="AD1594" s="240" t="s">
        <v>2062</v>
      </c>
      <c r="AE1594" s="240" t="s">
        <v>2064</v>
      </c>
    </row>
    <row r="1595" spans="27:31">
      <c r="AA1595" s="240" t="str">
        <f t="shared" si="33"/>
        <v>Combustion gas (wet)</v>
      </c>
      <c r="AB1595" s="242" t="s">
        <v>2065</v>
      </c>
      <c r="AC1595" s="242" t="s">
        <v>2066</v>
      </c>
      <c r="AD1595" s="242" t="s">
        <v>2067</v>
      </c>
      <c r="AE1595" s="242" t="s">
        <v>2068</v>
      </c>
    </row>
    <row r="1596" spans="27:31">
      <c r="AA1596" s="240" t="str">
        <f t="shared" si="33"/>
        <v>Combustion air</v>
      </c>
      <c r="AB1596" s="240" t="s">
        <v>2069</v>
      </c>
      <c r="AC1596" s="240" t="s">
        <v>2070</v>
      </c>
      <c r="AD1596" s="240" t="s">
        <v>2071</v>
      </c>
      <c r="AE1596" s="240" t="s">
        <v>2072</v>
      </c>
    </row>
    <row r="1597" spans="27:31">
      <c r="AA1597" s="240" t="str">
        <f t="shared" si="33"/>
        <v>Combust. air kiln</v>
      </c>
      <c r="AB1597" s="242" t="s">
        <v>2073</v>
      </c>
      <c r="AC1597" s="242" t="s">
        <v>2074</v>
      </c>
      <c r="AD1597" s="242" t="s">
        <v>2075</v>
      </c>
      <c r="AE1597" s="242" t="s">
        <v>2076</v>
      </c>
    </row>
    <row r="1598" spans="27:31">
      <c r="AA1598" s="240" t="str">
        <f t="shared" si="33"/>
        <v>Combust. air calciner</v>
      </c>
      <c r="AB1598" s="242" t="s">
        <v>2077</v>
      </c>
      <c r="AC1598" s="242" t="s">
        <v>2078</v>
      </c>
      <c r="AD1598" s="242" t="s">
        <v>2079</v>
      </c>
      <c r="AE1598" s="242" t="s">
        <v>2080</v>
      </c>
    </row>
    <row r="1599" spans="27:31">
      <c r="AA1599" s="240" t="str">
        <f t="shared" si="33"/>
        <v>Combust. gas kiln</v>
      </c>
      <c r="AB1599" s="242" t="s">
        <v>2081</v>
      </c>
      <c r="AC1599" s="242" t="s">
        <v>2082</v>
      </c>
      <c r="AD1599" s="242" t="s">
        <v>2083</v>
      </c>
      <c r="AE1599" s="240" t="s">
        <v>2084</v>
      </c>
    </row>
    <row r="1600" spans="27:31">
      <c r="AA1600" s="240" t="str">
        <f t="shared" si="33"/>
        <v>Combust. gas calciner</v>
      </c>
      <c r="AB1600" s="242" t="s">
        <v>2085</v>
      </c>
      <c r="AC1600" s="242" t="s">
        <v>2086</v>
      </c>
      <c r="AD1600" s="242" t="s">
        <v>2087</v>
      </c>
      <c r="AE1600" s="240" t="s">
        <v>2088</v>
      </c>
    </row>
    <row r="1601" spans="27:31">
      <c r="AA1601" s="240" t="str">
        <f t="shared" si="33"/>
        <v>Flowrate</v>
      </c>
      <c r="AB1601" s="240" t="s">
        <v>2089</v>
      </c>
      <c r="AC1601" s="243" t="s">
        <v>2090</v>
      </c>
      <c r="AD1601" s="240" t="s">
        <v>2091</v>
      </c>
      <c r="AE1601" s="242" t="s">
        <v>1585</v>
      </c>
    </row>
    <row r="1602" spans="27:31">
      <c r="AA1602" s="240" t="str">
        <f t="shared" si="33"/>
        <v>Flowrate air</v>
      </c>
      <c r="AB1602" s="242" t="s">
        <v>2092</v>
      </c>
      <c r="AC1602" s="242" t="s">
        <v>2093</v>
      </c>
      <c r="AD1602" s="240" t="s">
        <v>2091</v>
      </c>
      <c r="AE1602" s="242" t="s">
        <v>2094</v>
      </c>
    </row>
    <row r="1603" spans="27:31">
      <c r="AA1603" s="240" t="str">
        <f t="shared" si="33"/>
        <v>Flowrate gas</v>
      </c>
      <c r="AB1603" s="242" t="s">
        <v>2095</v>
      </c>
      <c r="AC1603" s="242" t="s">
        <v>2096</v>
      </c>
      <c r="AD1603" s="240" t="s">
        <v>2097</v>
      </c>
      <c r="AE1603" s="242" t="s">
        <v>2098</v>
      </c>
    </row>
    <row r="1604" spans="27:31" ht="25.5">
      <c r="AA1604" s="240" t="str">
        <f t="shared" si="33"/>
        <v>Waste air flowrate from prandtl measurement</v>
      </c>
      <c r="AB1604" s="242" t="s">
        <v>2099</v>
      </c>
      <c r="AC1604" s="242" t="s">
        <v>2130</v>
      </c>
      <c r="AD1604" s="242" t="s">
        <v>1598</v>
      </c>
      <c r="AE1604" s="242" t="s">
        <v>2131</v>
      </c>
    </row>
    <row r="1605" spans="27:31" ht="25.5">
      <c r="AA1605" s="240" t="str">
        <f t="shared" si="33"/>
        <v>Calciner exhaust gas flowrate (dry)</v>
      </c>
      <c r="AB1605" s="240" t="s">
        <v>2132</v>
      </c>
      <c r="AC1605" s="243" t="s">
        <v>2133</v>
      </c>
      <c r="AD1605" s="243" t="s">
        <v>2133</v>
      </c>
      <c r="AE1605" s="243" t="s">
        <v>2134</v>
      </c>
    </row>
    <row r="1606" spans="27:31">
      <c r="AA1606" s="240" t="str">
        <f t="shared" si="33"/>
        <v>Water flowrate</v>
      </c>
      <c r="AB1606" s="240" t="s">
        <v>2135</v>
      </c>
      <c r="AC1606" s="243" t="s">
        <v>2136</v>
      </c>
      <c r="AD1606" s="243" t="s">
        <v>2136</v>
      </c>
      <c r="AE1606" s="243" t="s">
        <v>2137</v>
      </c>
    </row>
    <row r="1607" spans="27:31">
      <c r="AA1607" s="240" t="str">
        <f t="shared" si="33"/>
        <v>from</v>
      </c>
      <c r="AB1607" s="240" t="s">
        <v>2138</v>
      </c>
      <c r="AC1607" s="240" t="s">
        <v>2139</v>
      </c>
      <c r="AD1607" s="240" t="s">
        <v>2140</v>
      </c>
      <c r="AE1607" s="240" t="s">
        <v>2141</v>
      </c>
    </row>
    <row r="1608" spans="27:31">
      <c r="AA1608" s="240"/>
      <c r="AB1608" s="241" t="s">
        <v>2142</v>
      </c>
      <c r="AC1608" s="240"/>
      <c r="AD1608" s="240"/>
      <c r="AE1608" s="240"/>
    </row>
    <row r="1609" spans="27:31" ht="38.25">
      <c r="AA1609" s="240" t="str">
        <f t="shared" ref="AA1609:AA1656" si="34">INDEX($AB:$AE,ROW(),Language)</f>
        <v>HEAT AND MASS BALANCE OF A PREHEATER KILN</v>
      </c>
      <c r="AB1609" s="240" t="s">
        <v>2143</v>
      </c>
      <c r="AC1609" s="242" t="s">
        <v>2144</v>
      </c>
      <c r="AD1609" s="242" t="s">
        <v>2145</v>
      </c>
      <c r="AE1609" s="242" t="s">
        <v>2146</v>
      </c>
    </row>
    <row r="1610" spans="27:31">
      <c r="AA1610" s="240" t="str">
        <f t="shared" si="34"/>
        <v>HEAT OUTPUT</v>
      </c>
      <c r="AB1610" s="240" t="s">
        <v>2147</v>
      </c>
      <c r="AC1610" s="240" t="s">
        <v>2148</v>
      </c>
      <c r="AD1610" s="240" t="s">
        <v>2149</v>
      </c>
      <c r="AE1610" s="240" t="s">
        <v>2150</v>
      </c>
    </row>
    <row r="1611" spans="27:31" ht="25.5">
      <c r="AA1611" s="240" t="str">
        <f t="shared" si="34"/>
        <v>KILN SYSTEM HEAT BALANCE</v>
      </c>
      <c r="AB1611" s="240" t="s">
        <v>2151</v>
      </c>
      <c r="AC1611" s="240" t="s">
        <v>2152</v>
      </c>
      <c r="AD1611" s="240" t="s">
        <v>2153</v>
      </c>
      <c r="AE1611" s="240" t="s">
        <v>2154</v>
      </c>
    </row>
    <row r="1612" spans="27:31" ht="25.5">
      <c r="AA1612" s="240" t="str">
        <f t="shared" si="34"/>
        <v>HEAT BALANCE OF A</v>
      </c>
      <c r="AB1612" s="242" t="s">
        <v>2155</v>
      </c>
      <c r="AC1612" s="242" t="s">
        <v>2156</v>
      </c>
      <c r="AD1612" s="240" t="s">
        <v>2157</v>
      </c>
      <c r="AE1612" s="242" t="s">
        <v>2158</v>
      </c>
    </row>
    <row r="1613" spans="27:31">
      <c r="AA1613" s="240" t="str">
        <f t="shared" si="34"/>
        <v>heat balance over coal mill)</v>
      </c>
      <c r="AB1613" s="242" t="s">
        <v>2159</v>
      </c>
      <c r="AC1613" s="242" t="s">
        <v>2160</v>
      </c>
      <c r="AD1613" s="242" t="s">
        <v>2161</v>
      </c>
      <c r="AE1613" s="242" t="s">
        <v>2163</v>
      </c>
    </row>
    <row r="1614" spans="27:31" ht="25.5">
      <c r="AA1614" s="240" t="str">
        <f t="shared" si="34"/>
        <v>HEAT BALANCE CLINKER COOLER</v>
      </c>
      <c r="AB1614" s="242" t="s">
        <v>2164</v>
      </c>
      <c r="AC1614" s="242" t="s">
        <v>2165</v>
      </c>
      <c r="AD1614" s="243" t="s">
        <v>2166</v>
      </c>
      <c r="AE1614" s="242" t="s">
        <v>1354</v>
      </c>
    </row>
    <row r="1615" spans="27:31">
      <c r="AA1615" s="240" t="str">
        <f t="shared" si="34"/>
        <v>Heat input</v>
      </c>
      <c r="AB1615" s="240" t="s">
        <v>2167</v>
      </c>
      <c r="AC1615" s="243" t="s">
        <v>0</v>
      </c>
      <c r="AD1615" s="242" t="s">
        <v>1</v>
      </c>
      <c r="AE1615" s="242" t="s">
        <v>2</v>
      </c>
    </row>
    <row r="1616" spans="27:31">
      <c r="AA1616" s="240" t="str">
        <f t="shared" si="34"/>
        <v>HEAT INPUT</v>
      </c>
      <c r="AB1616" s="240" t="s">
        <v>3</v>
      </c>
      <c r="AC1616" s="243" t="s">
        <v>4</v>
      </c>
      <c r="AD1616" s="240" t="s">
        <v>5</v>
      </c>
      <c r="AE1616" s="240" t="s">
        <v>6</v>
      </c>
    </row>
    <row r="1617" spans="27:31" ht="25.5">
      <c r="AA1617" s="240" t="str">
        <f t="shared" si="34"/>
        <v>Heat input from hot clinker</v>
      </c>
      <c r="AB1617" s="240" t="s">
        <v>7</v>
      </c>
      <c r="AC1617" s="243" t="s">
        <v>8</v>
      </c>
      <c r="AD1617" s="240" t="s">
        <v>9</v>
      </c>
      <c r="AE1617" s="240" t="s">
        <v>10</v>
      </c>
    </row>
    <row r="1618" spans="27:31" ht="25.5">
      <c r="AA1618" s="240" t="str">
        <f t="shared" si="34"/>
        <v>Heat input from cooling air</v>
      </c>
      <c r="AB1618" s="240" t="s">
        <v>11</v>
      </c>
      <c r="AC1618" s="243" t="s">
        <v>12</v>
      </c>
      <c r="AD1618" s="243" t="s">
        <v>13</v>
      </c>
      <c r="AE1618" s="243" t="s">
        <v>14</v>
      </c>
    </row>
    <row r="1619" spans="27:31" ht="25.5">
      <c r="AA1619" s="240" t="str">
        <f t="shared" si="34"/>
        <v>Heat input from injected water</v>
      </c>
      <c r="AB1619" s="240" t="s">
        <v>15</v>
      </c>
      <c r="AC1619" s="243" t="s">
        <v>16</v>
      </c>
      <c r="AD1619" s="243" t="s">
        <v>16</v>
      </c>
      <c r="AE1619" s="243" t="s">
        <v>17</v>
      </c>
    </row>
    <row r="1620" spans="27:31" ht="25.5">
      <c r="AA1620" s="240" t="str">
        <f t="shared" si="34"/>
        <v>Heat input from primary air</v>
      </c>
      <c r="AB1620" s="240" t="s">
        <v>18</v>
      </c>
      <c r="AC1620" s="243" t="s">
        <v>19</v>
      </c>
      <c r="AD1620" s="243" t="s">
        <v>20</v>
      </c>
      <c r="AE1620" s="243" t="s">
        <v>21</v>
      </c>
    </row>
    <row r="1621" spans="27:31" ht="25.5">
      <c r="AA1621" s="240" t="str">
        <f t="shared" si="34"/>
        <v>Heat input from moisture content in raw meal</v>
      </c>
      <c r="AB1621" s="240" t="s">
        <v>22</v>
      </c>
      <c r="AC1621" s="243" t="s">
        <v>25</v>
      </c>
      <c r="AD1621" s="240" t="s">
        <v>26</v>
      </c>
      <c r="AE1621" s="240" t="s">
        <v>27</v>
      </c>
    </row>
    <row r="1622" spans="27:31" ht="25.5">
      <c r="AA1622" s="240" t="str">
        <f t="shared" si="34"/>
        <v>Heat input from combustible matter in kiln feed</v>
      </c>
      <c r="AB1622" s="240" t="s">
        <v>28</v>
      </c>
      <c r="AC1622" s="242" t="s">
        <v>30</v>
      </c>
      <c r="AD1622" s="242" t="s">
        <v>31</v>
      </c>
      <c r="AE1622" s="242" t="s">
        <v>32</v>
      </c>
    </row>
    <row r="1623" spans="27:31">
      <c r="AA1623" s="240" t="str">
        <f t="shared" si="34"/>
        <v>Heat input from</v>
      </c>
      <c r="AB1623" s="242" t="s">
        <v>33</v>
      </c>
      <c r="AC1623" s="242" t="s">
        <v>34</v>
      </c>
      <c r="AD1623" s="242" t="s">
        <v>35</v>
      </c>
      <c r="AE1623" s="242" t="s">
        <v>36</v>
      </c>
    </row>
    <row r="1624" spans="27:31" ht="25.5">
      <c r="AA1624" s="240" t="str">
        <f t="shared" si="34"/>
        <v>HEAT FROM CLINKER</v>
      </c>
      <c r="AB1624" s="240" t="s">
        <v>37</v>
      </c>
      <c r="AC1624" s="242" t="s">
        <v>38</v>
      </c>
      <c r="AD1624" s="240" t="s">
        <v>39</v>
      </c>
      <c r="AE1624" s="240" t="s">
        <v>40</v>
      </c>
    </row>
    <row r="1625" spans="27:31" ht="25.5">
      <c r="AA1625" s="240" t="str">
        <f t="shared" si="34"/>
        <v>Heat input via kiln feed</v>
      </c>
      <c r="AB1625" s="240" t="s">
        <v>41</v>
      </c>
      <c r="AC1625" s="243" t="s">
        <v>42</v>
      </c>
      <c r="AD1625" s="240" t="s">
        <v>43</v>
      </c>
      <c r="AE1625" s="240" t="s">
        <v>44</v>
      </c>
    </row>
    <row r="1626" spans="27:31">
      <c r="AA1626" s="240" t="str">
        <f t="shared" si="34"/>
        <v>Heat input raw meal dry</v>
      </c>
      <c r="AB1626" s="240" t="s">
        <v>48</v>
      </c>
      <c r="AC1626" s="243" t="s">
        <v>49</v>
      </c>
      <c r="AD1626" s="242" t="s">
        <v>50</v>
      </c>
      <c r="AE1626" s="242" t="s">
        <v>51</v>
      </c>
    </row>
    <row r="1627" spans="27:31">
      <c r="AA1627" s="240" t="str">
        <f t="shared" si="34"/>
        <v>Preheater tower</v>
      </c>
      <c r="AB1627" s="240" t="s">
        <v>52</v>
      </c>
      <c r="AC1627" s="243" t="s">
        <v>53</v>
      </c>
      <c r="AD1627" s="243" t="s">
        <v>54</v>
      </c>
      <c r="AE1627" s="243" t="s">
        <v>55</v>
      </c>
    </row>
    <row r="1628" spans="27:31" ht="25.5">
      <c r="AA1628" s="240" t="str">
        <f t="shared" si="34"/>
        <v>Preheater exhaust gas dust loss</v>
      </c>
      <c r="AB1628" s="240" t="s">
        <v>56</v>
      </c>
      <c r="AC1628" s="243" t="s">
        <v>57</v>
      </c>
      <c r="AD1628" s="243" t="s">
        <v>58</v>
      </c>
      <c r="AE1628" s="242" t="s">
        <v>59</v>
      </c>
    </row>
    <row r="1629" spans="27:31" ht="25.5">
      <c r="AA1629" s="240" t="str">
        <f t="shared" si="34"/>
        <v>Preheater tower incl. Calciner</v>
      </c>
      <c r="AB1629" s="240" t="s">
        <v>60</v>
      </c>
      <c r="AC1629" s="243" t="s">
        <v>61</v>
      </c>
      <c r="AD1629" s="242" t="s">
        <v>62</v>
      </c>
      <c r="AE1629" s="242" t="s">
        <v>63</v>
      </c>
    </row>
    <row r="1630" spans="27:31">
      <c r="AA1630" s="240" t="str">
        <f t="shared" si="34"/>
        <v>Water vapor</v>
      </c>
      <c r="AB1630" s="240" t="s">
        <v>64</v>
      </c>
      <c r="AC1630" s="243" t="s">
        <v>65</v>
      </c>
      <c r="AD1630" s="243" t="s">
        <v>66</v>
      </c>
      <c r="AE1630" s="243" t="s">
        <v>67</v>
      </c>
    </row>
    <row r="1631" spans="27:31" ht="25.5">
      <c r="AA1631" s="240" t="str">
        <f t="shared" si="34"/>
        <v>Heat output from kiln feed water evaporation</v>
      </c>
      <c r="AB1631" s="242" t="s">
        <v>68</v>
      </c>
      <c r="AC1631" s="242" t="s">
        <v>69</v>
      </c>
      <c r="AD1631" s="243" t="s">
        <v>73</v>
      </c>
      <c r="AE1631" s="242" t="s">
        <v>74</v>
      </c>
    </row>
    <row r="1632" spans="27:31">
      <c r="AA1632" s="240" t="str">
        <f t="shared" si="34"/>
        <v>Water evaporation</v>
      </c>
      <c r="AB1632" s="243" t="s">
        <v>75</v>
      </c>
      <c r="AC1632" s="243" t="s">
        <v>76</v>
      </c>
      <c r="AD1632" s="243" t="s">
        <v>77</v>
      </c>
      <c r="AE1632" s="243" t="s">
        <v>78</v>
      </c>
    </row>
    <row r="1633" spans="27:31" ht="25.5">
      <c r="AA1633" s="240" t="str">
        <f t="shared" si="34"/>
        <v>WATERINJECTION INTO COOLER</v>
      </c>
      <c r="AB1633" s="242" t="s">
        <v>79</v>
      </c>
      <c r="AC1633" s="242" t="s">
        <v>80</v>
      </c>
      <c r="AD1633" s="242" t="s">
        <v>81</v>
      </c>
      <c r="AE1633" s="242" t="s">
        <v>82</v>
      </c>
    </row>
    <row r="1634" spans="27:31" ht="25.5">
      <c r="AA1634" s="240" t="str">
        <f t="shared" si="34"/>
        <v>WATERINJECTION INTO PREHEATER</v>
      </c>
      <c r="AB1634" s="243" t="s">
        <v>303</v>
      </c>
      <c r="AC1634" s="243" t="s">
        <v>304</v>
      </c>
      <c r="AD1634" s="242" t="s">
        <v>305</v>
      </c>
      <c r="AE1634" s="242" t="s">
        <v>306</v>
      </c>
    </row>
    <row r="1635" spans="27:31" ht="38.25">
      <c r="AA1635" s="240" t="str">
        <f t="shared" si="34"/>
        <v>HEAT LOSS DUE TO INCOMPLETE COMBUSTION</v>
      </c>
      <c r="AB1635" s="243" t="s">
        <v>83</v>
      </c>
      <c r="AC1635" s="242" t="s">
        <v>84</v>
      </c>
      <c r="AD1635" s="242" t="s">
        <v>85</v>
      </c>
      <c r="AE1635" s="242" t="s">
        <v>86</v>
      </c>
    </row>
    <row r="1636" spans="27:31" ht="25.5">
      <c r="AA1636" s="240" t="str">
        <f t="shared" si="34"/>
        <v>Heat loss from CaO (non carbonatic) in bypass dust</v>
      </c>
      <c r="AB1636" s="243" t="s">
        <v>87</v>
      </c>
      <c r="AC1636" s="243" t="s">
        <v>88</v>
      </c>
      <c r="AD1636" s="242" t="s">
        <v>89</v>
      </c>
      <c r="AE1636" s="242" t="s">
        <v>90</v>
      </c>
    </row>
    <row r="1637" spans="27:31" ht="38.25">
      <c r="AA1637" s="240" t="str">
        <f t="shared" si="34"/>
        <v>HEAT OUTPUT FROM CaO (NON CARBONATIC) IN BYPASS DUST</v>
      </c>
      <c r="AB1637" s="243" t="s">
        <v>91</v>
      </c>
      <c r="AC1637" s="242" t="s">
        <v>92</v>
      </c>
      <c r="AD1637" s="242" t="s">
        <v>93</v>
      </c>
      <c r="AE1637" s="242" t="s">
        <v>94</v>
      </c>
    </row>
    <row r="1638" spans="27:31" ht="25.5">
      <c r="AA1638" s="240" t="str">
        <f t="shared" si="34"/>
        <v>HEAT LOSS FROM RADIATION &amp; CONVECTION</v>
      </c>
      <c r="AB1638" s="242" t="s">
        <v>95</v>
      </c>
      <c r="AC1638" s="243" t="s">
        <v>96</v>
      </c>
      <c r="AD1638" s="240" t="s">
        <v>97</v>
      </c>
      <c r="AE1638" s="242" t="s">
        <v>98</v>
      </c>
    </row>
    <row r="1639" spans="27:31" ht="25.5">
      <c r="AA1639" s="240" t="str">
        <f t="shared" si="34"/>
        <v>Heat loss from incomplete combustion</v>
      </c>
      <c r="AB1639" s="242" t="s">
        <v>99</v>
      </c>
      <c r="AC1639" s="243" t="s">
        <v>105</v>
      </c>
      <c r="AD1639" s="242" t="s">
        <v>106</v>
      </c>
      <c r="AE1639" s="242" t="s">
        <v>107</v>
      </c>
    </row>
    <row r="1640" spans="27:31">
      <c r="AA1640" s="240" t="str">
        <f t="shared" si="34"/>
        <v>Heat loss from radiation</v>
      </c>
      <c r="AB1640" s="242" t="s">
        <v>108</v>
      </c>
      <c r="AC1640" s="243" t="s">
        <v>109</v>
      </c>
      <c r="AD1640" s="243" t="s">
        <v>113</v>
      </c>
      <c r="AE1640" s="242" t="s">
        <v>114</v>
      </c>
    </row>
    <row r="1641" spans="27:31" ht="25.5">
      <c r="AA1641" s="240" t="str">
        <f t="shared" si="34"/>
        <v>Heat loss from water evaporation in cooler</v>
      </c>
      <c r="AB1641" s="243" t="s">
        <v>115</v>
      </c>
      <c r="AC1641" s="243" t="s">
        <v>134</v>
      </c>
      <c r="AD1641" s="243" t="s">
        <v>134</v>
      </c>
      <c r="AE1641" s="243" t="s">
        <v>135</v>
      </c>
    </row>
    <row r="1642" spans="27:31" ht="25.5">
      <c r="AA1642" s="240" t="str">
        <f t="shared" si="34"/>
        <v>Water vapor from coal mill (part of primary air)</v>
      </c>
      <c r="AB1642" s="240" t="s">
        <v>136</v>
      </c>
      <c r="AC1642" s="243" t="s">
        <v>137</v>
      </c>
      <c r="AD1642" s="240" t="s">
        <v>138</v>
      </c>
      <c r="AE1642" s="240" t="s">
        <v>139</v>
      </c>
    </row>
    <row r="1643" spans="27:31">
      <c r="AA1643" s="240" t="str">
        <f t="shared" si="34"/>
        <v>Water vapor flowrate</v>
      </c>
      <c r="AB1643" s="240" t="s">
        <v>140</v>
      </c>
      <c r="AC1643" s="243" t="s">
        <v>141</v>
      </c>
      <c r="AD1643" s="242" t="s">
        <v>142</v>
      </c>
      <c r="AE1643" s="240" t="s">
        <v>143</v>
      </c>
    </row>
    <row r="1644" spans="27:31">
      <c r="AA1644" s="240" t="str">
        <f t="shared" si="34"/>
        <v>Water vapor from cooler</v>
      </c>
      <c r="AB1644" s="240" t="s">
        <v>144</v>
      </c>
      <c r="AC1644" s="243" t="s">
        <v>145</v>
      </c>
      <c r="AD1644" s="243" t="s">
        <v>146</v>
      </c>
      <c r="AE1644" s="240" t="s">
        <v>147</v>
      </c>
    </row>
    <row r="1645" spans="27:31">
      <c r="AA1645" s="240" t="str">
        <f t="shared" si="34"/>
        <v>Water input</v>
      </c>
      <c r="AB1645" s="240" t="s">
        <v>148</v>
      </c>
      <c r="AC1645" s="243" t="s">
        <v>149</v>
      </c>
      <c r="AD1645" s="240" t="s">
        <v>150</v>
      </c>
      <c r="AE1645" s="240" t="s">
        <v>151</v>
      </c>
    </row>
    <row r="1646" spans="27:31">
      <c r="AA1646" s="240" t="str">
        <f t="shared" si="34"/>
        <v>Water input kiln</v>
      </c>
      <c r="AB1646" s="242" t="s">
        <v>152</v>
      </c>
      <c r="AC1646" s="242" t="s">
        <v>153</v>
      </c>
      <c r="AD1646" s="242" t="s">
        <v>154</v>
      </c>
      <c r="AE1646" s="242" t="s">
        <v>155</v>
      </c>
    </row>
    <row r="1647" spans="27:31">
      <c r="AA1647" s="240" t="str">
        <f t="shared" si="34"/>
        <v>Water input calciner</v>
      </c>
      <c r="AB1647" s="242" t="s">
        <v>156</v>
      </c>
      <c r="AC1647" s="242" t="s">
        <v>157</v>
      </c>
      <c r="AD1647" s="242" t="s">
        <v>158</v>
      </c>
      <c r="AE1647" s="242" t="s">
        <v>159</v>
      </c>
    </row>
    <row r="1648" spans="27:31">
      <c r="AA1648" s="240" t="str">
        <f t="shared" si="34"/>
        <v>Water injection into cooler</v>
      </c>
      <c r="AB1648" s="242" t="s">
        <v>160</v>
      </c>
      <c r="AC1648" s="242" t="s">
        <v>161</v>
      </c>
      <c r="AD1648" s="242" t="s">
        <v>162</v>
      </c>
      <c r="AE1648" s="242" t="s">
        <v>163</v>
      </c>
    </row>
    <row r="1649" spans="20:31">
      <c r="AA1649" s="240" t="str">
        <f t="shared" si="34"/>
        <v>WATER EVAPORATION</v>
      </c>
      <c r="AB1649" s="240" t="s">
        <v>164</v>
      </c>
      <c r="AC1649" s="243" t="s">
        <v>165</v>
      </c>
      <c r="AD1649" s="240" t="s">
        <v>166</v>
      </c>
      <c r="AE1649" s="240" t="s">
        <v>167</v>
      </c>
    </row>
    <row r="1650" spans="20:31">
      <c r="AA1650" s="240" t="str">
        <f t="shared" si="34"/>
        <v>OTHER HEAT OUTPUT</v>
      </c>
      <c r="AB1650" s="240" t="s">
        <v>168</v>
      </c>
      <c r="AC1650" s="243" t="s">
        <v>169</v>
      </c>
      <c r="AD1650" s="240" t="s">
        <v>170</v>
      </c>
      <c r="AE1650" s="243" t="s">
        <v>171</v>
      </c>
    </row>
    <row r="1651" spans="20:31">
      <c r="AA1651" s="240" t="str">
        <f t="shared" si="34"/>
        <v>Other heat output</v>
      </c>
      <c r="AB1651" s="240" t="s">
        <v>172</v>
      </c>
      <c r="AC1651" s="243" t="s">
        <v>173</v>
      </c>
      <c r="AD1651" s="240" t="s">
        <v>174</v>
      </c>
      <c r="AE1651" s="243" t="s">
        <v>175</v>
      </c>
    </row>
    <row r="1652" spans="20:31">
      <c r="AA1652" s="240" t="str">
        <f t="shared" si="34"/>
        <v>OTHER HEAT INPUT</v>
      </c>
      <c r="AB1652" s="240" t="s">
        <v>176</v>
      </c>
      <c r="AC1652" s="243" t="s">
        <v>177</v>
      </c>
      <c r="AD1652" s="240" t="s">
        <v>178</v>
      </c>
      <c r="AE1652" s="242" t="s">
        <v>179</v>
      </c>
    </row>
    <row r="1653" spans="20:31">
      <c r="AA1653" s="240" t="str">
        <f t="shared" si="34"/>
        <v>Other heat input</v>
      </c>
      <c r="AB1653" s="240" t="s">
        <v>180</v>
      </c>
      <c r="AC1653" s="243" t="s">
        <v>181</v>
      </c>
      <c r="AD1653" s="242" t="s">
        <v>182</v>
      </c>
      <c r="AE1653" s="243" t="s">
        <v>183</v>
      </c>
    </row>
    <row r="1654" spans="20:31">
      <c r="AA1654" s="240" t="str">
        <f t="shared" si="34"/>
        <v>Plant</v>
      </c>
      <c r="AB1654" s="240" t="s">
        <v>184</v>
      </c>
      <c r="AC1654" s="240" t="s">
        <v>185</v>
      </c>
      <c r="AD1654" s="240" t="s">
        <v>186</v>
      </c>
      <c r="AE1654" s="240" t="s">
        <v>187</v>
      </c>
    </row>
    <row r="1655" spans="20:31" ht="25.5">
      <c r="AA1655" s="240" t="str">
        <f t="shared" si="34"/>
        <v>Water injection into preheater tower</v>
      </c>
      <c r="AB1655" t="s">
        <v>1095</v>
      </c>
      <c r="AC1655" s="240" t="s">
        <v>1902</v>
      </c>
      <c r="AD1655" s="242" t="s">
        <v>1904</v>
      </c>
      <c r="AE1655" s="242" t="s">
        <v>1906</v>
      </c>
    </row>
    <row r="1656" spans="20:31" ht="25.5">
      <c r="T1656"/>
      <c r="AA1656" s="240" t="str">
        <f t="shared" si="34"/>
        <v>Heat comsumption for water evaporation</v>
      </c>
      <c r="AB1656" t="s">
        <v>1096</v>
      </c>
      <c r="AC1656" s="240" t="s">
        <v>1903</v>
      </c>
      <c r="AD1656" s="240" t="s">
        <v>1905</v>
      </c>
      <c r="AE1656" s="240" t="s">
        <v>1907</v>
      </c>
    </row>
    <row r="1657" spans="20:31">
      <c r="T1657"/>
      <c r="AA1657" s="240"/>
      <c r="AB1657" s="241" t="s">
        <v>188</v>
      </c>
      <c r="AC1657" s="240"/>
      <c r="AD1657" s="240"/>
      <c r="AE1657" s="240"/>
    </row>
    <row r="1658" spans="20:31">
      <c r="AA1658" s="240"/>
      <c r="AB1658" s="241" t="s">
        <v>189</v>
      </c>
      <c r="AC1658" s="240"/>
      <c r="AD1658" s="240"/>
      <c r="AE1658" s="240"/>
    </row>
    <row r="1659" spans="20:31">
      <c r="AA1659" s="240"/>
      <c r="AB1659" s="241" t="s">
        <v>190</v>
      </c>
      <c r="AC1659" s="240"/>
      <c r="AD1659" s="240"/>
      <c r="AE1659" s="240"/>
    </row>
    <row r="1660" spans="20:31">
      <c r="AA1660" s="240" t="str">
        <f t="shared" ref="AA1660:AA1667" si="35">INDEX($AB:$AE,ROW(),Language)</f>
        <v>COUNTER READING</v>
      </c>
      <c r="AB1660" s="240" t="s">
        <v>191</v>
      </c>
      <c r="AC1660" s="240" t="s">
        <v>192</v>
      </c>
      <c r="AD1660" s="240" t="s">
        <v>193</v>
      </c>
      <c r="AE1660" s="240" t="s">
        <v>194</v>
      </c>
    </row>
    <row r="1661" spans="20:31">
      <c r="AA1661" s="240" t="str">
        <f t="shared" si="35"/>
        <v>Reading</v>
      </c>
      <c r="AB1661" s="240" t="s">
        <v>195</v>
      </c>
      <c r="AC1661" s="240" t="s">
        <v>196</v>
      </c>
      <c r="AD1661" s="240" t="s">
        <v>197</v>
      </c>
      <c r="AE1661" s="240" t="s">
        <v>198</v>
      </c>
    </row>
    <row r="1662" spans="20:31">
      <c r="AA1662" s="240" t="str">
        <f t="shared" si="35"/>
        <v>Time</v>
      </c>
      <c r="AB1662" s="240" t="s">
        <v>199</v>
      </c>
      <c r="AC1662" s="240" t="s">
        <v>200</v>
      </c>
      <c r="AD1662" s="240" t="s">
        <v>201</v>
      </c>
      <c r="AE1662" s="240" t="s">
        <v>202</v>
      </c>
    </row>
    <row r="1663" spans="20:31">
      <c r="AA1663" s="240" t="str">
        <f t="shared" si="35"/>
        <v>SUMMARIES</v>
      </c>
      <c r="AB1663" s="240" t="s">
        <v>203</v>
      </c>
      <c r="AC1663" s="240" t="s">
        <v>204</v>
      </c>
      <c r="AD1663" s="240" t="s">
        <v>205</v>
      </c>
      <c r="AE1663" s="240" t="s">
        <v>206</v>
      </c>
    </row>
    <row r="1664" spans="20:31" ht="38.25">
      <c r="AA1664" s="240" t="str">
        <f t="shared" si="35"/>
        <v>SUMMARY MASS BALANCE</v>
      </c>
      <c r="AB1664" s="240" t="s">
        <v>207</v>
      </c>
      <c r="AC1664" s="240" t="s">
        <v>208</v>
      </c>
      <c r="AD1664" s="242" t="s">
        <v>209</v>
      </c>
      <c r="AE1664" s="242" t="s">
        <v>210</v>
      </c>
    </row>
    <row r="1665" spans="27:31" ht="25.5">
      <c r="AA1665" s="240" t="str">
        <f t="shared" si="35"/>
        <v>SUMMARY COOLER HEAT BALANCE</v>
      </c>
      <c r="AB1665" s="240" t="s">
        <v>211</v>
      </c>
      <c r="AC1665" s="240" t="s">
        <v>212</v>
      </c>
      <c r="AD1665" s="240" t="s">
        <v>213</v>
      </c>
      <c r="AE1665" s="242" t="s">
        <v>214</v>
      </c>
    </row>
    <row r="1666" spans="27:31" ht="25.5">
      <c r="AA1666" s="240" t="str">
        <f t="shared" si="35"/>
        <v>SUMMARY KILN HEAT BALANCE</v>
      </c>
      <c r="AB1666" s="242" t="s">
        <v>411</v>
      </c>
      <c r="AC1666" s="242" t="s">
        <v>215</v>
      </c>
      <c r="AD1666" s="242" t="s">
        <v>216</v>
      </c>
      <c r="AE1666" s="242" t="s">
        <v>217</v>
      </c>
    </row>
    <row r="1667" spans="27:31">
      <c r="AA1667" s="240" t="str">
        <f t="shared" si="35"/>
        <v>PREHEATER KILN</v>
      </c>
      <c r="AB1667" s="240" t="s">
        <v>218</v>
      </c>
      <c r="AC1667" s="240" t="s">
        <v>219</v>
      </c>
      <c r="AD1667" s="240" t="s">
        <v>220</v>
      </c>
      <c r="AE1667" s="240" t="s">
        <v>221</v>
      </c>
    </row>
    <row r="1668" spans="27:31">
      <c r="AA1668" s="240"/>
      <c r="AB1668" s="240"/>
      <c r="AC1668" s="240"/>
      <c r="AD1668" s="240"/>
      <c r="AE1668" s="240"/>
    </row>
    <row r="1669" spans="27:31">
      <c r="AA1669" s="240"/>
      <c r="AB1669" s="240"/>
      <c r="AC1669" s="240"/>
      <c r="AD1669" s="240"/>
      <c r="AE1669" s="240"/>
    </row>
    <row r="1670" spans="27:31">
      <c r="AA1670" s="240" t="str">
        <f t="shared" ref="AA1670:AA1691" si="36">INDEX($AB:$AE,ROW(),Language)</f>
        <v xml:space="preserve"> </v>
      </c>
      <c r="AB1670" s="240" t="s">
        <v>1444</v>
      </c>
      <c r="AC1670" s="240" t="s">
        <v>1444</v>
      </c>
      <c r="AD1670" s="240" t="s">
        <v>222</v>
      </c>
      <c r="AE1670" s="240" t="s">
        <v>223</v>
      </c>
    </row>
    <row r="1671" spans="27:31">
      <c r="AA1671" s="240" t="str">
        <f t="shared" si="36"/>
        <v>*) Remarks</v>
      </c>
      <c r="AB1671" s="240" t="s">
        <v>224</v>
      </c>
      <c r="AC1671" s="240" t="s">
        <v>229</v>
      </c>
      <c r="AD1671" s="240" t="s">
        <v>230</v>
      </c>
      <c r="AE1671" s="240" t="s">
        <v>231</v>
      </c>
    </row>
    <row r="1672" spans="27:31" ht="25.5">
      <c r="AA1672" s="240" t="str">
        <f t="shared" si="36"/>
        <v>*) Dry kiln feed divided by the clinker production</v>
      </c>
      <c r="AB1672" s="242" t="s">
        <v>232</v>
      </c>
      <c r="AC1672" s="240" t="s">
        <v>233</v>
      </c>
      <c r="AD1672" s="240" t="s">
        <v>234</v>
      </c>
      <c r="AE1672" s="240" t="s">
        <v>235</v>
      </c>
    </row>
    <row r="1673" spans="27:31">
      <c r="AA1673" s="240" t="str">
        <f t="shared" si="36"/>
        <v xml:space="preserve"> </v>
      </c>
      <c r="AB1673" s="241" t="s">
        <v>1444</v>
      </c>
      <c r="AC1673" s="240" t="s">
        <v>1444</v>
      </c>
      <c r="AD1673" s="240" t="s">
        <v>1444</v>
      </c>
      <c r="AE1673" s="240" t="s">
        <v>236</v>
      </c>
    </row>
    <row r="1674" spans="27:31">
      <c r="AA1674" s="240" t="str">
        <f t="shared" si="36"/>
        <v xml:space="preserve"> </v>
      </c>
      <c r="AB1674" s="240" t="s">
        <v>1444</v>
      </c>
      <c r="AC1674" s="240" t="s">
        <v>1444</v>
      </c>
      <c r="AD1674" s="240" t="s">
        <v>237</v>
      </c>
      <c r="AE1674" s="242" t="s">
        <v>238</v>
      </c>
    </row>
    <row r="1675" spans="27:31">
      <c r="AA1675" s="240" t="str">
        <f t="shared" si="36"/>
        <v xml:space="preserve"> % of kiln gases</v>
      </c>
      <c r="AB1675" s="242" t="s">
        <v>239</v>
      </c>
      <c r="AC1675" s="242" t="s">
        <v>240</v>
      </c>
      <c r="AD1675" s="242" t="s">
        <v>241</v>
      </c>
      <c r="AE1675" s="242" t="s">
        <v>242</v>
      </c>
    </row>
    <row r="1676" spans="27:31" ht="25.5">
      <c r="AA1676" s="240" t="str">
        <f t="shared" si="36"/>
        <v xml:space="preserve"> % of minimum combustion air primary firing</v>
      </c>
      <c r="AB1676" s="240" t="s">
        <v>243</v>
      </c>
      <c r="AC1676" s="240" t="s">
        <v>244</v>
      </c>
      <c r="AD1676" s="242" t="s">
        <v>245</v>
      </c>
      <c r="AE1676" s="240" t="s">
        <v>246</v>
      </c>
    </row>
    <row r="1677" spans="27:31">
      <c r="AA1677" s="240" t="str">
        <f t="shared" si="36"/>
        <v>% O2 dry</v>
      </c>
      <c r="AB1677" s="240" t="s">
        <v>247</v>
      </c>
      <c r="AC1677" s="240" t="s">
        <v>248</v>
      </c>
      <c r="AD1677" s="243" t="s">
        <v>249</v>
      </c>
      <c r="AE1677" s="240" t="s">
        <v>250</v>
      </c>
    </row>
    <row r="1678" spans="27:31">
      <c r="AA1678" s="240" t="str">
        <f t="shared" si="36"/>
        <v>%</v>
      </c>
      <c r="AB1678" s="243" t="s">
        <v>423</v>
      </c>
      <c r="AC1678" s="240" t="s">
        <v>423</v>
      </c>
      <c r="AD1678" s="243" t="s">
        <v>423</v>
      </c>
      <c r="AE1678" s="242" t="s">
        <v>423</v>
      </c>
    </row>
    <row r="1679" spans="27:31">
      <c r="AA1679" s="240" t="str">
        <f t="shared" si="36"/>
        <v>Excess air</v>
      </c>
      <c r="AB1679" s="240" t="s">
        <v>251</v>
      </c>
      <c r="AC1679" s="240" t="s">
        <v>252</v>
      </c>
      <c r="AD1679" s="240" t="s">
        <v>253</v>
      </c>
      <c r="AE1679" s="242" t="s">
        <v>254</v>
      </c>
    </row>
    <row r="1680" spans="27:31" ht="25.5">
      <c r="AA1680" s="240" t="str">
        <f t="shared" si="36"/>
        <v>Excess and false air (dry)</v>
      </c>
      <c r="AB1680" s="242" t="s">
        <v>255</v>
      </c>
      <c r="AC1680" s="242" t="s">
        <v>256</v>
      </c>
      <c r="AD1680" s="242" t="s">
        <v>257</v>
      </c>
      <c r="AE1680" s="242" t="s">
        <v>259</v>
      </c>
    </row>
    <row r="1681" spans="27:31">
      <c r="AA1681" s="240" t="str">
        <f t="shared" si="36"/>
        <v>0=none</v>
      </c>
      <c r="AB1681" s="242" t="s">
        <v>260</v>
      </c>
      <c r="AC1681" s="240" t="s">
        <v>261</v>
      </c>
      <c r="AD1681" s="240" t="s">
        <v>262</v>
      </c>
      <c r="AE1681" s="240" t="s">
        <v>263</v>
      </c>
    </row>
    <row r="1682" spans="27:31">
      <c r="AA1682" s="240" t="str">
        <f t="shared" si="36"/>
        <v>1=secondary firing</v>
      </c>
      <c r="AB1682" s="242" t="s">
        <v>264</v>
      </c>
      <c r="AC1682" s="242" t="s">
        <v>265</v>
      </c>
      <c r="AD1682" s="242" t="s">
        <v>266</v>
      </c>
      <c r="AE1682" s="242" t="s">
        <v>267</v>
      </c>
    </row>
    <row r="1683" spans="27:31" ht="26.25" customHeight="1">
      <c r="AA1683" s="240" t="str">
        <f t="shared" si="36"/>
        <v>2=in-line calciner (air through)</v>
      </c>
      <c r="AB1683" s="242" t="s">
        <v>268</v>
      </c>
      <c r="AC1683" s="242" t="s">
        <v>269</v>
      </c>
      <c r="AD1683" s="242" t="s">
        <v>270</v>
      </c>
      <c r="AE1683" s="242" t="s">
        <v>271</v>
      </c>
    </row>
    <row r="1684" spans="27:31" ht="25.5">
      <c r="AA1684" s="240" t="str">
        <f t="shared" si="36"/>
        <v>3=in-line calciner (air separate)</v>
      </c>
      <c r="AB1684" s="242" t="s">
        <v>272</v>
      </c>
      <c r="AC1684" s="242" t="s">
        <v>273</v>
      </c>
      <c r="AD1684" s="242" t="s">
        <v>274</v>
      </c>
      <c r="AE1684" s="242" t="s">
        <v>275</v>
      </c>
    </row>
    <row r="1685" spans="27:31">
      <c r="AA1685" s="240" t="str">
        <f t="shared" si="36"/>
        <v>4=off-line calciner</v>
      </c>
      <c r="AB1685" s="242" t="s">
        <v>276</v>
      </c>
      <c r="AC1685" s="242" t="s">
        <v>277</v>
      </c>
      <c r="AD1685" s="242" t="s">
        <v>278</v>
      </c>
      <c r="AE1685" s="242" t="s">
        <v>279</v>
      </c>
    </row>
    <row r="1686" spans="27:31">
      <c r="AA1686" s="240" t="str">
        <f t="shared" si="36"/>
        <v>5=separate line calciner</v>
      </c>
      <c r="AB1686" s="242" t="s">
        <v>280</v>
      </c>
      <c r="AC1686" s="242" t="s">
        <v>281</v>
      </c>
      <c r="AD1686" s="242" t="s">
        <v>282</v>
      </c>
      <c r="AE1686" s="242" t="s">
        <v>283</v>
      </c>
    </row>
    <row r="1687" spans="27:31" ht="25.5">
      <c r="AA1687" s="240" t="str">
        <f t="shared" si="36"/>
        <v>Grate preheater kiln (Lepol)</v>
      </c>
      <c r="AB1687" s="242" t="s">
        <v>284</v>
      </c>
      <c r="AC1687" s="242" t="s">
        <v>285</v>
      </c>
      <c r="AD1687" s="242" t="s">
        <v>286</v>
      </c>
      <c r="AE1687" s="242" t="s">
        <v>287</v>
      </c>
    </row>
    <row r="1688" spans="27:31">
      <c r="AA1688" s="240" t="str">
        <f t="shared" si="36"/>
        <v>1 = grate cooler</v>
      </c>
      <c r="AB1688" s="242" t="s">
        <v>290</v>
      </c>
      <c r="AC1688" s="242" t="s">
        <v>291</v>
      </c>
      <c r="AD1688" s="242" t="s">
        <v>291</v>
      </c>
      <c r="AE1688" s="242" t="s">
        <v>292</v>
      </c>
    </row>
    <row r="1689" spans="27:31">
      <c r="AA1689" s="240" t="str">
        <f t="shared" si="36"/>
        <v>2 = planetary cooler</v>
      </c>
      <c r="AB1689" s="242" t="s">
        <v>293</v>
      </c>
      <c r="AC1689" s="242" t="s">
        <v>294</v>
      </c>
      <c r="AD1689" s="242" t="s">
        <v>294</v>
      </c>
      <c r="AE1689" s="242" t="s">
        <v>295</v>
      </c>
    </row>
    <row r="1690" spans="27:31">
      <c r="AA1690" s="240" t="str">
        <f t="shared" si="36"/>
        <v>0 = no</v>
      </c>
      <c r="AB1690" t="s">
        <v>296</v>
      </c>
      <c r="AC1690" s="243" t="s">
        <v>297</v>
      </c>
      <c r="AD1690" s="243" t="s">
        <v>297</v>
      </c>
      <c r="AE1690" s="243" t="s">
        <v>297</v>
      </c>
    </row>
    <row r="1691" spans="27:31">
      <c r="AA1691" s="240" t="str">
        <f t="shared" si="36"/>
        <v>1 = yes</v>
      </c>
      <c r="AB1691" t="s">
        <v>298</v>
      </c>
      <c r="AC1691" s="243" t="s">
        <v>299</v>
      </c>
      <c r="AD1691" s="243" t="s">
        <v>300</v>
      </c>
      <c r="AE1691" s="243" t="s">
        <v>301</v>
      </c>
    </row>
  </sheetData>
  <dataConsolidate/>
  <phoneticPr fontId="34" type="noConversion"/>
  <printOptions horizontalCentered="1"/>
  <pageMargins left="0.51181102362204722" right="0.31496062992125984" top="0.31496062992125984" bottom="0.31496062992125984" header="0.51181102362204722" footer="0.31496062992125984"/>
  <pageSetup paperSize="9" scale="80" orientation="portrait" r:id="rId1"/>
  <headerFooter alignWithMargins="0"/>
  <rowBreaks count="16" manualBreakCount="16">
    <brk id="105" max="10" man="1"/>
    <brk id="177" max="10" man="1"/>
    <brk id="243" max="10" man="1"/>
    <brk id="310" max="10" man="1"/>
    <brk id="386" max="10" man="1"/>
    <brk id="464" max="10" man="1"/>
    <brk id="515" min="1" max="10" man="1"/>
    <brk id="564" min="1" max="10" man="1"/>
    <brk id="621" max="10" man="1"/>
    <brk id="685" max="16383" man="1"/>
    <brk id="744" max="16383" man="1"/>
    <brk id="800" max="16383" man="1"/>
    <brk id="880" max="16383" man="1"/>
    <brk id="911" max="16383" man="1"/>
    <brk id="998" max="16383" man="1"/>
    <brk id="109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11" r:id="rId4" name="Drop Down 587">
              <controlPr defaultSize="0" autoFill="0" autoLine="0" autoPict="0">
                <anchor moveWithCells="1">
                  <from>
                    <xdr:col>3</xdr:col>
                    <xdr:colOff>390525</xdr:colOff>
                    <xdr:row>16</xdr:row>
                    <xdr:rowOff>133350</xdr:rowOff>
                  </from>
                  <to>
                    <xdr:col>5</xdr:col>
                    <xdr:colOff>95250</xdr:colOff>
                    <xdr:row>18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P125"/>
  <sheetViews>
    <sheetView zoomScaleNormal="100" workbookViewId="0"/>
  </sheetViews>
  <sheetFormatPr defaultRowHeight="12.75"/>
  <cols>
    <col min="2" max="2" width="16.83203125" customWidth="1"/>
    <col min="3" max="4" width="13.83203125" customWidth="1"/>
    <col min="5" max="5" width="5" customWidth="1"/>
    <col min="6" max="6" width="16.33203125" customWidth="1"/>
    <col min="7" max="7" width="18.5" customWidth="1"/>
    <col min="8" max="8" width="19.33203125" customWidth="1"/>
    <col min="9" max="10" width="13.83203125" customWidth="1"/>
    <col min="11" max="11" width="15.83203125" customWidth="1"/>
    <col min="12" max="12" width="12" customWidth="1"/>
    <col min="13" max="14" width="13.83203125" customWidth="1"/>
  </cols>
  <sheetData>
    <row r="1" spans="1:16" ht="13.5" thickBot="1">
      <c r="A1" s="1161"/>
      <c r="B1" s="1161"/>
      <c r="C1" s="1161"/>
      <c r="D1" s="1161"/>
      <c r="E1" s="1161"/>
      <c r="F1" s="1161"/>
      <c r="G1" s="1161"/>
      <c r="H1" s="1161"/>
    </row>
    <row r="2" spans="1:16" ht="12.75" customHeight="1">
      <c r="A2" s="1161"/>
      <c r="B2" s="1328"/>
      <c r="C2" s="1329"/>
      <c r="D2" s="1334" t="s">
        <v>2198</v>
      </c>
      <c r="E2" s="1335"/>
      <c r="F2" s="1335"/>
      <c r="G2" s="1335"/>
      <c r="H2" s="1335"/>
      <c r="I2" s="1336"/>
      <c r="J2" s="1199" t="s">
        <v>2192</v>
      </c>
      <c r="K2" s="1162" t="s">
        <v>886</v>
      </c>
      <c r="L2" s="1322" t="s">
        <v>2193</v>
      </c>
      <c r="M2" s="1323"/>
      <c r="P2" t="s">
        <v>2239</v>
      </c>
    </row>
    <row r="3" spans="1:16" ht="25.5" customHeight="1">
      <c r="A3" s="1161"/>
      <c r="B3" s="1178"/>
      <c r="C3" s="1179"/>
      <c r="D3" s="1337"/>
      <c r="E3" s="1338"/>
      <c r="F3" s="1338"/>
      <c r="G3" s="1338"/>
      <c r="H3" s="1338"/>
      <c r="I3" s="1339"/>
      <c r="J3" s="1308">
        <f ca="1">TODAY()</f>
        <v>41218</v>
      </c>
      <c r="K3" s="1198">
        <f>IF(DATE1="","",DATE1)</f>
        <v>41219</v>
      </c>
      <c r="L3" s="1324" t="str">
        <f>IF(HBL!I29="","",HBL!I29)</f>
        <v>PPE</v>
      </c>
      <c r="M3" s="1325"/>
    </row>
    <row r="4" spans="1:16" ht="12.75" customHeight="1">
      <c r="A4" s="1161"/>
      <c r="B4" s="1330" t="s">
        <v>2194</v>
      </c>
      <c r="C4" s="1331"/>
      <c r="D4" s="1340" t="str">
        <f>IF(HBL!D29="","",HBL!D29&amp;" Line "&amp;HBL!D30)</f>
        <v>Meadows Line 1</v>
      </c>
      <c r="E4" s="1341"/>
      <c r="F4" s="1341"/>
      <c r="G4" s="1341"/>
      <c r="H4" s="1341"/>
      <c r="I4" s="1342"/>
      <c r="J4" s="1320" t="s">
        <v>2195</v>
      </c>
      <c r="K4" s="1321"/>
      <c r="L4" s="1163"/>
      <c r="M4" s="1168" t="str">
        <f>+HBL!F22</f>
        <v>16.7.2012</v>
      </c>
    </row>
    <row r="5" spans="1:16" ht="16.5" customHeight="1" thickBot="1">
      <c r="A5" s="1161"/>
      <c r="B5" s="1332" t="s">
        <v>2196</v>
      </c>
      <c r="C5" s="1333"/>
      <c r="D5" s="1343"/>
      <c r="E5" s="1344"/>
      <c r="F5" s="1344"/>
      <c r="G5" s="1344"/>
      <c r="H5" s="1344"/>
      <c r="I5" s="1345"/>
      <c r="J5" s="1164" t="s">
        <v>2197</v>
      </c>
      <c r="K5" s="1165"/>
      <c r="L5" s="1165"/>
      <c r="M5" s="1166" t="str">
        <f ca="1">MID(CELL("filename"),SEARCH("[",CELL("filename"))+1, SEARCH("]",CELL("filename"))-SEARCH("[",CELL("filename"))-1)</f>
        <v>Meadows_HeatBalance_TASK_2012.xlsx</v>
      </c>
    </row>
    <row r="6" spans="1:16">
      <c r="A6" s="1161"/>
      <c r="B6" s="1161"/>
      <c r="C6" s="1161"/>
      <c r="D6" s="1161"/>
      <c r="E6" s="1161"/>
      <c r="F6" s="1161"/>
      <c r="G6" s="1167"/>
      <c r="H6" s="1161"/>
    </row>
    <row r="8" spans="1:16">
      <c r="B8" s="442" t="s">
        <v>2217</v>
      </c>
      <c r="C8" s="1172" t="s">
        <v>2205</v>
      </c>
      <c r="D8" s="1172" t="s">
        <v>2206</v>
      </c>
      <c r="G8" s="1172" t="s">
        <v>2205</v>
      </c>
      <c r="H8" s="1172" t="s">
        <v>2206</v>
      </c>
      <c r="K8" s="442" t="s">
        <v>2208</v>
      </c>
      <c r="L8" s="1172" t="s">
        <v>2205</v>
      </c>
      <c r="M8" s="1172" t="s">
        <v>2206</v>
      </c>
    </row>
    <row r="9" spans="1:16" ht="15">
      <c r="B9" s="1173" t="s">
        <v>1343</v>
      </c>
      <c r="C9" s="1204">
        <f>+HBL!I615</f>
        <v>20</v>
      </c>
      <c r="D9" s="1171"/>
      <c r="F9" s="1173" t="s">
        <v>2215</v>
      </c>
      <c r="G9" s="1204" t="str">
        <f>+M_FEED&amp;" t/h"</f>
        <v>265 t/h</v>
      </c>
      <c r="H9" s="1171"/>
      <c r="K9" s="546" t="s">
        <v>2236</v>
      </c>
      <c r="L9" s="1204" t="str">
        <f>+O2_EXHAUST&amp;" %"</f>
        <v>3 %</v>
      </c>
      <c r="M9" s="1171"/>
    </row>
    <row r="10" spans="1:16" ht="15">
      <c r="B10" s="1173" t="s">
        <v>2216</v>
      </c>
      <c r="C10" s="1204">
        <f>+HBL!I614</f>
        <v>168</v>
      </c>
      <c r="D10" s="1171"/>
      <c r="F10" s="1173" t="s">
        <v>2214</v>
      </c>
      <c r="G10" s="1204" t="e">
        <f>ROUND(HBL!D100,1)&amp;" %"</f>
        <v>#VALUE!</v>
      </c>
      <c r="H10" s="1171"/>
      <c r="K10" s="546" t="s">
        <v>2235</v>
      </c>
      <c r="L10" s="1204" t="str">
        <f>+CO_EXHAUST&amp;" ppm"</f>
        <v>700 ppm</v>
      </c>
      <c r="M10" s="1171"/>
    </row>
    <row r="11" spans="1:16" ht="15">
      <c r="B11" s="1173" t="s">
        <v>1986</v>
      </c>
      <c r="C11" s="1204">
        <f>+HBL!I616</f>
        <v>27</v>
      </c>
      <c r="D11" s="1171"/>
      <c r="K11" s="546" t="s">
        <v>2234</v>
      </c>
      <c r="L11" s="1204" t="str">
        <f>+T_EXHAUST &amp;" °C"</f>
        <v>340 °C</v>
      </c>
      <c r="M11" s="1171"/>
    </row>
    <row r="12" spans="1:16" ht="15">
      <c r="B12" s="1173" t="s">
        <v>1097</v>
      </c>
      <c r="C12" s="1204">
        <f>+HBL!I613</f>
        <v>241</v>
      </c>
      <c r="D12" s="1171"/>
      <c r="G12" s="1172" t="s">
        <v>2205</v>
      </c>
      <c r="H12" s="1172" t="s">
        <v>2206</v>
      </c>
      <c r="K12" s="1173" t="s">
        <v>2218</v>
      </c>
      <c r="L12" s="1206">
        <f>+ROUND(HBL!F599,2)</f>
        <v>1.44</v>
      </c>
      <c r="M12" s="1171"/>
    </row>
    <row r="13" spans="1:16" ht="15">
      <c r="C13" s="1205" t="s">
        <v>442</v>
      </c>
      <c r="F13" s="546" t="s">
        <v>2200</v>
      </c>
      <c r="G13" s="1209" t="str">
        <f>ROUND(HBL!D530,0)&amp;" kJ/kg cli"</f>
        <v>3350 kJ/kg cli</v>
      </c>
      <c r="H13" s="1171"/>
    </row>
    <row r="14" spans="1:16" ht="15">
      <c r="C14" s="1205"/>
      <c r="F14" s="546" t="s">
        <v>2201</v>
      </c>
      <c r="G14" s="1204">
        <f>ROUND(HBL!F417,1)</f>
        <v>0</v>
      </c>
      <c r="H14" s="1171"/>
    </row>
    <row r="15" spans="1:16" ht="15">
      <c r="B15" s="442" t="s">
        <v>1364</v>
      </c>
      <c r="C15" s="1172" t="s">
        <v>2205</v>
      </c>
      <c r="D15" s="1172" t="s">
        <v>2206</v>
      </c>
      <c r="F15" s="546" t="s">
        <v>2202</v>
      </c>
      <c r="G15" s="1204">
        <f>ROUND(QP_BZ,1)</f>
        <v>40</v>
      </c>
      <c r="H15" s="1171"/>
    </row>
    <row r="16" spans="1:16" ht="15">
      <c r="B16" s="546" t="s">
        <v>2210</v>
      </c>
      <c r="C16" s="1206" t="str">
        <f>+HBL!F605</f>
        <v/>
      </c>
      <c r="D16" s="1171"/>
      <c r="F16" s="546" t="s">
        <v>2203</v>
      </c>
      <c r="G16" s="1204" t="str">
        <f>IF(HBL!I415&lt;1,"",ROUND(HBL!I415,1))</f>
        <v/>
      </c>
      <c r="H16" s="1171"/>
    </row>
    <row r="17" spans="2:13" ht="15">
      <c r="B17" s="546" t="s">
        <v>2211</v>
      </c>
      <c r="C17" s="1204" t="str">
        <f>+HBL!H605&amp;" °C"</f>
        <v>300 °C</v>
      </c>
      <c r="D17" s="1171"/>
      <c r="F17" s="546" t="s">
        <v>2204</v>
      </c>
      <c r="G17" s="1204">
        <f>IF(QP_CZ&lt;1,"",ROUND(QP_CZ,1))</f>
        <v>60</v>
      </c>
      <c r="H17" s="1171"/>
    </row>
    <row r="18" spans="2:13">
      <c r="C18" s="1205"/>
    </row>
    <row r="19" spans="2:13" ht="15">
      <c r="B19" s="442" t="s">
        <v>1412</v>
      </c>
      <c r="C19" s="1204" t="e">
        <f>ROUND(HBL!H560,1)</f>
        <v>#VALUE!</v>
      </c>
      <c r="D19" s="1171"/>
    </row>
    <row r="20" spans="2:13" ht="13.5">
      <c r="B20" s="1177" t="s">
        <v>2221</v>
      </c>
      <c r="C20" s="1205"/>
      <c r="G20" s="1172" t="s">
        <v>2205</v>
      </c>
      <c r="H20" s="1172" t="s">
        <v>2206</v>
      </c>
      <c r="K20" s="442" t="s">
        <v>2237</v>
      </c>
      <c r="L20" s="1172" t="s">
        <v>2205</v>
      </c>
      <c r="M20" s="1172" t="s">
        <v>2206</v>
      </c>
    </row>
    <row r="21" spans="2:13" ht="15">
      <c r="C21" s="1205"/>
      <c r="F21" s="546" t="s">
        <v>2199</v>
      </c>
      <c r="G21" s="1204" t="str">
        <f>ROUND(HBL!H505,2)&amp;" Nm3/kg"</f>
        <v>0.44 Nm3/kg</v>
      </c>
      <c r="H21" s="1171"/>
      <c r="K21" s="546" t="s">
        <v>2219</v>
      </c>
      <c r="L21" s="1204" t="str">
        <f>+O2_PRECALEXIT&amp;" %"</f>
        <v xml:space="preserve"> %</v>
      </c>
      <c r="M21" s="1171"/>
    </row>
    <row r="22" spans="2:13" ht="15">
      <c r="B22" s="442" t="s">
        <v>2209</v>
      </c>
      <c r="C22" s="1206" t="str">
        <f>ROUND(HBL!F534,2)&amp;"@"&amp;HBL!H534</f>
        <v>1.98@30</v>
      </c>
      <c r="D22" s="1171"/>
      <c r="F22" s="546" t="s">
        <v>2199</v>
      </c>
      <c r="G22" s="1207" t="str">
        <f>+HBL!H544&amp;" °C"</f>
        <v>0 °C</v>
      </c>
      <c r="H22" s="1171"/>
    </row>
    <row r="23" spans="2:13" ht="15">
      <c r="C23" s="1205" t="s">
        <v>2229</v>
      </c>
      <c r="F23" s="546" t="s">
        <v>1831</v>
      </c>
      <c r="G23" s="1204" t="str">
        <f>ROUND(HBL!H504,2)&amp;" Nm3/kg"</f>
        <v>0.31 Nm3/kg</v>
      </c>
      <c r="H23" s="1171"/>
      <c r="K23" s="442" t="s">
        <v>2207</v>
      </c>
      <c r="L23" s="1172" t="s">
        <v>2205</v>
      </c>
      <c r="M23" s="1172" t="s">
        <v>2206</v>
      </c>
    </row>
    <row r="24" spans="2:13" ht="15">
      <c r="B24" s="442" t="s">
        <v>447</v>
      </c>
      <c r="C24" s="1172" t="s">
        <v>2205</v>
      </c>
      <c r="D24" s="1172" t="s">
        <v>2206</v>
      </c>
      <c r="F24" s="546" t="s">
        <v>1831</v>
      </c>
      <c r="G24" s="1207" t="str">
        <f>+HBL!H542&amp;" °C"</f>
        <v xml:space="preserve"> °C</v>
      </c>
      <c r="H24" s="1171"/>
      <c r="K24" s="546" t="s">
        <v>2219</v>
      </c>
      <c r="L24" s="1204" t="str">
        <f>+O2_KILNINLET&amp;" %"</f>
        <v>1 %</v>
      </c>
      <c r="M24" s="1171"/>
    </row>
    <row r="25" spans="2:13" ht="15">
      <c r="B25" s="546" t="s">
        <v>2211</v>
      </c>
      <c r="C25" s="1207" t="str">
        <f>+HBL!H541&amp;" °C"</f>
        <v xml:space="preserve"> °C</v>
      </c>
      <c r="D25" s="1171"/>
      <c r="K25" s="546" t="s">
        <v>2220</v>
      </c>
      <c r="L25" s="1204" t="str">
        <f>+CO_KILNINLET&amp;" ppm"</f>
        <v>5500 ppm</v>
      </c>
      <c r="M25" s="1171"/>
    </row>
    <row r="26" spans="2:13" ht="15">
      <c r="B26" s="546" t="s">
        <v>2212</v>
      </c>
      <c r="C26" s="1208" t="str">
        <f>+HBL!D526/24&amp;" t/h"</f>
        <v>167.9 t/h</v>
      </c>
      <c r="D26" s="1171"/>
      <c r="K26" s="1173" t="s">
        <v>2218</v>
      </c>
      <c r="L26" s="1204">
        <f>ROUND(VNSP_INLET,2)</f>
        <v>0.65</v>
      </c>
      <c r="M26" s="1171"/>
    </row>
    <row r="27" spans="2:13" ht="15">
      <c r="B27" s="546" t="s">
        <v>2213</v>
      </c>
      <c r="C27" s="1208" t="str">
        <f>ROUND(HBL!D526,0)&amp;" t/d"</f>
        <v>4030 t/d</v>
      </c>
      <c r="D27" s="1171"/>
    </row>
    <row r="29" spans="2:13" ht="15">
      <c r="K29" s="546" t="s">
        <v>2230</v>
      </c>
      <c r="L29" s="1203" t="str">
        <f>+TIME&amp;" h"</f>
        <v>12 h</v>
      </c>
      <c r="M29" s="1171"/>
    </row>
    <row r="74" spans="2:12">
      <c r="B74" s="442" t="s">
        <v>2231</v>
      </c>
    </row>
    <row r="76" spans="2:12">
      <c r="B76" s="1212"/>
      <c r="C76" s="1212"/>
      <c r="D76" s="1212"/>
      <c r="E76" s="1212"/>
      <c r="F76" s="1212"/>
      <c r="G76" s="1212"/>
      <c r="H76" s="1212"/>
      <c r="I76" s="1212"/>
      <c r="J76" s="1212"/>
      <c r="K76" s="1212"/>
      <c r="L76" s="1212"/>
    </row>
    <row r="77" spans="2:12">
      <c r="B77" s="1213"/>
      <c r="C77" s="1213"/>
      <c r="D77" s="1213"/>
      <c r="E77" s="1213"/>
      <c r="F77" s="1213"/>
      <c r="G77" s="1213"/>
      <c r="H77" s="1213"/>
      <c r="I77" s="1213"/>
      <c r="J77" s="1213"/>
      <c r="K77" s="1213"/>
      <c r="L77" s="1213"/>
    </row>
    <row r="78" spans="2:12">
      <c r="B78" s="1213"/>
      <c r="C78" s="1213"/>
      <c r="D78" s="1213"/>
      <c r="E78" s="1213"/>
      <c r="F78" s="1213"/>
      <c r="G78" s="1213"/>
      <c r="H78" s="1213"/>
      <c r="I78" s="1213"/>
      <c r="J78" s="1213"/>
      <c r="K78" s="1213"/>
      <c r="L78" s="1213"/>
    </row>
    <row r="79" spans="2:12">
      <c r="B79" s="1213"/>
      <c r="C79" s="1213"/>
      <c r="D79" s="1213"/>
      <c r="E79" s="1213"/>
      <c r="F79" s="1213"/>
      <c r="G79" s="1213"/>
      <c r="H79" s="1213"/>
      <c r="I79" s="1213"/>
      <c r="J79" s="1213"/>
      <c r="K79" s="1213"/>
      <c r="L79" s="1213"/>
    </row>
    <row r="80" spans="2:12">
      <c r="B80" s="1213"/>
      <c r="C80" s="1213"/>
      <c r="D80" s="1213"/>
      <c r="E80" s="1213"/>
      <c r="F80" s="1213"/>
      <c r="G80" s="1213"/>
      <c r="H80" s="1213"/>
      <c r="I80" s="1213"/>
      <c r="J80" s="1213"/>
      <c r="K80" s="1213"/>
      <c r="L80" s="1213"/>
    </row>
    <row r="81" spans="2:13">
      <c r="B81" s="1213"/>
      <c r="C81" s="1213"/>
      <c r="D81" s="1213"/>
      <c r="E81" s="1213"/>
      <c r="F81" s="1213"/>
      <c r="G81" s="1213"/>
      <c r="H81" s="1213"/>
      <c r="I81" s="1213"/>
      <c r="J81" s="1213"/>
      <c r="K81" s="1213"/>
      <c r="L81" s="1213"/>
    </row>
    <row r="88" spans="2:13" ht="13.5" thickBot="1"/>
    <row r="89" spans="2:13" ht="12.75" customHeight="1">
      <c r="B89" s="1328"/>
      <c r="C89" s="1329"/>
      <c r="D89" s="1334" t="s">
        <v>2198</v>
      </c>
      <c r="E89" s="1335"/>
      <c r="F89" s="1335"/>
      <c r="G89" s="1335"/>
      <c r="H89" s="1335"/>
      <c r="I89" s="1336"/>
      <c r="J89" s="1199" t="s">
        <v>2192</v>
      </c>
      <c r="K89" s="1162" t="s">
        <v>886</v>
      </c>
      <c r="L89" s="1322" t="s">
        <v>2193</v>
      </c>
      <c r="M89" s="1323"/>
    </row>
    <row r="90" spans="2:13" ht="24" customHeight="1">
      <c r="B90" s="1178"/>
      <c r="C90" s="1179"/>
      <c r="D90" s="1337"/>
      <c r="E90" s="1338"/>
      <c r="F90" s="1338"/>
      <c r="G90" s="1338"/>
      <c r="H90" s="1338"/>
      <c r="I90" s="1339"/>
      <c r="J90" s="1211">
        <f ca="1">IF(J3="","",J3)</f>
        <v>41218</v>
      </c>
      <c r="K90" s="1169">
        <f>IF(K3="","",K3)</f>
        <v>41219</v>
      </c>
      <c r="L90" s="1326" t="str">
        <f>IF(L3="","",L3)</f>
        <v>PPE</v>
      </c>
      <c r="M90" s="1327"/>
    </row>
    <row r="91" spans="2:13" ht="12.75" customHeight="1">
      <c r="B91" s="1330" t="s">
        <v>2194</v>
      </c>
      <c r="C91" s="1331"/>
      <c r="D91" s="1340"/>
      <c r="E91" s="1341"/>
      <c r="F91" s="1341"/>
      <c r="G91" s="1341"/>
      <c r="H91" s="1341"/>
      <c r="I91" s="1342"/>
      <c r="J91" s="1320" t="str">
        <f>+J4</f>
        <v xml:space="preserve">Template Version: </v>
      </c>
      <c r="K91" s="1321"/>
      <c r="L91" s="1163"/>
      <c r="M91" s="1210" t="str">
        <f>+M4</f>
        <v>16.7.2012</v>
      </c>
    </row>
    <row r="92" spans="2:13" ht="15.75" customHeight="1" thickBot="1">
      <c r="B92" s="1332" t="s">
        <v>2196</v>
      </c>
      <c r="C92" s="1333"/>
      <c r="D92" s="1343"/>
      <c r="E92" s="1344"/>
      <c r="F92" s="1344"/>
      <c r="G92" s="1344"/>
      <c r="H92" s="1344"/>
      <c r="I92" s="1345"/>
      <c r="J92" s="1164" t="s">
        <v>2197</v>
      </c>
      <c r="K92" s="1165"/>
      <c r="L92" s="1165"/>
      <c r="M92" s="1166" t="str">
        <f ca="1">MID(CELL("filename"),SEARCH("[",CELL("filename"))+1, SEARCH("]",CELL("filename"))-SEARCH("[",CELL("filename"))-1)</f>
        <v>Meadows_HeatBalance_TASK_2012.xlsx</v>
      </c>
    </row>
    <row r="94" spans="2:13" ht="13.5" thickBot="1">
      <c r="K94" s="442" t="s">
        <v>2199</v>
      </c>
      <c r="L94" s="1172" t="s">
        <v>2205</v>
      </c>
      <c r="M94" s="1172" t="s">
        <v>2206</v>
      </c>
    </row>
    <row r="95" spans="2:13" ht="15.75" thickTop="1">
      <c r="C95" s="1172" t="s">
        <v>2205</v>
      </c>
      <c r="D95" s="1172" t="s">
        <v>2206</v>
      </c>
      <c r="I95" s="1195"/>
      <c r="J95" s="1180"/>
      <c r="K95" s="546" t="s">
        <v>2223</v>
      </c>
      <c r="L95" s="1174">
        <f>+HBL!F544</f>
        <v>0.44496716016984572</v>
      </c>
      <c r="M95" s="1171"/>
    </row>
    <row r="96" spans="2:13" ht="15">
      <c r="B96" s="442" t="s">
        <v>1930</v>
      </c>
      <c r="C96" s="1170">
        <f>+HBL!I549</f>
        <v>20</v>
      </c>
      <c r="D96" s="1171"/>
      <c r="F96" s="442" t="s">
        <v>1394</v>
      </c>
      <c r="G96" s="1172" t="s">
        <v>2205</v>
      </c>
      <c r="H96" s="1172" t="s">
        <v>2206</v>
      </c>
      <c r="I96" s="1196"/>
      <c r="J96" s="612"/>
      <c r="K96" s="546" t="s">
        <v>2211</v>
      </c>
      <c r="L96" s="1175">
        <f>+HBL!H544</f>
        <v>0</v>
      </c>
      <c r="M96" s="1171"/>
    </row>
    <row r="97" spans="2:13" ht="15">
      <c r="F97" s="546" t="s">
        <v>2223</v>
      </c>
      <c r="G97" s="1174" t="str">
        <f>IF(HBL!I270=0,"",ROUND(HBL!I270,2))</f>
        <v/>
      </c>
      <c r="H97" s="1194"/>
      <c r="I97" s="1196"/>
    </row>
    <row r="98" spans="2:13" ht="15">
      <c r="F98" s="546" t="s">
        <v>2211</v>
      </c>
      <c r="G98" s="1175" t="str">
        <f>+HBL!H545</f>
        <v/>
      </c>
      <c r="H98" s="1194"/>
      <c r="I98" s="1196"/>
      <c r="J98" s="1180"/>
    </row>
    <row r="99" spans="2:13">
      <c r="B99" s="442" t="s">
        <v>1364</v>
      </c>
      <c r="C99" s="1172" t="s">
        <v>2205</v>
      </c>
      <c r="D99" s="1172" t="s">
        <v>2206</v>
      </c>
      <c r="I99" s="1196"/>
      <c r="J99" s="1181"/>
      <c r="K99" s="442" t="s">
        <v>1831</v>
      </c>
      <c r="L99" s="1172" t="s">
        <v>2205</v>
      </c>
      <c r="M99" s="1172" t="s">
        <v>2206</v>
      </c>
    </row>
    <row r="100" spans="2:13" ht="15">
      <c r="B100" s="546" t="s">
        <v>2223</v>
      </c>
      <c r="C100" s="1174" t="str">
        <f>+HBL!H507</f>
        <v/>
      </c>
      <c r="D100" s="1171"/>
      <c r="F100" s="442" t="s">
        <v>1714</v>
      </c>
      <c r="G100" s="1172" t="s">
        <v>2205</v>
      </c>
      <c r="H100" s="1172" t="s">
        <v>2206</v>
      </c>
      <c r="I100" s="1196"/>
      <c r="J100" s="1181"/>
      <c r="K100" s="546" t="s">
        <v>2223</v>
      </c>
      <c r="L100" s="1174">
        <f>+HBL!F542</f>
        <v>0.30585706752412273</v>
      </c>
      <c r="M100" s="1171"/>
    </row>
    <row r="101" spans="2:13" ht="15">
      <c r="B101" s="546" t="s">
        <v>2211</v>
      </c>
      <c r="C101" s="1175">
        <f>+HBL!H546</f>
        <v>300</v>
      </c>
      <c r="D101" s="1171"/>
      <c r="F101" s="546" t="s">
        <v>2223</v>
      </c>
      <c r="G101" s="1174">
        <f>+HBL!F586</f>
        <v>5.9559261465157831E-2</v>
      </c>
      <c r="H101" s="1194"/>
      <c r="I101" s="1196"/>
      <c r="J101" s="1181"/>
      <c r="K101" s="546" t="s">
        <v>2211</v>
      </c>
      <c r="L101" s="1175" t="str">
        <f>+HBL!H542</f>
        <v/>
      </c>
      <c r="M101" s="1171"/>
    </row>
    <row r="102" spans="2:13" ht="15">
      <c r="F102" s="546" t="s">
        <v>2211</v>
      </c>
      <c r="G102" s="1170">
        <f>+T_PRIMAIR</f>
        <v>46.2</v>
      </c>
      <c r="H102" s="1194"/>
      <c r="I102" s="1196"/>
      <c r="J102" s="1181"/>
    </row>
    <row r="103" spans="2:13" ht="13.5" thickBot="1">
      <c r="I103" s="1196"/>
      <c r="J103" s="612"/>
    </row>
    <row r="104" spans="2:13" ht="13.5" thickTop="1">
      <c r="D104" s="1183"/>
      <c r="E104" s="1184"/>
      <c r="F104" s="1184"/>
      <c r="G104" s="1185" t="s">
        <v>2205</v>
      </c>
      <c r="H104" s="1185" t="s">
        <v>2206</v>
      </c>
      <c r="I104" s="1190"/>
    </row>
    <row r="105" spans="2:13" ht="15">
      <c r="D105" s="1186"/>
      <c r="E105" s="1182" t="s">
        <v>1917</v>
      </c>
      <c r="F105" s="356"/>
      <c r="G105" s="1200" t="str">
        <f>+HBL!H559</f>
        <v/>
      </c>
      <c r="H105" s="1171"/>
      <c r="I105" s="1190"/>
      <c r="K105" s="442" t="s">
        <v>2224</v>
      </c>
      <c r="L105" s="1172" t="s">
        <v>2205</v>
      </c>
      <c r="M105" s="1172" t="s">
        <v>2206</v>
      </c>
    </row>
    <row r="106" spans="2:13" ht="15">
      <c r="D106" s="1186"/>
      <c r="E106" s="1182" t="s">
        <v>2225</v>
      </c>
      <c r="F106" s="356"/>
      <c r="G106" s="1201" t="str">
        <f>+HBL!H560</f>
        <v/>
      </c>
      <c r="H106" s="1171"/>
      <c r="I106" s="1190"/>
      <c r="K106" s="546" t="s">
        <v>2232</v>
      </c>
      <c r="L106" s="1174">
        <f>+VNSP_OUTLETSEAL</f>
        <v>1.7867778439547351E-2</v>
      </c>
      <c r="M106" s="1171"/>
    </row>
    <row r="107" spans="2:13" ht="15">
      <c r="D107" s="1186"/>
      <c r="E107" s="356"/>
      <c r="F107" s="356"/>
      <c r="G107" s="1182"/>
      <c r="H107" s="356"/>
      <c r="I107" s="1190"/>
      <c r="K107" s="546" t="s">
        <v>2233</v>
      </c>
      <c r="L107" s="1174">
        <f>+HBL!H501</f>
        <v>2.9779630732578916E-2</v>
      </c>
      <c r="M107" s="1171"/>
    </row>
    <row r="108" spans="2:13">
      <c r="D108" s="1186"/>
      <c r="E108" s="356"/>
      <c r="F108" s="356"/>
      <c r="G108" s="1182"/>
      <c r="H108" s="1187" t="s">
        <v>2205</v>
      </c>
      <c r="I108" s="1191" t="s">
        <v>2206</v>
      </c>
    </row>
    <row r="109" spans="2:13" ht="15">
      <c r="D109" s="1186"/>
      <c r="E109" s="356"/>
      <c r="F109" s="356"/>
      <c r="G109" s="1182" t="s">
        <v>2226</v>
      </c>
      <c r="H109" s="1176" t="str">
        <f>+HBL!H533</f>
        <v/>
      </c>
      <c r="I109" s="1192"/>
      <c r="L109" s="1172" t="s">
        <v>2205</v>
      </c>
      <c r="M109" s="1172" t="s">
        <v>2206</v>
      </c>
    </row>
    <row r="110" spans="2:13" ht="15">
      <c r="D110" s="1186"/>
      <c r="E110" s="356"/>
      <c r="F110" s="356"/>
      <c r="G110" s="1182" t="s">
        <v>2227</v>
      </c>
      <c r="H110" s="1170">
        <f>+CLI_DUST</f>
        <v>3</v>
      </c>
      <c r="I110" s="1192"/>
      <c r="K110" s="546" t="s">
        <v>2228</v>
      </c>
      <c r="L110" s="1202">
        <f>+HBL!TAMB</f>
        <v>20.399999999999999</v>
      </c>
      <c r="M110" s="1171"/>
    </row>
    <row r="111" spans="2:13" ht="15.75" thickBot="1">
      <c r="D111" s="1188"/>
      <c r="E111" s="1189"/>
      <c r="F111" s="1189"/>
      <c r="G111" s="1189"/>
      <c r="H111" s="1189"/>
      <c r="I111" s="1193"/>
      <c r="K111" s="1173" t="s">
        <v>2200</v>
      </c>
      <c r="L111" s="1197" t="str">
        <f>+G13</f>
        <v>3350 kJ/kg cli</v>
      </c>
      <c r="M111" s="1171"/>
    </row>
    <row r="112" spans="2:13" ht="15.75" thickTop="1">
      <c r="K112" s="1173" t="s">
        <v>1745</v>
      </c>
      <c r="L112" s="1206" t="str">
        <f>+C27</f>
        <v>4030 t/d</v>
      </c>
      <c r="M112" s="1171"/>
    </row>
    <row r="113" spans="2:12">
      <c r="B113" s="442" t="s">
        <v>447</v>
      </c>
      <c r="C113" s="1172" t="s">
        <v>2205</v>
      </c>
      <c r="D113" s="1172" t="s">
        <v>2206</v>
      </c>
      <c r="G113" s="442" t="s">
        <v>1382</v>
      </c>
      <c r="H113" s="1172" t="s">
        <v>2205</v>
      </c>
      <c r="I113" s="1172" t="s">
        <v>2206</v>
      </c>
    </row>
    <row r="114" spans="2:12" ht="15">
      <c r="B114" s="546" t="s">
        <v>2222</v>
      </c>
      <c r="C114" s="1170">
        <f>+HBL!F541</f>
        <v>1</v>
      </c>
      <c r="D114" s="1171"/>
      <c r="G114" s="546" t="s">
        <v>2223</v>
      </c>
      <c r="H114" s="1174">
        <f>+HBL!F534</f>
        <v>1.9846172922217151</v>
      </c>
      <c r="I114" s="1171"/>
    </row>
    <row r="115" spans="2:12" ht="15">
      <c r="B115" s="546" t="s">
        <v>2211</v>
      </c>
      <c r="C115" s="1175" t="str">
        <f>+HBL!H541</f>
        <v/>
      </c>
      <c r="D115" s="1171"/>
      <c r="G115" s="546" t="s">
        <v>2211</v>
      </c>
      <c r="H115" s="1170">
        <f>+HBL!H534</f>
        <v>30</v>
      </c>
      <c r="I115" s="1171"/>
    </row>
    <row r="118" spans="2:12">
      <c r="B118" s="442" t="s">
        <v>2231</v>
      </c>
    </row>
    <row r="120" spans="2:12">
      <c r="B120" s="1212"/>
      <c r="C120" s="1212"/>
      <c r="D120" s="1212"/>
      <c r="E120" s="1212"/>
      <c r="F120" s="1212"/>
      <c r="G120" s="1212"/>
      <c r="H120" s="1212"/>
      <c r="I120" s="1212"/>
      <c r="J120" s="1212"/>
      <c r="K120" s="1212"/>
      <c r="L120" s="1212"/>
    </row>
    <row r="121" spans="2:12">
      <c r="B121" s="1213"/>
      <c r="C121" s="1213"/>
      <c r="D121" s="1213"/>
      <c r="E121" s="1213"/>
      <c r="F121" s="1213"/>
      <c r="G121" s="1213"/>
      <c r="H121" s="1213"/>
      <c r="I121" s="1213"/>
      <c r="J121" s="1213"/>
      <c r="K121" s="1213"/>
      <c r="L121" s="1213"/>
    </row>
    <row r="122" spans="2:12">
      <c r="B122" s="1213"/>
      <c r="C122" s="1213"/>
      <c r="D122" s="1213"/>
      <c r="E122" s="1213"/>
      <c r="F122" s="1213"/>
      <c r="G122" s="1213"/>
      <c r="H122" s="1213"/>
      <c r="I122" s="1213"/>
      <c r="J122" s="1213"/>
      <c r="K122" s="1213"/>
      <c r="L122" s="1213"/>
    </row>
    <row r="123" spans="2:12">
      <c r="B123" s="1213"/>
      <c r="C123" s="1213"/>
      <c r="D123" s="1213"/>
      <c r="E123" s="1213"/>
      <c r="F123" s="1213"/>
      <c r="G123" s="1213"/>
      <c r="H123" s="1213"/>
      <c r="I123" s="1213"/>
      <c r="J123" s="1213"/>
      <c r="K123" s="1213"/>
      <c r="L123" s="1213"/>
    </row>
    <row r="124" spans="2:12">
      <c r="B124" s="1213"/>
      <c r="C124" s="1213"/>
      <c r="D124" s="1213"/>
      <c r="E124" s="1213"/>
      <c r="F124" s="1213"/>
      <c r="G124" s="1213"/>
      <c r="H124" s="1213"/>
      <c r="I124" s="1213"/>
      <c r="J124" s="1213"/>
      <c r="K124" s="1213"/>
      <c r="L124" s="1213"/>
    </row>
    <row r="125" spans="2:12">
      <c r="B125" s="1213"/>
      <c r="C125" s="1213"/>
      <c r="D125" s="1213"/>
      <c r="E125" s="1213"/>
      <c r="F125" s="1213"/>
      <c r="G125" s="1213"/>
      <c r="H125" s="1213"/>
      <c r="I125" s="1213"/>
      <c r="J125" s="1213"/>
      <c r="K125" s="1213"/>
      <c r="L125" s="1213"/>
    </row>
  </sheetData>
  <mergeCells count="16">
    <mergeCell ref="B89:C89"/>
    <mergeCell ref="D89:I90"/>
    <mergeCell ref="D91:I92"/>
    <mergeCell ref="B91:C91"/>
    <mergeCell ref="B92:C92"/>
    <mergeCell ref="B2:C2"/>
    <mergeCell ref="B4:C4"/>
    <mergeCell ref="B5:C5"/>
    <mergeCell ref="D2:I3"/>
    <mergeCell ref="D4:I5"/>
    <mergeCell ref="J4:K4"/>
    <mergeCell ref="J91:K91"/>
    <mergeCell ref="L2:M2"/>
    <mergeCell ref="L3:M3"/>
    <mergeCell ref="L89:M89"/>
    <mergeCell ref="L90:M90"/>
  </mergeCells>
  <pageMargins left="0.7" right="0.7" top="0.75" bottom="0.75" header="0.3" footer="0.3"/>
  <pageSetup paperSize="9" scale="59" orientation="portrait" r:id="rId1"/>
  <rowBreaks count="1" manualBreakCount="1">
    <brk id="82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AM369"/>
  <sheetViews>
    <sheetView zoomScaleNormal="100" workbookViewId="0"/>
  </sheetViews>
  <sheetFormatPr defaultRowHeight="12.75"/>
  <cols>
    <col min="1" max="1" width="3.83203125" style="253" customWidth="1"/>
    <col min="2" max="3" width="5.6640625" style="253" customWidth="1"/>
    <col min="4" max="4" width="10.5" style="253" customWidth="1"/>
    <col min="5" max="5" width="12.6640625" style="253" customWidth="1"/>
    <col min="6" max="7" width="10.5" style="253" customWidth="1"/>
    <col min="8" max="8" width="10.33203125" style="253" customWidth="1"/>
    <col min="9" max="9" width="13.6640625" style="253" customWidth="1"/>
    <col min="10" max="11" width="10.33203125" style="253" customWidth="1"/>
    <col min="12" max="12" width="10.6640625" style="253" customWidth="1"/>
    <col min="13" max="13" width="3.83203125" style="253" customWidth="1"/>
    <col min="14" max="21" width="10.83203125" style="253" customWidth="1"/>
    <col min="22" max="26" width="10.5" style="253" customWidth="1"/>
    <col min="27" max="27" width="10.33203125" style="253" customWidth="1"/>
    <col min="28" max="28" width="11.33203125" style="253" bestFit="1" customWidth="1"/>
    <col min="29" max="29" width="9.33203125" style="253"/>
    <col min="30" max="30" width="9.6640625" style="253" bestFit="1" customWidth="1"/>
    <col min="31" max="31" width="11.5" style="253" bestFit="1" customWidth="1"/>
    <col min="32" max="32" width="17" style="253" bestFit="1" customWidth="1"/>
    <col min="33" max="34" width="9.33203125" style="253"/>
    <col min="35" max="39" width="35.83203125" style="253" customWidth="1"/>
    <col min="40" max="16384" width="9.33203125" style="253"/>
  </cols>
  <sheetData>
    <row r="2" spans="2:25"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2:25"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</row>
    <row r="4" spans="2:25"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W4" s="4" t="s">
        <v>412</v>
      </c>
      <c r="X4" s="1"/>
      <c r="Y4" s="363" t="s">
        <v>413</v>
      </c>
    </row>
    <row r="5" spans="2:25">
      <c r="B5" s="371"/>
      <c r="C5" s="371"/>
      <c r="D5" s="370"/>
      <c r="E5" s="372"/>
      <c r="F5" s="370"/>
      <c r="G5" s="370"/>
      <c r="H5" s="370"/>
      <c r="I5" s="370"/>
      <c r="J5" s="370"/>
      <c r="K5" s="370"/>
      <c r="L5" s="370"/>
      <c r="W5"/>
      <c r="X5"/>
      <c r="Y5" t="s">
        <v>414</v>
      </c>
    </row>
    <row r="6" spans="2:25">
      <c r="B6" s="373"/>
      <c r="C6" s="373"/>
      <c r="D6" s="372"/>
      <c r="E6" s="372"/>
      <c r="F6" s="370"/>
      <c r="G6" s="370"/>
      <c r="H6" s="370"/>
      <c r="I6" s="370"/>
      <c r="J6" s="370"/>
      <c r="K6" s="370"/>
      <c r="L6" s="370"/>
      <c r="W6"/>
      <c r="X6" s="1"/>
      <c r="Y6" s="252" t="s">
        <v>415</v>
      </c>
    </row>
    <row r="7" spans="2:25" ht="18">
      <c r="B7" s="370"/>
      <c r="C7" s="370"/>
      <c r="D7" s="521" t="s">
        <v>645</v>
      </c>
      <c r="E7" s="370"/>
      <c r="F7" s="370"/>
      <c r="G7" s="370"/>
      <c r="H7" s="370"/>
      <c r="I7" s="370"/>
      <c r="J7" s="370"/>
      <c r="K7" s="370"/>
      <c r="L7" s="370"/>
      <c r="W7"/>
      <c r="X7" s="1"/>
      <c r="Y7" s="252" t="s">
        <v>416</v>
      </c>
    </row>
    <row r="8" spans="2:25" ht="18" customHeight="1">
      <c r="B8" s="370"/>
      <c r="C8" s="370"/>
      <c r="D8" s="521" t="s">
        <v>646</v>
      </c>
      <c r="E8" s="370"/>
      <c r="F8" s="370"/>
      <c r="G8" s="370"/>
      <c r="H8" s="370"/>
      <c r="I8" s="370"/>
      <c r="J8" s="370"/>
      <c r="K8" s="370"/>
      <c r="L8" s="370"/>
      <c r="W8"/>
      <c r="X8" s="1"/>
      <c r="Y8" s="1"/>
    </row>
    <row r="9" spans="2:25" ht="12.75" customHeight="1">
      <c r="B9" s="370"/>
      <c r="C9" s="370"/>
      <c r="D9" s="372" t="s">
        <v>103</v>
      </c>
      <c r="E9" s="372"/>
      <c r="F9" s="370"/>
      <c r="G9" s="370"/>
      <c r="H9" s="370"/>
      <c r="I9" s="370"/>
      <c r="J9" s="370"/>
      <c r="K9" s="370"/>
      <c r="L9" s="370"/>
      <c r="O9" s="641" t="s">
        <v>1378</v>
      </c>
      <c r="P9" s="491"/>
      <c r="Q9" s="644"/>
      <c r="W9" s="4" t="s">
        <v>418</v>
      </c>
      <c r="X9" s="1"/>
      <c r="Y9" s="6">
        <v>2</v>
      </c>
    </row>
    <row r="10" spans="2:25" ht="12.75" customHeight="1">
      <c r="B10" s="370"/>
      <c r="C10" s="370"/>
      <c r="D10" s="372"/>
      <c r="E10" s="372"/>
      <c r="F10" s="370"/>
      <c r="G10" s="370"/>
      <c r="H10" s="370"/>
      <c r="I10" s="370"/>
      <c r="J10" s="370"/>
      <c r="K10" s="370"/>
      <c r="L10" s="370"/>
      <c r="O10" s="642">
        <v>36991</v>
      </c>
      <c r="P10" s="618" t="s">
        <v>122</v>
      </c>
      <c r="Q10" s="645" t="s">
        <v>128</v>
      </c>
      <c r="W10" s="4"/>
      <c r="X10" s="1"/>
      <c r="Y10" s="6"/>
    </row>
    <row r="11" spans="2:25" ht="12.75" customHeight="1">
      <c r="B11" s="370"/>
      <c r="C11" s="370"/>
      <c r="D11" s="1133"/>
      <c r="E11" s="365" t="s">
        <v>417</v>
      </c>
      <c r="F11" s="370"/>
      <c r="G11" s="370"/>
      <c r="H11" s="370"/>
      <c r="I11" s="370"/>
      <c r="J11" s="370"/>
      <c r="K11" s="370"/>
      <c r="L11" s="370"/>
      <c r="O11" s="646">
        <v>36992</v>
      </c>
      <c r="P11" s="647" t="s">
        <v>122</v>
      </c>
      <c r="Q11" s="645" t="s">
        <v>1516</v>
      </c>
    </row>
    <row r="12" spans="2:25" ht="12.75" customHeight="1">
      <c r="B12" s="370"/>
      <c r="C12" s="370"/>
      <c r="D12" s="2"/>
      <c r="E12" s="369" t="s">
        <v>1133</v>
      </c>
      <c r="F12" s="370"/>
      <c r="G12" s="370"/>
      <c r="H12" s="370"/>
      <c r="I12" s="370"/>
      <c r="J12" s="370"/>
      <c r="K12" s="370"/>
      <c r="L12" s="370"/>
      <c r="O12" s="646">
        <v>37064</v>
      </c>
      <c r="P12" s="647" t="s">
        <v>2128</v>
      </c>
      <c r="Q12" s="644" t="s">
        <v>2129</v>
      </c>
    </row>
    <row r="13" spans="2:25" ht="12.75" customHeight="1"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O13" s="642">
        <v>38595</v>
      </c>
      <c r="P13" s="618" t="s">
        <v>955</v>
      </c>
      <c r="Q13" s="491" t="s">
        <v>1509</v>
      </c>
    </row>
    <row r="14" spans="2:25" ht="12.75" customHeight="1">
      <c r="B14" s="370"/>
      <c r="C14" s="370"/>
      <c r="D14" s="364" t="s">
        <v>420</v>
      </c>
      <c r="E14" s="370"/>
      <c r="F14" s="370"/>
      <c r="G14" s="370"/>
      <c r="H14" s="370"/>
      <c r="I14" s="370"/>
      <c r="J14" s="370"/>
      <c r="K14" s="370"/>
      <c r="L14" s="370"/>
      <c r="O14" s="642">
        <v>39827</v>
      </c>
      <c r="P14" s="808" t="s">
        <v>1955</v>
      </c>
      <c r="Q14" s="642" t="s">
        <v>698</v>
      </c>
      <c r="R14" s="642"/>
      <c r="S14" s="642"/>
      <c r="T14" s="642"/>
    </row>
    <row r="15" spans="2:25" ht="12.75" customHeight="1"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O15" s="642">
        <v>41100</v>
      </c>
      <c r="P15" s="808" t="s">
        <v>1955</v>
      </c>
      <c r="Q15" s="642" t="s">
        <v>2191</v>
      </c>
      <c r="R15" s="642"/>
    </row>
    <row r="16" spans="2:25" ht="13.5">
      <c r="B16" s="374"/>
      <c r="C16" s="372"/>
      <c r="D16" s="370"/>
      <c r="E16" s="370"/>
      <c r="F16" s="370"/>
      <c r="G16" s="370"/>
      <c r="H16" s="370"/>
      <c r="I16" s="370"/>
      <c r="J16" s="370"/>
      <c r="K16" s="370"/>
      <c r="L16" s="480"/>
    </row>
    <row r="19" spans="2:28" ht="15.75">
      <c r="B19" s="1113" t="s">
        <v>102</v>
      </c>
      <c r="C19" s="1114"/>
      <c r="D19" s="1115"/>
      <c r="E19" s="1115"/>
      <c r="F19" s="1115"/>
      <c r="G19" s="1115"/>
      <c r="H19" s="1115"/>
      <c r="I19" s="1116"/>
      <c r="J19" s="1117"/>
      <c r="K19" s="1118"/>
      <c r="L19" s="1119"/>
    </row>
    <row r="21" spans="2:28">
      <c r="B21" s="255" t="str">
        <f>'R&amp;C Kiln'!$AI$357</f>
        <v>Plant</v>
      </c>
      <c r="C21" s="255"/>
      <c r="D21" s="256"/>
      <c r="E21" s="1312" t="s">
        <v>2251</v>
      </c>
      <c r="F21" s="1122"/>
      <c r="G21" s="256"/>
      <c r="H21" s="254" t="str">
        <f>'R&amp;C Kiln'!$AI$309</f>
        <v>Altitude</v>
      </c>
      <c r="I21" s="254"/>
      <c r="J21" s="254"/>
      <c r="K21" s="1123">
        <v>300</v>
      </c>
      <c r="L21" s="254" t="s">
        <v>422</v>
      </c>
    </row>
    <row r="22" spans="2:28" ht="12.75" customHeight="1">
      <c r="B22" s="253" t="s">
        <v>886</v>
      </c>
      <c r="F22" s="1125">
        <v>41220</v>
      </c>
      <c r="H22" s="255" t="str">
        <f>'R&amp;C Kiln'!$AI$354</f>
        <v>Ambient temperature</v>
      </c>
      <c r="I22" s="254"/>
      <c r="J22" s="254"/>
      <c r="K22" s="1124">
        <v>20</v>
      </c>
      <c r="L22" s="254" t="s">
        <v>425</v>
      </c>
    </row>
    <row r="23" spans="2:28" ht="12.75" customHeight="1">
      <c r="B23" s="255" t="str">
        <f>'R&amp;C Kiln'!$AI$325</f>
        <v>Kiln diameter burning zone</v>
      </c>
      <c r="C23" s="255"/>
      <c r="D23" s="254"/>
      <c r="E23" s="254"/>
      <c r="F23" s="1123">
        <v>4.5999999999999996</v>
      </c>
      <c r="G23" s="254" t="s">
        <v>422</v>
      </c>
      <c r="H23" s="255" t="str">
        <f>'R&amp;C Kiln'!$AI$353</f>
        <v>Ambient pressure</v>
      </c>
      <c r="I23" s="254"/>
      <c r="J23" s="254"/>
      <c r="K23" s="620">
        <f>IF(ALTITUDE="","",1.03323*((288-6.5*ALTITUDE/1000)/288)^5.255*980.665)</f>
        <v>977.71576555840886</v>
      </c>
      <c r="L23" s="254" t="s">
        <v>424</v>
      </c>
    </row>
    <row r="24" spans="2:28" ht="12.75" customHeight="1">
      <c r="B24" s="254" t="str">
        <f>'R&amp;C Kiln'!$AI$318</f>
        <v>Kiln length</v>
      </c>
      <c r="C24" s="254"/>
      <c r="D24" s="254"/>
      <c r="E24" s="254"/>
      <c r="F24" s="1123">
        <v>68</v>
      </c>
      <c r="G24" s="254" t="s">
        <v>422</v>
      </c>
      <c r="H24" s="255" t="str">
        <f>'R&amp;C Kiln'!$AI$319</f>
        <v>Air density</v>
      </c>
      <c r="I24" s="254"/>
      <c r="J24" s="254"/>
      <c r="K24" s="621">
        <f>IF(TAMB="","",1.293*PAMB/1013*273.16/(TAMB+273.16))</f>
        <v>1.1628242730109473</v>
      </c>
      <c r="L24" s="259" t="s">
        <v>308</v>
      </c>
      <c r="X24" s="362" t="s">
        <v>310</v>
      </c>
      <c r="AA24" s="263" t="s">
        <v>311</v>
      </c>
      <c r="AB24" s="263" t="s">
        <v>312</v>
      </c>
    </row>
    <row r="25" spans="2:28" ht="12.75" customHeight="1">
      <c r="B25" s="255" t="str">
        <f>'R&amp;C Kiln'!$AI$314</f>
        <v>Clinker production rate</v>
      </c>
      <c r="C25" s="254"/>
      <c r="D25" s="254"/>
      <c r="E25" s="254"/>
      <c r="F25" s="1126">
        <v>4030</v>
      </c>
      <c r="G25" s="254" t="str">
        <f>'R&amp;C Kiln'!$AI$345</f>
        <v>t/d</v>
      </c>
      <c r="H25" s="254"/>
      <c r="I25" s="254"/>
      <c r="J25" s="254"/>
      <c r="K25" s="254"/>
      <c r="L25" s="254"/>
      <c r="N25" s="257"/>
      <c r="O25" s="257"/>
      <c r="P25" s="257"/>
      <c r="Q25" s="257"/>
      <c r="R25" s="257"/>
      <c r="S25" s="257"/>
      <c r="T25" s="257"/>
      <c r="U25" s="257"/>
      <c r="V25" s="257"/>
    </row>
    <row r="26" spans="2:28" ht="12.75" customHeight="1">
      <c r="B26" s="254" t="str">
        <f>'R&amp;C Kiln'!$AI$329</f>
        <v>Kiln shell surface</v>
      </c>
      <c r="C26" s="254"/>
      <c r="D26" s="254"/>
      <c r="E26" s="254"/>
      <c r="F26" s="770">
        <f>IF(SUM(F42:F71)=0,"",SUM(F42:F71)+SUM(F72:F118))</f>
        <v>982.69018204288727</v>
      </c>
      <c r="G26" s="254" t="s">
        <v>309</v>
      </c>
      <c r="H26" s="254"/>
      <c r="I26" s="254"/>
      <c r="J26" s="254"/>
      <c r="K26" s="254"/>
      <c r="L26" s="254"/>
      <c r="N26" s="257"/>
      <c r="O26" s="257"/>
      <c r="P26" s="257"/>
      <c r="Q26" s="257"/>
      <c r="R26" s="257"/>
      <c r="S26" s="257"/>
      <c r="T26" s="257"/>
      <c r="U26" s="257"/>
      <c r="V26" s="257"/>
      <c r="Z26" s="253">
        <v>0</v>
      </c>
      <c r="AA26" s="265">
        <v>2.4539999999999999E-2</v>
      </c>
      <c r="AB26" s="265">
        <v>1.7099999999999999E-5</v>
      </c>
    </row>
    <row r="27" spans="2:28" ht="12.75" customHeight="1" thickBot="1">
      <c r="B27" s="254"/>
      <c r="C27" s="254"/>
      <c r="D27" s="254"/>
      <c r="E27" s="254"/>
      <c r="F27" s="771"/>
      <c r="G27" s="254"/>
      <c r="Z27" s="253">
        <v>450</v>
      </c>
      <c r="AA27" s="265">
        <v>5.5640000000000002E-2</v>
      </c>
      <c r="AB27" s="265">
        <v>3.4E-5</v>
      </c>
    </row>
    <row r="28" spans="2:28" ht="12.75" customHeight="1" thickBot="1">
      <c r="B28" s="254" t="str">
        <f>'R&amp;C Kiln'!$AI$306</f>
        <v>Total heat loss</v>
      </c>
      <c r="C28" s="254"/>
      <c r="D28" s="254"/>
      <c r="E28" s="254"/>
      <c r="F28" s="1121">
        <f>IF(ISERR(SUM(K42:K71)+SUM(K72:K118)),"",SUM(K42:K71)+SUM(K72:K118))</f>
        <v>7826.9419822648879</v>
      </c>
      <c r="G28" s="254" t="s">
        <v>1376</v>
      </c>
    </row>
    <row r="29" spans="2:28" ht="12.75" customHeight="1">
      <c r="B29" s="254" t="s">
        <v>1377</v>
      </c>
      <c r="C29" s="254"/>
      <c r="D29" s="254"/>
      <c r="F29" s="1120">
        <f>IF(ISERR(24*QTOT*3.6/M_CLI),"",24*QTOT*3.6/M_CLI)</f>
        <v>167.80342115823481</v>
      </c>
      <c r="G29" s="259" t="s">
        <v>509</v>
      </c>
    </row>
    <row r="30" spans="2:28" ht="12.75" customHeight="1">
      <c r="B30" s="254" t="s">
        <v>1377</v>
      </c>
      <c r="F30" s="740">
        <f>IF(QRADKLN="","",QRADKLN/4.1868)</f>
        <v>40.079158583699922</v>
      </c>
      <c r="G30" s="253" t="s">
        <v>666</v>
      </c>
    </row>
    <row r="31" spans="2:28" ht="12.75" customHeight="1">
      <c r="C31" s="254"/>
      <c r="D31" s="254"/>
      <c r="E31" s="254"/>
      <c r="F31" s="260"/>
      <c r="G31" s="254"/>
      <c r="H31" s="254"/>
      <c r="I31" s="254"/>
      <c r="J31" s="254"/>
      <c r="K31" s="254"/>
      <c r="L31" s="254"/>
    </row>
    <row r="32" spans="2:28" ht="12.75" customHeight="1">
      <c r="B32" s="261" t="str">
        <f>'R&amp;C Kiln'!$AI$294</f>
        <v>Remark</v>
      </c>
      <c r="C32" s="254"/>
      <c r="D32" s="254"/>
      <c r="E32" s="254"/>
      <c r="F32" s="260"/>
      <c r="G32" s="254"/>
      <c r="H32" s="254"/>
      <c r="I32" s="254"/>
      <c r="J32" s="254"/>
      <c r="K32" s="254"/>
      <c r="L32" s="254"/>
    </row>
    <row r="33" spans="2:36" ht="12.75" customHeight="1">
      <c r="B33" s="1134"/>
      <c r="C33" s="1135"/>
      <c r="D33" s="1135"/>
      <c r="E33" s="1135"/>
      <c r="F33" s="1135"/>
      <c r="G33" s="1135"/>
      <c r="H33" s="1135"/>
      <c r="I33" s="1135"/>
      <c r="J33" s="1135"/>
      <c r="K33" s="1135"/>
      <c r="L33" s="1135"/>
      <c r="AD33"/>
      <c r="AE33" s="262"/>
      <c r="AF33" s="262"/>
    </row>
    <row r="34" spans="2:36" ht="12.75" customHeight="1">
      <c r="B34" s="1136"/>
      <c r="C34" s="1137"/>
      <c r="D34" s="1138"/>
      <c r="E34" s="1138"/>
      <c r="F34" s="1139"/>
      <c r="G34" s="1138"/>
      <c r="H34" s="1138"/>
      <c r="I34" s="1138"/>
      <c r="J34" s="1138"/>
      <c r="K34" s="1138"/>
      <c r="L34" s="1138"/>
      <c r="AD34"/>
      <c r="AE34"/>
      <c r="AF34"/>
    </row>
    <row r="35" spans="2:36" ht="12.75" customHeight="1">
      <c r="B35" s="1136"/>
      <c r="C35" s="1138"/>
      <c r="D35" s="1138"/>
      <c r="E35" s="1138"/>
      <c r="F35" s="1139"/>
      <c r="G35" s="1138"/>
      <c r="H35" s="1138"/>
      <c r="I35" s="1138"/>
      <c r="J35" s="1138"/>
      <c r="K35" s="1138"/>
      <c r="L35" s="1138"/>
      <c r="AD35"/>
      <c r="AE35"/>
      <c r="AF35"/>
    </row>
    <row r="36" spans="2:36" ht="12.75" customHeight="1">
      <c r="B36" s="254"/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AD36"/>
      <c r="AE36"/>
      <c r="AF36"/>
      <c r="AG36"/>
      <c r="AH36"/>
      <c r="AI36"/>
    </row>
    <row r="37" spans="2:36" ht="12.75" customHeight="1">
      <c r="B37" s="570" t="str">
        <f>'R&amp;C Kiln'!$AI$330</f>
        <v>Kiln shell segment</v>
      </c>
      <c r="C37" s="571"/>
      <c r="D37" s="571"/>
      <c r="E37" s="571"/>
      <c r="F37" s="572"/>
      <c r="G37" s="573" t="s">
        <v>325</v>
      </c>
      <c r="H37" s="573" t="str">
        <f>'R&amp;C Kiln'!$AI$302</f>
        <v>Emissivity</v>
      </c>
      <c r="I37" s="574" t="str">
        <f>'R&amp;C Kiln'!$AI$358</f>
        <v>Wind</v>
      </c>
      <c r="J37" s="575" t="s">
        <v>313</v>
      </c>
      <c r="K37" s="573" t="s">
        <v>314</v>
      </c>
      <c r="L37" s="573"/>
      <c r="X37" s="263" t="s">
        <v>315</v>
      </c>
      <c r="Y37" s="264" t="s">
        <v>316</v>
      </c>
      <c r="Z37" s="351" t="s">
        <v>313</v>
      </c>
      <c r="AA37" s="351" t="s">
        <v>313</v>
      </c>
      <c r="AB37" s="351" t="s">
        <v>313</v>
      </c>
      <c r="AG37"/>
      <c r="AH37"/>
      <c r="AI37"/>
    </row>
    <row r="38" spans="2:36" ht="12.75" customHeight="1">
      <c r="B38" s="576" t="str">
        <f>'R&amp;C Kiln'!$AI$332</f>
        <v>Position</v>
      </c>
      <c r="C38" s="577"/>
      <c r="D38" s="578" t="str">
        <f>'R&amp;C Kiln'!$AI$317</f>
        <v>Length</v>
      </c>
      <c r="E38" s="579" t="str">
        <f>'R&amp;C Kiln'!$AI$299</f>
        <v>Diameter</v>
      </c>
      <c r="F38" s="579" t="str">
        <f>'R&amp;C Kiln'!$AI$324</f>
        <v>Surface</v>
      </c>
      <c r="G38" s="581"/>
      <c r="H38" s="580" t="s">
        <v>317</v>
      </c>
      <c r="I38" s="581" t="str">
        <f>'R&amp;C Kiln'!$AI$338</f>
        <v>velocity</v>
      </c>
      <c r="J38" s="581" t="str">
        <f>'R&amp;C Kiln'!$AI$347</f>
        <v>total</v>
      </c>
      <c r="K38" s="478"/>
      <c r="L38" s="582" t="str">
        <f>'R&amp;C Kiln'!$AI$294</f>
        <v>Remark</v>
      </c>
      <c r="X38" s="263"/>
      <c r="Y38" s="263"/>
      <c r="Z38" s="263" t="s">
        <v>318</v>
      </c>
      <c r="AA38" s="263" t="s">
        <v>319</v>
      </c>
      <c r="AB38" s="263" t="s">
        <v>320</v>
      </c>
      <c r="AD38" s="263" t="s">
        <v>321</v>
      </c>
      <c r="AE38" s="263" t="s">
        <v>311</v>
      </c>
      <c r="AF38" s="263" t="s">
        <v>312</v>
      </c>
      <c r="AG38"/>
      <c r="AH38" s="362"/>
      <c r="AI38" s="263"/>
      <c r="AJ38" s="263"/>
    </row>
    <row r="39" spans="2:36" ht="12.75" customHeight="1">
      <c r="B39" s="779" t="s">
        <v>824</v>
      </c>
      <c r="C39" s="577"/>
      <c r="D39" s="578"/>
      <c r="E39" s="579"/>
      <c r="F39" s="579"/>
      <c r="G39" s="581"/>
      <c r="H39" s="580"/>
      <c r="I39" s="581"/>
      <c r="J39" s="581"/>
      <c r="K39" s="478"/>
      <c r="L39" s="582"/>
      <c r="X39" s="263"/>
      <c r="Y39" s="263"/>
      <c r="Z39" s="263"/>
      <c r="AA39" s="263"/>
      <c r="AB39" s="263"/>
      <c r="AD39" s="263"/>
      <c r="AE39" s="263"/>
      <c r="AF39" s="263"/>
      <c r="AG39"/>
      <c r="AH39" s="362"/>
      <c r="AI39" s="263"/>
      <c r="AJ39" s="263"/>
    </row>
    <row r="40" spans="2:36" ht="12.75" customHeight="1">
      <c r="B40" s="583" t="s">
        <v>470</v>
      </c>
      <c r="C40" s="583" t="s">
        <v>470</v>
      </c>
      <c r="D40" s="583" t="s">
        <v>470</v>
      </c>
      <c r="E40" s="584" t="s">
        <v>470</v>
      </c>
      <c r="F40" s="584" t="s">
        <v>471</v>
      </c>
      <c r="G40" s="585" t="s">
        <v>473</v>
      </c>
      <c r="H40" s="586" t="s">
        <v>469</v>
      </c>
      <c r="I40" s="587" t="s">
        <v>472</v>
      </c>
      <c r="J40" s="585" t="s">
        <v>322</v>
      </c>
      <c r="K40" s="588" t="s">
        <v>323</v>
      </c>
      <c r="L40" s="588"/>
      <c r="X40" s="263" t="s">
        <v>473</v>
      </c>
      <c r="Y40" s="263" t="s">
        <v>324</v>
      </c>
      <c r="Z40" s="263" t="s">
        <v>322</v>
      </c>
      <c r="AA40" s="263" t="s">
        <v>322</v>
      </c>
      <c r="AB40" s="263" t="s">
        <v>322</v>
      </c>
      <c r="AG40"/>
    </row>
    <row r="41" spans="2:36" ht="12.75" customHeight="1">
      <c r="B41" s="266"/>
      <c r="C41" s="267"/>
      <c r="D41" s="254"/>
      <c r="E41" s="266"/>
      <c r="F41" s="268"/>
      <c r="G41" s="268"/>
      <c r="H41" s="269"/>
      <c r="I41" s="269"/>
      <c r="J41" s="268"/>
      <c r="K41" s="270"/>
      <c r="L41" s="269"/>
      <c r="AG41"/>
      <c r="AH41"/>
      <c r="AI41"/>
    </row>
    <row r="42" spans="2:36" ht="12.75" customHeight="1">
      <c r="B42" s="271">
        <f>IF(P_START="","",0)</f>
        <v>0</v>
      </c>
      <c r="C42" s="1127">
        <v>1</v>
      </c>
      <c r="D42" s="272">
        <f t="shared" ref="D42:D71" si="0">IF(C42="","",C42-B42)</f>
        <v>1</v>
      </c>
      <c r="E42" s="1129">
        <v>4.5999999999999996</v>
      </c>
      <c r="F42" s="273">
        <f t="shared" ref="F42:F71" si="1">IF(D42="","",PI()*D42*E42)</f>
        <v>14.451326206513047</v>
      </c>
      <c r="G42" s="1127">
        <v>138</v>
      </c>
      <c r="H42" s="1131">
        <v>0.9</v>
      </c>
      <c r="I42" s="1131">
        <v>1</v>
      </c>
      <c r="J42" s="273">
        <f t="shared" ref="J42:J71" si="2">IF(F42="","",Z42+SQRT(AA42^2+AB42^2))</f>
        <v>16.920154273384618</v>
      </c>
      <c r="K42" s="274">
        <f t="shared" ref="K42:K73" si="3">IF(F42="","",J42*F42*(G42-$K$22)/1000)</f>
        <v>28.853202926566407</v>
      </c>
      <c r="L42" s="272"/>
      <c r="X42" s="275">
        <f t="shared" ref="X42:X73" si="4">G42-$K$22</f>
        <v>118</v>
      </c>
      <c r="Y42" s="275">
        <f t="shared" ref="Y42:Y73" si="5">(G42+$K$22)/2+273.16</f>
        <v>352.16</v>
      </c>
      <c r="Z42" s="276">
        <f t="shared" ref="Z42:Z71" si="6">5.67*H42*0.04*(Y42/100)^3*(1+0.25*(X42/Y42)^2)</f>
        <v>9.1649018445601094</v>
      </c>
      <c r="AA42" s="277">
        <f t="shared" ref="AA42:AA73" si="7">1.4*($K$24*$K$24*(273.16+TAMB)/Y42*X42)^(1/3)</f>
        <v>7.1430933627262876</v>
      </c>
      <c r="AB42" s="277">
        <f>0.00672*AE42*(AD42*I42/AF42)^0.905*E42^-0.095</f>
        <v>3.0199598418131428</v>
      </c>
      <c r="AD42" s="278">
        <f t="shared" ref="AD42:AD73" si="8">$K$24*(273.16+TAMB)/Y42</f>
        <v>0.96800762118323869</v>
      </c>
      <c r="AE42" s="265">
        <f t="shared" ref="AE42:AE73" si="9">$AA$26+($AA$27-$AA$26)/($Z$27-$Z$26)*(Y42-273.16)</f>
        <v>2.9999777777777778E-2</v>
      </c>
      <c r="AF42" s="253">
        <f t="shared" ref="AF42:AF73" si="10">$AB$26+($AB$27-$AB$26)/($Z$27-$Z$26)*(Y42-273.16)</f>
        <v>2.0066888888888887E-5</v>
      </c>
    </row>
    <row r="43" spans="2:36" ht="12.75" customHeight="1">
      <c r="B43" s="279">
        <f t="shared" ref="B43:B71" si="11">IF(C43="","",C42)</f>
        <v>1</v>
      </c>
      <c r="C43" s="1127">
        <v>2</v>
      </c>
      <c r="D43" s="272">
        <f t="shared" si="0"/>
        <v>1</v>
      </c>
      <c r="E43" s="1129">
        <v>4.5999999999999996</v>
      </c>
      <c r="F43" s="273">
        <f t="shared" si="1"/>
        <v>14.451326206513047</v>
      </c>
      <c r="G43" s="1127">
        <v>155</v>
      </c>
      <c r="H43" s="1131">
        <v>0.9</v>
      </c>
      <c r="I43" s="1131">
        <v>1</v>
      </c>
      <c r="J43" s="273">
        <f t="shared" si="2"/>
        <v>17.896166003932489</v>
      </c>
      <c r="K43" s="274">
        <f t="shared" si="3"/>
        <v>34.914149923779561</v>
      </c>
      <c r="L43" s="272"/>
      <c r="X43" s="275">
        <f t="shared" si="4"/>
        <v>135</v>
      </c>
      <c r="Y43" s="275">
        <f>(G43+$K$22)/2+273.16</f>
        <v>360.66</v>
      </c>
      <c r="Z43" s="276">
        <f>5.67*H43*0.04*(Y43/100)^3*(1+0.25*(X43/Y43)^2)</f>
        <v>9.9113192758444448</v>
      </c>
      <c r="AA43" s="277">
        <f t="shared" si="7"/>
        <v>7.4116959660588053</v>
      </c>
      <c r="AB43" s="277">
        <f>0.00672*AE43*(AD43*I43/AF43)^0.905*E43^-0.095</f>
        <v>2.9706127613282058</v>
      </c>
      <c r="AD43" s="278">
        <f t="shared" si="8"/>
        <v>0.94519371118474282</v>
      </c>
      <c r="AE43" s="265">
        <f t="shared" si="9"/>
        <v>3.0587222222222221E-2</v>
      </c>
      <c r="AF43" s="253">
        <f t="shared" si="10"/>
        <v>2.038611111111111E-5</v>
      </c>
    </row>
    <row r="44" spans="2:36" ht="12.75" customHeight="1">
      <c r="B44" s="279">
        <f t="shared" si="11"/>
        <v>2</v>
      </c>
      <c r="C44" s="1127">
        <v>3</v>
      </c>
      <c r="D44" s="272">
        <f t="shared" si="0"/>
        <v>1</v>
      </c>
      <c r="E44" s="1129">
        <v>4.5999999999999996</v>
      </c>
      <c r="F44" s="273">
        <f t="shared" si="1"/>
        <v>14.451326206513047</v>
      </c>
      <c r="G44" s="1127">
        <v>184</v>
      </c>
      <c r="H44" s="1131">
        <v>0.9</v>
      </c>
      <c r="I44" s="1131">
        <v>10</v>
      </c>
      <c r="J44" s="273">
        <f t="shared" si="2"/>
        <v>35.796178813849671</v>
      </c>
      <c r="K44" s="274">
        <f>IF(F44="","",J44*F44*(G44-$K$22)/1000)</f>
        <v>84.837570145640512</v>
      </c>
      <c r="L44" s="272"/>
      <c r="X44" s="275">
        <f t="shared" si="4"/>
        <v>164</v>
      </c>
      <c r="Y44" s="275">
        <f t="shared" si="5"/>
        <v>375.16</v>
      </c>
      <c r="Z44" s="276">
        <f t="shared" si="6"/>
        <v>11.292832784952877</v>
      </c>
      <c r="AA44" s="277">
        <f t="shared" si="7"/>
        <v>7.8051533370189734</v>
      </c>
      <c r="AB44" s="277">
        <f t="shared" ref="AB44:AB71" si="12">0.00672*AE44*(AD44*I44/AF44)^0.905*E44^-0.095</f>
        <v>23.227000408952374</v>
      </c>
      <c r="AD44" s="278">
        <f t="shared" si="8"/>
        <v>0.90866180796430673</v>
      </c>
      <c r="AE44" s="265">
        <f t="shared" si="9"/>
        <v>3.158933333333333E-2</v>
      </c>
      <c r="AF44" s="253">
        <f t="shared" si="10"/>
        <v>2.0930666666666666E-5</v>
      </c>
    </row>
    <row r="45" spans="2:36" ht="12.75" customHeight="1">
      <c r="B45" s="279">
        <f t="shared" si="11"/>
        <v>3</v>
      </c>
      <c r="C45" s="1127">
        <v>4</v>
      </c>
      <c r="D45" s="272">
        <f t="shared" si="0"/>
        <v>1</v>
      </c>
      <c r="E45" s="1129">
        <v>4.5999999999999996</v>
      </c>
      <c r="F45" s="273">
        <f t="shared" si="1"/>
        <v>14.451326206513047</v>
      </c>
      <c r="G45" s="1127">
        <v>180</v>
      </c>
      <c r="H45" s="1131">
        <v>0.9</v>
      </c>
      <c r="I45" s="1131">
        <v>10</v>
      </c>
      <c r="J45" s="273">
        <f t="shared" si="2"/>
        <v>35.663174021635164</v>
      </c>
      <c r="K45" s="274">
        <f t="shared" si="3"/>
        <v>82.460825815406636</v>
      </c>
      <c r="L45" s="272"/>
      <c r="X45" s="275">
        <f t="shared" si="4"/>
        <v>160</v>
      </c>
      <c r="Y45" s="275">
        <f t="shared" si="5"/>
        <v>373.16</v>
      </c>
      <c r="Z45" s="276">
        <f>5.67*H45*0.04*(Y45/100)^3*(1+0.25*(X45/Y45)^2)</f>
        <v>11.093952938569643</v>
      </c>
      <c r="AA45" s="277">
        <f t="shared" si="7"/>
        <v>7.7549791038991662</v>
      </c>
      <c r="AB45" s="277">
        <f t="shared" si="12"/>
        <v>23.313234947699527</v>
      </c>
      <c r="AD45" s="278">
        <f t="shared" si="8"/>
        <v>0.91353190019265018</v>
      </c>
      <c r="AE45" s="265">
        <f t="shared" si="9"/>
        <v>3.145111111111111E-2</v>
      </c>
      <c r="AF45" s="253">
        <f t="shared" si="10"/>
        <v>2.0855555555555555E-5</v>
      </c>
    </row>
    <row r="46" spans="2:36" ht="12.75" customHeight="1">
      <c r="B46" s="279">
        <f t="shared" si="11"/>
        <v>4</v>
      </c>
      <c r="C46" s="1127">
        <v>5</v>
      </c>
      <c r="D46" s="272">
        <f t="shared" si="0"/>
        <v>1</v>
      </c>
      <c r="E46" s="1129">
        <v>4.5999999999999996</v>
      </c>
      <c r="F46" s="273">
        <f t="shared" si="1"/>
        <v>14.451326206513047</v>
      </c>
      <c r="G46" s="1127">
        <v>185</v>
      </c>
      <c r="H46" s="1131">
        <v>0.9</v>
      </c>
      <c r="I46" s="1131">
        <v>10</v>
      </c>
      <c r="J46" s="273">
        <f>IF(F46="","",Z46+SQRT(AA46^2+AB46^2))</f>
        <v>35.829941460517162</v>
      </c>
      <c r="K46" s="274">
        <f>IF(F46="","",J46*F46*(G46-$K$22)/1000)</f>
        <v>85.435378381023014</v>
      </c>
      <c r="L46" s="272"/>
      <c r="X46" s="275">
        <f t="shared" si="4"/>
        <v>165</v>
      </c>
      <c r="Y46" s="275">
        <f t="shared" si="5"/>
        <v>375.66</v>
      </c>
      <c r="Z46" s="276">
        <f t="shared" si="6"/>
        <v>11.342976713994684</v>
      </c>
      <c r="AA46" s="277">
        <f t="shared" si="7"/>
        <v>7.8175139073481947</v>
      </c>
      <c r="AB46" s="277">
        <f t="shared" si="12"/>
        <v>23.205557929208517</v>
      </c>
      <c r="AD46" s="278">
        <f t="shared" si="8"/>
        <v>0.90745238746709611</v>
      </c>
      <c r="AE46" s="265">
        <f t="shared" si="9"/>
        <v>3.1623888888888889E-2</v>
      </c>
      <c r="AF46" s="253">
        <f t="shared" si="10"/>
        <v>2.0949444444444442E-5</v>
      </c>
    </row>
    <row r="47" spans="2:36" ht="12.75" customHeight="1">
      <c r="B47" s="279">
        <f t="shared" si="11"/>
        <v>5</v>
      </c>
      <c r="C47" s="1127">
        <v>6</v>
      </c>
      <c r="D47" s="272">
        <f t="shared" si="0"/>
        <v>1</v>
      </c>
      <c r="E47" s="1129">
        <v>4.5999999999999996</v>
      </c>
      <c r="F47" s="273">
        <f t="shared" si="1"/>
        <v>14.451326206513047</v>
      </c>
      <c r="G47" s="1127">
        <v>170</v>
      </c>
      <c r="H47" s="1131">
        <v>0.9</v>
      </c>
      <c r="I47" s="1131">
        <v>10</v>
      </c>
      <c r="J47" s="273">
        <f t="shared" si="2"/>
        <v>35.344899782736277</v>
      </c>
      <c r="K47" s="274">
        <f t="shared" si="3"/>
        <v>76.617101474525114</v>
      </c>
      <c r="L47" s="272"/>
      <c r="X47" s="275">
        <f t="shared" si="4"/>
        <v>150</v>
      </c>
      <c r="Y47" s="275">
        <f t="shared" si="5"/>
        <v>368.16</v>
      </c>
      <c r="Z47" s="276">
        <f t="shared" si="6"/>
        <v>10.608517248099568</v>
      </c>
      <c r="AA47" s="277">
        <f t="shared" si="7"/>
        <v>7.6241345441745247</v>
      </c>
      <c r="AB47" s="277">
        <f t="shared" si="12"/>
        <v>23.532131083949974</v>
      </c>
      <c r="AD47" s="278">
        <f t="shared" si="8"/>
        <v>0.92593862417397144</v>
      </c>
      <c r="AE47" s="265">
        <f t="shared" si="9"/>
        <v>3.1105555555555553E-2</v>
      </c>
      <c r="AF47" s="253">
        <f t="shared" si="10"/>
        <v>2.0667777777777778E-5</v>
      </c>
    </row>
    <row r="48" spans="2:36" ht="12.75" customHeight="1">
      <c r="B48" s="279">
        <f t="shared" si="11"/>
        <v>6</v>
      </c>
      <c r="C48" s="1127">
        <v>7</v>
      </c>
      <c r="D48" s="272">
        <f t="shared" si="0"/>
        <v>1</v>
      </c>
      <c r="E48" s="1129">
        <v>4.5999999999999996</v>
      </c>
      <c r="F48" s="273">
        <f t="shared" si="1"/>
        <v>14.451326206513047</v>
      </c>
      <c r="G48" s="1127">
        <v>234</v>
      </c>
      <c r="H48" s="1131">
        <v>0.9</v>
      </c>
      <c r="I48" s="1131">
        <v>10</v>
      </c>
      <c r="J48" s="273">
        <f t="shared" si="2"/>
        <v>37.740004674293203</v>
      </c>
      <c r="K48" s="274">
        <f t="shared" si="3"/>
        <v>116.71412737687717</v>
      </c>
      <c r="L48" s="272"/>
      <c r="X48" s="275">
        <f t="shared" si="4"/>
        <v>214</v>
      </c>
      <c r="Y48" s="275">
        <f t="shared" si="5"/>
        <v>400.16</v>
      </c>
      <c r="Z48" s="276">
        <f t="shared" si="6"/>
        <v>14.014524554583272</v>
      </c>
      <c r="AA48" s="277">
        <f t="shared" si="7"/>
        <v>8.3476782002169418</v>
      </c>
      <c r="AB48" s="277">
        <f t="shared" si="12"/>
        <v>22.208437035873871</v>
      </c>
      <c r="AD48" s="278">
        <f t="shared" si="8"/>
        <v>0.85189315242875185</v>
      </c>
      <c r="AE48" s="265">
        <f t="shared" si="9"/>
        <v>3.331711111111111E-2</v>
      </c>
      <c r="AF48" s="253">
        <f t="shared" si="10"/>
        <v>2.1869555555555556E-5</v>
      </c>
    </row>
    <row r="49" spans="2:32" ht="12.75" customHeight="1">
      <c r="B49" s="279">
        <f t="shared" si="11"/>
        <v>7</v>
      </c>
      <c r="C49" s="1127">
        <v>8</v>
      </c>
      <c r="D49" s="272">
        <f t="shared" si="0"/>
        <v>1</v>
      </c>
      <c r="E49" s="1129">
        <v>4.5999999999999996</v>
      </c>
      <c r="F49" s="273">
        <f t="shared" si="1"/>
        <v>14.451326206513047</v>
      </c>
      <c r="G49" s="1127">
        <v>282</v>
      </c>
      <c r="H49" s="1131">
        <v>0.9</v>
      </c>
      <c r="I49" s="1131">
        <v>10</v>
      </c>
      <c r="J49" s="273">
        <f t="shared" si="2"/>
        <v>40.114319895780135</v>
      </c>
      <c r="K49" s="274">
        <f t="shared" si="3"/>
        <v>151.88274205997982</v>
      </c>
      <c r="L49" s="272"/>
      <c r="X49" s="275">
        <f t="shared" si="4"/>
        <v>262</v>
      </c>
      <c r="Y49" s="275">
        <f t="shared" si="5"/>
        <v>424.16</v>
      </c>
      <c r="Z49" s="276">
        <f t="shared" si="6"/>
        <v>17.062464039745262</v>
      </c>
      <c r="AA49" s="277">
        <f t="shared" si="7"/>
        <v>8.7584958021314634</v>
      </c>
      <c r="AB49" s="277">
        <f t="shared" si="12"/>
        <v>21.323151964272419</v>
      </c>
      <c r="AD49" s="278">
        <f t="shared" si="8"/>
        <v>0.80369097481113105</v>
      </c>
      <c r="AE49" s="265">
        <f t="shared" si="9"/>
        <v>3.4975777777777779E-2</v>
      </c>
      <c r="AF49" s="253">
        <f t="shared" si="10"/>
        <v>2.2770888888888887E-5</v>
      </c>
    </row>
    <row r="50" spans="2:32" ht="12.75" customHeight="1">
      <c r="B50" s="279">
        <f t="shared" si="11"/>
        <v>8</v>
      </c>
      <c r="C50" s="1127">
        <v>9</v>
      </c>
      <c r="D50" s="272">
        <f t="shared" si="0"/>
        <v>1</v>
      </c>
      <c r="E50" s="1129">
        <v>4.5999999999999996</v>
      </c>
      <c r="F50" s="273">
        <f t="shared" si="1"/>
        <v>14.451326206513047</v>
      </c>
      <c r="G50" s="1127">
        <v>292</v>
      </c>
      <c r="H50" s="1131">
        <v>0.9</v>
      </c>
      <c r="I50" s="1131">
        <v>10</v>
      </c>
      <c r="J50" s="273">
        <f t="shared" si="2"/>
        <v>40.674021562569514</v>
      </c>
      <c r="K50" s="274">
        <f t="shared" si="3"/>
        <v>159.87984661495099</v>
      </c>
      <c r="L50" s="272"/>
      <c r="X50" s="275">
        <f t="shared" si="4"/>
        <v>272</v>
      </c>
      <c r="Y50" s="275">
        <f t="shared" si="5"/>
        <v>429.16</v>
      </c>
      <c r="Z50" s="276">
        <f t="shared" si="6"/>
        <v>17.754297382823335</v>
      </c>
      <c r="AA50" s="277">
        <f t="shared" si="7"/>
        <v>8.8339625737781837</v>
      </c>
      <c r="AB50" s="277">
        <f t="shared" si="12"/>
        <v>21.148873769558698</v>
      </c>
      <c r="AD50" s="278">
        <f t="shared" si="8"/>
        <v>0.79432743936035355</v>
      </c>
      <c r="AE50" s="265">
        <f t="shared" si="9"/>
        <v>3.532133333333333E-2</v>
      </c>
      <c r="AF50" s="253">
        <f t="shared" si="10"/>
        <v>2.2958666666666668E-5</v>
      </c>
    </row>
    <row r="51" spans="2:32" ht="12.75" customHeight="1">
      <c r="B51" s="279">
        <f t="shared" si="11"/>
        <v>9</v>
      </c>
      <c r="C51" s="1127">
        <v>10</v>
      </c>
      <c r="D51" s="272">
        <f t="shared" si="0"/>
        <v>1</v>
      </c>
      <c r="E51" s="1129">
        <v>4.5999999999999996</v>
      </c>
      <c r="F51" s="273">
        <f t="shared" si="1"/>
        <v>14.451326206513047</v>
      </c>
      <c r="G51" s="1127">
        <v>285</v>
      </c>
      <c r="H51" s="1131">
        <v>0.9</v>
      </c>
      <c r="I51" s="1131">
        <v>10</v>
      </c>
      <c r="J51" s="273">
        <f t="shared" si="2"/>
        <v>40.279833704045942</v>
      </c>
      <c r="K51" s="274">
        <f t="shared" si="3"/>
        <v>154.25570934633564</v>
      </c>
      <c r="L51" s="272"/>
      <c r="X51" s="275">
        <f t="shared" si="4"/>
        <v>265</v>
      </c>
      <c r="Y51" s="275">
        <f t="shared" si="5"/>
        <v>425.66</v>
      </c>
      <c r="Z51" s="276">
        <f t="shared" si="6"/>
        <v>17.267901174095488</v>
      </c>
      <c r="AA51" s="277">
        <f t="shared" si="7"/>
        <v>8.7814589786303756</v>
      </c>
      <c r="AB51" s="277">
        <f t="shared" si="12"/>
        <v>21.270519903604228</v>
      </c>
      <c r="AD51" s="278">
        <f t="shared" si="8"/>
        <v>0.80085881660454195</v>
      </c>
      <c r="AE51" s="265">
        <f t="shared" si="9"/>
        <v>3.5079444444444441E-2</v>
      </c>
      <c r="AF51" s="253">
        <f t="shared" si="10"/>
        <v>2.2827222222222222E-5</v>
      </c>
    </row>
    <row r="52" spans="2:32" ht="12.75" customHeight="1">
      <c r="B52" s="279">
        <f t="shared" si="11"/>
        <v>10</v>
      </c>
      <c r="C52" s="1127">
        <v>11</v>
      </c>
      <c r="D52" s="272">
        <f t="shared" si="0"/>
        <v>1</v>
      </c>
      <c r="E52" s="1129">
        <v>4.5999999999999996</v>
      </c>
      <c r="F52" s="273">
        <f t="shared" si="1"/>
        <v>14.451326206513047</v>
      </c>
      <c r="G52" s="1127">
        <v>271</v>
      </c>
      <c r="H52" s="1131">
        <v>0.9</v>
      </c>
      <c r="I52" s="1131">
        <v>10</v>
      </c>
      <c r="J52" s="273">
        <f t="shared" si="2"/>
        <v>39.524886048036436</v>
      </c>
      <c r="K52" s="274">
        <f t="shared" si="3"/>
        <v>143.36794241041315</v>
      </c>
      <c r="L52" s="272"/>
      <c r="X52" s="275">
        <f t="shared" si="4"/>
        <v>251</v>
      </c>
      <c r="Y52" s="275">
        <f t="shared" si="5"/>
        <v>418.66</v>
      </c>
      <c r="Z52" s="276">
        <f t="shared" si="6"/>
        <v>16.324523885644574</v>
      </c>
      <c r="AA52" s="277">
        <f t="shared" si="7"/>
        <v>8.6718099219867479</v>
      </c>
      <c r="AB52" s="277">
        <f t="shared" si="12"/>
        <v>21.518748038468129</v>
      </c>
      <c r="AD52" s="278">
        <f t="shared" si="8"/>
        <v>0.814249185200137</v>
      </c>
      <c r="AE52" s="265">
        <f t="shared" si="9"/>
        <v>3.4595666666666663E-2</v>
      </c>
      <c r="AF52" s="253">
        <f t="shared" si="10"/>
        <v>2.2564333333333334E-5</v>
      </c>
    </row>
    <row r="53" spans="2:32" ht="12.75" customHeight="1">
      <c r="B53" s="279">
        <f t="shared" si="11"/>
        <v>11</v>
      </c>
      <c r="C53" s="1127">
        <v>12</v>
      </c>
      <c r="D53" s="272">
        <f t="shared" si="0"/>
        <v>1</v>
      </c>
      <c r="E53" s="1129">
        <v>4.5999999999999996</v>
      </c>
      <c r="F53" s="273">
        <f t="shared" si="1"/>
        <v>14.451326206513047</v>
      </c>
      <c r="G53" s="1127">
        <v>265</v>
      </c>
      <c r="H53" s="1131">
        <v>0.9</v>
      </c>
      <c r="I53" s="1131">
        <v>10</v>
      </c>
      <c r="J53" s="273">
        <f t="shared" si="2"/>
        <v>39.214855692980848</v>
      </c>
      <c r="K53" s="274">
        <f t="shared" si="3"/>
        <v>138.84313458134736</v>
      </c>
      <c r="L53" s="272"/>
      <c r="X53" s="275">
        <f t="shared" si="4"/>
        <v>245</v>
      </c>
      <c r="Y53" s="275">
        <f t="shared" si="5"/>
        <v>415.66</v>
      </c>
      <c r="Z53" s="276">
        <f t="shared" si="6"/>
        <v>15.932060171355323</v>
      </c>
      <c r="AA53" s="277">
        <f t="shared" si="7"/>
        <v>8.6227994008244195</v>
      </c>
      <c r="AB53" s="277">
        <f t="shared" si="12"/>
        <v>21.627202727004885</v>
      </c>
      <c r="AD53" s="278">
        <f t="shared" si="8"/>
        <v>0.82012597766417106</v>
      </c>
      <c r="AE53" s="265">
        <f t="shared" si="9"/>
        <v>3.4388333333333333E-2</v>
      </c>
      <c r="AF53" s="253">
        <f t="shared" si="10"/>
        <v>2.2451666666666667E-5</v>
      </c>
    </row>
    <row r="54" spans="2:32" ht="12.75" customHeight="1">
      <c r="B54" s="279">
        <f t="shared" si="11"/>
        <v>12</v>
      </c>
      <c r="C54" s="1127">
        <v>13</v>
      </c>
      <c r="D54" s="272">
        <f t="shared" si="0"/>
        <v>1</v>
      </c>
      <c r="E54" s="1129">
        <v>4.5999999999999996</v>
      </c>
      <c r="F54" s="273">
        <f t="shared" si="1"/>
        <v>14.451326206513047</v>
      </c>
      <c r="G54" s="1127">
        <v>253</v>
      </c>
      <c r="H54" s="1131">
        <v>0.9</v>
      </c>
      <c r="I54" s="1131">
        <v>10</v>
      </c>
      <c r="J54" s="273">
        <f t="shared" si="2"/>
        <v>38.618862701552018</v>
      </c>
      <c r="K54" s="274">
        <f t="shared" si="3"/>
        <v>130.03585135154762</v>
      </c>
      <c r="L54" s="272"/>
      <c r="X54" s="275">
        <f t="shared" si="4"/>
        <v>233</v>
      </c>
      <c r="Y54" s="275">
        <f t="shared" si="5"/>
        <v>409.66</v>
      </c>
      <c r="Z54" s="276">
        <f t="shared" si="6"/>
        <v>15.168093531644031</v>
      </c>
      <c r="AA54" s="277">
        <f t="shared" si="7"/>
        <v>8.5208539081145478</v>
      </c>
      <c r="AB54" s="277">
        <f t="shared" si="12"/>
        <v>21.847966114420721</v>
      </c>
      <c r="AD54" s="278">
        <f t="shared" si="8"/>
        <v>0.83213778224842394</v>
      </c>
      <c r="AE54" s="265">
        <f t="shared" si="9"/>
        <v>3.3973666666666666E-2</v>
      </c>
      <c r="AF54" s="253">
        <f t="shared" si="10"/>
        <v>2.2226333333333334E-5</v>
      </c>
    </row>
    <row r="55" spans="2:32" ht="12.75" customHeight="1">
      <c r="B55" s="279">
        <f t="shared" si="11"/>
        <v>13</v>
      </c>
      <c r="C55" s="1127">
        <v>14</v>
      </c>
      <c r="D55" s="272">
        <f t="shared" si="0"/>
        <v>1</v>
      </c>
      <c r="E55" s="1129">
        <v>4.5999999999999996</v>
      </c>
      <c r="F55" s="273">
        <f t="shared" si="1"/>
        <v>14.451326206513047</v>
      </c>
      <c r="G55" s="1127">
        <v>201</v>
      </c>
      <c r="H55" s="1131">
        <v>0.9</v>
      </c>
      <c r="I55" s="1131">
        <v>10</v>
      </c>
      <c r="J55" s="273">
        <f t="shared" si="2"/>
        <v>36.398188273433078</v>
      </c>
      <c r="K55" s="274">
        <f t="shared" si="3"/>
        <v>95.206378663848142</v>
      </c>
      <c r="L55" s="272"/>
      <c r="X55" s="275">
        <f t="shared" si="4"/>
        <v>181</v>
      </c>
      <c r="Y55" s="275">
        <f t="shared" si="5"/>
        <v>383.66</v>
      </c>
      <c r="Z55" s="276">
        <f t="shared" si="6"/>
        <v>12.168634891086015</v>
      </c>
      <c r="AA55" s="277">
        <f t="shared" si="7"/>
        <v>8.0060140878557871</v>
      </c>
      <c r="AB55" s="277">
        <f t="shared" si="12"/>
        <v>22.868646561024566</v>
      </c>
      <c r="AD55" s="278">
        <f t="shared" si="8"/>
        <v>0.88853037553012915</v>
      </c>
      <c r="AE55" s="265">
        <f t="shared" si="9"/>
        <v>3.2176777777777776E-2</v>
      </c>
      <c r="AF55" s="253">
        <f t="shared" si="10"/>
        <v>2.1249888888888889E-5</v>
      </c>
    </row>
    <row r="56" spans="2:32" ht="12.75" customHeight="1">
      <c r="B56" s="279">
        <f t="shared" si="11"/>
        <v>14</v>
      </c>
      <c r="C56" s="1127">
        <v>15</v>
      </c>
      <c r="D56" s="272">
        <f t="shared" si="0"/>
        <v>1</v>
      </c>
      <c r="E56" s="1129">
        <v>4.5999999999999996</v>
      </c>
      <c r="F56" s="273">
        <f t="shared" si="1"/>
        <v>14.451326206513047</v>
      </c>
      <c r="G56" s="1127">
        <v>212</v>
      </c>
      <c r="H56" s="1131">
        <v>0.9</v>
      </c>
      <c r="I56" s="1131">
        <v>10</v>
      </c>
      <c r="J56" s="273">
        <f t="shared" si="2"/>
        <v>36.819799030435568</v>
      </c>
      <c r="K56" s="274">
        <f t="shared" si="3"/>
        <v>102.16222591623882</v>
      </c>
      <c r="L56" s="272"/>
      <c r="X56" s="275">
        <f t="shared" si="4"/>
        <v>192</v>
      </c>
      <c r="Y56" s="275">
        <f t="shared" si="5"/>
        <v>389.16</v>
      </c>
      <c r="Z56" s="276">
        <f t="shared" si="6"/>
        <v>12.762201193718701</v>
      </c>
      <c r="AA56" s="277">
        <f t="shared" si="7"/>
        <v>8.1263715897802857</v>
      </c>
      <c r="AB56" s="277">
        <f t="shared" si="12"/>
        <v>22.64354429982232</v>
      </c>
      <c r="AD56" s="278">
        <f t="shared" si="8"/>
        <v>0.87597277180565658</v>
      </c>
      <c r="AE56" s="265">
        <f t="shared" si="9"/>
        <v>3.2556888888888885E-2</v>
      </c>
      <c r="AF56" s="253">
        <f t="shared" si="10"/>
        <v>2.1456444444444442E-5</v>
      </c>
    </row>
    <row r="57" spans="2:32" ht="12.75" customHeight="1">
      <c r="B57" s="279">
        <f t="shared" si="11"/>
        <v>15</v>
      </c>
      <c r="C57" s="1127">
        <v>16</v>
      </c>
      <c r="D57" s="272">
        <f t="shared" si="0"/>
        <v>1</v>
      </c>
      <c r="E57" s="1129">
        <v>4.5999999999999996</v>
      </c>
      <c r="F57" s="273">
        <f t="shared" si="1"/>
        <v>14.451326206513047</v>
      </c>
      <c r="G57" s="1127">
        <v>222</v>
      </c>
      <c r="H57" s="1131">
        <v>0.9</v>
      </c>
      <c r="I57" s="1131">
        <v>10</v>
      </c>
      <c r="J57" s="273">
        <f t="shared" si="2"/>
        <v>37.225254436128758</v>
      </c>
      <c r="K57" s="274">
        <f t="shared" si="3"/>
        <v>108.66676758534258</v>
      </c>
      <c r="L57" s="272"/>
      <c r="X57" s="275">
        <f t="shared" si="4"/>
        <v>202</v>
      </c>
      <c r="Y57" s="275">
        <f t="shared" si="5"/>
        <v>394.16</v>
      </c>
      <c r="Z57" s="276">
        <f t="shared" si="6"/>
        <v>13.320535157916781</v>
      </c>
      <c r="AA57" s="277">
        <f t="shared" si="7"/>
        <v>8.229976704288541</v>
      </c>
      <c r="AB57" s="277">
        <f t="shared" si="12"/>
        <v>22.443330573178915</v>
      </c>
      <c r="AD57" s="278">
        <f t="shared" si="8"/>
        <v>0.86486087851605775</v>
      </c>
      <c r="AE57" s="265">
        <f t="shared" si="9"/>
        <v>3.2902444444444442E-2</v>
      </c>
      <c r="AF57" s="253">
        <f t="shared" si="10"/>
        <v>2.1644222222222223E-5</v>
      </c>
    </row>
    <row r="58" spans="2:32" ht="12.75" customHeight="1">
      <c r="B58" s="279">
        <f t="shared" si="11"/>
        <v>16</v>
      </c>
      <c r="C58" s="1127">
        <v>17</v>
      </c>
      <c r="D58" s="272">
        <f t="shared" si="0"/>
        <v>1</v>
      </c>
      <c r="E58" s="1129">
        <v>4.5999999999999996</v>
      </c>
      <c r="F58" s="273">
        <f t="shared" si="1"/>
        <v>14.451326206513047</v>
      </c>
      <c r="G58" s="1127">
        <v>220</v>
      </c>
      <c r="H58" s="1131">
        <v>0.9</v>
      </c>
      <c r="I58" s="1131">
        <v>10</v>
      </c>
      <c r="J58" s="273">
        <f t="shared" si="2"/>
        <v>37.142462494253948</v>
      </c>
      <c r="K58" s="274">
        <f t="shared" si="3"/>
        <v>107.351568323528</v>
      </c>
      <c r="L58" s="272"/>
      <c r="X58" s="275">
        <f t="shared" si="4"/>
        <v>200</v>
      </c>
      <c r="Y58" s="275">
        <f t="shared" si="5"/>
        <v>393.16</v>
      </c>
      <c r="Z58" s="276">
        <f t="shared" si="6"/>
        <v>13.207425938849969</v>
      </c>
      <c r="AA58" s="277">
        <f t="shared" si="7"/>
        <v>8.2096735648269821</v>
      </c>
      <c r="AB58" s="277">
        <f t="shared" si="12"/>
        <v>22.483043274154543</v>
      </c>
      <c r="AD58" s="278">
        <f t="shared" si="8"/>
        <v>0.86706064674913352</v>
      </c>
      <c r="AE58" s="265">
        <f t="shared" si="9"/>
        <v>3.2833333333333332E-2</v>
      </c>
      <c r="AF58" s="253">
        <f t="shared" si="10"/>
        <v>2.1606666666666664E-5</v>
      </c>
    </row>
    <row r="59" spans="2:32" ht="12.75" customHeight="1">
      <c r="B59" s="279">
        <f t="shared" si="11"/>
        <v>17</v>
      </c>
      <c r="C59" s="1127">
        <v>18</v>
      </c>
      <c r="D59" s="272">
        <f t="shared" si="0"/>
        <v>1</v>
      </c>
      <c r="E59" s="1129">
        <v>4.5999999999999996</v>
      </c>
      <c r="F59" s="273">
        <f t="shared" si="1"/>
        <v>14.451326206513047</v>
      </c>
      <c r="G59" s="1127">
        <v>213</v>
      </c>
      <c r="H59" s="1131">
        <v>0.9</v>
      </c>
      <c r="I59" s="1131">
        <v>10</v>
      </c>
      <c r="J59" s="273">
        <f t="shared" si="2"/>
        <v>36.859390216976486</v>
      </c>
      <c r="K59" s="274">
        <f t="shared" si="3"/>
        <v>102.80474485714579</v>
      </c>
      <c r="L59" s="272"/>
      <c r="X59" s="275">
        <f t="shared" si="4"/>
        <v>193</v>
      </c>
      <c r="Y59" s="275">
        <f t="shared" si="5"/>
        <v>389.66</v>
      </c>
      <c r="Z59" s="276">
        <f t="shared" si="6"/>
        <v>12.817226440275711</v>
      </c>
      <c r="AA59" s="277">
        <f t="shared" si="7"/>
        <v>8.1369720979470017</v>
      </c>
      <c r="AB59" s="277">
        <f t="shared" si="12"/>
        <v>22.623335831458075</v>
      </c>
      <c r="AD59" s="278">
        <f t="shared" si="8"/>
        <v>0.87484874987396533</v>
      </c>
      <c r="AE59" s="265">
        <f t="shared" si="9"/>
        <v>3.2591444444444444E-2</v>
      </c>
      <c r="AF59" s="253">
        <f t="shared" si="10"/>
        <v>2.1475222222222222E-5</v>
      </c>
    </row>
    <row r="60" spans="2:32" ht="12.75" customHeight="1">
      <c r="B60" s="279">
        <f t="shared" si="11"/>
        <v>18</v>
      </c>
      <c r="C60" s="1127">
        <v>19</v>
      </c>
      <c r="D60" s="272">
        <f t="shared" si="0"/>
        <v>1</v>
      </c>
      <c r="E60" s="1129">
        <v>4.5999999999999996</v>
      </c>
      <c r="F60" s="273">
        <f t="shared" si="1"/>
        <v>14.451326206513047</v>
      </c>
      <c r="G60" s="1127">
        <v>205</v>
      </c>
      <c r="H60" s="1131">
        <v>0.9</v>
      </c>
      <c r="I60" s="1131">
        <v>10</v>
      </c>
      <c r="J60" s="273">
        <f t="shared" si="2"/>
        <v>36.548562918781769</v>
      </c>
      <c r="K60" s="274">
        <f t="shared" si="3"/>
        <v>97.712412946937661</v>
      </c>
      <c r="L60" s="272"/>
      <c r="X60" s="275">
        <f t="shared" si="4"/>
        <v>185</v>
      </c>
      <c r="Y60" s="275">
        <f t="shared" si="5"/>
        <v>385.66</v>
      </c>
      <c r="Z60" s="276">
        <f t="shared" si="6"/>
        <v>12.382004375294844</v>
      </c>
      <c r="AA60" s="277">
        <f t="shared" si="7"/>
        <v>8.0505961826187118</v>
      </c>
      <c r="AB60" s="277">
        <f t="shared" si="12"/>
        <v>22.78618996103091</v>
      </c>
      <c r="AD60" s="278">
        <f t="shared" si="8"/>
        <v>0.88392253247909902</v>
      </c>
      <c r="AE60" s="265">
        <f t="shared" si="9"/>
        <v>3.2314999999999997E-2</v>
      </c>
      <c r="AF60" s="253">
        <f t="shared" si="10"/>
        <v>2.1325E-5</v>
      </c>
    </row>
    <row r="61" spans="2:32" ht="12.75" customHeight="1">
      <c r="B61" s="279">
        <f t="shared" si="11"/>
        <v>19</v>
      </c>
      <c r="C61" s="1127">
        <v>20</v>
      </c>
      <c r="D61" s="272">
        <f t="shared" si="0"/>
        <v>1</v>
      </c>
      <c r="E61" s="1129">
        <v>4.5999999999999996</v>
      </c>
      <c r="F61" s="273">
        <f t="shared" si="1"/>
        <v>14.451326206513047</v>
      </c>
      <c r="G61" s="1127">
        <v>200</v>
      </c>
      <c r="H61" s="1131">
        <v>0.9</v>
      </c>
      <c r="I61" s="1131">
        <v>10</v>
      </c>
      <c r="J61" s="273">
        <f t="shared" si="2"/>
        <v>36.361117038926125</v>
      </c>
      <c r="K61" s="274">
        <f t="shared" si="3"/>
        <v>94.583945441289814</v>
      </c>
      <c r="L61" s="272"/>
      <c r="X61" s="275">
        <f t="shared" si="4"/>
        <v>180</v>
      </c>
      <c r="Y61" s="275">
        <f t="shared" si="5"/>
        <v>383.16</v>
      </c>
      <c r="Z61" s="276">
        <f t="shared" si="6"/>
        <v>12.115731031029807</v>
      </c>
      <c r="AA61" s="277">
        <f t="shared" si="7"/>
        <v>7.9947173248583985</v>
      </c>
      <c r="AB61" s="277">
        <f t="shared" si="12"/>
        <v>22.889369531891951</v>
      </c>
      <c r="AD61" s="278">
        <f t="shared" si="8"/>
        <v>0.88968985247909316</v>
      </c>
      <c r="AE61" s="265">
        <f t="shared" si="9"/>
        <v>3.2142222222222225E-2</v>
      </c>
      <c r="AF61" s="253">
        <f t="shared" si="10"/>
        <v>2.123111111111111E-5</v>
      </c>
    </row>
    <row r="62" spans="2:32" ht="12.75" customHeight="1">
      <c r="B62" s="279">
        <f t="shared" si="11"/>
        <v>20</v>
      </c>
      <c r="C62" s="1127">
        <v>21</v>
      </c>
      <c r="D62" s="272">
        <f t="shared" si="0"/>
        <v>1</v>
      </c>
      <c r="E62" s="1129">
        <v>4.5999999999999996</v>
      </c>
      <c r="F62" s="273">
        <f t="shared" si="1"/>
        <v>14.451326206513047</v>
      </c>
      <c r="G62" s="1127">
        <v>291</v>
      </c>
      <c r="H62" s="1131">
        <v>0.9</v>
      </c>
      <c r="I62" s="1131">
        <v>10</v>
      </c>
      <c r="J62" s="273">
        <f t="shared" si="2"/>
        <v>40.617022136763381</v>
      </c>
      <c r="K62" s="274">
        <f t="shared" si="3"/>
        <v>159.0688256740284</v>
      </c>
      <c r="L62" s="272"/>
      <c r="X62" s="275">
        <f t="shared" si="4"/>
        <v>271</v>
      </c>
      <c r="Y62" s="275">
        <f t="shared" si="5"/>
        <v>428.66</v>
      </c>
      <c r="Z62" s="276">
        <f t="shared" si="6"/>
        <v>17.684205777792734</v>
      </c>
      <c r="AA62" s="277">
        <f t="shared" si="7"/>
        <v>8.8265525177272615</v>
      </c>
      <c r="AB62" s="277">
        <f t="shared" si="12"/>
        <v>21.166153094175481</v>
      </c>
      <c r="AD62" s="278">
        <f t="shared" si="8"/>
        <v>0.79525396322467534</v>
      </c>
      <c r="AE62" s="265">
        <f t="shared" si="9"/>
        <v>3.5286777777777778E-2</v>
      </c>
      <c r="AF62" s="253">
        <f t="shared" si="10"/>
        <v>2.2939888888888888E-5</v>
      </c>
    </row>
    <row r="63" spans="2:32" ht="12.75" customHeight="1">
      <c r="B63" s="279">
        <f t="shared" si="11"/>
        <v>21</v>
      </c>
      <c r="C63" s="1127">
        <v>22</v>
      </c>
      <c r="D63" s="272">
        <f t="shared" si="0"/>
        <v>1</v>
      </c>
      <c r="E63" s="1129">
        <v>4.5999999999999996</v>
      </c>
      <c r="F63" s="273">
        <f t="shared" si="1"/>
        <v>14.451326206513047</v>
      </c>
      <c r="G63" s="1127">
        <v>326</v>
      </c>
      <c r="H63" s="1131">
        <v>0.9</v>
      </c>
      <c r="I63" s="1131">
        <v>10</v>
      </c>
      <c r="J63" s="273">
        <f t="shared" si="2"/>
        <v>42.7501508816121</v>
      </c>
      <c r="K63" s="274">
        <f t="shared" si="3"/>
        <v>189.04569098495529</v>
      </c>
      <c r="L63" s="272"/>
      <c r="X63" s="275">
        <f t="shared" si="4"/>
        <v>306</v>
      </c>
      <c r="Y63" s="275">
        <f t="shared" si="5"/>
        <v>446.16</v>
      </c>
      <c r="Z63" s="276">
        <f t="shared" si="6"/>
        <v>20.26017745801202</v>
      </c>
      <c r="AA63" s="277">
        <f t="shared" si="7"/>
        <v>9.06948438704746</v>
      </c>
      <c r="AB63" s="277">
        <f t="shared" si="12"/>
        <v>20.58016903592728</v>
      </c>
      <c r="AD63" s="278">
        <f t="shared" si="8"/>
        <v>0.76406124232537509</v>
      </c>
      <c r="AE63" s="265">
        <f t="shared" si="9"/>
        <v>3.6496222222222222E-2</v>
      </c>
      <c r="AF63" s="253">
        <f t="shared" si="10"/>
        <v>2.359711111111111E-5</v>
      </c>
    </row>
    <row r="64" spans="2:32" ht="12.75" customHeight="1">
      <c r="B64" s="279">
        <f t="shared" si="11"/>
        <v>22</v>
      </c>
      <c r="C64" s="1127">
        <v>23</v>
      </c>
      <c r="D64" s="272">
        <f t="shared" si="0"/>
        <v>1</v>
      </c>
      <c r="E64" s="1129">
        <v>4.5999999999999996</v>
      </c>
      <c r="F64" s="273">
        <f t="shared" si="1"/>
        <v>14.451326206513047</v>
      </c>
      <c r="G64" s="1127">
        <v>314</v>
      </c>
      <c r="H64" s="1131">
        <v>0.9</v>
      </c>
      <c r="I64" s="1131">
        <v>10</v>
      </c>
      <c r="J64" s="273">
        <f t="shared" si="2"/>
        <v>41.986511061489708</v>
      </c>
      <c r="K64" s="274">
        <f t="shared" si="3"/>
        <v>178.38766568114909</v>
      </c>
      <c r="L64" s="272"/>
      <c r="X64" s="275">
        <f t="shared" si="4"/>
        <v>294</v>
      </c>
      <c r="Y64" s="275">
        <f t="shared" si="5"/>
        <v>440.16</v>
      </c>
      <c r="Z64" s="276">
        <f t="shared" si="6"/>
        <v>19.348203969671918</v>
      </c>
      <c r="AA64" s="277">
        <f t="shared" si="7"/>
        <v>8.9898252895803132</v>
      </c>
      <c r="AB64" s="277">
        <f t="shared" si="12"/>
        <v>20.776813741434697</v>
      </c>
      <c r="AD64" s="278">
        <f t="shared" si="8"/>
        <v>0.77447647190996305</v>
      </c>
      <c r="AE64" s="265">
        <f t="shared" si="9"/>
        <v>3.6081555555555554E-2</v>
      </c>
      <c r="AF64" s="253">
        <f t="shared" si="10"/>
        <v>2.3371777777777778E-5</v>
      </c>
    </row>
    <row r="65" spans="2:32" ht="12.75" customHeight="1">
      <c r="B65" s="279">
        <f t="shared" si="11"/>
        <v>23</v>
      </c>
      <c r="C65" s="1127">
        <v>24</v>
      </c>
      <c r="D65" s="272">
        <f t="shared" si="0"/>
        <v>1</v>
      </c>
      <c r="E65" s="1129">
        <v>4.5999999999999996</v>
      </c>
      <c r="F65" s="273">
        <f t="shared" si="1"/>
        <v>14.451326206513047</v>
      </c>
      <c r="G65" s="1127">
        <v>291</v>
      </c>
      <c r="H65" s="1131">
        <v>0.9</v>
      </c>
      <c r="I65" s="1131">
        <v>10</v>
      </c>
      <c r="J65" s="273">
        <f t="shared" si="2"/>
        <v>40.617022136763381</v>
      </c>
      <c r="K65" s="274">
        <f t="shared" si="3"/>
        <v>159.0688256740284</v>
      </c>
      <c r="L65" s="272"/>
      <c r="X65" s="275">
        <f t="shared" si="4"/>
        <v>271</v>
      </c>
      <c r="Y65" s="275">
        <f t="shared" si="5"/>
        <v>428.66</v>
      </c>
      <c r="Z65" s="276">
        <f t="shared" si="6"/>
        <v>17.684205777792734</v>
      </c>
      <c r="AA65" s="277">
        <f t="shared" si="7"/>
        <v>8.8265525177272615</v>
      </c>
      <c r="AB65" s="277">
        <f t="shared" si="12"/>
        <v>21.166153094175481</v>
      </c>
      <c r="AD65" s="278">
        <f t="shared" si="8"/>
        <v>0.79525396322467534</v>
      </c>
      <c r="AE65" s="265">
        <f t="shared" si="9"/>
        <v>3.5286777777777778E-2</v>
      </c>
      <c r="AF65" s="253">
        <f t="shared" si="10"/>
        <v>2.2939888888888888E-5</v>
      </c>
    </row>
    <row r="66" spans="2:32" ht="12.75" customHeight="1">
      <c r="B66" s="279">
        <f t="shared" si="11"/>
        <v>24</v>
      </c>
      <c r="C66" s="1127">
        <v>25</v>
      </c>
      <c r="D66" s="272">
        <f t="shared" si="0"/>
        <v>1</v>
      </c>
      <c r="E66" s="1129">
        <v>4.5999999999999996</v>
      </c>
      <c r="F66" s="273">
        <f t="shared" si="1"/>
        <v>14.451326206513047</v>
      </c>
      <c r="G66" s="1127">
        <v>341</v>
      </c>
      <c r="H66" s="1131">
        <v>0.9</v>
      </c>
      <c r="I66" s="1131">
        <v>1</v>
      </c>
      <c r="J66" s="273">
        <f t="shared" si="2"/>
        <v>30.9508569582406</v>
      </c>
      <c r="K66" s="274">
        <f t="shared" si="3"/>
        <v>143.57717861816556</v>
      </c>
      <c r="L66" s="272"/>
      <c r="X66" s="275">
        <f t="shared" si="4"/>
        <v>321</v>
      </c>
      <c r="Y66" s="275">
        <f t="shared" si="5"/>
        <v>453.66</v>
      </c>
      <c r="Z66" s="276">
        <f t="shared" si="6"/>
        <v>21.443413890363132</v>
      </c>
      <c r="AA66" s="277">
        <f t="shared" si="7"/>
        <v>9.1642553238794644</v>
      </c>
      <c r="AB66" s="277">
        <f t="shared" si="12"/>
        <v>2.5313826355725442</v>
      </c>
      <c r="AD66" s="278">
        <f t="shared" si="8"/>
        <v>0.7514296254373084</v>
      </c>
      <c r="AE66" s="265">
        <f t="shared" si="9"/>
        <v>3.7014555555555557E-2</v>
      </c>
      <c r="AF66" s="253">
        <f t="shared" si="10"/>
        <v>2.3878777777777778E-5</v>
      </c>
    </row>
    <row r="67" spans="2:32" ht="12.75" customHeight="1">
      <c r="B67" s="279">
        <f t="shared" si="11"/>
        <v>25</v>
      </c>
      <c r="C67" s="1127">
        <v>26</v>
      </c>
      <c r="D67" s="272">
        <f t="shared" si="0"/>
        <v>1</v>
      </c>
      <c r="E67" s="1129">
        <v>4.5999999999999996</v>
      </c>
      <c r="F67" s="273">
        <f t="shared" si="1"/>
        <v>14.451326206513047</v>
      </c>
      <c r="G67" s="1127">
        <v>325</v>
      </c>
      <c r="H67" s="1131">
        <v>0.9</v>
      </c>
      <c r="I67" s="1131">
        <v>1</v>
      </c>
      <c r="J67" s="273">
        <f t="shared" si="2"/>
        <v>29.601499348137914</v>
      </c>
      <c r="K67" s="274">
        <f t="shared" si="3"/>
        <v>130.47318160095639</v>
      </c>
      <c r="L67" s="272"/>
      <c r="X67" s="275">
        <f t="shared" si="4"/>
        <v>305</v>
      </c>
      <c r="Y67" s="275">
        <f t="shared" si="5"/>
        <v>445.66</v>
      </c>
      <c r="Z67" s="276">
        <f t="shared" si="6"/>
        <v>20.183013425655805</v>
      </c>
      <c r="AA67" s="277">
        <f t="shared" si="7"/>
        <v>9.0629808078073193</v>
      </c>
      <c r="AB67" s="277">
        <f t="shared" si="12"/>
        <v>2.5632510507770947</v>
      </c>
      <c r="AD67" s="278">
        <f t="shared" si="8"/>
        <v>0.76491846671428743</v>
      </c>
      <c r="AE67" s="265">
        <f t="shared" si="9"/>
        <v>3.646166666666667E-2</v>
      </c>
      <c r="AF67" s="253">
        <f t="shared" si="10"/>
        <v>2.3578333333333331E-5</v>
      </c>
    </row>
    <row r="68" spans="2:32" ht="12.75" customHeight="1">
      <c r="B68" s="279">
        <f t="shared" si="11"/>
        <v>26</v>
      </c>
      <c r="C68" s="1127">
        <v>27</v>
      </c>
      <c r="D68" s="272">
        <f t="shared" si="0"/>
        <v>1</v>
      </c>
      <c r="E68" s="1129">
        <v>4.5999999999999996</v>
      </c>
      <c r="F68" s="273">
        <f t="shared" si="1"/>
        <v>14.451326206513047</v>
      </c>
      <c r="G68" s="1127">
        <v>290</v>
      </c>
      <c r="H68" s="1131">
        <v>0.9</v>
      </c>
      <c r="I68" s="1131">
        <v>1</v>
      </c>
      <c r="J68" s="273">
        <f t="shared" si="2"/>
        <v>26.819038178032358</v>
      </c>
      <c r="K68" s="274">
        <f t="shared" si="3"/>
        <v>104.64408069903168</v>
      </c>
      <c r="L68" s="272"/>
      <c r="X68" s="275">
        <f t="shared" si="4"/>
        <v>270</v>
      </c>
      <c r="Y68" s="275">
        <f t="shared" si="5"/>
        <v>428.16</v>
      </c>
      <c r="Z68" s="276">
        <f t="shared" si="6"/>
        <v>17.614316827180527</v>
      </c>
      <c r="AA68" s="277">
        <f t="shared" si="7"/>
        <v>8.8191126484991251</v>
      </c>
      <c r="AB68" s="277">
        <f t="shared" si="12"/>
        <v>2.6363131907856299</v>
      </c>
      <c r="AD68" s="278">
        <f t="shared" si="8"/>
        <v>0.79618265105542163</v>
      </c>
      <c r="AE68" s="265">
        <f t="shared" si="9"/>
        <v>3.525222222222222E-2</v>
      </c>
      <c r="AF68" s="253">
        <f t="shared" si="10"/>
        <v>2.2921111111111109E-5</v>
      </c>
    </row>
    <row r="69" spans="2:32" ht="12.75" customHeight="1">
      <c r="B69" s="279">
        <f t="shared" si="11"/>
        <v>27</v>
      </c>
      <c r="C69" s="1127">
        <v>28</v>
      </c>
      <c r="D69" s="272">
        <f t="shared" si="0"/>
        <v>1</v>
      </c>
      <c r="E69" s="1129">
        <v>4.5999999999999996</v>
      </c>
      <c r="F69" s="273">
        <f t="shared" si="1"/>
        <v>14.451326206513047</v>
      </c>
      <c r="G69" s="1127">
        <v>195</v>
      </c>
      <c r="H69" s="1131">
        <v>0.9</v>
      </c>
      <c r="I69" s="1131">
        <v>1</v>
      </c>
      <c r="J69" s="273">
        <f t="shared" si="2"/>
        <v>20.291207864092989</v>
      </c>
      <c r="K69" s="274">
        <f t="shared" si="3"/>
        <v>51.316101194429869</v>
      </c>
      <c r="L69" s="272"/>
      <c r="X69" s="275">
        <f t="shared" si="4"/>
        <v>175</v>
      </c>
      <c r="Y69" s="275">
        <f t="shared" si="5"/>
        <v>380.66</v>
      </c>
      <c r="Z69" s="276">
        <f t="shared" si="6"/>
        <v>11.853827487724766</v>
      </c>
      <c r="AA69" s="277">
        <f t="shared" si="7"/>
        <v>7.9372964484466824</v>
      </c>
      <c r="AB69" s="277">
        <f t="shared" si="12"/>
        <v>2.8615926867741379</v>
      </c>
      <c r="AD69" s="278">
        <f t="shared" si="8"/>
        <v>0.89553292669544826</v>
      </c>
      <c r="AE69" s="265">
        <f t="shared" si="9"/>
        <v>3.1969444444444446E-2</v>
      </c>
      <c r="AF69" s="253">
        <f t="shared" si="10"/>
        <v>2.1137222222222223E-5</v>
      </c>
    </row>
    <row r="70" spans="2:32" ht="12.75" customHeight="1">
      <c r="B70" s="279">
        <f t="shared" si="11"/>
        <v>28</v>
      </c>
      <c r="C70" s="1127">
        <v>29</v>
      </c>
      <c r="D70" s="272">
        <f t="shared" si="0"/>
        <v>1</v>
      </c>
      <c r="E70" s="1129">
        <v>4.5999999999999996</v>
      </c>
      <c r="F70" s="273">
        <f t="shared" si="1"/>
        <v>14.451326206513047</v>
      </c>
      <c r="G70" s="1127">
        <v>297</v>
      </c>
      <c r="H70" s="1131">
        <v>0.9</v>
      </c>
      <c r="I70" s="1131">
        <v>1</v>
      </c>
      <c r="J70" s="273">
        <f t="shared" si="2"/>
        <v>27.357582110442316</v>
      </c>
      <c r="K70" s="274">
        <f t="shared" si="3"/>
        <v>109.51287609395251</v>
      </c>
      <c r="L70" s="272"/>
      <c r="X70" s="275">
        <f t="shared" si="4"/>
        <v>277</v>
      </c>
      <c r="Y70" s="275">
        <f t="shared" si="5"/>
        <v>431.66</v>
      </c>
      <c r="Z70" s="276">
        <f t="shared" si="6"/>
        <v>18.107805940552385</v>
      </c>
      <c r="AA70" s="277">
        <f t="shared" si="7"/>
        <v>8.8705725741044645</v>
      </c>
      <c r="AB70" s="277">
        <f t="shared" si="12"/>
        <v>2.6213167303111775</v>
      </c>
      <c r="AD70" s="278">
        <f t="shared" si="8"/>
        <v>0.789727016345942</v>
      </c>
      <c r="AE70" s="265">
        <f t="shared" si="9"/>
        <v>3.5494111111111108E-2</v>
      </c>
      <c r="AF70" s="253">
        <f t="shared" si="10"/>
        <v>2.3052555555555554E-5</v>
      </c>
    </row>
    <row r="71" spans="2:32" ht="12.75" customHeight="1">
      <c r="B71" s="279">
        <f t="shared" si="11"/>
        <v>29</v>
      </c>
      <c r="C71" s="1127">
        <v>30</v>
      </c>
      <c r="D71" s="272">
        <f t="shared" si="0"/>
        <v>1</v>
      </c>
      <c r="E71" s="1129">
        <v>4.5999999999999996</v>
      </c>
      <c r="F71" s="273">
        <f t="shared" si="1"/>
        <v>14.451326206513047</v>
      </c>
      <c r="G71" s="1127">
        <v>371</v>
      </c>
      <c r="H71" s="1131">
        <v>0.9</v>
      </c>
      <c r="I71" s="1131">
        <v>1</v>
      </c>
      <c r="J71" s="273">
        <f t="shared" si="2"/>
        <v>33.619641248467971</v>
      </c>
      <c r="K71" s="274">
        <f t="shared" si="3"/>
        <v>170.53278932227084</v>
      </c>
      <c r="L71" s="272"/>
      <c r="X71" s="275">
        <f t="shared" si="4"/>
        <v>351</v>
      </c>
      <c r="Y71" s="275">
        <f t="shared" si="5"/>
        <v>468.66</v>
      </c>
      <c r="Z71" s="276">
        <f t="shared" si="6"/>
        <v>23.958045419985378</v>
      </c>
      <c r="AA71" s="277">
        <f t="shared" si="7"/>
        <v>9.3394666421658314</v>
      </c>
      <c r="AB71" s="277">
        <f t="shared" si="12"/>
        <v>2.4740244123338533</v>
      </c>
      <c r="AD71" s="278">
        <f t="shared" si="8"/>
        <v>0.72737925975310314</v>
      </c>
      <c r="AE71" s="265">
        <f t="shared" si="9"/>
        <v>3.8051222222222222E-2</v>
      </c>
      <c r="AF71" s="253">
        <f t="shared" si="10"/>
        <v>2.444211111111111E-5</v>
      </c>
    </row>
    <row r="72" spans="2:32" ht="12.75" customHeight="1">
      <c r="B72" s="271">
        <f>IF(C72="","",C71)</f>
        <v>30</v>
      </c>
      <c r="C72" s="1127">
        <v>31</v>
      </c>
      <c r="D72" s="272">
        <f t="shared" ref="D72:D118" si="13">IF(C72="","",C72-B72)</f>
        <v>1</v>
      </c>
      <c r="E72" s="1129">
        <v>4.5999999999999996</v>
      </c>
      <c r="F72" s="273">
        <f t="shared" ref="F72:F118" si="14">IF(D72="","",PI()*D72*E72)</f>
        <v>14.451326206513047</v>
      </c>
      <c r="G72" s="1127">
        <v>369</v>
      </c>
      <c r="H72" s="1131">
        <v>0.9</v>
      </c>
      <c r="I72" s="1131">
        <v>1</v>
      </c>
      <c r="J72" s="273">
        <f t="shared" ref="J72:J118" si="15">IF(F72="","",Z72+SQRT(AA72^2+AB72^2))</f>
        <v>33.435925980794252</v>
      </c>
      <c r="K72" s="274">
        <f t="shared" si="3"/>
        <v>168.63452220448357</v>
      </c>
      <c r="L72" s="272"/>
      <c r="X72" s="275">
        <f t="shared" si="4"/>
        <v>349</v>
      </c>
      <c r="Y72" s="275">
        <f t="shared" si="5"/>
        <v>467.66</v>
      </c>
      <c r="Z72" s="276">
        <f t="shared" ref="Z72:Z118" si="16">5.67*H72*0.04*(Y72/100)^3*(1+0.25*(X72/Y72)^2)</f>
        <v>23.784134596855356</v>
      </c>
      <c r="AA72" s="277">
        <f t="shared" si="7"/>
        <v>9.3283335452329172</v>
      </c>
      <c r="AB72" s="277">
        <f t="shared" ref="AB72:AB118" si="17">0.00672*AE72*(AD72*I72/AF72)^0.905*E72^-0.095</f>
        <v>2.4777550702116296</v>
      </c>
      <c r="AD72" s="278">
        <f t="shared" si="8"/>
        <v>0.72893461890238498</v>
      </c>
      <c r="AE72" s="265">
        <f t="shared" si="9"/>
        <v>3.7982111111111112E-2</v>
      </c>
      <c r="AF72" s="253">
        <f t="shared" si="10"/>
        <v>2.4404555555555554E-5</v>
      </c>
    </row>
    <row r="73" spans="2:32" ht="12.75" customHeight="1">
      <c r="B73" s="279">
        <f t="shared" ref="B73:B118" si="18">IF(C73="","",C72)</f>
        <v>31</v>
      </c>
      <c r="C73" s="1127">
        <v>32</v>
      </c>
      <c r="D73" s="272">
        <f t="shared" si="13"/>
        <v>1</v>
      </c>
      <c r="E73" s="1129">
        <v>4.5999999999999996</v>
      </c>
      <c r="F73" s="273">
        <f t="shared" si="14"/>
        <v>14.451326206513047</v>
      </c>
      <c r="G73" s="1127">
        <v>388</v>
      </c>
      <c r="H73" s="1131">
        <v>0.9</v>
      </c>
      <c r="I73" s="1131">
        <v>10</v>
      </c>
      <c r="J73" s="273">
        <f t="shared" si="15"/>
        <v>47.250178457788216</v>
      </c>
      <c r="K73" s="274">
        <f t="shared" si="3"/>
        <v>251.28060913307871</v>
      </c>
      <c r="L73" s="272"/>
      <c r="X73" s="275">
        <f t="shared" si="4"/>
        <v>368</v>
      </c>
      <c r="Y73" s="275">
        <f t="shared" si="5"/>
        <v>477.16</v>
      </c>
      <c r="Z73" s="276">
        <f t="shared" si="16"/>
        <v>25.473219191112115</v>
      </c>
      <c r="AA73" s="277">
        <f t="shared" si="7"/>
        <v>9.4311994369680363</v>
      </c>
      <c r="AB73" s="277">
        <f t="shared" si="17"/>
        <v>19.628765424310412</v>
      </c>
      <c r="AD73" s="278">
        <f t="shared" si="8"/>
        <v>0.71442192110799174</v>
      </c>
      <c r="AE73" s="265">
        <f t="shared" si="9"/>
        <v>3.8638666666666668E-2</v>
      </c>
      <c r="AF73" s="253">
        <f t="shared" si="10"/>
        <v>2.4761333333333333E-5</v>
      </c>
    </row>
    <row r="74" spans="2:32" ht="12.75" customHeight="1">
      <c r="B74" s="279">
        <f t="shared" si="18"/>
        <v>32</v>
      </c>
      <c r="C74" s="1127">
        <v>33</v>
      </c>
      <c r="D74" s="272">
        <f t="shared" si="13"/>
        <v>1</v>
      </c>
      <c r="E74" s="1129">
        <v>4.5999999999999996</v>
      </c>
      <c r="F74" s="273">
        <f t="shared" si="14"/>
        <v>14.451326206513047</v>
      </c>
      <c r="G74" s="1127">
        <v>395</v>
      </c>
      <c r="H74" s="1131">
        <v>0.9</v>
      </c>
      <c r="I74" s="1131">
        <v>1</v>
      </c>
      <c r="J74" s="273">
        <f t="shared" si="15"/>
        <v>35.891015182544173</v>
      </c>
      <c r="K74" s="274">
        <f t="shared" ref="K74:K105" si="19">IF(F74="","",J74*F74*(G74-$K$22)/1000)</f>
        <v>194.50228810719685</v>
      </c>
      <c r="L74" s="280"/>
      <c r="X74" s="275">
        <f t="shared" ref="X74:X105" si="20">G74-$K$22</f>
        <v>375</v>
      </c>
      <c r="Y74" s="275">
        <f t="shared" ref="Y74:Y105" si="21">(G74+$K$22)/2+273.16</f>
        <v>480.66</v>
      </c>
      <c r="Z74" s="276">
        <f t="shared" si="16"/>
        <v>26.116546268726371</v>
      </c>
      <c r="AA74" s="277">
        <f t="shared" ref="AA74:AA105" si="22">1.4*($K$24*$K$24*(273.16+TAMB)/Y74*X74)^(1/3)</f>
        <v>9.4675315497687063</v>
      </c>
      <c r="AB74" s="277">
        <f t="shared" si="17"/>
        <v>2.4302446175899148</v>
      </c>
      <c r="AD74" s="278">
        <f t="shared" ref="AD74:AD105" si="23">$K$24*(273.16+TAMB)/Y74</f>
        <v>0.70921974758850193</v>
      </c>
      <c r="AE74" s="265">
        <f t="shared" ref="AE74:AE105" si="24">$AA$26+($AA$27-$AA$26)/($Z$27-$Z$26)*(Y74-273.16)</f>
        <v>3.8880555555555557E-2</v>
      </c>
      <c r="AF74" s="253">
        <f t="shared" ref="AF74:AF105" si="25">$AB$26+($AB$27-$AB$26)/($Z$27-$Z$26)*(Y74-273.16)</f>
        <v>2.4892777777777775E-5</v>
      </c>
    </row>
    <row r="75" spans="2:32" ht="12.75" customHeight="1">
      <c r="B75" s="279">
        <f t="shared" si="18"/>
        <v>33</v>
      </c>
      <c r="C75" s="1127">
        <v>34</v>
      </c>
      <c r="D75" s="272">
        <f t="shared" si="13"/>
        <v>1</v>
      </c>
      <c r="E75" s="1129">
        <v>4.5999999999999996</v>
      </c>
      <c r="F75" s="273">
        <f t="shared" si="14"/>
        <v>14.451326206513047</v>
      </c>
      <c r="G75" s="1127">
        <v>384</v>
      </c>
      <c r="H75" s="1131">
        <v>0.9</v>
      </c>
      <c r="I75" s="1131">
        <v>10</v>
      </c>
      <c r="J75" s="273">
        <f t="shared" si="15"/>
        <v>46.931145915194321</v>
      </c>
      <c r="K75" s="274">
        <f t="shared" si="19"/>
        <v>246.87109678720049</v>
      </c>
      <c r="L75" s="272"/>
      <c r="X75" s="275">
        <f t="shared" si="20"/>
        <v>364</v>
      </c>
      <c r="Y75" s="275">
        <f t="shared" si="21"/>
        <v>475.16</v>
      </c>
      <c r="Z75" s="276">
        <f t="shared" si="16"/>
        <v>25.110722239474473</v>
      </c>
      <c r="AA75" s="277">
        <f t="shared" si="22"/>
        <v>9.4100696046444217</v>
      </c>
      <c r="AB75" s="277">
        <f t="shared" si="17"/>
        <v>19.687089155679228</v>
      </c>
      <c r="AD75" s="278">
        <f t="shared" si="23"/>
        <v>0.71742900049644187</v>
      </c>
      <c r="AE75" s="265">
        <f t="shared" si="24"/>
        <v>3.8500444444444448E-2</v>
      </c>
      <c r="AF75" s="253">
        <f t="shared" si="25"/>
        <v>2.4686222222222222E-5</v>
      </c>
    </row>
    <row r="76" spans="2:32" ht="12.75" customHeight="1">
      <c r="B76" s="279">
        <f t="shared" si="18"/>
        <v>34</v>
      </c>
      <c r="C76" s="1127">
        <v>35</v>
      </c>
      <c r="D76" s="272">
        <f t="shared" si="13"/>
        <v>1</v>
      </c>
      <c r="E76" s="1129">
        <v>4.5999999999999996</v>
      </c>
      <c r="F76" s="273">
        <f t="shared" si="14"/>
        <v>14.451326206513047</v>
      </c>
      <c r="G76" s="1127">
        <v>384</v>
      </c>
      <c r="H76" s="1131">
        <v>0.9</v>
      </c>
      <c r="I76" s="1131">
        <v>10</v>
      </c>
      <c r="J76" s="273">
        <f t="shared" si="15"/>
        <v>46.931145915194321</v>
      </c>
      <c r="K76" s="274">
        <f t="shared" si="19"/>
        <v>246.87109678720049</v>
      </c>
      <c r="L76" s="272"/>
      <c r="X76" s="275">
        <f t="shared" si="20"/>
        <v>364</v>
      </c>
      <c r="Y76" s="275">
        <f t="shared" si="21"/>
        <v>475.16</v>
      </c>
      <c r="Z76" s="276">
        <f t="shared" si="16"/>
        <v>25.110722239474473</v>
      </c>
      <c r="AA76" s="277">
        <f t="shared" si="22"/>
        <v>9.4100696046444217</v>
      </c>
      <c r="AB76" s="277">
        <f t="shared" si="17"/>
        <v>19.687089155679228</v>
      </c>
      <c r="AD76" s="278">
        <f t="shared" si="23"/>
        <v>0.71742900049644187</v>
      </c>
      <c r="AE76" s="265">
        <f t="shared" si="24"/>
        <v>3.8500444444444448E-2</v>
      </c>
      <c r="AF76" s="253">
        <f t="shared" si="25"/>
        <v>2.4686222222222222E-5</v>
      </c>
    </row>
    <row r="77" spans="2:32" ht="12.75" customHeight="1">
      <c r="B77" s="279">
        <f t="shared" si="18"/>
        <v>35</v>
      </c>
      <c r="C77" s="1127">
        <v>36</v>
      </c>
      <c r="D77" s="272">
        <f t="shared" si="13"/>
        <v>1</v>
      </c>
      <c r="E77" s="1129">
        <v>4.5999999999999996</v>
      </c>
      <c r="F77" s="273">
        <f t="shared" si="14"/>
        <v>14.451326206513047</v>
      </c>
      <c r="G77" s="1127">
        <v>375</v>
      </c>
      <c r="H77" s="1131">
        <v>0.9</v>
      </c>
      <c r="I77" s="1131">
        <v>10</v>
      </c>
      <c r="J77" s="273">
        <f t="shared" si="15"/>
        <v>46.228038331948937</v>
      </c>
      <c r="K77" s="274">
        <f t="shared" si="19"/>
        <v>237.16004394687508</v>
      </c>
      <c r="L77" s="272"/>
      <c r="X77" s="275">
        <f t="shared" si="20"/>
        <v>355</v>
      </c>
      <c r="Y77" s="275">
        <f t="shared" si="21"/>
        <v>470.66</v>
      </c>
      <c r="Z77" s="276">
        <f t="shared" si="16"/>
        <v>24.308595301506202</v>
      </c>
      <c r="AA77" s="277">
        <f t="shared" si="22"/>
        <v>9.3615124678160768</v>
      </c>
      <c r="AB77" s="277">
        <f t="shared" si="17"/>
        <v>19.819789783944447</v>
      </c>
      <c r="AD77" s="278">
        <f t="shared" si="23"/>
        <v>0.72428836925995266</v>
      </c>
      <c r="AE77" s="265">
        <f t="shared" si="24"/>
        <v>3.8189444444444443E-2</v>
      </c>
      <c r="AF77" s="253">
        <f t="shared" si="25"/>
        <v>2.4517222222222221E-5</v>
      </c>
    </row>
    <row r="78" spans="2:32" ht="12.75" customHeight="1">
      <c r="B78" s="279">
        <f t="shared" si="18"/>
        <v>36</v>
      </c>
      <c r="C78" s="1127">
        <v>37</v>
      </c>
      <c r="D78" s="272">
        <f t="shared" si="13"/>
        <v>1</v>
      </c>
      <c r="E78" s="1129">
        <v>4.5999999999999996</v>
      </c>
      <c r="F78" s="273">
        <f t="shared" si="14"/>
        <v>14.451326206513047</v>
      </c>
      <c r="G78" s="1127">
        <v>388</v>
      </c>
      <c r="H78" s="1131">
        <v>0.9</v>
      </c>
      <c r="I78" s="1131">
        <v>10</v>
      </c>
      <c r="J78" s="273">
        <f t="shared" si="15"/>
        <v>47.250178457788216</v>
      </c>
      <c r="K78" s="274">
        <f t="shared" si="19"/>
        <v>251.28060913307871</v>
      </c>
      <c r="L78" s="272"/>
      <c r="X78" s="275">
        <f t="shared" si="20"/>
        <v>368</v>
      </c>
      <c r="Y78" s="275">
        <f t="shared" si="21"/>
        <v>477.16</v>
      </c>
      <c r="Z78" s="276">
        <f t="shared" si="16"/>
        <v>25.473219191112115</v>
      </c>
      <c r="AA78" s="277">
        <f t="shared" si="22"/>
        <v>9.4311994369680363</v>
      </c>
      <c r="AB78" s="277">
        <f t="shared" si="17"/>
        <v>19.628765424310412</v>
      </c>
      <c r="AD78" s="278">
        <f t="shared" si="23"/>
        <v>0.71442192110799174</v>
      </c>
      <c r="AE78" s="265">
        <f t="shared" si="24"/>
        <v>3.8638666666666668E-2</v>
      </c>
      <c r="AF78" s="253">
        <f t="shared" si="25"/>
        <v>2.4761333333333333E-5</v>
      </c>
    </row>
    <row r="79" spans="2:32" ht="12.75" customHeight="1">
      <c r="B79" s="279">
        <f t="shared" si="18"/>
        <v>37</v>
      </c>
      <c r="C79" s="1127">
        <v>38</v>
      </c>
      <c r="D79" s="272">
        <f t="shared" si="13"/>
        <v>1</v>
      </c>
      <c r="E79" s="1129">
        <v>4.5999999999999996</v>
      </c>
      <c r="F79" s="273">
        <f t="shared" si="14"/>
        <v>14.451326206513047</v>
      </c>
      <c r="G79" s="1127">
        <v>390</v>
      </c>
      <c r="H79" s="1131">
        <v>0.9</v>
      </c>
      <c r="I79" s="1131">
        <v>10</v>
      </c>
      <c r="J79" s="273">
        <f t="shared" si="15"/>
        <v>47.411211575821994</v>
      </c>
      <c r="K79" s="274">
        <f t="shared" si="19"/>
        <v>253.50730720143812</v>
      </c>
      <c r="L79" s="272"/>
      <c r="X79" s="275">
        <f t="shared" si="20"/>
        <v>370</v>
      </c>
      <c r="Y79" s="275">
        <f t="shared" si="21"/>
        <v>478.16</v>
      </c>
      <c r="Z79" s="276">
        <f t="shared" si="16"/>
        <v>25.655860565481323</v>
      </c>
      <c r="AA79" s="277">
        <f t="shared" si="22"/>
        <v>9.4416629514343136</v>
      </c>
      <c r="AB79" s="277">
        <f t="shared" si="17"/>
        <v>19.59975250595383</v>
      </c>
      <c r="AD79" s="278">
        <f t="shared" si="23"/>
        <v>0.71292781469777755</v>
      </c>
      <c r="AE79" s="265">
        <f t="shared" si="24"/>
        <v>3.8707777777777778E-2</v>
      </c>
      <c r="AF79" s="253">
        <f t="shared" si="25"/>
        <v>2.4798888888888888E-5</v>
      </c>
    </row>
    <row r="80" spans="2:32" ht="12.75" customHeight="1">
      <c r="B80" s="279">
        <f t="shared" si="18"/>
        <v>38</v>
      </c>
      <c r="C80" s="1127">
        <v>39</v>
      </c>
      <c r="D80" s="272">
        <f t="shared" si="13"/>
        <v>1</v>
      </c>
      <c r="E80" s="1129">
        <v>4.5999999999999996</v>
      </c>
      <c r="F80" s="273">
        <f t="shared" si="14"/>
        <v>14.451326206513047</v>
      </c>
      <c r="G80" s="1127">
        <v>395</v>
      </c>
      <c r="H80" s="1131">
        <v>0.9</v>
      </c>
      <c r="I80" s="1131">
        <v>10</v>
      </c>
      <c r="J80" s="273">
        <f t="shared" si="15"/>
        <v>47.818234711457336</v>
      </c>
      <c r="K80" s="274">
        <f t="shared" si="19"/>
        <v>259.13884066307821</v>
      </c>
      <c r="L80" s="272"/>
      <c r="X80" s="275">
        <f t="shared" si="20"/>
        <v>375</v>
      </c>
      <c r="Y80" s="275">
        <f t="shared" si="21"/>
        <v>480.66</v>
      </c>
      <c r="Z80" s="276">
        <f t="shared" si="16"/>
        <v>26.116546268726371</v>
      </c>
      <c r="AA80" s="277">
        <f t="shared" si="22"/>
        <v>9.4675315497687063</v>
      </c>
      <c r="AB80" s="277">
        <f t="shared" si="17"/>
        <v>19.527650335344934</v>
      </c>
      <c r="AD80" s="278">
        <f t="shared" si="23"/>
        <v>0.70921974758850193</v>
      </c>
      <c r="AE80" s="265">
        <f t="shared" si="24"/>
        <v>3.8880555555555557E-2</v>
      </c>
      <c r="AF80" s="253">
        <f t="shared" si="25"/>
        <v>2.4892777777777775E-5</v>
      </c>
    </row>
    <row r="81" spans="2:32" ht="12.75" customHeight="1">
      <c r="B81" s="279">
        <f t="shared" si="18"/>
        <v>39</v>
      </c>
      <c r="C81" s="1127">
        <v>40</v>
      </c>
      <c r="D81" s="272">
        <f t="shared" si="13"/>
        <v>1</v>
      </c>
      <c r="E81" s="1129">
        <v>4.5999999999999996</v>
      </c>
      <c r="F81" s="273">
        <f t="shared" si="14"/>
        <v>14.451326206513047</v>
      </c>
      <c r="G81" s="1127">
        <v>402</v>
      </c>
      <c r="H81" s="1131">
        <v>0.9</v>
      </c>
      <c r="I81" s="1131">
        <v>10</v>
      </c>
      <c r="J81" s="273">
        <f t="shared" si="15"/>
        <v>48.398773562600567</v>
      </c>
      <c r="K81" s="274">
        <f t="shared" si="19"/>
        <v>267.18090953385075</v>
      </c>
      <c r="L81" s="272"/>
      <c r="X81" s="275">
        <f t="shared" si="20"/>
        <v>382</v>
      </c>
      <c r="Y81" s="275">
        <f t="shared" si="21"/>
        <v>484.16</v>
      </c>
      <c r="Z81" s="276">
        <f t="shared" si="16"/>
        <v>26.77136370612223</v>
      </c>
      <c r="AA81" s="277">
        <f t="shared" si="22"/>
        <v>9.5030675870163535</v>
      </c>
      <c r="AB81" s="277">
        <f t="shared" si="17"/>
        <v>19.427726669291374</v>
      </c>
      <c r="AD81" s="278">
        <f t="shared" si="23"/>
        <v>0.70409278725191948</v>
      </c>
      <c r="AE81" s="265">
        <f t="shared" si="24"/>
        <v>3.9122444444444446E-2</v>
      </c>
      <c r="AF81" s="253">
        <f t="shared" si="25"/>
        <v>2.5024222222222221E-5</v>
      </c>
    </row>
    <row r="82" spans="2:32" ht="12.75" customHeight="1">
      <c r="B82" s="279">
        <f t="shared" si="18"/>
        <v>40</v>
      </c>
      <c r="C82" s="1127">
        <v>41</v>
      </c>
      <c r="D82" s="272">
        <f t="shared" si="13"/>
        <v>1</v>
      </c>
      <c r="E82" s="1129">
        <v>4.5999999999999996</v>
      </c>
      <c r="F82" s="273">
        <f t="shared" si="14"/>
        <v>14.451326206513047</v>
      </c>
      <c r="G82" s="1127">
        <v>376</v>
      </c>
      <c r="H82" s="1131">
        <v>0.9</v>
      </c>
      <c r="I82" s="1131">
        <v>1</v>
      </c>
      <c r="J82" s="273">
        <f t="shared" si="15"/>
        <v>34.082632843574316</v>
      </c>
      <c r="K82" s="274">
        <f t="shared" si="19"/>
        <v>175.34397129095356</v>
      </c>
      <c r="L82" s="272"/>
      <c r="X82" s="275">
        <f t="shared" si="20"/>
        <v>356</v>
      </c>
      <c r="Y82" s="275">
        <f t="shared" si="21"/>
        <v>471.16</v>
      </c>
      <c r="Z82" s="276">
        <f t="shared" si="16"/>
        <v>24.39680294028242</v>
      </c>
      <c r="AA82" s="277">
        <f t="shared" si="22"/>
        <v>9.3669785877369396</v>
      </c>
      <c r="AB82" s="277">
        <f t="shared" si="17"/>
        <v>2.464754156580566</v>
      </c>
      <c r="AD82" s="278">
        <f t="shared" si="23"/>
        <v>0.7235197467439709</v>
      </c>
      <c r="AE82" s="265">
        <f t="shared" si="24"/>
        <v>3.8224000000000001E-2</v>
      </c>
      <c r="AF82" s="253">
        <f t="shared" si="25"/>
        <v>2.4536E-5</v>
      </c>
    </row>
    <row r="83" spans="2:32" ht="12.75" customHeight="1">
      <c r="B83" s="279">
        <f t="shared" si="18"/>
        <v>41</v>
      </c>
      <c r="C83" s="1127">
        <v>42</v>
      </c>
      <c r="D83" s="272">
        <f t="shared" si="13"/>
        <v>1</v>
      </c>
      <c r="E83" s="1129">
        <v>4.5999999999999996</v>
      </c>
      <c r="F83" s="273">
        <f t="shared" si="14"/>
        <v>14.451326206513047</v>
      </c>
      <c r="G83" s="1127">
        <v>356</v>
      </c>
      <c r="H83" s="1131">
        <v>0.9</v>
      </c>
      <c r="I83" s="1131">
        <v>1</v>
      </c>
      <c r="J83" s="273">
        <f t="shared" si="15"/>
        <v>32.262154819088565</v>
      </c>
      <c r="K83" s="274">
        <f t="shared" si="19"/>
        <v>156.65359026766706</v>
      </c>
      <c r="L83" s="272"/>
      <c r="X83" s="275">
        <f t="shared" si="20"/>
        <v>336</v>
      </c>
      <c r="Y83" s="275">
        <f t="shared" si="21"/>
        <v>461.16</v>
      </c>
      <c r="Z83" s="276">
        <f t="shared" si="16"/>
        <v>22.675692091854252</v>
      </c>
      <c r="AA83" s="277">
        <f t="shared" si="22"/>
        <v>9.2541147727667887</v>
      </c>
      <c r="AB83" s="277">
        <f t="shared" si="17"/>
        <v>2.5023243980571737</v>
      </c>
      <c r="AD83" s="278">
        <f t="shared" si="23"/>
        <v>0.73920887300695926</v>
      </c>
      <c r="AE83" s="265">
        <f t="shared" si="24"/>
        <v>3.7532888888888886E-2</v>
      </c>
      <c r="AF83" s="253">
        <f t="shared" si="25"/>
        <v>2.4160444444444442E-5</v>
      </c>
    </row>
    <row r="84" spans="2:32" ht="12.75" customHeight="1">
      <c r="B84" s="279">
        <f t="shared" si="18"/>
        <v>42</v>
      </c>
      <c r="C84" s="1127">
        <v>43</v>
      </c>
      <c r="D84" s="272">
        <f t="shared" si="13"/>
        <v>1</v>
      </c>
      <c r="E84" s="1129">
        <v>4.5999999999999996</v>
      </c>
      <c r="F84" s="273">
        <f t="shared" si="14"/>
        <v>14.451326206513047</v>
      </c>
      <c r="G84" s="1127">
        <v>354</v>
      </c>
      <c r="H84" s="1131">
        <v>0.9</v>
      </c>
      <c r="I84" s="1131">
        <v>1</v>
      </c>
      <c r="J84" s="273">
        <f t="shared" si="15"/>
        <v>32.084676023802338</v>
      </c>
      <c r="K84" s="274">
        <f t="shared" si="19"/>
        <v>154.86448389638537</v>
      </c>
      <c r="L84" s="272"/>
      <c r="X84" s="275">
        <f t="shared" si="20"/>
        <v>334</v>
      </c>
      <c r="Y84" s="275">
        <f t="shared" si="21"/>
        <v>460.16</v>
      </c>
      <c r="Z84" s="276">
        <f t="shared" si="16"/>
        <v>22.508517657376238</v>
      </c>
      <c r="AA84" s="277">
        <f t="shared" si="22"/>
        <v>9.2424022627234255</v>
      </c>
      <c r="AB84" s="277">
        <f t="shared" si="17"/>
        <v>2.5061543194459239</v>
      </c>
      <c r="AD84" s="278">
        <f t="shared" si="23"/>
        <v>0.74081529006408497</v>
      </c>
      <c r="AE84" s="265">
        <f t="shared" si="24"/>
        <v>3.7463777777777776E-2</v>
      </c>
      <c r="AF84" s="253">
        <f t="shared" si="25"/>
        <v>2.412288888888889E-5</v>
      </c>
    </row>
    <row r="85" spans="2:32" ht="12.75" customHeight="1">
      <c r="B85" s="279">
        <f t="shared" si="18"/>
        <v>43</v>
      </c>
      <c r="C85" s="1127">
        <v>44</v>
      </c>
      <c r="D85" s="272">
        <f t="shared" si="13"/>
        <v>1</v>
      </c>
      <c r="E85" s="1129">
        <v>4.5999999999999996</v>
      </c>
      <c r="F85" s="273">
        <f t="shared" si="14"/>
        <v>14.451326206513047</v>
      </c>
      <c r="G85" s="1127">
        <v>210</v>
      </c>
      <c r="H85" s="1131">
        <v>0.9</v>
      </c>
      <c r="I85" s="1131">
        <v>1</v>
      </c>
      <c r="J85" s="273">
        <f t="shared" si="15"/>
        <v>21.235273626026824</v>
      </c>
      <c r="K85" s="274">
        <f t="shared" si="19"/>
        <v>58.306794588312592</v>
      </c>
      <c r="L85" s="272"/>
      <c r="X85" s="275">
        <f t="shared" si="20"/>
        <v>190</v>
      </c>
      <c r="Y85" s="275">
        <f t="shared" si="21"/>
        <v>388.16</v>
      </c>
      <c r="Z85" s="276">
        <f t="shared" si="16"/>
        <v>12.652685793019883</v>
      </c>
      <c r="AA85" s="277">
        <f t="shared" si="22"/>
        <v>8.1050047386637409</v>
      </c>
      <c r="AB85" s="277">
        <f t="shared" si="17"/>
        <v>2.8230678520923056</v>
      </c>
      <c r="AD85" s="278">
        <f t="shared" si="23"/>
        <v>0.87822950297786828</v>
      </c>
      <c r="AE85" s="265">
        <f t="shared" si="24"/>
        <v>3.2487777777777775E-2</v>
      </c>
      <c r="AF85" s="253">
        <f t="shared" si="25"/>
        <v>2.1418888888888887E-5</v>
      </c>
    </row>
    <row r="86" spans="2:32" ht="12.75" customHeight="1">
      <c r="B86" s="279">
        <f t="shared" si="18"/>
        <v>44</v>
      </c>
      <c r="C86" s="1127">
        <v>45</v>
      </c>
      <c r="D86" s="272">
        <f t="shared" si="13"/>
        <v>1</v>
      </c>
      <c r="E86" s="1129">
        <v>4.5999999999999996</v>
      </c>
      <c r="F86" s="273">
        <f t="shared" si="14"/>
        <v>14.451326206513047</v>
      </c>
      <c r="G86" s="1127">
        <v>200</v>
      </c>
      <c r="H86" s="1131">
        <v>0.9</v>
      </c>
      <c r="I86" s="1131">
        <v>1</v>
      </c>
      <c r="J86" s="273">
        <f t="shared" si="15"/>
        <v>20.602786779531808</v>
      </c>
      <c r="K86" s="274">
        <f t="shared" si="19"/>
        <v>53.592766652564734</v>
      </c>
      <c r="L86" s="272"/>
      <c r="X86" s="275">
        <f t="shared" si="20"/>
        <v>180</v>
      </c>
      <c r="Y86" s="275">
        <f t="shared" si="21"/>
        <v>383.16</v>
      </c>
      <c r="Z86" s="276">
        <f t="shared" si="16"/>
        <v>12.115731031029807</v>
      </c>
      <c r="AA86" s="277">
        <f t="shared" si="22"/>
        <v>7.9947173248583985</v>
      </c>
      <c r="AB86" s="277">
        <f t="shared" si="17"/>
        <v>2.848615483667432</v>
      </c>
      <c r="AD86" s="278">
        <f t="shared" si="23"/>
        <v>0.88968985247909316</v>
      </c>
      <c r="AE86" s="265">
        <f t="shared" si="24"/>
        <v>3.2142222222222225E-2</v>
      </c>
      <c r="AF86" s="253">
        <f t="shared" si="25"/>
        <v>2.123111111111111E-5</v>
      </c>
    </row>
    <row r="87" spans="2:32" ht="12.75" customHeight="1">
      <c r="B87" s="279">
        <f t="shared" si="18"/>
        <v>45</v>
      </c>
      <c r="C87" s="1127">
        <v>46</v>
      </c>
      <c r="D87" s="272">
        <f t="shared" si="13"/>
        <v>1</v>
      </c>
      <c r="E87" s="1129">
        <v>4.5999999999999996</v>
      </c>
      <c r="F87" s="273">
        <f t="shared" si="14"/>
        <v>14.451326206513047</v>
      </c>
      <c r="G87" s="1127">
        <v>195</v>
      </c>
      <c r="H87" s="1131">
        <v>0.9</v>
      </c>
      <c r="I87" s="1131">
        <v>1</v>
      </c>
      <c r="J87" s="273">
        <f t="shared" si="15"/>
        <v>20.291207864092989</v>
      </c>
      <c r="K87" s="274">
        <f t="shared" si="19"/>
        <v>51.316101194429869</v>
      </c>
      <c r="L87" s="272"/>
      <c r="X87" s="275">
        <f t="shared" si="20"/>
        <v>175</v>
      </c>
      <c r="Y87" s="275">
        <f t="shared" si="21"/>
        <v>380.66</v>
      </c>
      <c r="Z87" s="276">
        <f t="shared" si="16"/>
        <v>11.853827487724766</v>
      </c>
      <c r="AA87" s="277">
        <f t="shared" si="22"/>
        <v>7.9372964484466824</v>
      </c>
      <c r="AB87" s="277">
        <f t="shared" si="17"/>
        <v>2.8615926867741379</v>
      </c>
      <c r="AD87" s="278">
        <f t="shared" si="23"/>
        <v>0.89553292669544826</v>
      </c>
      <c r="AE87" s="265">
        <f t="shared" si="24"/>
        <v>3.1969444444444446E-2</v>
      </c>
      <c r="AF87" s="253">
        <f t="shared" si="25"/>
        <v>2.1137222222222223E-5</v>
      </c>
    </row>
    <row r="88" spans="2:32" ht="12.75" customHeight="1">
      <c r="B88" s="279">
        <f t="shared" si="18"/>
        <v>46</v>
      </c>
      <c r="C88" s="1127">
        <v>47</v>
      </c>
      <c r="D88" s="272">
        <f t="shared" si="13"/>
        <v>1</v>
      </c>
      <c r="E88" s="1129">
        <v>4.5999999999999996</v>
      </c>
      <c r="F88" s="273">
        <f t="shared" si="14"/>
        <v>14.451326206513047</v>
      </c>
      <c r="G88" s="1127">
        <v>202</v>
      </c>
      <c r="H88" s="1131">
        <v>0.9</v>
      </c>
      <c r="I88" s="1131">
        <v>1</v>
      </c>
      <c r="J88" s="273">
        <f t="shared" si="15"/>
        <v>20.728274571832124</v>
      </c>
      <c r="K88" s="274">
        <f t="shared" si="19"/>
        <v>54.518292471500239</v>
      </c>
      <c r="L88" s="272"/>
      <c r="X88" s="275">
        <f t="shared" si="20"/>
        <v>182</v>
      </c>
      <c r="Y88" s="275">
        <f t="shared" si="21"/>
        <v>384.16</v>
      </c>
      <c r="Z88" s="276">
        <f t="shared" si="16"/>
        <v>12.221713849360622</v>
      </c>
      <c r="AA88" s="277">
        <f t="shared" si="22"/>
        <v>8.0172497776866614</v>
      </c>
      <c r="AB88" s="277">
        <f t="shared" si="17"/>
        <v>2.8434629111838348</v>
      </c>
      <c r="AD88" s="278">
        <f t="shared" si="23"/>
        <v>0.88737391679479727</v>
      </c>
      <c r="AE88" s="265">
        <f t="shared" si="24"/>
        <v>3.2211333333333335E-2</v>
      </c>
      <c r="AF88" s="253">
        <f t="shared" si="25"/>
        <v>2.1268666666666665E-5</v>
      </c>
    </row>
    <row r="89" spans="2:32" ht="12.75" customHeight="1">
      <c r="B89" s="279">
        <f t="shared" si="18"/>
        <v>47</v>
      </c>
      <c r="C89" s="1127">
        <v>48</v>
      </c>
      <c r="D89" s="272">
        <f t="shared" si="13"/>
        <v>1</v>
      </c>
      <c r="E89" s="1129">
        <v>4.5999999999999996</v>
      </c>
      <c r="F89" s="273">
        <f t="shared" si="14"/>
        <v>14.451326206513047</v>
      </c>
      <c r="G89" s="1127">
        <v>214</v>
      </c>
      <c r="H89" s="1131">
        <v>0.9</v>
      </c>
      <c r="I89" s="1131">
        <v>1</v>
      </c>
      <c r="J89" s="273">
        <f t="shared" si="15"/>
        <v>21.491885436476331</v>
      </c>
      <c r="K89" s="274">
        <f t="shared" si="19"/>
        <v>60.253731963692132</v>
      </c>
      <c r="L89" s="272"/>
      <c r="X89" s="275">
        <f t="shared" si="20"/>
        <v>194</v>
      </c>
      <c r="Y89" s="275">
        <f t="shared" si="21"/>
        <v>390.16</v>
      </c>
      <c r="Z89" s="276">
        <f t="shared" si="16"/>
        <v>12.872430459211119</v>
      </c>
      <c r="AA89" s="277">
        <f t="shared" si="22"/>
        <v>8.1475179940678508</v>
      </c>
      <c r="AB89" s="277">
        <f t="shared" si="17"/>
        <v>2.8129974478201323</v>
      </c>
      <c r="AD89" s="278">
        <f t="shared" si="23"/>
        <v>0.87372760886787304</v>
      </c>
      <c r="AE89" s="265">
        <f t="shared" si="24"/>
        <v>3.2626000000000002E-2</v>
      </c>
      <c r="AF89" s="253">
        <f t="shared" si="25"/>
        <v>2.1494000000000001E-5</v>
      </c>
    </row>
    <row r="90" spans="2:32" ht="12.75" customHeight="1">
      <c r="B90" s="279">
        <f t="shared" si="18"/>
        <v>48</v>
      </c>
      <c r="C90" s="1127">
        <v>49</v>
      </c>
      <c r="D90" s="272">
        <f t="shared" si="13"/>
        <v>1</v>
      </c>
      <c r="E90" s="1129">
        <v>4.5999999999999996</v>
      </c>
      <c r="F90" s="273">
        <f t="shared" si="14"/>
        <v>14.451326206513047</v>
      </c>
      <c r="G90" s="1127">
        <v>231</v>
      </c>
      <c r="H90" s="1131">
        <v>0.9</v>
      </c>
      <c r="I90" s="1131">
        <v>1</v>
      </c>
      <c r="J90" s="273">
        <f t="shared" si="15"/>
        <v>22.606846856938375</v>
      </c>
      <c r="K90" s="274">
        <f t="shared" si="19"/>
        <v>68.93347178879344</v>
      </c>
      <c r="L90" s="272"/>
      <c r="X90" s="275">
        <f t="shared" si="20"/>
        <v>211</v>
      </c>
      <c r="Y90" s="275">
        <f t="shared" si="21"/>
        <v>398.66</v>
      </c>
      <c r="Z90" s="276">
        <f t="shared" si="16"/>
        <v>13.838547643428253</v>
      </c>
      <c r="AA90" s="277">
        <f t="shared" si="22"/>
        <v>8.3188941203565534</v>
      </c>
      <c r="AB90" s="277">
        <f t="shared" si="17"/>
        <v>2.7711138034984102</v>
      </c>
      <c r="AD90" s="278">
        <f t="shared" si="23"/>
        <v>0.8550984896299838</v>
      </c>
      <c r="AE90" s="265">
        <f t="shared" si="24"/>
        <v>3.3213444444444441E-2</v>
      </c>
      <c r="AF90" s="253">
        <f t="shared" si="25"/>
        <v>2.1813222222222221E-5</v>
      </c>
    </row>
    <row r="91" spans="2:32" ht="12.75" customHeight="1">
      <c r="B91" s="279">
        <f t="shared" si="18"/>
        <v>49</v>
      </c>
      <c r="C91" s="1127">
        <v>50</v>
      </c>
      <c r="D91" s="272">
        <f t="shared" si="13"/>
        <v>1</v>
      </c>
      <c r="E91" s="1129">
        <v>4.5999999999999996</v>
      </c>
      <c r="F91" s="273">
        <f t="shared" si="14"/>
        <v>14.451326206513047</v>
      </c>
      <c r="G91" s="1127">
        <v>247</v>
      </c>
      <c r="H91" s="1131">
        <v>0.9</v>
      </c>
      <c r="I91" s="1131">
        <v>1</v>
      </c>
      <c r="J91" s="273">
        <f t="shared" si="15"/>
        <v>23.694371223582181</v>
      </c>
      <c r="K91" s="274">
        <f t="shared" si="19"/>
        <v>77.728224932915808</v>
      </c>
      <c r="L91" s="272"/>
      <c r="X91" s="275">
        <f t="shared" si="20"/>
        <v>227</v>
      </c>
      <c r="Y91" s="275">
        <f t="shared" si="21"/>
        <v>406.66</v>
      </c>
      <c r="Z91" s="276">
        <f t="shared" si="16"/>
        <v>14.796458336461981</v>
      </c>
      <c r="AA91" s="277">
        <f t="shared" si="22"/>
        <v>8.4677975475479794</v>
      </c>
      <c r="AB91" s="277">
        <f t="shared" si="17"/>
        <v>2.7329944091637128</v>
      </c>
      <c r="AD91" s="278">
        <f t="shared" si="23"/>
        <v>0.83827660422930539</v>
      </c>
      <c r="AE91" s="265">
        <f t="shared" si="24"/>
        <v>3.3766333333333329E-2</v>
      </c>
      <c r="AF91" s="253">
        <f t="shared" si="25"/>
        <v>2.2113666666666665E-5</v>
      </c>
    </row>
    <row r="92" spans="2:32" ht="12.75" customHeight="1">
      <c r="B92" s="279">
        <f t="shared" si="18"/>
        <v>50</v>
      </c>
      <c r="C92" s="1127">
        <v>51</v>
      </c>
      <c r="D92" s="272">
        <f t="shared" si="13"/>
        <v>1</v>
      </c>
      <c r="E92" s="1129">
        <v>4.5999999999999996</v>
      </c>
      <c r="F92" s="273">
        <f t="shared" si="14"/>
        <v>14.451326206513047</v>
      </c>
      <c r="G92" s="1127">
        <v>185</v>
      </c>
      <c r="H92" s="1131">
        <v>0.9</v>
      </c>
      <c r="I92" s="1131">
        <v>1</v>
      </c>
      <c r="J92" s="273">
        <f t="shared" si="15"/>
        <v>19.676875498509965</v>
      </c>
      <c r="K92" s="274">
        <f t="shared" si="19"/>
        <v>46.918896181395404</v>
      </c>
      <c r="L92" s="272"/>
      <c r="X92" s="275">
        <f t="shared" si="20"/>
        <v>165</v>
      </c>
      <c r="Y92" s="275">
        <f t="shared" si="21"/>
        <v>375.66</v>
      </c>
      <c r="Z92" s="276">
        <f t="shared" si="16"/>
        <v>11.342976713994684</v>
      </c>
      <c r="AA92" s="277">
        <f t="shared" si="22"/>
        <v>7.8175139073481947</v>
      </c>
      <c r="AB92" s="277">
        <f t="shared" si="17"/>
        <v>2.8879655917207265</v>
      </c>
      <c r="AD92" s="278">
        <f t="shared" si="23"/>
        <v>0.90745238746709611</v>
      </c>
      <c r="AE92" s="265">
        <f t="shared" si="24"/>
        <v>3.1623888888888889E-2</v>
      </c>
      <c r="AF92" s="253">
        <f t="shared" si="25"/>
        <v>2.0949444444444442E-5</v>
      </c>
    </row>
    <row r="93" spans="2:32" ht="12.75" customHeight="1">
      <c r="B93" s="279">
        <f t="shared" si="18"/>
        <v>51</v>
      </c>
      <c r="C93" s="1127">
        <v>52</v>
      </c>
      <c r="D93" s="272">
        <f t="shared" si="13"/>
        <v>1</v>
      </c>
      <c r="E93" s="1129">
        <v>4.5999999999999996</v>
      </c>
      <c r="F93" s="273">
        <f t="shared" si="14"/>
        <v>14.451326206513047</v>
      </c>
      <c r="G93" s="1127">
        <v>159</v>
      </c>
      <c r="H93" s="1131">
        <v>0.9</v>
      </c>
      <c r="I93" s="1131">
        <v>1</v>
      </c>
      <c r="J93" s="273">
        <f t="shared" si="15"/>
        <v>18.128840682927652</v>
      </c>
      <c r="K93" s="274">
        <f t="shared" si="19"/>
        <v>36.416024873230022</v>
      </c>
      <c r="L93" s="272"/>
      <c r="X93" s="275">
        <f t="shared" si="20"/>
        <v>139</v>
      </c>
      <c r="Y93" s="275">
        <f t="shared" si="21"/>
        <v>362.66</v>
      </c>
      <c r="Z93" s="276">
        <f t="shared" si="16"/>
        <v>10.093653767387677</v>
      </c>
      <c r="AA93" s="277">
        <f t="shared" si="22"/>
        <v>7.470403272874476</v>
      </c>
      <c r="AB93" s="277">
        <f t="shared" si="17"/>
        <v>2.9592741860617098</v>
      </c>
      <c r="AD93" s="278">
        <f t="shared" si="23"/>
        <v>0.93998115004657068</v>
      </c>
      <c r="AE93" s="265">
        <f t="shared" si="24"/>
        <v>3.0725444444444444E-2</v>
      </c>
      <c r="AF93" s="253">
        <f t="shared" si="25"/>
        <v>2.0461222222222221E-5</v>
      </c>
    </row>
    <row r="94" spans="2:32" ht="12.75" customHeight="1">
      <c r="B94" s="279">
        <f t="shared" si="18"/>
        <v>52</v>
      </c>
      <c r="C94" s="1127">
        <v>53</v>
      </c>
      <c r="D94" s="272">
        <f t="shared" si="13"/>
        <v>1</v>
      </c>
      <c r="E94" s="1129">
        <v>4.5999999999999996</v>
      </c>
      <c r="F94" s="273">
        <f t="shared" si="14"/>
        <v>14.451326206513047</v>
      </c>
      <c r="G94" s="1127">
        <v>256</v>
      </c>
      <c r="H94" s="1131">
        <v>0.9</v>
      </c>
      <c r="I94" s="1131">
        <v>1</v>
      </c>
      <c r="J94" s="273">
        <f t="shared" si="15"/>
        <v>24.323314697796533</v>
      </c>
      <c r="K94" s="274">
        <f t="shared" si="19"/>
        <v>82.954980608681325</v>
      </c>
      <c r="L94" s="272"/>
      <c r="X94" s="275">
        <f t="shared" si="20"/>
        <v>236</v>
      </c>
      <c r="Y94" s="275">
        <f t="shared" si="21"/>
        <v>411.16</v>
      </c>
      <c r="Z94" s="276">
        <f t="shared" si="16"/>
        <v>15.356485760113451</v>
      </c>
      <c r="AA94" s="277">
        <f t="shared" si="22"/>
        <v>8.5468493247403394</v>
      </c>
      <c r="AB94" s="277">
        <f t="shared" si="17"/>
        <v>2.7120818235916695</v>
      </c>
      <c r="AD94" s="278">
        <f t="shared" si="23"/>
        <v>0.82910196486985444</v>
      </c>
      <c r="AE94" s="265">
        <f t="shared" si="24"/>
        <v>3.4077333333333334E-2</v>
      </c>
      <c r="AF94" s="253">
        <f t="shared" si="25"/>
        <v>2.2282666666666666E-5</v>
      </c>
    </row>
    <row r="95" spans="2:32" ht="12.75" customHeight="1">
      <c r="B95" s="279">
        <f t="shared" si="18"/>
        <v>53</v>
      </c>
      <c r="C95" s="1127">
        <v>54</v>
      </c>
      <c r="D95" s="272">
        <f t="shared" si="13"/>
        <v>1</v>
      </c>
      <c r="E95" s="1129">
        <v>4.5999999999999996</v>
      </c>
      <c r="F95" s="273">
        <f t="shared" si="14"/>
        <v>14.451326206513047</v>
      </c>
      <c r="G95" s="1127">
        <v>263</v>
      </c>
      <c r="H95" s="1131">
        <v>0.9</v>
      </c>
      <c r="I95" s="1131">
        <v>1</v>
      </c>
      <c r="J95" s="273">
        <f t="shared" si="15"/>
        <v>24.82139817600908</v>
      </c>
      <c r="K95" s="274">
        <f t="shared" si="19"/>
        <v>87.164615632210996</v>
      </c>
      <c r="L95" s="272"/>
      <c r="X95" s="275">
        <f t="shared" si="20"/>
        <v>243</v>
      </c>
      <c r="Y95" s="275">
        <f t="shared" si="21"/>
        <v>414.66</v>
      </c>
      <c r="Z95" s="276">
        <f t="shared" si="16"/>
        <v>15.802799749086109</v>
      </c>
      <c r="AA95" s="277">
        <f t="shared" si="22"/>
        <v>8.6061790235742759</v>
      </c>
      <c r="AB95" s="277">
        <f t="shared" si="17"/>
        <v>2.6960712528209623</v>
      </c>
      <c r="AD95" s="278">
        <f t="shared" si="23"/>
        <v>0.82210380522811299</v>
      </c>
      <c r="AE95" s="265">
        <f t="shared" si="24"/>
        <v>3.4319222222222223E-2</v>
      </c>
      <c r="AF95" s="253">
        <f t="shared" si="25"/>
        <v>2.2414111111111112E-5</v>
      </c>
    </row>
    <row r="96" spans="2:32" ht="12.75" customHeight="1">
      <c r="B96" s="279">
        <f t="shared" si="18"/>
        <v>54</v>
      </c>
      <c r="C96" s="1127">
        <v>55</v>
      </c>
      <c r="D96" s="272">
        <f t="shared" si="13"/>
        <v>1</v>
      </c>
      <c r="E96" s="1129">
        <v>4.5999999999999996</v>
      </c>
      <c r="F96" s="273">
        <f t="shared" si="14"/>
        <v>14.451326206513047</v>
      </c>
      <c r="G96" s="1127">
        <v>254</v>
      </c>
      <c r="H96" s="1131">
        <v>0.9</v>
      </c>
      <c r="I96" s="1131">
        <v>1</v>
      </c>
      <c r="J96" s="273">
        <f t="shared" si="15"/>
        <v>24.182447862183899</v>
      </c>
      <c r="K96" s="274">
        <f t="shared" si="19"/>
        <v>81.775615551648784</v>
      </c>
      <c r="L96" s="272"/>
      <c r="X96" s="275">
        <f t="shared" si="20"/>
        <v>234</v>
      </c>
      <c r="Y96" s="275">
        <f t="shared" si="21"/>
        <v>410.16</v>
      </c>
      <c r="Z96" s="276">
        <f t="shared" si="16"/>
        <v>15.230699513315438</v>
      </c>
      <c r="AA96" s="277">
        <f t="shared" si="22"/>
        <v>8.5295578063303683</v>
      </c>
      <c r="AB96" s="277">
        <f t="shared" si="17"/>
        <v>2.7166969153620859</v>
      </c>
      <c r="AD96" s="278">
        <f t="shared" si="23"/>
        <v>0.8311233759408263</v>
      </c>
      <c r="AE96" s="265">
        <f t="shared" si="24"/>
        <v>3.4008222222222217E-2</v>
      </c>
      <c r="AF96" s="253">
        <f t="shared" si="25"/>
        <v>2.224511111111111E-5</v>
      </c>
    </row>
    <row r="97" spans="2:32" ht="12.75" customHeight="1">
      <c r="B97" s="279">
        <f t="shared" si="18"/>
        <v>55</v>
      </c>
      <c r="C97" s="1127">
        <v>56</v>
      </c>
      <c r="D97" s="272">
        <f t="shared" si="13"/>
        <v>1</v>
      </c>
      <c r="E97" s="1129">
        <v>4.5999999999999996</v>
      </c>
      <c r="F97" s="273">
        <f t="shared" si="14"/>
        <v>14.451326206513047</v>
      </c>
      <c r="G97" s="1127">
        <v>180</v>
      </c>
      <c r="H97" s="1131">
        <v>0.9</v>
      </c>
      <c r="I97" s="1131">
        <v>1</v>
      </c>
      <c r="J97" s="273">
        <f t="shared" si="15"/>
        <v>19.37390622717767</v>
      </c>
      <c r="K97" s="274">
        <f t="shared" si="19"/>
        <v>44.796582205334232</v>
      </c>
      <c r="L97" s="272"/>
      <c r="X97" s="275">
        <f t="shared" si="20"/>
        <v>160</v>
      </c>
      <c r="Y97" s="275">
        <f t="shared" si="21"/>
        <v>373.16</v>
      </c>
      <c r="Z97" s="276">
        <f t="shared" si="16"/>
        <v>11.093952938569643</v>
      </c>
      <c r="AA97" s="277">
        <f t="shared" si="22"/>
        <v>7.7549791038991662</v>
      </c>
      <c r="AB97" s="277">
        <f t="shared" si="17"/>
        <v>2.9013661540071309</v>
      </c>
      <c r="AD97" s="278">
        <f t="shared" si="23"/>
        <v>0.91353190019265018</v>
      </c>
      <c r="AE97" s="265">
        <f t="shared" si="24"/>
        <v>3.145111111111111E-2</v>
      </c>
      <c r="AF97" s="253">
        <f t="shared" si="25"/>
        <v>2.0855555555555555E-5</v>
      </c>
    </row>
    <row r="98" spans="2:32" ht="12.75" customHeight="1">
      <c r="B98" s="279">
        <f t="shared" si="18"/>
        <v>56</v>
      </c>
      <c r="C98" s="1127">
        <v>57</v>
      </c>
      <c r="D98" s="272">
        <f t="shared" si="13"/>
        <v>1</v>
      </c>
      <c r="E98" s="1129">
        <v>4.5999999999999996</v>
      </c>
      <c r="F98" s="273">
        <f t="shared" si="14"/>
        <v>14.451326206513047</v>
      </c>
      <c r="G98" s="1127">
        <v>246</v>
      </c>
      <c r="H98" s="1131">
        <v>0.9</v>
      </c>
      <c r="I98" s="1131">
        <v>1</v>
      </c>
      <c r="J98" s="273">
        <f t="shared" si="15"/>
        <v>23.625268007622306</v>
      </c>
      <c r="K98" s="274">
        <f t="shared" si="19"/>
        <v>77.160118760944911</v>
      </c>
      <c r="L98" s="272"/>
      <c r="W98" s="258"/>
      <c r="X98" s="275">
        <f t="shared" si="20"/>
        <v>226</v>
      </c>
      <c r="Y98" s="275">
        <f t="shared" si="21"/>
        <v>406.16</v>
      </c>
      <c r="Z98" s="276">
        <f t="shared" si="16"/>
        <v>14.735183062059372</v>
      </c>
      <c r="AA98" s="277">
        <f t="shared" si="22"/>
        <v>8.4588130914456769</v>
      </c>
      <c r="AB98" s="277">
        <f t="shared" si="17"/>
        <v>2.7353411895615407</v>
      </c>
      <c r="AD98" s="278">
        <f t="shared" si="23"/>
        <v>0.83930855789809267</v>
      </c>
      <c r="AE98" s="265">
        <f t="shared" si="24"/>
        <v>3.3731777777777777E-2</v>
      </c>
      <c r="AF98" s="253">
        <f t="shared" si="25"/>
        <v>2.2094888888888889E-5</v>
      </c>
    </row>
    <row r="99" spans="2:32" ht="12.75" customHeight="1">
      <c r="B99" s="279">
        <f t="shared" si="18"/>
        <v>57</v>
      </c>
      <c r="C99" s="1127">
        <v>58</v>
      </c>
      <c r="D99" s="272">
        <f t="shared" si="13"/>
        <v>1</v>
      </c>
      <c r="E99" s="1129">
        <v>4.5999999999999996</v>
      </c>
      <c r="F99" s="273">
        <f t="shared" si="14"/>
        <v>14.451326206513047</v>
      </c>
      <c r="G99" s="1127">
        <v>241</v>
      </c>
      <c r="H99" s="1131">
        <v>0.9</v>
      </c>
      <c r="I99" s="1131">
        <v>1</v>
      </c>
      <c r="J99" s="273">
        <f t="shared" si="15"/>
        <v>23.282047322151854</v>
      </c>
      <c r="K99" s="274">
        <f t="shared" si="19"/>
        <v>74.356877794343688</v>
      </c>
      <c r="L99" s="272"/>
      <c r="W99" s="258"/>
      <c r="X99" s="275">
        <f t="shared" si="20"/>
        <v>221</v>
      </c>
      <c r="Y99" s="275">
        <f t="shared" si="21"/>
        <v>403.66</v>
      </c>
      <c r="Z99" s="276">
        <f t="shared" si="16"/>
        <v>14.431633711222331</v>
      </c>
      <c r="AA99" s="277">
        <f t="shared" si="22"/>
        <v>8.4132640306549273</v>
      </c>
      <c r="AB99" s="277">
        <f t="shared" si="17"/>
        <v>2.747145688713025</v>
      </c>
      <c r="AD99" s="278">
        <f t="shared" si="23"/>
        <v>0.84450667362604503</v>
      </c>
      <c r="AE99" s="265">
        <f t="shared" si="24"/>
        <v>3.3558999999999999E-2</v>
      </c>
      <c r="AF99" s="253">
        <f t="shared" si="25"/>
        <v>2.2000999999999998E-5</v>
      </c>
    </row>
    <row r="100" spans="2:32" ht="12.75" customHeight="1">
      <c r="B100" s="279">
        <f t="shared" si="18"/>
        <v>58</v>
      </c>
      <c r="C100" s="1127">
        <v>59</v>
      </c>
      <c r="D100" s="272">
        <f t="shared" si="13"/>
        <v>1</v>
      </c>
      <c r="E100" s="1129">
        <v>4.5999999999999996</v>
      </c>
      <c r="F100" s="273">
        <f t="shared" si="14"/>
        <v>14.451326206513047</v>
      </c>
      <c r="G100" s="1127">
        <v>239</v>
      </c>
      <c r="H100" s="1131">
        <v>0.9</v>
      </c>
      <c r="I100" s="1131">
        <v>1</v>
      </c>
      <c r="J100" s="273">
        <f t="shared" si="15"/>
        <v>23.145819339813553</v>
      </c>
      <c r="K100" s="274">
        <f t="shared" si="19"/>
        <v>73.252825045669439</v>
      </c>
      <c r="L100" s="272"/>
      <c r="W100" s="258"/>
      <c r="X100" s="275">
        <f t="shared" si="20"/>
        <v>219</v>
      </c>
      <c r="Y100" s="275">
        <f t="shared" si="21"/>
        <v>402.66</v>
      </c>
      <c r="Z100" s="276">
        <f t="shared" si="16"/>
        <v>14.311527532076315</v>
      </c>
      <c r="AA100" s="277">
        <f t="shared" si="22"/>
        <v>8.3947456296601395</v>
      </c>
      <c r="AB100" s="277">
        <f t="shared" si="17"/>
        <v>2.7519007172416798</v>
      </c>
      <c r="AD100" s="278">
        <f t="shared" si="23"/>
        <v>0.84660399313537316</v>
      </c>
      <c r="AE100" s="265">
        <f t="shared" si="24"/>
        <v>3.3489888888888888E-2</v>
      </c>
      <c r="AF100" s="253">
        <f t="shared" si="25"/>
        <v>2.1963444444444443E-5</v>
      </c>
    </row>
    <row r="101" spans="2:32" ht="12.75" customHeight="1">
      <c r="B101" s="279">
        <f t="shared" si="18"/>
        <v>59</v>
      </c>
      <c r="C101" s="1127">
        <v>60</v>
      </c>
      <c r="D101" s="272">
        <f t="shared" si="13"/>
        <v>1</v>
      </c>
      <c r="E101" s="1129">
        <v>4.5999999999999996</v>
      </c>
      <c r="F101" s="273">
        <f t="shared" si="14"/>
        <v>14.451326206513047</v>
      </c>
      <c r="G101" s="1127">
        <v>235</v>
      </c>
      <c r="H101" s="1131">
        <v>0.9</v>
      </c>
      <c r="I101" s="1131">
        <v>1</v>
      </c>
      <c r="J101" s="273">
        <f t="shared" si="15"/>
        <v>22.875154910323051</v>
      </c>
      <c r="K101" s="274">
        <f t="shared" si="19"/>
        <v>71.073910011223376</v>
      </c>
      <c r="L101" s="272"/>
      <c r="W101" s="258"/>
      <c r="X101" s="275">
        <f t="shared" si="20"/>
        <v>215</v>
      </c>
      <c r="Y101" s="275">
        <f t="shared" si="21"/>
        <v>400.66</v>
      </c>
      <c r="Z101" s="276">
        <f t="shared" si="16"/>
        <v>14.073553521045092</v>
      </c>
      <c r="AA101" s="277">
        <f t="shared" si="22"/>
        <v>8.357181295525983</v>
      </c>
      <c r="AB101" s="277">
        <f t="shared" si="17"/>
        <v>2.7614684154359512</v>
      </c>
      <c r="AD101" s="278">
        <f t="shared" si="23"/>
        <v>0.85083004012351948</v>
      </c>
      <c r="AE101" s="265">
        <f t="shared" si="24"/>
        <v>3.3351666666666668E-2</v>
      </c>
      <c r="AF101" s="253">
        <f t="shared" si="25"/>
        <v>2.1888333333333332E-5</v>
      </c>
    </row>
    <row r="102" spans="2:32" ht="12.75" customHeight="1">
      <c r="B102" s="279">
        <f t="shared" si="18"/>
        <v>60</v>
      </c>
      <c r="C102" s="1127">
        <v>61</v>
      </c>
      <c r="D102" s="272">
        <f t="shared" si="13"/>
        <v>1</v>
      </c>
      <c r="E102" s="1129">
        <v>4.5999999999999996</v>
      </c>
      <c r="F102" s="273">
        <f t="shared" si="14"/>
        <v>14.451326206513047</v>
      </c>
      <c r="G102" s="1127">
        <v>226</v>
      </c>
      <c r="H102" s="1131">
        <v>0.9</v>
      </c>
      <c r="I102" s="1131">
        <v>1</v>
      </c>
      <c r="J102" s="273">
        <f t="shared" si="15"/>
        <v>22.274714978414089</v>
      </c>
      <c r="K102" s="274">
        <f t="shared" si="19"/>
        <v>66.311229495893826</v>
      </c>
      <c r="L102" s="272"/>
      <c r="W102" s="258"/>
      <c r="X102" s="275">
        <f t="shared" si="20"/>
        <v>206</v>
      </c>
      <c r="Y102" s="275">
        <f t="shared" si="21"/>
        <v>396.16</v>
      </c>
      <c r="Z102" s="276">
        <f t="shared" si="16"/>
        <v>13.548934381471215</v>
      </c>
      <c r="AA102" s="277">
        <f t="shared" si="22"/>
        <v>8.2699813780819635</v>
      </c>
      <c r="AB102" s="277">
        <f t="shared" si="17"/>
        <v>2.7832813426174363</v>
      </c>
      <c r="AD102" s="278">
        <f t="shared" si="23"/>
        <v>0.8604946584104638</v>
      </c>
      <c r="AE102" s="265">
        <f t="shared" si="24"/>
        <v>3.3040666666666663E-2</v>
      </c>
      <c r="AF102" s="253">
        <f t="shared" si="25"/>
        <v>2.1719333333333334E-5</v>
      </c>
    </row>
    <row r="103" spans="2:32" ht="12.75" customHeight="1">
      <c r="B103" s="279">
        <f t="shared" si="18"/>
        <v>61</v>
      </c>
      <c r="C103" s="1127">
        <v>62</v>
      </c>
      <c r="D103" s="272">
        <f t="shared" si="13"/>
        <v>1</v>
      </c>
      <c r="E103" s="1129">
        <v>4.5999999999999996</v>
      </c>
      <c r="F103" s="273">
        <f t="shared" si="14"/>
        <v>14.451326206513047</v>
      </c>
      <c r="G103" s="1127">
        <v>216</v>
      </c>
      <c r="H103" s="1131">
        <v>0.9</v>
      </c>
      <c r="I103" s="1131">
        <v>1</v>
      </c>
      <c r="J103" s="273">
        <f t="shared" si="15"/>
        <v>21.620989650952801</v>
      </c>
      <c r="K103" s="274">
        <f t="shared" si="19"/>
        <v>61.240586973298072</v>
      </c>
      <c r="L103" s="272"/>
      <c r="X103" s="275">
        <f t="shared" si="20"/>
        <v>196</v>
      </c>
      <c r="Y103" s="275">
        <f t="shared" si="21"/>
        <v>391.16</v>
      </c>
      <c r="Z103" s="276">
        <f t="shared" si="16"/>
        <v>12.983376038937136</v>
      </c>
      <c r="AA103" s="277">
        <f t="shared" si="22"/>
        <v>8.1684479081949899</v>
      </c>
      <c r="AB103" s="277">
        <f t="shared" si="17"/>
        <v>2.8079935330379886</v>
      </c>
      <c r="AD103" s="278">
        <f t="shared" si="23"/>
        <v>0.87149392544199134</v>
      </c>
      <c r="AE103" s="265">
        <f t="shared" si="24"/>
        <v>3.2695111111111112E-2</v>
      </c>
      <c r="AF103" s="253">
        <f t="shared" si="25"/>
        <v>2.1531555555555553E-5</v>
      </c>
    </row>
    <row r="104" spans="2:32" ht="12.75" customHeight="1">
      <c r="B104" s="279">
        <f t="shared" si="18"/>
        <v>62</v>
      </c>
      <c r="C104" s="1127">
        <v>63</v>
      </c>
      <c r="D104" s="272">
        <f t="shared" si="13"/>
        <v>1</v>
      </c>
      <c r="E104" s="1129">
        <v>4.5999999999999996</v>
      </c>
      <c r="F104" s="273">
        <f t="shared" si="14"/>
        <v>14.451326206513047</v>
      </c>
      <c r="G104" s="1127">
        <v>180</v>
      </c>
      <c r="H104" s="1131">
        <v>0.9</v>
      </c>
      <c r="I104" s="1131">
        <v>1</v>
      </c>
      <c r="J104" s="273">
        <f t="shared" si="15"/>
        <v>19.37390622717767</v>
      </c>
      <c r="K104" s="274">
        <f t="shared" si="19"/>
        <v>44.796582205334232</v>
      </c>
      <c r="L104" s="272"/>
      <c r="X104" s="275">
        <f t="shared" si="20"/>
        <v>160</v>
      </c>
      <c r="Y104" s="275">
        <f t="shared" si="21"/>
        <v>373.16</v>
      </c>
      <c r="Z104" s="276">
        <f t="shared" si="16"/>
        <v>11.093952938569643</v>
      </c>
      <c r="AA104" s="277">
        <f t="shared" si="22"/>
        <v>7.7549791038991662</v>
      </c>
      <c r="AB104" s="277">
        <f t="shared" si="17"/>
        <v>2.9013661540071309</v>
      </c>
      <c r="AD104" s="278">
        <f t="shared" si="23"/>
        <v>0.91353190019265018</v>
      </c>
      <c r="AE104" s="265">
        <f t="shared" si="24"/>
        <v>3.145111111111111E-2</v>
      </c>
      <c r="AF104" s="253">
        <f t="shared" si="25"/>
        <v>2.0855555555555555E-5</v>
      </c>
    </row>
    <row r="105" spans="2:32" ht="12.75" customHeight="1">
      <c r="B105" s="279">
        <f t="shared" si="18"/>
        <v>63</v>
      </c>
      <c r="C105" s="1127">
        <v>64</v>
      </c>
      <c r="D105" s="272">
        <f t="shared" si="13"/>
        <v>1</v>
      </c>
      <c r="E105" s="1129">
        <v>4.5999999999999996</v>
      </c>
      <c r="F105" s="273">
        <f t="shared" si="14"/>
        <v>14.451326206513047</v>
      </c>
      <c r="G105" s="1127">
        <v>185</v>
      </c>
      <c r="H105" s="1131">
        <v>0.9</v>
      </c>
      <c r="I105" s="1131">
        <v>1</v>
      </c>
      <c r="J105" s="273">
        <f t="shared" si="15"/>
        <v>19.676875498509965</v>
      </c>
      <c r="K105" s="274">
        <f t="shared" si="19"/>
        <v>46.918896181395404</v>
      </c>
      <c r="L105" s="272"/>
      <c r="X105" s="275">
        <f t="shared" si="20"/>
        <v>165</v>
      </c>
      <c r="Y105" s="275">
        <f t="shared" si="21"/>
        <v>375.66</v>
      </c>
      <c r="Z105" s="276">
        <f t="shared" si="16"/>
        <v>11.342976713994684</v>
      </c>
      <c r="AA105" s="277">
        <f t="shared" si="22"/>
        <v>7.8175139073481947</v>
      </c>
      <c r="AB105" s="277">
        <f t="shared" si="17"/>
        <v>2.8879655917207265</v>
      </c>
      <c r="AD105" s="278">
        <f t="shared" si="23"/>
        <v>0.90745238746709611</v>
      </c>
      <c r="AE105" s="265">
        <f t="shared" si="24"/>
        <v>3.1623888888888889E-2</v>
      </c>
      <c r="AF105" s="253">
        <f t="shared" si="25"/>
        <v>2.0949444444444442E-5</v>
      </c>
    </row>
    <row r="106" spans="2:32" ht="12.75" customHeight="1">
      <c r="B106" s="279">
        <f t="shared" si="18"/>
        <v>64</v>
      </c>
      <c r="C106" s="1127">
        <v>65</v>
      </c>
      <c r="D106" s="272">
        <f t="shared" si="13"/>
        <v>1</v>
      </c>
      <c r="E106" s="1129">
        <v>4.5999999999999996</v>
      </c>
      <c r="F106" s="273">
        <f t="shared" si="14"/>
        <v>14.451326206513047</v>
      </c>
      <c r="G106" s="1127">
        <v>180</v>
      </c>
      <c r="H106" s="1131">
        <v>0.9</v>
      </c>
      <c r="I106" s="1131">
        <v>1</v>
      </c>
      <c r="J106" s="273">
        <f t="shared" si="15"/>
        <v>19.37390622717767</v>
      </c>
      <c r="K106" s="274">
        <f t="shared" ref="K106:K118" si="26">IF(F106="","",J106*F106*(G106-$K$22)/1000)</f>
        <v>44.796582205334232</v>
      </c>
      <c r="L106" s="272"/>
      <c r="X106" s="275">
        <f t="shared" ref="X106:X118" si="27">G106-$K$22</f>
        <v>160</v>
      </c>
      <c r="Y106" s="275">
        <f t="shared" ref="Y106:Y118" si="28">(G106+$K$22)/2+273.16</f>
        <v>373.16</v>
      </c>
      <c r="Z106" s="276">
        <f t="shared" si="16"/>
        <v>11.093952938569643</v>
      </c>
      <c r="AA106" s="277">
        <f t="shared" ref="AA106:AA118" si="29">1.4*($K$24*$K$24*(273.16+TAMB)/Y106*X106)^(1/3)</f>
        <v>7.7549791038991662</v>
      </c>
      <c r="AB106" s="277">
        <f t="shared" si="17"/>
        <v>2.9013661540071309</v>
      </c>
      <c r="AD106" s="278">
        <f t="shared" ref="AD106:AD118" si="30">$K$24*(273.16+TAMB)/Y106</f>
        <v>0.91353190019265018</v>
      </c>
      <c r="AE106" s="265">
        <f t="shared" ref="AE106:AE118" si="31">$AA$26+($AA$27-$AA$26)/($Z$27-$Z$26)*(Y106-273.16)</f>
        <v>3.145111111111111E-2</v>
      </c>
      <c r="AF106" s="253">
        <f t="shared" ref="AF106:AF118" si="32">$AB$26+($AB$27-$AB$26)/($Z$27-$Z$26)*(Y106-273.16)</f>
        <v>2.0855555555555555E-5</v>
      </c>
    </row>
    <row r="107" spans="2:32" ht="12.75" customHeight="1">
      <c r="B107" s="279">
        <f t="shared" si="18"/>
        <v>65</v>
      </c>
      <c r="C107" s="1127">
        <v>66</v>
      </c>
      <c r="D107" s="272">
        <f t="shared" si="13"/>
        <v>1</v>
      </c>
      <c r="E107" s="1129">
        <v>4.5999999999999996</v>
      </c>
      <c r="F107" s="273">
        <f t="shared" si="14"/>
        <v>14.451326206513047</v>
      </c>
      <c r="G107" s="1127">
        <v>170</v>
      </c>
      <c r="H107" s="1131">
        <v>0.9</v>
      </c>
      <c r="I107" s="1131">
        <v>1</v>
      </c>
      <c r="J107" s="273">
        <f t="shared" si="15"/>
        <v>18.775779515187743</v>
      </c>
      <c r="K107" s="274">
        <f t="shared" si="26"/>
        <v>40.70023718333151</v>
      </c>
      <c r="L107" s="272"/>
      <c r="X107" s="275">
        <f t="shared" si="27"/>
        <v>150</v>
      </c>
      <c r="Y107" s="275">
        <f t="shared" si="28"/>
        <v>368.16</v>
      </c>
      <c r="Z107" s="276">
        <f t="shared" si="16"/>
        <v>10.608517248099568</v>
      </c>
      <c r="AA107" s="277">
        <f t="shared" si="29"/>
        <v>7.6241345441745247</v>
      </c>
      <c r="AB107" s="277">
        <f t="shared" si="17"/>
        <v>2.9286080980095286</v>
      </c>
      <c r="AD107" s="278">
        <f t="shared" si="30"/>
        <v>0.92593862417397144</v>
      </c>
      <c r="AE107" s="265">
        <f t="shared" si="31"/>
        <v>3.1105555555555553E-2</v>
      </c>
      <c r="AF107" s="253">
        <f t="shared" si="32"/>
        <v>2.0667777777777778E-5</v>
      </c>
    </row>
    <row r="108" spans="2:32" ht="12.75" customHeight="1">
      <c r="B108" s="279">
        <f t="shared" si="18"/>
        <v>66</v>
      </c>
      <c r="C108" s="1127">
        <v>67</v>
      </c>
      <c r="D108" s="272">
        <f t="shared" si="13"/>
        <v>1</v>
      </c>
      <c r="E108" s="1129">
        <v>4.5999999999999996</v>
      </c>
      <c r="F108" s="273">
        <f t="shared" si="14"/>
        <v>14.451326206513047</v>
      </c>
      <c r="G108" s="1127">
        <v>150</v>
      </c>
      <c r="H108" s="1131">
        <v>0.9</v>
      </c>
      <c r="I108" s="1131">
        <v>1</v>
      </c>
      <c r="J108" s="273">
        <f t="shared" si="15"/>
        <v>17.607068396845634</v>
      </c>
      <c r="K108" s="274">
        <f t="shared" si="26"/>
        <v>33.077913562616388</v>
      </c>
      <c r="L108" s="272"/>
      <c r="X108" s="275">
        <f t="shared" si="27"/>
        <v>130</v>
      </c>
      <c r="Y108" s="275">
        <f t="shared" si="28"/>
        <v>358.16</v>
      </c>
      <c r="Z108" s="276">
        <f t="shared" si="16"/>
        <v>9.6870216786794057</v>
      </c>
      <c r="AA108" s="277">
        <f t="shared" si="29"/>
        <v>7.336029844855017</v>
      </c>
      <c r="AB108" s="277">
        <f t="shared" si="17"/>
        <v>2.984929837254493</v>
      </c>
      <c r="AD108" s="278">
        <f t="shared" si="30"/>
        <v>0.95179127729475466</v>
      </c>
      <c r="AE108" s="265">
        <f t="shared" si="31"/>
        <v>3.0414444444444445E-2</v>
      </c>
      <c r="AF108" s="253">
        <f t="shared" si="32"/>
        <v>2.029222222222222E-5</v>
      </c>
    </row>
    <row r="109" spans="2:32" ht="12.75" customHeight="1">
      <c r="B109" s="279">
        <f t="shared" si="18"/>
        <v>67</v>
      </c>
      <c r="C109" s="1127">
        <v>68</v>
      </c>
      <c r="D109" s="272">
        <f t="shared" si="13"/>
        <v>1</v>
      </c>
      <c r="E109" s="1129">
        <v>4.5999999999999996</v>
      </c>
      <c r="F109" s="273">
        <f t="shared" si="14"/>
        <v>14.451326206513047</v>
      </c>
      <c r="G109" s="1127">
        <v>150</v>
      </c>
      <c r="H109" s="1131">
        <v>0.9</v>
      </c>
      <c r="I109" s="1131">
        <v>1</v>
      </c>
      <c r="J109" s="273">
        <f t="shared" si="15"/>
        <v>17.607068396845634</v>
      </c>
      <c r="K109" s="274">
        <f t="shared" si="26"/>
        <v>33.077913562616388</v>
      </c>
      <c r="L109" s="272"/>
      <c r="X109" s="275">
        <f t="shared" si="27"/>
        <v>130</v>
      </c>
      <c r="Y109" s="275">
        <f t="shared" si="28"/>
        <v>358.16</v>
      </c>
      <c r="Z109" s="276">
        <f t="shared" si="16"/>
        <v>9.6870216786794057</v>
      </c>
      <c r="AA109" s="277">
        <f t="shared" si="29"/>
        <v>7.336029844855017</v>
      </c>
      <c r="AB109" s="277">
        <f t="shared" si="17"/>
        <v>2.984929837254493</v>
      </c>
      <c r="AD109" s="278">
        <f t="shared" si="30"/>
        <v>0.95179127729475466</v>
      </c>
      <c r="AE109" s="265">
        <f t="shared" si="31"/>
        <v>3.0414444444444445E-2</v>
      </c>
      <c r="AF109" s="253">
        <f t="shared" si="32"/>
        <v>2.029222222222222E-5</v>
      </c>
    </row>
    <row r="110" spans="2:32" ht="12.75" customHeight="1">
      <c r="B110" s="279" t="str">
        <f t="shared" si="18"/>
        <v/>
      </c>
      <c r="C110" s="1127"/>
      <c r="D110" s="272" t="str">
        <f t="shared" si="13"/>
        <v/>
      </c>
      <c r="E110" s="1129"/>
      <c r="F110" s="273" t="str">
        <f t="shared" si="14"/>
        <v/>
      </c>
      <c r="G110" s="1127"/>
      <c r="H110" s="1131"/>
      <c r="I110" s="1131"/>
      <c r="J110" s="273" t="str">
        <f t="shared" si="15"/>
        <v/>
      </c>
      <c r="K110" s="274" t="str">
        <f t="shared" si="26"/>
        <v/>
      </c>
      <c r="L110" s="272"/>
      <c r="X110" s="275">
        <f t="shared" si="27"/>
        <v>-20</v>
      </c>
      <c r="Y110" s="275">
        <f t="shared" si="28"/>
        <v>283.16000000000003</v>
      </c>
      <c r="Z110" s="276">
        <f t="shared" si="16"/>
        <v>0</v>
      </c>
      <c r="AA110" s="277">
        <f t="shared" si="29"/>
        <v>-4.251136302924281</v>
      </c>
      <c r="AB110" s="277" t="e">
        <f t="shared" si="17"/>
        <v>#DIV/0!</v>
      </c>
      <c r="AD110" s="278">
        <f t="shared" si="30"/>
        <v>1.2038902524222677</v>
      </c>
      <c r="AE110" s="265">
        <f t="shared" si="31"/>
        <v>2.523111111111111E-2</v>
      </c>
      <c r="AF110" s="253">
        <f t="shared" si="32"/>
        <v>1.7475555555555554E-5</v>
      </c>
    </row>
    <row r="111" spans="2:32" ht="12.75" customHeight="1">
      <c r="B111" s="279" t="str">
        <f t="shared" si="18"/>
        <v/>
      </c>
      <c r="C111" s="1127"/>
      <c r="D111" s="272" t="str">
        <f t="shared" si="13"/>
        <v/>
      </c>
      <c r="E111" s="1129"/>
      <c r="F111" s="273" t="str">
        <f t="shared" si="14"/>
        <v/>
      </c>
      <c r="G111" s="1127"/>
      <c r="H111" s="1131"/>
      <c r="I111" s="1131"/>
      <c r="J111" s="273" t="str">
        <f t="shared" si="15"/>
        <v/>
      </c>
      <c r="K111" s="274" t="str">
        <f t="shared" si="26"/>
        <v/>
      </c>
      <c r="L111" s="272"/>
      <c r="X111" s="275">
        <f t="shared" si="27"/>
        <v>-20</v>
      </c>
      <c r="Y111" s="275">
        <f t="shared" si="28"/>
        <v>283.16000000000003</v>
      </c>
      <c r="Z111" s="276">
        <f t="shared" si="16"/>
        <v>0</v>
      </c>
      <c r="AA111" s="277">
        <f t="shared" si="29"/>
        <v>-4.251136302924281</v>
      </c>
      <c r="AB111" s="277" t="e">
        <f t="shared" si="17"/>
        <v>#DIV/0!</v>
      </c>
      <c r="AD111" s="278">
        <f t="shared" si="30"/>
        <v>1.2038902524222677</v>
      </c>
      <c r="AE111" s="265">
        <f t="shared" si="31"/>
        <v>2.523111111111111E-2</v>
      </c>
      <c r="AF111" s="253">
        <f t="shared" si="32"/>
        <v>1.7475555555555554E-5</v>
      </c>
    </row>
    <row r="112" spans="2:32" ht="12.75" customHeight="1">
      <c r="B112" s="279" t="str">
        <f t="shared" si="18"/>
        <v/>
      </c>
      <c r="C112" s="1127"/>
      <c r="D112" s="272" t="str">
        <f t="shared" si="13"/>
        <v/>
      </c>
      <c r="E112" s="1129"/>
      <c r="F112" s="273" t="str">
        <f t="shared" si="14"/>
        <v/>
      </c>
      <c r="G112" s="1127"/>
      <c r="H112" s="1131"/>
      <c r="I112" s="1131"/>
      <c r="J112" s="273" t="str">
        <f t="shared" si="15"/>
        <v/>
      </c>
      <c r="K112" s="274" t="str">
        <f t="shared" si="26"/>
        <v/>
      </c>
      <c r="L112" s="272"/>
      <c r="X112" s="275">
        <f t="shared" si="27"/>
        <v>-20</v>
      </c>
      <c r="Y112" s="275">
        <f t="shared" si="28"/>
        <v>283.16000000000003</v>
      </c>
      <c r="Z112" s="276">
        <f t="shared" si="16"/>
        <v>0</v>
      </c>
      <c r="AA112" s="277">
        <f t="shared" si="29"/>
        <v>-4.251136302924281</v>
      </c>
      <c r="AB112" s="277" t="e">
        <f t="shared" si="17"/>
        <v>#DIV/0!</v>
      </c>
      <c r="AD112" s="278">
        <f t="shared" si="30"/>
        <v>1.2038902524222677</v>
      </c>
      <c r="AE112" s="265">
        <f t="shared" si="31"/>
        <v>2.523111111111111E-2</v>
      </c>
      <c r="AF112" s="253">
        <f t="shared" si="32"/>
        <v>1.7475555555555554E-5</v>
      </c>
    </row>
    <row r="113" spans="1:32" ht="12.75" customHeight="1">
      <c r="B113" s="279" t="str">
        <f t="shared" si="18"/>
        <v/>
      </c>
      <c r="C113" s="1127"/>
      <c r="D113" s="272" t="str">
        <f t="shared" si="13"/>
        <v/>
      </c>
      <c r="E113" s="1129"/>
      <c r="F113" s="273" t="str">
        <f t="shared" si="14"/>
        <v/>
      </c>
      <c r="G113" s="1127"/>
      <c r="H113" s="1131"/>
      <c r="I113" s="1131"/>
      <c r="J113" s="273" t="str">
        <f t="shared" si="15"/>
        <v/>
      </c>
      <c r="K113" s="274" t="str">
        <f t="shared" si="26"/>
        <v/>
      </c>
      <c r="L113" s="272"/>
      <c r="X113" s="275">
        <f t="shared" si="27"/>
        <v>-20</v>
      </c>
      <c r="Y113" s="275">
        <f t="shared" si="28"/>
        <v>283.16000000000003</v>
      </c>
      <c r="Z113" s="276">
        <f t="shared" si="16"/>
        <v>0</v>
      </c>
      <c r="AA113" s="277">
        <f t="shared" si="29"/>
        <v>-4.251136302924281</v>
      </c>
      <c r="AB113" s="277" t="e">
        <f t="shared" si="17"/>
        <v>#DIV/0!</v>
      </c>
      <c r="AD113" s="278">
        <f t="shared" si="30"/>
        <v>1.2038902524222677</v>
      </c>
      <c r="AE113" s="265">
        <f t="shared" si="31"/>
        <v>2.523111111111111E-2</v>
      </c>
      <c r="AF113" s="253">
        <f t="shared" si="32"/>
        <v>1.7475555555555554E-5</v>
      </c>
    </row>
    <row r="114" spans="1:32" ht="12.75" customHeight="1">
      <c r="B114" s="279" t="str">
        <f t="shared" si="18"/>
        <v/>
      </c>
      <c r="C114" s="1127"/>
      <c r="D114" s="272" t="str">
        <f t="shared" si="13"/>
        <v/>
      </c>
      <c r="E114" s="1129"/>
      <c r="F114" s="273" t="str">
        <f t="shared" si="14"/>
        <v/>
      </c>
      <c r="G114" s="1127"/>
      <c r="H114" s="1131"/>
      <c r="I114" s="1131"/>
      <c r="J114" s="273" t="str">
        <f t="shared" si="15"/>
        <v/>
      </c>
      <c r="K114" s="274" t="str">
        <f t="shared" si="26"/>
        <v/>
      </c>
      <c r="L114" s="272"/>
      <c r="X114" s="275">
        <f t="shared" si="27"/>
        <v>-20</v>
      </c>
      <c r="Y114" s="275">
        <f t="shared" si="28"/>
        <v>283.16000000000003</v>
      </c>
      <c r="Z114" s="276">
        <f t="shared" si="16"/>
        <v>0</v>
      </c>
      <c r="AA114" s="277">
        <f t="shared" si="29"/>
        <v>-4.251136302924281</v>
      </c>
      <c r="AB114" s="277" t="e">
        <f t="shared" si="17"/>
        <v>#DIV/0!</v>
      </c>
      <c r="AD114" s="278">
        <f t="shared" si="30"/>
        <v>1.2038902524222677</v>
      </c>
      <c r="AE114" s="265">
        <f t="shared" si="31"/>
        <v>2.523111111111111E-2</v>
      </c>
      <c r="AF114" s="253">
        <f t="shared" si="32"/>
        <v>1.7475555555555554E-5</v>
      </c>
    </row>
    <row r="115" spans="1:32" ht="12.75" customHeight="1">
      <c r="B115" s="279" t="str">
        <f t="shared" si="18"/>
        <v/>
      </c>
      <c r="C115" s="1127"/>
      <c r="D115" s="272" t="str">
        <f t="shared" si="13"/>
        <v/>
      </c>
      <c r="E115" s="1129"/>
      <c r="F115" s="273" t="str">
        <f t="shared" si="14"/>
        <v/>
      </c>
      <c r="G115" s="1127"/>
      <c r="H115" s="1131"/>
      <c r="I115" s="1131"/>
      <c r="J115" s="273" t="str">
        <f t="shared" si="15"/>
        <v/>
      </c>
      <c r="K115" s="274" t="str">
        <f t="shared" si="26"/>
        <v/>
      </c>
      <c r="L115" s="272"/>
      <c r="X115" s="275">
        <f t="shared" si="27"/>
        <v>-20</v>
      </c>
      <c r="Y115" s="275">
        <f t="shared" si="28"/>
        <v>283.16000000000003</v>
      </c>
      <c r="Z115" s="276">
        <f t="shared" si="16"/>
        <v>0</v>
      </c>
      <c r="AA115" s="277">
        <f t="shared" si="29"/>
        <v>-4.251136302924281</v>
      </c>
      <c r="AB115" s="277" t="e">
        <f t="shared" si="17"/>
        <v>#DIV/0!</v>
      </c>
      <c r="AD115" s="278">
        <f t="shared" si="30"/>
        <v>1.2038902524222677</v>
      </c>
      <c r="AE115" s="265">
        <f t="shared" si="31"/>
        <v>2.523111111111111E-2</v>
      </c>
      <c r="AF115" s="253">
        <f t="shared" si="32"/>
        <v>1.7475555555555554E-5</v>
      </c>
    </row>
    <row r="116" spans="1:32" ht="12.75" customHeight="1">
      <c r="B116" s="279" t="str">
        <f t="shared" si="18"/>
        <v/>
      </c>
      <c r="C116" s="1127"/>
      <c r="D116" s="272" t="str">
        <f t="shared" si="13"/>
        <v/>
      </c>
      <c r="E116" s="1129"/>
      <c r="F116" s="273" t="str">
        <f t="shared" si="14"/>
        <v/>
      </c>
      <c r="G116" s="1127"/>
      <c r="H116" s="1131"/>
      <c r="I116" s="1131"/>
      <c r="J116" s="273" t="str">
        <f t="shared" si="15"/>
        <v/>
      </c>
      <c r="K116" s="274" t="str">
        <f t="shared" si="26"/>
        <v/>
      </c>
      <c r="L116" s="272"/>
      <c r="X116" s="275">
        <f t="shared" si="27"/>
        <v>-20</v>
      </c>
      <c r="Y116" s="275">
        <f t="shared" si="28"/>
        <v>283.16000000000003</v>
      </c>
      <c r="Z116" s="276">
        <f t="shared" si="16"/>
        <v>0</v>
      </c>
      <c r="AA116" s="277">
        <f t="shared" si="29"/>
        <v>-4.251136302924281</v>
      </c>
      <c r="AB116" s="277" t="e">
        <f t="shared" si="17"/>
        <v>#DIV/0!</v>
      </c>
      <c r="AD116" s="278">
        <f t="shared" si="30"/>
        <v>1.2038902524222677</v>
      </c>
      <c r="AE116" s="265">
        <f t="shared" si="31"/>
        <v>2.523111111111111E-2</v>
      </c>
      <c r="AF116" s="253">
        <f t="shared" si="32"/>
        <v>1.7475555555555554E-5</v>
      </c>
    </row>
    <row r="117" spans="1:32" ht="12.75" customHeight="1">
      <c r="B117" s="279" t="str">
        <f t="shared" si="18"/>
        <v/>
      </c>
      <c r="C117" s="1127"/>
      <c r="D117" s="272" t="str">
        <f t="shared" si="13"/>
        <v/>
      </c>
      <c r="E117" s="1129"/>
      <c r="F117" s="273" t="str">
        <f t="shared" si="14"/>
        <v/>
      </c>
      <c r="G117" s="1127"/>
      <c r="H117" s="1131"/>
      <c r="I117" s="1131"/>
      <c r="J117" s="273" t="str">
        <f t="shared" si="15"/>
        <v/>
      </c>
      <c r="K117" s="274" t="str">
        <f t="shared" si="26"/>
        <v/>
      </c>
      <c r="L117" s="272"/>
      <c r="X117" s="275">
        <f t="shared" si="27"/>
        <v>-20</v>
      </c>
      <c r="Y117" s="275">
        <f t="shared" si="28"/>
        <v>283.16000000000003</v>
      </c>
      <c r="Z117" s="276">
        <f t="shared" si="16"/>
        <v>0</v>
      </c>
      <c r="AA117" s="277">
        <f t="shared" si="29"/>
        <v>-4.251136302924281</v>
      </c>
      <c r="AB117" s="277" t="e">
        <f t="shared" si="17"/>
        <v>#DIV/0!</v>
      </c>
      <c r="AD117" s="278">
        <f t="shared" si="30"/>
        <v>1.2038902524222677</v>
      </c>
      <c r="AE117" s="265">
        <f t="shared" si="31"/>
        <v>2.523111111111111E-2</v>
      </c>
      <c r="AF117" s="253">
        <f t="shared" si="32"/>
        <v>1.7475555555555554E-5</v>
      </c>
    </row>
    <row r="118" spans="1:32" ht="12.75" customHeight="1">
      <c r="B118" s="566" t="str">
        <f t="shared" si="18"/>
        <v/>
      </c>
      <c r="C118" s="1128"/>
      <c r="D118" s="567" t="str">
        <f t="shared" si="13"/>
        <v/>
      </c>
      <c r="E118" s="1130"/>
      <c r="F118" s="568" t="str">
        <f t="shared" si="14"/>
        <v/>
      </c>
      <c r="G118" s="1128"/>
      <c r="H118" s="1132"/>
      <c r="I118" s="1132"/>
      <c r="J118" s="568" t="str">
        <f t="shared" si="15"/>
        <v/>
      </c>
      <c r="K118" s="569" t="str">
        <f t="shared" si="26"/>
        <v/>
      </c>
      <c r="L118" s="567"/>
      <c r="X118" s="275">
        <f t="shared" si="27"/>
        <v>-20</v>
      </c>
      <c r="Y118" s="275">
        <f t="shared" si="28"/>
        <v>283.16000000000003</v>
      </c>
      <c r="Z118" s="276">
        <f t="shared" si="16"/>
        <v>0</v>
      </c>
      <c r="AA118" s="277">
        <f t="shared" si="29"/>
        <v>-4.251136302924281</v>
      </c>
      <c r="AB118" s="277" t="e">
        <f t="shared" si="17"/>
        <v>#DIV/0!</v>
      </c>
      <c r="AD118" s="278">
        <f t="shared" si="30"/>
        <v>1.2038902524222677</v>
      </c>
      <c r="AE118" s="265">
        <f t="shared" si="31"/>
        <v>2.523111111111111E-2</v>
      </c>
      <c r="AF118" s="253">
        <f t="shared" si="32"/>
        <v>1.7475555555555554E-5</v>
      </c>
    </row>
    <row r="119" spans="1:32" ht="12.75" customHeight="1">
      <c r="B119" s="254"/>
      <c r="C119" s="254"/>
      <c r="D119" s="254"/>
      <c r="E119" s="254"/>
      <c r="F119" s="254"/>
      <c r="G119" s="254"/>
      <c r="H119" s="254"/>
      <c r="I119" s="254"/>
      <c r="J119" s="254"/>
      <c r="K119" s="254"/>
      <c r="L119" s="254"/>
    </row>
    <row r="120" spans="1:32" ht="12.75" customHeight="1">
      <c r="B120" s="286"/>
      <c r="L120" s="289"/>
    </row>
    <row r="121" spans="1:32" ht="12.75" customHeight="1"/>
    <row r="122" spans="1:32" ht="12.75" customHeight="1">
      <c r="B122" s="290"/>
      <c r="C122" s="287"/>
      <c r="D122" s="350"/>
      <c r="E122" s="481"/>
      <c r="G122" s="291"/>
      <c r="H122" s="262"/>
      <c r="K122" s="482"/>
    </row>
    <row r="123" spans="1:32" ht="12.75" customHeight="1">
      <c r="B123" s="290"/>
      <c r="C123" s="287"/>
      <c r="D123" s="473"/>
      <c r="E123" s="287"/>
      <c r="F123" s="481"/>
      <c r="G123" s="293"/>
      <c r="H123" s="262"/>
      <c r="J123" s="295"/>
      <c r="K123" s="482"/>
      <c r="L123" s="262"/>
    </row>
    <row r="124" spans="1:32" ht="12.75" customHeight="1"/>
    <row r="125" spans="1:32" ht="12.75" customHeight="1">
      <c r="A125" s="354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54"/>
      <c r="Z125" s="354"/>
      <c r="AA125" s="354"/>
      <c r="AB125" s="354"/>
      <c r="AC125" s="354"/>
      <c r="AD125" s="354"/>
      <c r="AE125" s="354"/>
      <c r="AF125" s="354"/>
    </row>
    <row r="126" spans="1:32" ht="12.75" customHeight="1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  <c r="Z126" s="354"/>
      <c r="AA126" s="354"/>
      <c r="AB126" s="354"/>
      <c r="AC126" s="354"/>
      <c r="AD126" s="354"/>
      <c r="AE126" s="354"/>
      <c r="AF126" s="354"/>
    </row>
    <row r="127" spans="1:32" ht="12.75" customHeight="1">
      <c r="A127" s="354"/>
      <c r="B127" s="443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</row>
    <row r="128" spans="1:32" ht="12.75" customHeight="1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354"/>
      <c r="AB128" s="354"/>
      <c r="AC128" s="354"/>
      <c r="AD128" s="354"/>
      <c r="AE128" s="354"/>
      <c r="AF128" s="354"/>
    </row>
    <row r="129" spans="1:32" ht="12.75" customHeight="1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54"/>
      <c r="Z129" s="354"/>
      <c r="AA129" s="354"/>
      <c r="AB129" s="354"/>
      <c r="AC129" s="354"/>
      <c r="AD129" s="354"/>
      <c r="AE129" s="354"/>
      <c r="AF129" s="354"/>
    </row>
    <row r="130" spans="1:32" ht="12.75" customHeight="1">
      <c r="A130" s="354"/>
      <c r="B130" s="354"/>
      <c r="C130" s="354"/>
      <c r="D130" s="354"/>
      <c r="E130" s="354"/>
      <c r="F130" s="354"/>
      <c r="G130" s="354"/>
      <c r="H130" s="354"/>
      <c r="I130" s="354"/>
      <c r="J130" s="354"/>
      <c r="K130" s="354"/>
      <c r="L130" s="354"/>
      <c r="M130" s="354"/>
      <c r="N130" s="354"/>
      <c r="O130" s="354"/>
      <c r="P130" s="354"/>
      <c r="Q130" s="354"/>
      <c r="R130" s="354"/>
      <c r="S130" s="354"/>
      <c r="T130" s="354"/>
      <c r="U130" s="354"/>
      <c r="V130" s="354"/>
      <c r="W130" s="354"/>
      <c r="X130"/>
      <c r="Y130" s="354"/>
      <c r="Z130" s="354"/>
      <c r="AA130" s="354"/>
      <c r="AB130" s="354"/>
      <c r="AC130" s="354"/>
      <c r="AD130" s="354"/>
      <c r="AE130" s="354"/>
      <c r="AF130" s="354"/>
    </row>
    <row r="131" spans="1:32" ht="12.75" customHeight="1">
      <c r="A131" s="354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  <c r="X131" s="354"/>
      <c r="Y131" s="354"/>
      <c r="Z131" s="354"/>
      <c r="AA131" s="354"/>
      <c r="AB131" s="354"/>
      <c r="AC131" s="354"/>
      <c r="AD131" s="354"/>
      <c r="AE131" s="354"/>
      <c r="AF131" s="354"/>
    </row>
    <row r="132" spans="1:32" ht="12.75" customHeight="1">
      <c r="A132" s="354"/>
      <c r="B132" s="352"/>
      <c r="C132" s="354"/>
      <c r="D132" s="354"/>
      <c r="E132" s="44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  <c r="Z132" s="354"/>
      <c r="AA132" s="354"/>
      <c r="AB132" s="354"/>
      <c r="AC132" s="354"/>
      <c r="AD132" s="354"/>
      <c r="AE132" s="354"/>
      <c r="AF132" s="354"/>
    </row>
    <row r="133" spans="1:32" ht="12.75" customHeight="1">
      <c r="A133" s="354"/>
      <c r="B133" s="352"/>
      <c r="C133" s="354"/>
      <c r="D133" s="354"/>
      <c r="E133" s="44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449"/>
      <c r="Y133" s="449"/>
      <c r="Z133" s="450"/>
      <c r="AA133" s="451"/>
      <c r="AB133" s="451"/>
      <c r="AC133" s="354"/>
      <c r="AD133" s="452"/>
      <c r="AE133" s="453"/>
      <c r="AF133" s="354"/>
    </row>
    <row r="134" spans="1:32" ht="12.75" customHeight="1">
      <c r="A134" s="354"/>
      <c r="B134" s="352"/>
      <c r="C134" s="354"/>
      <c r="D134" s="354"/>
      <c r="E134" s="44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354"/>
      <c r="AB134" s="354"/>
      <c r="AC134" s="354"/>
      <c r="AD134" s="354"/>
      <c r="AE134" s="354"/>
      <c r="AF134" s="354"/>
    </row>
    <row r="135" spans="1:32" ht="12.75" customHeight="1">
      <c r="A135" s="354"/>
      <c r="B135" s="361"/>
      <c r="C135" s="354"/>
      <c r="D135" s="354"/>
      <c r="E135" s="44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449"/>
      <c r="Y135" s="449"/>
      <c r="Z135" s="450"/>
      <c r="AA135" s="451"/>
      <c r="AB135" s="451"/>
      <c r="AC135" s="354"/>
      <c r="AD135" s="452"/>
      <c r="AE135" s="453"/>
      <c r="AF135" s="354"/>
    </row>
    <row r="136" spans="1:32" ht="12.75" customHeight="1">
      <c r="A136" s="354"/>
      <c r="B136" s="444"/>
      <c r="C136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449"/>
      <c r="Y136" s="449"/>
      <c r="Z136" s="450"/>
      <c r="AA136" s="451"/>
      <c r="AB136" s="451"/>
      <c r="AC136" s="354"/>
      <c r="AD136" s="452"/>
      <c r="AE136" s="453"/>
      <c r="AF136" s="354"/>
    </row>
    <row r="137" spans="1:32" ht="12.75" customHeight="1">
      <c r="A137" s="354"/>
      <c r="B137" s="444"/>
      <c r="C137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449"/>
      <c r="Y137" s="449"/>
      <c r="Z137" s="450"/>
      <c r="AA137" s="451"/>
      <c r="AB137" s="451"/>
      <c r="AC137" s="354"/>
      <c r="AD137" s="452"/>
      <c r="AE137" s="453"/>
      <c r="AF137" s="354"/>
    </row>
    <row r="138" spans="1:32" ht="12.75" customHeight="1">
      <c r="A138" s="354"/>
      <c r="B138" s="444"/>
      <c r="C138"/>
      <c r="D138" s="354"/>
      <c r="E138" s="456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449"/>
      <c r="Y138" s="449"/>
      <c r="Z138" s="450"/>
      <c r="AA138" s="451"/>
      <c r="AB138" s="451"/>
      <c r="AC138" s="354"/>
      <c r="AD138" s="452"/>
      <c r="AE138" s="453"/>
      <c r="AF138" s="354"/>
    </row>
    <row r="139" spans="1:32" ht="12.75" customHeight="1">
      <c r="A139" s="354"/>
      <c r="B139" s="444"/>
      <c r="C139"/>
      <c r="D139" s="354"/>
      <c r="E139" s="456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449"/>
      <c r="Y139" s="449"/>
      <c r="Z139" s="450"/>
      <c r="AA139" s="451"/>
      <c r="AB139" s="451"/>
      <c r="AC139" s="354"/>
      <c r="AD139" s="452"/>
      <c r="AE139" s="453"/>
      <c r="AF139" s="354"/>
    </row>
    <row r="140" spans="1:32" ht="12.75" customHeight="1">
      <c r="A140" s="354"/>
      <c r="B140" s="352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449"/>
      <c r="Y140" s="449"/>
      <c r="Z140" s="450"/>
      <c r="AA140" s="451"/>
      <c r="AB140" s="451"/>
      <c r="AC140" s="354"/>
      <c r="AD140" s="452"/>
      <c r="AE140" s="453"/>
      <c r="AF140" s="354"/>
    </row>
    <row r="141" spans="1:32" ht="12.75" customHeight="1">
      <c r="A141" s="354"/>
      <c r="B141" s="361"/>
      <c r="C141" s="354"/>
      <c r="D141" s="354"/>
      <c r="E141" s="44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449"/>
      <c r="Y141" s="449"/>
      <c r="Z141" s="450"/>
      <c r="AA141" s="451"/>
      <c r="AB141" s="451"/>
      <c r="AC141" s="354"/>
      <c r="AD141" s="452"/>
      <c r="AE141" s="453"/>
      <c r="AF141" s="354"/>
    </row>
    <row r="142" spans="1:32" ht="12.75" customHeight="1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449"/>
      <c r="Y142" s="449"/>
      <c r="Z142" s="450"/>
      <c r="AA142" s="451"/>
      <c r="AB142" s="451"/>
      <c r="AC142" s="354"/>
      <c r="AD142" s="452"/>
      <c r="AE142" s="453"/>
      <c r="AF142" s="354"/>
    </row>
    <row r="143" spans="1:32" ht="12.75" customHeight="1">
      <c r="A143" s="354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449"/>
      <c r="Y143" s="449"/>
      <c r="Z143" s="450"/>
      <c r="AA143" s="451"/>
      <c r="AB143" s="451"/>
      <c r="AC143" s="354"/>
      <c r="AD143" s="452"/>
      <c r="AE143" s="453"/>
      <c r="AF143" s="354"/>
    </row>
    <row r="144" spans="1:32" ht="12.75" customHeight="1">
      <c r="A144" s="354"/>
      <c r="B144" s="444"/>
      <c r="C144" s="354"/>
      <c r="D144" s="354"/>
      <c r="E144" s="456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449"/>
      <c r="Y144" s="449"/>
      <c r="Z144" s="450"/>
      <c r="AA144" s="451"/>
      <c r="AB144" s="451"/>
      <c r="AC144" s="354"/>
      <c r="AD144" s="452"/>
      <c r="AE144" s="453"/>
      <c r="AF144" s="354"/>
    </row>
    <row r="145" spans="1:32" ht="12.75" customHeight="1">
      <c r="A145" s="354"/>
      <c r="B145" s="444"/>
      <c r="C145" s="354"/>
      <c r="D145" s="354"/>
      <c r="E145" s="456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449"/>
      <c r="Y145" s="449"/>
      <c r="Z145" s="450"/>
      <c r="AA145" s="451"/>
      <c r="AB145" s="451"/>
      <c r="AC145" s="354"/>
      <c r="AD145" s="452"/>
      <c r="AE145" s="453"/>
      <c r="AF145" s="354"/>
    </row>
    <row r="146" spans="1:32" ht="12.75" customHeight="1">
      <c r="A146" s="354"/>
      <c r="B146" s="361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54"/>
      <c r="Z146" s="354"/>
      <c r="AA146" s="354"/>
      <c r="AB146" s="354"/>
      <c r="AC146" s="354"/>
      <c r="AD146" s="354"/>
      <c r="AE146" s="354"/>
      <c r="AF146" s="354"/>
    </row>
    <row r="147" spans="1:32" ht="12.75" customHeight="1">
      <c r="A147" s="354"/>
      <c r="B147" s="352"/>
      <c r="C147" s="354"/>
      <c r="D147" s="354"/>
      <c r="E147" s="44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  <c r="Z147" s="354"/>
      <c r="AA147" s="354"/>
      <c r="AB147" s="354"/>
      <c r="AC147" s="354"/>
      <c r="AD147" s="354"/>
      <c r="AE147" s="354"/>
      <c r="AF147" s="354"/>
    </row>
    <row r="148" spans="1:32" ht="12.75" customHeight="1">
      <c r="A148" s="354"/>
      <c r="B148" s="361"/>
      <c r="C148" s="354"/>
      <c r="D148" s="354"/>
      <c r="E148" s="44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449"/>
      <c r="Y148" s="449"/>
      <c r="Z148" s="450"/>
      <c r="AA148" s="451"/>
      <c r="AB148" s="451"/>
      <c r="AC148" s="354"/>
      <c r="AD148" s="452"/>
      <c r="AE148" s="453"/>
      <c r="AF148" s="354"/>
    </row>
    <row r="149" spans="1:32" ht="12.75" customHeight="1">
      <c r="A149" s="354"/>
      <c r="B149" s="44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  <c r="Q149" s="354"/>
      <c r="R149" s="354"/>
      <c r="S149" s="354"/>
      <c r="T149" s="354"/>
      <c r="U149" s="354"/>
      <c r="V149" s="354"/>
      <c r="W149" s="354"/>
      <c r="X149" s="449"/>
      <c r="Y149" s="449"/>
      <c r="Z149" s="450"/>
      <c r="AA149" s="451"/>
      <c r="AB149" s="451"/>
      <c r="AC149" s="354"/>
      <c r="AD149" s="452"/>
      <c r="AE149" s="453"/>
      <c r="AF149" s="354"/>
    </row>
    <row r="150" spans="1:32" ht="12.75" customHeight="1">
      <c r="A150" s="354"/>
      <c r="B150" s="44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449"/>
      <c r="Y150" s="449"/>
      <c r="Z150" s="450"/>
      <c r="AA150" s="451"/>
      <c r="AB150" s="451"/>
      <c r="AC150" s="354"/>
      <c r="AD150" s="452"/>
      <c r="AE150" s="453"/>
      <c r="AF150" s="354"/>
    </row>
    <row r="151" spans="1:32" ht="12.75" customHeight="1">
      <c r="A151" s="354"/>
      <c r="B151" s="444"/>
      <c r="C151" s="354"/>
      <c r="D151" s="354"/>
      <c r="E151" s="456"/>
      <c r="F151" s="354"/>
      <c r="G151" s="354"/>
      <c r="H151" s="354"/>
      <c r="I151" s="354"/>
      <c r="J151" s="354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449"/>
      <c r="Y151" s="449"/>
      <c r="Z151" s="450"/>
      <c r="AA151" s="451"/>
      <c r="AB151" s="451"/>
      <c r="AC151" s="354"/>
      <c r="AD151" s="452"/>
      <c r="AE151" s="453"/>
      <c r="AF151" s="354"/>
    </row>
    <row r="152" spans="1:32" ht="12.75" customHeight="1">
      <c r="A152" s="354"/>
      <c r="B152" s="444"/>
      <c r="C152" s="354"/>
      <c r="D152" s="354"/>
      <c r="E152" s="456"/>
      <c r="F152" s="354"/>
      <c r="G152" s="354"/>
      <c r="H152" s="354"/>
      <c r="I152" s="354"/>
      <c r="J152" s="354"/>
      <c r="K152" s="354"/>
      <c r="L152" s="354"/>
      <c r="M152" s="354"/>
      <c r="N152" s="354"/>
      <c r="O152" s="354"/>
      <c r="P152" s="354"/>
      <c r="Q152" s="354"/>
      <c r="R152" s="354"/>
      <c r="S152" s="354"/>
      <c r="T152" s="354"/>
      <c r="U152" s="354"/>
      <c r="V152" s="354"/>
      <c r="W152" s="354"/>
      <c r="X152" s="449"/>
      <c r="Y152" s="449"/>
      <c r="Z152" s="450"/>
      <c r="AA152" s="451"/>
      <c r="AB152" s="451"/>
      <c r="AC152" s="354"/>
      <c r="AD152" s="452"/>
      <c r="AE152" s="453"/>
      <c r="AF152" s="354"/>
    </row>
    <row r="153" spans="1:32" ht="12.75" customHeight="1">
      <c r="A153" s="354"/>
      <c r="B153" s="361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54"/>
      <c r="Z153" s="354"/>
      <c r="AA153" s="354"/>
      <c r="AB153" s="354"/>
      <c r="AC153" s="354"/>
      <c r="AD153" s="354"/>
      <c r="AE153" s="354"/>
      <c r="AF153" s="354"/>
    </row>
    <row r="154" spans="1:32" ht="12.75" customHeight="1">
      <c r="A154" s="354"/>
      <c r="B1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54"/>
      <c r="Z154" s="354"/>
      <c r="AA154" s="354"/>
      <c r="AB154" s="354"/>
      <c r="AC154" s="354"/>
      <c r="AD154" s="354"/>
      <c r="AE154" s="354"/>
      <c r="AF154" s="354"/>
    </row>
    <row r="155" spans="1:32" ht="12.75" customHeight="1">
      <c r="A155" s="354"/>
      <c r="B155" s="361"/>
      <c r="C155" s="354"/>
      <c r="D155" s="354"/>
      <c r="E155" s="44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449"/>
      <c r="Y155" s="449"/>
      <c r="Z155" s="450"/>
      <c r="AA155" s="451"/>
      <c r="AB155" s="451"/>
      <c r="AC155" s="354"/>
      <c r="AD155" s="452"/>
      <c r="AE155" s="453"/>
      <c r="AF155" s="354"/>
    </row>
    <row r="156" spans="1:32" ht="12.75" customHeight="1">
      <c r="A156" s="354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449"/>
      <c r="Y156" s="449"/>
      <c r="Z156" s="450"/>
      <c r="AA156" s="451"/>
      <c r="AB156" s="451"/>
      <c r="AC156" s="354"/>
      <c r="AD156" s="452"/>
      <c r="AE156" s="453"/>
      <c r="AF156" s="354"/>
    </row>
    <row r="157" spans="1:32" ht="12.75" customHeight="1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449"/>
      <c r="Y157" s="449"/>
      <c r="Z157" s="450"/>
      <c r="AA157" s="451"/>
      <c r="AB157" s="451"/>
      <c r="AC157" s="354"/>
      <c r="AD157" s="452"/>
      <c r="AE157" s="453"/>
      <c r="AF157" s="354"/>
    </row>
    <row r="158" spans="1:32" ht="12.75" customHeight="1">
      <c r="A158" s="354"/>
      <c r="B158" s="444"/>
      <c r="C158" s="354"/>
      <c r="D158" s="354"/>
      <c r="E158" s="456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449"/>
      <c r="Y158" s="449"/>
      <c r="Z158" s="450"/>
      <c r="AA158" s="451"/>
      <c r="AB158" s="451"/>
      <c r="AC158" s="354"/>
      <c r="AD158" s="452"/>
      <c r="AE158" s="453"/>
      <c r="AF158" s="354"/>
    </row>
    <row r="159" spans="1:32" ht="12.75" customHeight="1">
      <c r="A159" s="354"/>
      <c r="B159" s="444"/>
      <c r="C159" s="354"/>
      <c r="D159" s="354"/>
      <c r="E159" s="456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449"/>
      <c r="Y159" s="449"/>
      <c r="Z159" s="450"/>
      <c r="AA159" s="451"/>
      <c r="AB159" s="451"/>
      <c r="AC159" s="354"/>
      <c r="AD159" s="452"/>
      <c r="AE159" s="453"/>
      <c r="AF159" s="354"/>
    </row>
    <row r="160" spans="1:32" ht="12.75" customHeight="1">
      <c r="A160" s="354"/>
      <c r="B160" s="361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54"/>
      <c r="Z160" s="354"/>
      <c r="AA160" s="354"/>
      <c r="AB160" s="354"/>
      <c r="AC160" s="354"/>
      <c r="AD160" s="354"/>
      <c r="AE160" s="354"/>
      <c r="AF160" s="354"/>
    </row>
    <row r="161" spans="1:32" ht="12.75" customHeight="1">
      <c r="A161" s="354"/>
      <c r="B161" s="352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354"/>
      <c r="AB161" s="354"/>
      <c r="AC161" s="354"/>
      <c r="AD161" s="354"/>
      <c r="AE161" s="354"/>
      <c r="AF161" s="354"/>
    </row>
    <row r="162" spans="1:32" ht="12.75" customHeight="1">
      <c r="A162" s="354"/>
      <c r="B162" s="361"/>
      <c r="C162" s="354"/>
      <c r="D162" s="354"/>
      <c r="E162" s="44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449"/>
      <c r="Y162" s="449"/>
      <c r="Z162" s="450"/>
      <c r="AA162" s="451"/>
      <c r="AB162" s="451"/>
      <c r="AC162" s="354"/>
      <c r="AD162" s="452"/>
      <c r="AE162" s="453"/>
      <c r="AF162" s="354"/>
    </row>
    <row r="163" spans="1:32" ht="12.75" customHeight="1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449"/>
      <c r="Y163" s="449"/>
      <c r="Z163" s="450"/>
      <c r="AA163" s="451"/>
      <c r="AB163" s="451"/>
      <c r="AC163" s="354"/>
      <c r="AD163" s="452"/>
      <c r="AE163" s="453"/>
      <c r="AF163" s="354"/>
    </row>
    <row r="164" spans="1:32" ht="12.75" customHeight="1">
      <c r="A164" s="354"/>
      <c r="B164" s="44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449"/>
      <c r="Y164" s="449"/>
      <c r="Z164" s="450"/>
      <c r="AA164" s="451"/>
      <c r="AB164" s="451"/>
      <c r="AC164" s="354"/>
      <c r="AD164" s="452"/>
      <c r="AE164" s="453"/>
      <c r="AF164" s="354"/>
    </row>
    <row r="165" spans="1:32" ht="12.75" customHeight="1">
      <c r="A165" s="354"/>
      <c r="B165" s="444"/>
      <c r="C165" s="354"/>
      <c r="D165" s="354"/>
      <c r="E165" s="456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449"/>
      <c r="Y165" s="449"/>
      <c r="Z165" s="450"/>
      <c r="AA165" s="451"/>
      <c r="AB165" s="451"/>
      <c r="AC165" s="354"/>
      <c r="AD165" s="452"/>
      <c r="AE165" s="453"/>
      <c r="AF165" s="354"/>
    </row>
    <row r="166" spans="1:32" ht="12.75" customHeight="1">
      <c r="A166" s="354"/>
      <c r="B166" s="444"/>
      <c r="C166" s="354"/>
      <c r="D166" s="354"/>
      <c r="E166" s="456"/>
      <c r="F166" s="354"/>
      <c r="G166" s="354"/>
      <c r="H166" s="354"/>
      <c r="I166" s="354"/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  <c r="U166" s="354"/>
      <c r="V166" s="354"/>
      <c r="W166" s="354"/>
      <c r="X166" s="449"/>
      <c r="Y166" s="449"/>
      <c r="Z166" s="450"/>
      <c r="AA166" s="451"/>
      <c r="AB166" s="451"/>
      <c r="AC166" s="354"/>
      <c r="AD166" s="452"/>
      <c r="AE166" s="453"/>
      <c r="AF166" s="354"/>
    </row>
    <row r="167" spans="1:32" ht="12.75" customHeight="1">
      <c r="A167" s="354"/>
      <c r="B167" s="361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  <c r="AA167" s="354"/>
      <c r="AB167" s="354"/>
      <c r="AC167" s="354"/>
      <c r="AD167" s="354"/>
      <c r="AE167" s="354"/>
      <c r="AF167" s="354"/>
    </row>
    <row r="168" spans="1:32" ht="12.75" customHeight="1">
      <c r="A168" s="354"/>
      <c r="B168" s="352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354"/>
      <c r="AB168" s="354"/>
      <c r="AC168" s="354"/>
      <c r="AD168" s="354"/>
      <c r="AE168" s="354"/>
      <c r="AF168" s="354"/>
    </row>
    <row r="169" spans="1:32" ht="12.75" customHeight="1">
      <c r="A169" s="354"/>
      <c r="B169" s="361"/>
      <c r="C169" s="354"/>
      <c r="D169" s="354"/>
      <c r="E169" s="44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449"/>
      <c r="Y169" s="449"/>
      <c r="Z169" s="450"/>
      <c r="AA169" s="451"/>
      <c r="AB169" s="451"/>
      <c r="AC169" s="354"/>
      <c r="AD169" s="452"/>
      <c r="AE169" s="453"/>
      <c r="AF169" s="354"/>
    </row>
    <row r="170" spans="1:32" ht="12.75" customHeight="1">
      <c r="A170" s="354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4"/>
      <c r="N170" s="354"/>
      <c r="O170" s="354"/>
      <c r="P170" s="354"/>
      <c r="Q170" s="354"/>
      <c r="R170" s="354"/>
      <c r="S170" s="354"/>
      <c r="T170" s="354"/>
      <c r="U170" s="354"/>
      <c r="V170" s="354"/>
      <c r="W170" s="354"/>
      <c r="X170" s="449"/>
      <c r="Y170" s="449"/>
      <c r="Z170" s="450"/>
      <c r="AA170" s="451"/>
      <c r="AB170" s="451"/>
      <c r="AC170" s="354"/>
      <c r="AD170" s="452"/>
      <c r="AE170" s="453"/>
      <c r="AF170" s="354"/>
    </row>
    <row r="171" spans="1:32" ht="12.75" customHeight="1">
      <c r="A171" s="354"/>
      <c r="B171" s="44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449"/>
      <c r="Y171" s="449"/>
      <c r="Z171" s="450"/>
      <c r="AA171" s="451"/>
      <c r="AB171" s="451"/>
      <c r="AC171" s="354"/>
      <c r="AD171" s="452"/>
      <c r="AE171" s="453"/>
      <c r="AF171" s="354"/>
    </row>
    <row r="172" spans="1:32" ht="12.75" customHeight="1">
      <c r="A172" s="354"/>
      <c r="B172" s="444"/>
      <c r="C172" s="354"/>
      <c r="D172" s="354"/>
      <c r="E172" s="456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449"/>
      <c r="Y172" s="449"/>
      <c r="Z172" s="450"/>
      <c r="AA172" s="451"/>
      <c r="AB172" s="451"/>
      <c r="AC172" s="354"/>
      <c r="AD172" s="452"/>
      <c r="AE172" s="453"/>
      <c r="AF172" s="354"/>
    </row>
    <row r="173" spans="1:32" ht="12.75" customHeight="1">
      <c r="A173" s="354"/>
      <c r="B173" s="444"/>
      <c r="C173" s="354"/>
      <c r="D173" s="354"/>
      <c r="E173" s="456"/>
      <c r="F173" s="354"/>
      <c r="G173" s="354"/>
      <c r="H173" s="354"/>
      <c r="I173" s="354"/>
      <c r="J173" s="354"/>
      <c r="K173" s="354"/>
      <c r="L173" s="354"/>
      <c r="M173" s="354"/>
      <c r="N173" s="354"/>
      <c r="O173" s="354"/>
      <c r="P173" s="354"/>
      <c r="Q173" s="354"/>
      <c r="R173" s="354"/>
      <c r="S173" s="354"/>
      <c r="T173" s="354"/>
      <c r="U173" s="354"/>
      <c r="V173" s="354"/>
      <c r="W173" s="354"/>
      <c r="X173" s="449"/>
      <c r="Y173" s="449"/>
      <c r="Z173" s="450"/>
      <c r="AA173" s="451"/>
      <c r="AB173" s="451"/>
      <c r="AC173" s="354"/>
      <c r="AD173" s="452"/>
      <c r="AE173" s="453"/>
      <c r="AF173" s="354"/>
    </row>
    <row r="174" spans="1:32" ht="12.75" customHeight="1">
      <c r="A174" s="354"/>
      <c r="B174" s="361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354"/>
      <c r="AB174" s="354"/>
      <c r="AC174" s="354"/>
      <c r="AD174" s="354"/>
      <c r="AE174" s="354"/>
      <c r="AF174" s="354"/>
    </row>
    <row r="175" spans="1:32" ht="12.75" customHeight="1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4"/>
      <c r="N175" s="354"/>
      <c r="O175" s="354"/>
      <c r="P175" s="354"/>
      <c r="Q175" s="354"/>
      <c r="R175" s="354"/>
      <c r="S175" s="354"/>
      <c r="T175" s="354"/>
      <c r="U175" s="354"/>
      <c r="V175" s="354"/>
      <c r="W175" s="354"/>
      <c r="X175" s="354"/>
      <c r="Y175" s="354"/>
      <c r="Z175" s="354"/>
      <c r="AA175" s="354"/>
      <c r="AB175" s="354"/>
      <c r="AC175" s="354"/>
      <c r="AD175" s="354"/>
      <c r="AE175" s="354"/>
      <c r="AF175" s="354"/>
    </row>
    <row r="176" spans="1:32" ht="12.75" customHeight="1">
      <c r="A176" s="354"/>
      <c r="B176" s="352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449"/>
      <c r="Y176" s="449"/>
      <c r="Z176" s="450"/>
      <c r="AA176" s="451"/>
      <c r="AB176" s="451"/>
      <c r="AC176" s="354"/>
      <c r="AD176" s="452"/>
      <c r="AE176" s="453"/>
      <c r="AF176" s="354"/>
    </row>
    <row r="177" spans="1:32" ht="12.75" customHeight="1">
      <c r="A177" s="354"/>
      <c r="B177" s="352"/>
      <c r="C177" s="354"/>
      <c r="D177" s="354"/>
      <c r="E177" s="354"/>
      <c r="F177" s="354"/>
      <c r="G177" s="354"/>
      <c r="H177" s="354"/>
      <c r="I177" s="354"/>
      <c r="J177" s="354"/>
      <c r="K177" s="354"/>
      <c r="L177" s="354"/>
      <c r="M177" s="354"/>
      <c r="N177" s="354"/>
      <c r="O177" s="354"/>
      <c r="P177" s="354"/>
      <c r="Q177" s="354"/>
      <c r="R177" s="354"/>
      <c r="S177" s="354"/>
      <c r="T177" s="354"/>
      <c r="U177" s="354"/>
      <c r="V177" s="354"/>
      <c r="W177" s="354"/>
      <c r="X177" s="449"/>
      <c r="Y177" s="449"/>
      <c r="Z177" s="450"/>
      <c r="AA177" s="451"/>
      <c r="AB177" s="451"/>
      <c r="AC177" s="354"/>
      <c r="AD177" s="452"/>
      <c r="AE177" s="453"/>
      <c r="AF177" s="354"/>
    </row>
    <row r="178" spans="1:32" ht="12.75" customHeight="1">
      <c r="A178" s="354"/>
      <c r="B178" s="352"/>
      <c r="C178" s="354"/>
      <c r="D178" s="354"/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4"/>
      <c r="P178" s="354"/>
      <c r="Q178" s="354"/>
      <c r="R178" s="354"/>
      <c r="S178" s="354"/>
      <c r="T178" s="354"/>
      <c r="U178" s="354"/>
      <c r="V178" s="354"/>
      <c r="W178" s="354"/>
      <c r="X178" s="449"/>
      <c r="Y178" s="449"/>
      <c r="Z178" s="450"/>
      <c r="AA178" s="451"/>
      <c r="AB178" s="451"/>
      <c r="AC178" s="354"/>
      <c r="AD178" s="452"/>
      <c r="AE178" s="453"/>
      <c r="AF178" s="354"/>
    </row>
    <row r="179" spans="1:32" ht="12.75" customHeight="1">
      <c r="A179" s="354"/>
      <c r="B179" s="352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449"/>
      <c r="Y179" s="449"/>
      <c r="Z179" s="450"/>
      <c r="AA179" s="451"/>
      <c r="AB179" s="451"/>
      <c r="AC179" s="354"/>
      <c r="AD179" s="452"/>
      <c r="AE179" s="453"/>
      <c r="AF179" s="354"/>
    </row>
    <row r="180" spans="1:32" ht="12.75" customHeight="1">
      <c r="A180" s="354"/>
      <c r="B180" s="352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449"/>
      <c r="Y180" s="449"/>
      <c r="Z180" s="450"/>
      <c r="AA180" s="451"/>
      <c r="AB180" s="451"/>
      <c r="AC180" s="354"/>
      <c r="AD180" s="452"/>
      <c r="AE180" s="453"/>
      <c r="AF180" s="354"/>
    </row>
    <row r="181" spans="1:32" ht="12.75" customHeight="1">
      <c r="A181" s="354"/>
      <c r="B181" s="352"/>
      <c r="C181"/>
      <c r="D181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449"/>
      <c r="Y181" s="449"/>
      <c r="Z181" s="450"/>
      <c r="AA181" s="451"/>
      <c r="AB181" s="451"/>
      <c r="AC181" s="354"/>
      <c r="AD181" s="452"/>
      <c r="AE181" s="453"/>
      <c r="AF181" s="354"/>
    </row>
    <row r="182" spans="1:32" ht="12.75" customHeight="1">
      <c r="A182" s="354"/>
      <c r="B182" s="356"/>
      <c r="C182" s="465"/>
      <c r="D182" s="465"/>
      <c r="E182" s="465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  <c r="X182" s="354"/>
      <c r="Y182" s="354"/>
      <c r="Z182" s="354"/>
      <c r="AA182" s="354"/>
      <c r="AB182" s="354"/>
      <c r="AC182" s="354"/>
      <c r="AD182" s="354"/>
      <c r="AE182" s="354"/>
      <c r="AF182" s="354"/>
    </row>
    <row r="183" spans="1:32" ht="12.75" customHeight="1">
      <c r="A183" s="354"/>
      <c r="B183" s="210"/>
      <c r="C183" s="465"/>
      <c r="D183" s="465"/>
      <c r="E183" s="465"/>
      <c r="F183" s="354"/>
      <c r="G183" s="354"/>
      <c r="H183" s="354"/>
      <c r="I183" s="354"/>
      <c r="J183" s="354"/>
      <c r="K183" s="354"/>
      <c r="L183" s="354"/>
      <c r="M183" s="354"/>
      <c r="N183" s="354"/>
      <c r="O183" s="354"/>
      <c r="P183" s="354"/>
      <c r="Q183" s="354"/>
      <c r="R183" s="354"/>
      <c r="S183" s="354"/>
      <c r="T183" s="354"/>
      <c r="U183" s="354"/>
      <c r="V183" s="354"/>
      <c r="W183" s="354"/>
      <c r="X183" s="354"/>
      <c r="Y183" s="354"/>
      <c r="Z183" s="354"/>
      <c r="AA183" s="354"/>
      <c r="AB183" s="354"/>
      <c r="AC183" s="354"/>
      <c r="AD183" s="354"/>
      <c r="AE183" s="354"/>
      <c r="AF183" s="354"/>
    </row>
    <row r="184" spans="1:32" ht="12.75" customHeight="1">
      <c r="A184" s="354"/>
      <c r="B184" s="358"/>
      <c r="C184" s="465"/>
      <c r="D184" s="465"/>
      <c r="E184" s="465"/>
      <c r="F184" s="354"/>
      <c r="G184" s="354"/>
      <c r="H184" s="354"/>
      <c r="I184" s="354"/>
      <c r="J184" s="354"/>
      <c r="K184" s="354"/>
      <c r="L184" s="354"/>
      <c r="M184" s="354"/>
      <c r="N184" s="354"/>
      <c r="O184" s="354"/>
      <c r="P184" s="354"/>
      <c r="Q184" s="354"/>
      <c r="R184" s="354"/>
      <c r="S184" s="354"/>
      <c r="T184" s="354"/>
      <c r="U184" s="354"/>
      <c r="V184" s="354"/>
      <c r="W184" s="354"/>
      <c r="X184" s="354"/>
      <c r="Y184" s="354"/>
      <c r="Z184" s="354"/>
      <c r="AA184" s="354"/>
      <c r="AB184" s="354"/>
      <c r="AC184" s="354"/>
      <c r="AD184" s="354"/>
      <c r="AE184" s="354"/>
      <c r="AF184" s="354"/>
    </row>
    <row r="185" spans="1:32" ht="12.75" customHeight="1">
      <c r="A185" s="354"/>
      <c r="B185" s="358"/>
      <c r="C185" s="465"/>
      <c r="D185" s="465"/>
      <c r="E185" s="465"/>
      <c r="F185" s="354"/>
      <c r="G185" s="354"/>
      <c r="H185" s="354"/>
      <c r="I185" s="354"/>
      <c r="J185" s="354"/>
      <c r="K185" s="354"/>
      <c r="L185" s="354"/>
      <c r="M185" s="354"/>
      <c r="N185" s="354"/>
      <c r="O185" s="354"/>
      <c r="P185" s="354"/>
      <c r="Q185" s="354"/>
      <c r="R185" s="354"/>
      <c r="S185" s="354"/>
      <c r="T185" s="354"/>
      <c r="U185" s="354"/>
      <c r="V185" s="354"/>
      <c r="W185" s="354"/>
      <c r="X185" s="354"/>
      <c r="Y185" s="354"/>
      <c r="Z185" s="354"/>
      <c r="AA185" s="354"/>
      <c r="AB185" s="354"/>
      <c r="AC185" s="354"/>
      <c r="AD185" s="354"/>
      <c r="AE185" s="354"/>
      <c r="AF185" s="354"/>
    </row>
    <row r="186" spans="1:32" ht="12.75" customHeight="1">
      <c r="A186" s="354"/>
      <c r="B186" s="467"/>
      <c r="C186" s="354"/>
      <c r="D186" s="354"/>
      <c r="E186" s="354"/>
      <c r="F186" s="354"/>
      <c r="G186" s="354"/>
      <c r="H186" s="354"/>
      <c r="I186" s="354"/>
      <c r="J186" s="354"/>
      <c r="K186" s="354"/>
      <c r="L186" s="354"/>
      <c r="M186" s="354"/>
      <c r="N186" s="354"/>
      <c r="O186" s="354"/>
      <c r="P186" s="354"/>
      <c r="Q186" s="354"/>
      <c r="R186" s="354"/>
      <c r="S186" s="354"/>
      <c r="T186" s="354"/>
      <c r="U186" s="354"/>
      <c r="V186" s="354"/>
      <c r="W186" s="354"/>
      <c r="X186" s="354"/>
      <c r="Y186" s="354"/>
      <c r="Z186" s="354"/>
      <c r="AA186" s="354"/>
      <c r="AB186" s="354"/>
      <c r="AC186" s="354"/>
      <c r="AD186" s="354"/>
      <c r="AE186" s="354"/>
      <c r="AF186" s="354"/>
    </row>
    <row r="187" spans="1:32" ht="12.75" customHeight="1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354"/>
      <c r="N187" s="354"/>
      <c r="O187" s="354"/>
      <c r="P187" s="354"/>
      <c r="Q187" s="354"/>
      <c r="R187" s="354"/>
      <c r="S187" s="354"/>
      <c r="T187" s="354"/>
      <c r="U187" s="354"/>
      <c r="V187" s="354"/>
      <c r="W187" s="354"/>
      <c r="X187" s="354"/>
      <c r="Y187" s="354"/>
      <c r="Z187" s="354"/>
      <c r="AA187" s="354"/>
      <c r="AB187" s="354"/>
      <c r="AC187" s="354"/>
      <c r="AD187" s="354"/>
      <c r="AE187" s="354"/>
      <c r="AF187" s="354"/>
    </row>
    <row r="188" spans="1:32" ht="12.75" customHeight="1">
      <c r="A188" s="354"/>
      <c r="B188" s="468"/>
      <c r="C188" s="469"/>
      <c r="D188" s="470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  <c r="AA188" s="354"/>
      <c r="AB188" s="354"/>
      <c r="AC188" s="354"/>
      <c r="AD188" s="354"/>
      <c r="AE188" s="354"/>
      <c r="AF188" s="354"/>
    </row>
    <row r="189" spans="1:32" ht="12.75" customHeight="1">
      <c r="A189" s="354"/>
      <c r="B189" s="468"/>
      <c r="C189" s="469"/>
      <c r="D189" s="473"/>
      <c r="E189" s="354"/>
      <c r="F189" s="354"/>
      <c r="G189" s="354"/>
      <c r="H189" s="354"/>
      <c r="I189" s="354"/>
      <c r="J189" s="354"/>
      <c r="K189" s="354"/>
      <c r="L189" s="354"/>
      <c r="M189" s="354"/>
      <c r="N189" s="354"/>
      <c r="O189" s="354"/>
      <c r="P189" s="354"/>
      <c r="Q189" s="354"/>
      <c r="R189" s="354"/>
      <c r="S189" s="354"/>
      <c r="T189" s="354"/>
      <c r="U189" s="354"/>
      <c r="V189" s="354"/>
      <c r="W189" s="354"/>
      <c r="X189" s="354"/>
      <c r="Y189" s="354"/>
      <c r="Z189" s="354"/>
      <c r="AA189" s="354"/>
      <c r="AB189" s="354"/>
      <c r="AC189" s="354"/>
      <c r="AD189" s="354"/>
      <c r="AE189" s="354"/>
      <c r="AF189" s="354"/>
    </row>
    <row r="190" spans="1:32" ht="12.75" customHeight="1">
      <c r="A190" s="354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4"/>
      <c r="N190" s="354"/>
      <c r="O190" s="354"/>
      <c r="P190" s="354"/>
      <c r="Q190" s="354"/>
      <c r="R190" s="354"/>
      <c r="S190" s="354"/>
      <c r="T190" s="354"/>
      <c r="U190" s="354"/>
      <c r="V190" s="354"/>
      <c r="W190" s="354"/>
      <c r="X190" s="354"/>
      <c r="Y190" s="354"/>
      <c r="Z190" s="354"/>
      <c r="AA190" s="354"/>
      <c r="AB190" s="354"/>
      <c r="AC190" s="354"/>
      <c r="AD190" s="354"/>
      <c r="AE190" s="354"/>
      <c r="AF190" s="354"/>
    </row>
    <row r="191" spans="1:32" ht="12.75" customHeight="1">
      <c r="F191" s="354"/>
      <c r="G191" s="354"/>
      <c r="H191" s="354"/>
      <c r="I191" s="354"/>
      <c r="J191" s="354"/>
      <c r="K191" s="354"/>
      <c r="L191" s="354"/>
    </row>
    <row r="192" spans="1:32" ht="12.75" customHeight="1">
      <c r="F192" s="354"/>
      <c r="G192" s="354"/>
      <c r="H192" s="354"/>
      <c r="I192" s="354"/>
      <c r="J192" s="354"/>
      <c r="K192" s="354"/>
      <c r="L192" s="354"/>
    </row>
    <row r="193" spans="6:12" ht="12.75" customHeight="1">
      <c r="F193" s="354"/>
      <c r="G193" s="354"/>
      <c r="H193" s="354"/>
      <c r="I193" s="354"/>
      <c r="J193" s="354"/>
      <c r="K193" s="354"/>
      <c r="L193" s="354"/>
    </row>
    <row r="194" spans="6:12" ht="12.75" customHeight="1">
      <c r="F194" s="354"/>
      <c r="G194" s="354"/>
      <c r="H194" s="354"/>
      <c r="I194" s="354"/>
      <c r="J194" s="354"/>
      <c r="K194" s="354"/>
      <c r="L194" s="354"/>
    </row>
    <row r="195" spans="6:12" ht="12.75" customHeight="1">
      <c r="F195" s="354"/>
      <c r="G195" s="354"/>
      <c r="H195" s="354"/>
      <c r="I195" s="354"/>
      <c r="J195" s="354"/>
      <c r="K195" s="354"/>
      <c r="L195" s="354"/>
    </row>
    <row r="196" spans="6:12" ht="12.75" customHeight="1">
      <c r="F196" s="354"/>
      <c r="G196" s="354"/>
      <c r="H196" s="354"/>
      <c r="I196" s="354"/>
      <c r="J196" s="354"/>
      <c r="K196" s="354"/>
      <c r="L196" s="354"/>
    </row>
    <row r="197" spans="6:12" ht="12.75" customHeight="1">
      <c r="F197" s="354"/>
      <c r="G197" s="354"/>
      <c r="H197" s="354"/>
      <c r="I197" s="354"/>
      <c r="J197" s="354"/>
      <c r="K197" s="354"/>
      <c r="L197" s="354"/>
    </row>
    <row r="198" spans="6:12" ht="12.75" customHeight="1">
      <c r="F198" s="354"/>
      <c r="G198" s="354"/>
      <c r="H198" s="354"/>
      <c r="I198" s="354"/>
      <c r="J198" s="354"/>
      <c r="K198" s="354"/>
      <c r="L198" s="354"/>
    </row>
    <row r="199" spans="6:12" ht="12.75" customHeight="1">
      <c r="F199" s="354"/>
      <c r="G199" s="354"/>
      <c r="H199" s="354"/>
      <c r="I199" s="354"/>
      <c r="J199" s="354"/>
      <c r="K199" s="354"/>
      <c r="L199" s="354"/>
    </row>
    <row r="200" spans="6:12" ht="12.75" customHeight="1">
      <c r="F200" s="354"/>
      <c r="G200" s="354"/>
      <c r="H200" s="354"/>
      <c r="I200" s="354"/>
      <c r="J200" s="354"/>
      <c r="K200" s="354"/>
      <c r="L200" s="354"/>
    </row>
    <row r="201" spans="6:12" ht="12.75" customHeight="1">
      <c r="F201" s="354"/>
      <c r="G201" s="354"/>
      <c r="H201" s="354"/>
      <c r="I201" s="354"/>
      <c r="J201" s="354"/>
      <c r="K201" s="354"/>
      <c r="L201" s="354"/>
    </row>
    <row r="202" spans="6:12" ht="12.75" customHeight="1">
      <c r="F202" s="354"/>
      <c r="G202" s="354"/>
      <c r="H202" s="354"/>
      <c r="I202" s="354"/>
      <c r="J202" s="354"/>
      <c r="K202" s="354"/>
      <c r="L202" s="354"/>
    </row>
    <row r="203" spans="6:12" ht="12.75" customHeight="1">
      <c r="F203" s="354"/>
      <c r="G203" s="354"/>
      <c r="H203" s="354"/>
      <c r="I203" s="354"/>
      <c r="J203" s="354"/>
      <c r="K203" s="354"/>
      <c r="L203" s="354"/>
    </row>
    <row r="204" spans="6:12" ht="12.75" customHeight="1">
      <c r="F204" s="354"/>
      <c r="G204" s="354"/>
      <c r="H204" s="354"/>
      <c r="I204" s="354"/>
      <c r="J204" s="354"/>
      <c r="K204" s="354"/>
      <c r="L204" s="354"/>
    </row>
    <row r="205" spans="6:12" ht="12.75" customHeight="1">
      <c r="F205" s="354"/>
      <c r="G205" s="354"/>
      <c r="H205" s="354"/>
      <c r="I205" s="354"/>
      <c r="J205" s="354"/>
      <c r="K205" s="354"/>
      <c r="L205" s="354"/>
    </row>
    <row r="206" spans="6:12" ht="12.75" customHeight="1">
      <c r="F206" s="354"/>
      <c r="G206" s="354"/>
      <c r="H206" s="354"/>
      <c r="I206" s="354"/>
      <c r="J206" s="354"/>
      <c r="K206" s="354"/>
      <c r="L206" s="354"/>
    </row>
    <row r="207" spans="6:12" ht="12.75" customHeight="1">
      <c r="F207" s="354"/>
      <c r="G207" s="354"/>
      <c r="H207" s="354"/>
      <c r="I207" s="354"/>
      <c r="J207" s="354"/>
      <c r="K207" s="354"/>
      <c r="L207" s="354"/>
    </row>
    <row r="208" spans="6:12" ht="12.75" customHeight="1">
      <c r="F208" s="354"/>
      <c r="G208" s="354"/>
      <c r="H208" s="354"/>
      <c r="I208" s="354"/>
      <c r="J208" s="354"/>
      <c r="K208" s="354"/>
      <c r="L208" s="354"/>
    </row>
    <row r="209" spans="6:12" ht="12.75" customHeight="1">
      <c r="F209" s="354"/>
      <c r="G209" s="354"/>
      <c r="H209" s="354"/>
      <c r="I209" s="354"/>
      <c r="J209" s="354"/>
      <c r="K209" s="354"/>
      <c r="L209" s="354"/>
    </row>
    <row r="210" spans="6:12" ht="12.75" customHeight="1">
      <c r="F210" s="354"/>
      <c r="G210" s="354"/>
      <c r="H210" s="354"/>
      <c r="I210" s="354"/>
      <c r="J210" s="354"/>
      <c r="K210" s="354"/>
      <c r="L210" s="354"/>
    </row>
    <row r="211" spans="6:12" ht="12.75" customHeight="1">
      <c r="F211" s="354"/>
      <c r="G211" s="354"/>
      <c r="H211" s="354"/>
      <c r="I211" s="354"/>
      <c r="J211" s="354"/>
      <c r="K211" s="354"/>
      <c r="L211" s="354"/>
    </row>
    <row r="212" spans="6:12" ht="12.75" customHeight="1">
      <c r="F212" s="354"/>
      <c r="G212" s="354"/>
      <c r="H212" s="354"/>
      <c r="I212" s="354"/>
      <c r="J212" s="354"/>
      <c r="K212" s="354"/>
      <c r="L212" s="354"/>
    </row>
    <row r="213" spans="6:12" ht="12.75" customHeight="1">
      <c r="F213" s="354"/>
      <c r="G213" s="354"/>
      <c r="H213" s="354"/>
      <c r="I213" s="354"/>
      <c r="J213" s="354"/>
      <c r="K213" s="354"/>
      <c r="L213" s="354"/>
    </row>
    <row r="214" spans="6:12" ht="12.75" customHeight="1">
      <c r="F214" s="354"/>
      <c r="G214" s="354"/>
      <c r="H214" s="354"/>
      <c r="I214" s="354"/>
      <c r="J214" s="354"/>
      <c r="K214" s="354"/>
      <c r="L214" s="354"/>
    </row>
    <row r="215" spans="6:12" ht="12.75" customHeight="1">
      <c r="F215" s="354"/>
      <c r="G215" s="354"/>
      <c r="H215" s="354"/>
      <c r="I215" s="354"/>
      <c r="J215" s="354"/>
      <c r="K215" s="354"/>
      <c r="L215" s="354"/>
    </row>
    <row r="216" spans="6:12" ht="12.75" customHeight="1">
      <c r="F216" s="354"/>
      <c r="G216" s="354"/>
      <c r="H216" s="354"/>
      <c r="I216" s="354"/>
      <c r="J216" s="354"/>
      <c r="K216" s="354"/>
      <c r="L216" s="354"/>
    </row>
    <row r="217" spans="6:12" ht="12.75" customHeight="1">
      <c r="F217" s="354"/>
      <c r="G217" s="354"/>
      <c r="H217" s="354"/>
      <c r="I217" s="354"/>
      <c r="J217" s="354"/>
      <c r="K217" s="354"/>
      <c r="L217" s="354"/>
    </row>
    <row r="218" spans="6:12" ht="12.75" customHeight="1">
      <c r="F218" s="354"/>
      <c r="G218" s="354"/>
      <c r="H218" s="354"/>
      <c r="I218" s="354"/>
      <c r="J218" s="354"/>
      <c r="K218" s="354"/>
      <c r="L218" s="354"/>
    </row>
    <row r="219" spans="6:12" ht="12.75" customHeight="1">
      <c r="F219" s="354"/>
      <c r="G219" s="354"/>
      <c r="H219" s="354"/>
      <c r="I219" s="354"/>
      <c r="J219" s="354"/>
      <c r="K219" s="354"/>
      <c r="L219" s="354"/>
    </row>
    <row r="220" spans="6:12" ht="12.75" customHeight="1">
      <c r="F220" s="354"/>
      <c r="G220" s="354"/>
      <c r="H220" s="354"/>
      <c r="I220" s="354"/>
      <c r="J220" s="354"/>
      <c r="K220" s="354"/>
      <c r="L220" s="354"/>
    </row>
    <row r="221" spans="6:12" ht="12.75" customHeight="1">
      <c r="F221" s="354"/>
      <c r="G221" s="354"/>
      <c r="H221" s="354"/>
      <c r="I221" s="354"/>
      <c r="J221" s="354"/>
      <c r="K221" s="354"/>
      <c r="L221" s="354"/>
    </row>
    <row r="222" spans="6:12" ht="12.75" customHeight="1">
      <c r="F222" s="354"/>
      <c r="G222" s="354"/>
      <c r="H222" s="354"/>
      <c r="I222" s="354"/>
      <c r="J222" s="354"/>
      <c r="K222" s="354"/>
      <c r="L222" s="354"/>
    </row>
    <row r="223" spans="6:12" ht="12.75" customHeight="1">
      <c r="F223" s="354"/>
      <c r="G223" s="354"/>
      <c r="H223" s="354"/>
      <c r="I223" s="354"/>
      <c r="J223" s="354"/>
      <c r="K223" s="354"/>
      <c r="L223" s="354"/>
    </row>
    <row r="224" spans="6:12" ht="12.75" customHeight="1">
      <c r="F224" s="354"/>
      <c r="G224" s="354"/>
      <c r="H224" s="354"/>
      <c r="I224" s="354"/>
      <c r="J224" s="354"/>
      <c r="K224" s="354"/>
      <c r="L224" s="354"/>
    </row>
    <row r="225" spans="6:12" ht="12.75" customHeight="1">
      <c r="F225" s="354"/>
      <c r="G225" s="354"/>
      <c r="H225" s="354"/>
      <c r="I225" s="354"/>
      <c r="J225" s="354"/>
      <c r="K225" s="354"/>
      <c r="L225" s="354"/>
    </row>
    <row r="226" spans="6:12" ht="12.75" customHeight="1">
      <c r="F226" s="354"/>
      <c r="G226" s="354"/>
      <c r="H226" s="354"/>
      <c r="I226" s="354"/>
      <c r="J226" s="354"/>
      <c r="K226" s="354"/>
      <c r="L226" s="354"/>
    </row>
    <row r="227" spans="6:12" ht="12.75" customHeight="1">
      <c r="F227" s="354"/>
      <c r="G227" s="354"/>
      <c r="H227" s="354"/>
      <c r="I227" s="354"/>
      <c r="J227" s="354"/>
      <c r="K227" s="354"/>
      <c r="L227" s="354"/>
    </row>
    <row r="228" spans="6:12" ht="12.75" customHeight="1">
      <c r="F228" s="354"/>
      <c r="G228" s="354"/>
      <c r="H228" s="354"/>
      <c r="I228" s="354"/>
      <c r="J228" s="354"/>
      <c r="K228" s="354"/>
      <c r="L228" s="354"/>
    </row>
    <row r="229" spans="6:12" ht="12.75" customHeight="1">
      <c r="F229" s="354"/>
      <c r="G229" s="354"/>
      <c r="H229" s="354"/>
      <c r="I229" s="354"/>
      <c r="J229" s="354"/>
      <c r="K229" s="354"/>
      <c r="L229" s="354"/>
    </row>
    <row r="230" spans="6:12" ht="12.75" customHeight="1">
      <c r="F230" s="354"/>
      <c r="G230" s="354"/>
      <c r="H230" s="354"/>
      <c r="I230" s="354"/>
      <c r="J230" s="354"/>
      <c r="K230" s="354"/>
      <c r="L230" s="354"/>
    </row>
    <row r="231" spans="6:12" ht="12.75" customHeight="1">
      <c r="F231" s="354"/>
      <c r="G231" s="354"/>
      <c r="H231" s="354"/>
      <c r="I231" s="354"/>
      <c r="J231" s="354"/>
      <c r="K231" s="354"/>
      <c r="L231" s="354"/>
    </row>
    <row r="232" spans="6:12" ht="12.75" customHeight="1">
      <c r="F232" s="354"/>
      <c r="G232" s="354"/>
      <c r="H232" s="354"/>
      <c r="I232" s="354"/>
      <c r="J232" s="354"/>
      <c r="K232" s="354"/>
      <c r="L232" s="354"/>
    </row>
    <row r="233" spans="6:12" ht="12.75" customHeight="1">
      <c r="F233" s="354"/>
      <c r="G233" s="354"/>
      <c r="H233" s="354"/>
      <c r="I233" s="354"/>
      <c r="J233" s="354"/>
      <c r="K233" s="354"/>
      <c r="L233" s="354"/>
    </row>
    <row r="234" spans="6:12" ht="12.75" customHeight="1">
      <c r="F234" s="354"/>
      <c r="G234" s="354"/>
      <c r="H234" s="354"/>
      <c r="I234" s="354"/>
      <c r="J234" s="354"/>
      <c r="K234" s="354"/>
      <c r="L234" s="354"/>
    </row>
    <row r="235" spans="6:12" ht="12.75" customHeight="1">
      <c r="F235" s="354"/>
      <c r="G235" s="354"/>
      <c r="H235" s="354"/>
      <c r="I235" s="354"/>
      <c r="J235" s="354"/>
      <c r="K235" s="354"/>
      <c r="L235" s="354"/>
    </row>
    <row r="236" spans="6:12" ht="12.75" customHeight="1">
      <c r="F236" s="354"/>
      <c r="G236" s="354"/>
      <c r="H236" s="354"/>
      <c r="I236" s="354"/>
      <c r="J236" s="354"/>
      <c r="K236" s="354"/>
      <c r="L236" s="354"/>
    </row>
    <row r="237" spans="6:12" ht="12.75" customHeight="1">
      <c r="F237" s="354"/>
      <c r="G237" s="354"/>
      <c r="H237" s="354"/>
      <c r="I237" s="354"/>
      <c r="J237" s="354"/>
      <c r="K237" s="354"/>
      <c r="L237" s="354"/>
    </row>
    <row r="238" spans="6:12" ht="12.75" customHeight="1">
      <c r="F238" s="354"/>
      <c r="G238" s="354"/>
      <c r="H238" s="354"/>
      <c r="I238" s="354"/>
      <c r="J238" s="354"/>
      <c r="K238" s="354"/>
      <c r="L238" s="354"/>
    </row>
    <row r="239" spans="6:12" ht="12.75" customHeight="1">
      <c r="F239" s="354"/>
      <c r="G239" s="354"/>
      <c r="H239" s="354"/>
      <c r="I239" s="354"/>
      <c r="J239" s="354"/>
      <c r="K239" s="354"/>
      <c r="L239" s="354"/>
    </row>
    <row r="240" spans="6:12" ht="12.75" customHeight="1">
      <c r="F240" s="354"/>
      <c r="G240" s="354"/>
      <c r="H240" s="354"/>
      <c r="I240" s="354"/>
      <c r="J240" s="354"/>
      <c r="K240" s="354"/>
      <c r="L240" s="354"/>
    </row>
    <row r="241" spans="6:12" ht="12.75" customHeight="1">
      <c r="F241" s="354"/>
      <c r="G241" s="354"/>
      <c r="H241" s="354"/>
      <c r="I241" s="354"/>
      <c r="J241" s="354"/>
      <c r="K241" s="354"/>
      <c r="L241" s="354"/>
    </row>
    <row r="242" spans="6:12" ht="12.75" customHeight="1">
      <c r="F242" s="354"/>
      <c r="G242" s="354"/>
      <c r="H242" s="354"/>
      <c r="I242" s="354"/>
      <c r="J242" s="354"/>
      <c r="K242" s="354"/>
      <c r="L242" s="354"/>
    </row>
    <row r="243" spans="6:12" ht="12.75" customHeight="1">
      <c r="F243" s="354"/>
      <c r="G243" s="354"/>
      <c r="H243" s="354"/>
      <c r="I243" s="354"/>
      <c r="J243" s="354"/>
      <c r="K243" s="354"/>
      <c r="L243" s="354"/>
    </row>
    <row r="244" spans="6:12" ht="12.75" customHeight="1">
      <c r="F244" s="354"/>
      <c r="G244" s="354"/>
      <c r="H244" s="354"/>
      <c r="I244" s="354"/>
      <c r="J244" s="354"/>
      <c r="K244" s="354"/>
      <c r="L244" s="354"/>
    </row>
    <row r="245" spans="6:12" ht="12.75" customHeight="1">
      <c r="F245" s="354"/>
      <c r="G245" s="354"/>
      <c r="H245" s="354"/>
      <c r="I245" s="354"/>
      <c r="J245" s="354"/>
      <c r="K245" s="354"/>
      <c r="L245" s="354"/>
    </row>
    <row r="246" spans="6:12" ht="12.75" customHeight="1">
      <c r="F246" s="354"/>
      <c r="G246" s="354"/>
      <c r="H246" s="354"/>
      <c r="I246" s="354"/>
      <c r="J246" s="354"/>
      <c r="K246" s="354"/>
      <c r="L246" s="354"/>
    </row>
    <row r="247" spans="6:12" ht="12.75" customHeight="1">
      <c r="F247" s="354"/>
      <c r="G247" s="354"/>
      <c r="H247" s="354"/>
      <c r="I247" s="354"/>
      <c r="J247" s="354"/>
      <c r="K247" s="354"/>
      <c r="L247" s="354"/>
    </row>
    <row r="248" spans="6:12" ht="12.75" customHeight="1">
      <c r="F248" s="354"/>
      <c r="G248" s="354"/>
      <c r="H248" s="354"/>
      <c r="I248" s="354"/>
      <c r="J248" s="354"/>
      <c r="K248" s="354"/>
      <c r="L248" s="354"/>
    </row>
    <row r="249" spans="6:12" ht="12.75" customHeight="1">
      <c r="F249" s="354"/>
      <c r="G249" s="354"/>
      <c r="H249" s="354"/>
      <c r="I249" s="354"/>
      <c r="J249" s="354"/>
      <c r="K249" s="354"/>
      <c r="L249" s="354"/>
    </row>
    <row r="250" spans="6:12" ht="12.75" customHeight="1">
      <c r="F250" s="354"/>
      <c r="G250" s="354"/>
      <c r="H250" s="354"/>
      <c r="I250" s="354"/>
      <c r="J250" s="354"/>
      <c r="K250" s="354"/>
      <c r="L250" s="354"/>
    </row>
    <row r="251" spans="6:12" ht="12.75" customHeight="1">
      <c r="F251" s="354"/>
      <c r="G251" s="354"/>
      <c r="H251" s="354"/>
      <c r="I251" s="354"/>
      <c r="J251" s="354"/>
      <c r="K251" s="354"/>
      <c r="L251" s="354"/>
    </row>
    <row r="252" spans="6:12" ht="12.75" customHeight="1">
      <c r="F252" s="354"/>
      <c r="G252" s="354"/>
      <c r="H252" s="354"/>
      <c r="I252" s="354"/>
      <c r="J252" s="354"/>
      <c r="K252" s="354"/>
      <c r="L252" s="354"/>
    </row>
    <row r="253" spans="6:12" ht="12.75" customHeight="1">
      <c r="F253" s="354"/>
      <c r="G253" s="354"/>
      <c r="H253" s="354"/>
      <c r="I253" s="354"/>
      <c r="J253" s="354"/>
      <c r="K253" s="354"/>
      <c r="L253" s="354"/>
    </row>
    <row r="254" spans="6:12" ht="12.75" customHeight="1">
      <c r="F254" s="354"/>
      <c r="G254" s="354"/>
      <c r="H254" s="354"/>
      <c r="I254" s="354"/>
      <c r="J254" s="354"/>
      <c r="K254" s="354"/>
      <c r="L254" s="354"/>
    </row>
    <row r="255" spans="6:12" ht="12.75" customHeight="1">
      <c r="F255" s="354"/>
      <c r="G255" s="354"/>
      <c r="H255" s="354"/>
      <c r="I255" s="354"/>
      <c r="J255" s="354"/>
      <c r="K255" s="354"/>
      <c r="L255" s="354"/>
    </row>
    <row r="256" spans="6:12" ht="12.75" customHeight="1">
      <c r="F256" s="354"/>
      <c r="G256" s="354"/>
      <c r="H256" s="354"/>
      <c r="I256" s="354"/>
      <c r="J256" s="354"/>
      <c r="K256" s="354"/>
      <c r="L256" s="354"/>
    </row>
    <row r="257" spans="6:12" ht="12.75" customHeight="1">
      <c r="F257" s="354"/>
      <c r="G257" s="354"/>
      <c r="H257" s="354"/>
      <c r="I257" s="354"/>
      <c r="J257" s="354"/>
      <c r="K257" s="354"/>
      <c r="L257" s="354"/>
    </row>
    <row r="258" spans="6:12" ht="12.75" customHeight="1">
      <c r="F258" s="354"/>
      <c r="G258" s="354"/>
      <c r="H258" s="354"/>
      <c r="I258" s="354"/>
      <c r="J258" s="354"/>
      <c r="K258" s="354"/>
      <c r="L258" s="354"/>
    </row>
    <row r="259" spans="6:12" ht="12.75" customHeight="1">
      <c r="F259" s="354"/>
      <c r="G259" s="354"/>
      <c r="H259" s="354"/>
      <c r="I259" s="354"/>
      <c r="J259" s="354"/>
      <c r="K259" s="354"/>
      <c r="L259" s="354"/>
    </row>
    <row r="260" spans="6:12" ht="12.75" customHeight="1">
      <c r="F260" s="354"/>
      <c r="G260" s="354"/>
      <c r="H260" s="354"/>
      <c r="I260" s="354"/>
      <c r="J260" s="354"/>
      <c r="K260" s="354"/>
      <c r="L260" s="354"/>
    </row>
    <row r="261" spans="6:12" ht="12.75" customHeight="1">
      <c r="F261" s="354"/>
      <c r="G261" s="354"/>
      <c r="H261" s="354"/>
      <c r="I261" s="354"/>
      <c r="J261" s="354"/>
      <c r="K261" s="354"/>
      <c r="L261" s="354"/>
    </row>
    <row r="262" spans="6:12" ht="12.75" customHeight="1">
      <c r="F262" s="354"/>
      <c r="G262" s="354"/>
      <c r="H262" s="354"/>
      <c r="I262" s="354"/>
      <c r="J262" s="354"/>
      <c r="K262" s="354"/>
      <c r="L262" s="354"/>
    </row>
    <row r="263" spans="6:12" ht="12.75" customHeight="1">
      <c r="F263" s="354"/>
      <c r="G263" s="354"/>
      <c r="H263" s="354"/>
      <c r="I263" s="354"/>
      <c r="J263" s="354"/>
      <c r="K263" s="354"/>
      <c r="L263" s="354"/>
    </row>
    <row r="264" spans="6:12" ht="12.75" customHeight="1">
      <c r="F264" s="354"/>
      <c r="G264" s="354"/>
      <c r="H264" s="354"/>
      <c r="I264" s="354"/>
      <c r="J264" s="354"/>
      <c r="K264" s="354"/>
      <c r="L264" s="354"/>
    </row>
    <row r="265" spans="6:12" ht="12.75" customHeight="1">
      <c r="F265" s="354"/>
      <c r="G265" s="354"/>
      <c r="H265" s="354"/>
      <c r="I265" s="354"/>
      <c r="J265" s="354"/>
      <c r="K265" s="354"/>
      <c r="L265" s="354"/>
    </row>
    <row r="266" spans="6:12" ht="12.75" customHeight="1">
      <c r="F266" s="354"/>
      <c r="G266" s="354"/>
      <c r="H266" s="354"/>
      <c r="I266" s="354"/>
      <c r="J266" s="354"/>
      <c r="K266" s="354"/>
      <c r="L266" s="354"/>
    </row>
    <row r="267" spans="6:12" ht="12.75" customHeight="1">
      <c r="F267" s="354"/>
      <c r="G267" s="354"/>
      <c r="H267" s="354"/>
      <c r="I267" s="354"/>
      <c r="J267" s="354"/>
      <c r="K267" s="354"/>
      <c r="L267" s="354"/>
    </row>
    <row r="268" spans="6:12" ht="12.75" customHeight="1">
      <c r="F268" s="354"/>
      <c r="G268" s="354"/>
      <c r="H268" s="354"/>
      <c r="I268" s="354"/>
      <c r="J268" s="354"/>
      <c r="K268" s="354"/>
      <c r="L268" s="354"/>
    </row>
    <row r="269" spans="6:12" ht="12.75" customHeight="1">
      <c r="F269" s="354"/>
      <c r="G269" s="354"/>
      <c r="H269" s="354"/>
      <c r="I269" s="354"/>
      <c r="J269" s="354"/>
      <c r="K269" s="354"/>
      <c r="L269" s="354"/>
    </row>
    <row r="270" spans="6:12" ht="12.75" customHeight="1">
      <c r="F270" s="354"/>
      <c r="G270" s="354"/>
      <c r="H270" s="354"/>
      <c r="I270" s="354"/>
      <c r="J270" s="354"/>
      <c r="K270" s="354"/>
      <c r="L270" s="354"/>
    </row>
    <row r="271" spans="6:12" ht="12.75" customHeight="1"/>
    <row r="272" spans="6:1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91" spans="35:39" ht="15">
      <c r="AI291" s="245" t="s">
        <v>522</v>
      </c>
      <c r="AJ291" s="245" t="s">
        <v>523</v>
      </c>
      <c r="AK291" s="246" t="s">
        <v>414</v>
      </c>
      <c r="AL291" s="246" t="s">
        <v>524</v>
      </c>
      <c r="AM291" s="246" t="s">
        <v>525</v>
      </c>
    </row>
    <row r="292" spans="35:39">
      <c r="AI292" s="247"/>
      <c r="AJ292" s="248" t="s">
        <v>526</v>
      </c>
      <c r="AK292" s="247"/>
      <c r="AL292" s="247"/>
      <c r="AM292" s="247"/>
    </row>
    <row r="293" spans="35:39">
      <c r="AI293" s="247"/>
      <c r="AJ293" s="248" t="s">
        <v>623</v>
      </c>
      <c r="AK293" s="247"/>
      <c r="AL293" s="247"/>
      <c r="AM293" s="247"/>
    </row>
    <row r="294" spans="35:39">
      <c r="AI294" s="247" t="str">
        <f>INDEX($AJ:$AM,ROW(),Language)</f>
        <v>Remark</v>
      </c>
      <c r="AJ294" s="247" t="s">
        <v>624</v>
      </c>
      <c r="AK294" s="249" t="s">
        <v>625</v>
      </c>
      <c r="AL294" s="249" t="s">
        <v>626</v>
      </c>
      <c r="AM294" s="249" t="s">
        <v>627</v>
      </c>
    </row>
    <row r="295" spans="35:39">
      <c r="AI295" s="247"/>
      <c r="AJ295" s="248" t="s">
        <v>784</v>
      </c>
      <c r="AK295" s="247"/>
      <c r="AL295" s="247"/>
      <c r="AM295" s="247"/>
    </row>
    <row r="296" spans="35:39">
      <c r="AI296" s="247"/>
      <c r="AJ296" s="248" t="s">
        <v>879</v>
      </c>
      <c r="AK296" s="247"/>
      <c r="AL296" s="247"/>
      <c r="AM296" s="247"/>
    </row>
    <row r="297" spans="35:39">
      <c r="AI297" s="247" t="str">
        <f>INDEX($AJ:$AM,ROW(),Language)</f>
        <v>Roof</v>
      </c>
      <c r="AJ297" s="474" t="s">
        <v>1513</v>
      </c>
      <c r="AK297" s="247" t="s">
        <v>126</v>
      </c>
      <c r="AL297" s="247"/>
      <c r="AM297" s="247" t="s">
        <v>2111</v>
      </c>
    </row>
    <row r="298" spans="35:39">
      <c r="AI298" s="247" t="str">
        <f>INDEX($AJ:$AM,ROW(),Language)</f>
        <v>Date</v>
      </c>
      <c r="AJ298" s="247" t="s">
        <v>885</v>
      </c>
      <c r="AK298" s="247" t="s">
        <v>886</v>
      </c>
      <c r="AL298" s="247" t="s">
        <v>886</v>
      </c>
      <c r="AM298" s="247" t="s">
        <v>887</v>
      </c>
    </row>
    <row r="299" spans="35:39">
      <c r="AI299" s="247" t="str">
        <f>INDEX($AJ:$AM,ROW(),Language)</f>
        <v>Diameter</v>
      </c>
      <c r="AJ299" s="247" t="s">
        <v>330</v>
      </c>
      <c r="AK299" s="247" t="s">
        <v>331</v>
      </c>
      <c r="AL299" s="247" t="s">
        <v>332</v>
      </c>
      <c r="AM299" s="247" t="s">
        <v>917</v>
      </c>
    </row>
    <row r="300" spans="35:39">
      <c r="AI300" s="247"/>
      <c r="AJ300" s="248" t="s">
        <v>904</v>
      </c>
      <c r="AK300" s="247"/>
      <c r="AL300" s="247"/>
      <c r="AM300" s="247"/>
    </row>
    <row r="301" spans="35:39">
      <c r="AI301" s="247"/>
      <c r="AJ301" s="474"/>
      <c r="AK301" s="247"/>
      <c r="AL301" s="247"/>
      <c r="AM301" s="247"/>
    </row>
    <row r="302" spans="35:39">
      <c r="AI302" s="247" t="str">
        <f>INDEX($AJ:$AM,ROW(),Language)</f>
        <v>Emissivity</v>
      </c>
      <c r="AJ302" s="247" t="s">
        <v>333</v>
      </c>
      <c r="AK302" s="247" t="s">
        <v>334</v>
      </c>
      <c r="AL302" s="247" t="s">
        <v>335</v>
      </c>
      <c r="AM302" s="247" t="s">
        <v>336</v>
      </c>
    </row>
    <row r="303" spans="35:39">
      <c r="AI303" s="247"/>
      <c r="AJ303" s="248" t="s">
        <v>933</v>
      </c>
      <c r="AK303" s="247"/>
      <c r="AL303" s="247"/>
      <c r="AM303" s="247"/>
    </row>
    <row r="304" spans="35:39">
      <c r="AI304" s="247"/>
      <c r="AJ304" s="248" t="s">
        <v>1200</v>
      </c>
      <c r="AK304" s="247"/>
      <c r="AL304" s="247"/>
      <c r="AM304" s="247"/>
    </row>
    <row r="305" spans="35:39">
      <c r="AI305" s="247" t="str">
        <f>INDEX($AJ:$AM,ROW(),Language)</f>
        <v>Gas duct</v>
      </c>
      <c r="AJ305" s="474" t="s">
        <v>1510</v>
      </c>
      <c r="AK305" s="247" t="s">
        <v>1511</v>
      </c>
      <c r="AL305" s="477" t="s">
        <v>2123</v>
      </c>
      <c r="AM305" s="476" t="s">
        <v>2110</v>
      </c>
    </row>
    <row r="306" spans="35:39">
      <c r="AI306" s="247" t="str">
        <f>INDEX($AJ:$AM,ROW(),Language)</f>
        <v>Total heat loss</v>
      </c>
      <c r="AJ306" s="247" t="s">
        <v>337</v>
      </c>
      <c r="AK306" s="247" t="s">
        <v>338</v>
      </c>
      <c r="AL306" s="249" t="s">
        <v>339</v>
      </c>
      <c r="AM306" s="249" t="s">
        <v>340</v>
      </c>
    </row>
    <row r="307" spans="35:39" ht="25.5">
      <c r="AI307" s="247" t="str">
        <f>INDEX($AJ:$AM,ROW(),Language)</f>
        <v>Diameter choosen for calculation of acon_forced</v>
      </c>
      <c r="AJ307" s="249" t="s">
        <v>341</v>
      </c>
      <c r="AK307" s="249" t="s">
        <v>342</v>
      </c>
      <c r="AL307" s="249" t="s">
        <v>362</v>
      </c>
      <c r="AM307" s="249" t="s">
        <v>363</v>
      </c>
    </row>
    <row r="308" spans="35:39">
      <c r="AI308" s="247"/>
      <c r="AJ308" s="248" t="s">
        <v>1271</v>
      </c>
      <c r="AK308" s="247"/>
      <c r="AL308" s="247"/>
      <c r="AM308" s="247"/>
    </row>
    <row r="309" spans="35:39">
      <c r="AI309" s="247" t="str">
        <f>INDEX($AJ:$AM,ROW(),Language)</f>
        <v>Altitude</v>
      </c>
      <c r="AJ309" s="247" t="s">
        <v>1272</v>
      </c>
      <c r="AK309" s="247" t="s">
        <v>1273</v>
      </c>
      <c r="AL309" s="247" t="s">
        <v>1273</v>
      </c>
      <c r="AM309" s="249" t="s">
        <v>1274</v>
      </c>
    </row>
    <row r="310" spans="35:39">
      <c r="AI310" s="247"/>
      <c r="AJ310" s="248" t="s">
        <v>1315</v>
      </c>
      <c r="AK310" s="247"/>
      <c r="AL310" s="247"/>
      <c r="AM310" s="247"/>
    </row>
    <row r="311" spans="35:39">
      <c r="AI311" s="247"/>
      <c r="AJ311" s="248" t="s">
        <v>1323</v>
      </c>
      <c r="AK311" s="247"/>
      <c r="AL311" s="247"/>
      <c r="AM311" s="247"/>
    </row>
    <row r="312" spans="35:39">
      <c r="AI312" s="247"/>
      <c r="AJ312" s="248" t="s">
        <v>514</v>
      </c>
      <c r="AK312" s="247"/>
      <c r="AL312" s="247"/>
      <c r="AM312" s="247"/>
    </row>
    <row r="313" spans="35:39">
      <c r="AI313" s="247" t="str">
        <f>INDEX($AJ:$AM,ROW(),Language)</f>
        <v>Calciner</v>
      </c>
      <c r="AJ313" s="474" t="s">
        <v>1423</v>
      </c>
      <c r="AK313" s="247" t="s">
        <v>1424</v>
      </c>
      <c r="AL313" s="476" t="s">
        <v>1425</v>
      </c>
      <c r="AM313" s="476" t="s">
        <v>1426</v>
      </c>
    </row>
    <row r="314" spans="35:39">
      <c r="AI314" s="247" t="str">
        <f>INDEX($AJ:$AM,ROW(),Language)</f>
        <v>Clinker production rate</v>
      </c>
      <c r="AJ314" s="247" t="s">
        <v>1483</v>
      </c>
      <c r="AK314" s="247" t="s">
        <v>1484</v>
      </c>
      <c r="AL314" s="247" t="s">
        <v>1485</v>
      </c>
      <c r="AM314" s="247" t="s">
        <v>1486</v>
      </c>
    </row>
    <row r="315" spans="35:39">
      <c r="AI315" s="247" t="str">
        <f>INDEX($AJ:$AM,ROW(),Language)</f>
        <v>Cone</v>
      </c>
      <c r="AJ315" s="247" t="s">
        <v>1508</v>
      </c>
      <c r="AK315" s="247" t="s">
        <v>326</v>
      </c>
      <c r="AL315" s="476" t="s">
        <v>2122</v>
      </c>
      <c r="AM315" s="476" t="s">
        <v>2109</v>
      </c>
    </row>
    <row r="316" spans="35:39">
      <c r="AI316" s="247"/>
      <c r="AJ316" s="248" t="s">
        <v>1533</v>
      </c>
      <c r="AK316" s="247"/>
      <c r="AL316" s="247"/>
      <c r="AM316" s="247"/>
    </row>
    <row r="317" spans="35:39">
      <c r="AI317" s="247" t="str">
        <f>INDEX($AJ:$AM,ROW(),Language)</f>
        <v>Length</v>
      </c>
      <c r="AJ317" s="247" t="s">
        <v>364</v>
      </c>
      <c r="AK317" s="247" t="s">
        <v>365</v>
      </c>
      <c r="AL317" s="247" t="s">
        <v>366</v>
      </c>
      <c r="AM317" s="247" t="s">
        <v>367</v>
      </c>
    </row>
    <row r="318" spans="35:39">
      <c r="AI318" s="247" t="str">
        <f>INDEX($AJ:$AM,ROW(),Language)</f>
        <v>Kiln length</v>
      </c>
      <c r="AJ318" s="247" t="s">
        <v>1534</v>
      </c>
      <c r="AK318" s="247" t="s">
        <v>1535</v>
      </c>
      <c r="AL318" s="247" t="s">
        <v>1536</v>
      </c>
      <c r="AM318" s="247" t="s">
        <v>1537</v>
      </c>
    </row>
    <row r="319" spans="35:39">
      <c r="AI319" s="247" t="str">
        <f>INDEX($AJ:$AM,ROW(),Language)</f>
        <v>Air density</v>
      </c>
      <c r="AJ319" s="247" t="s">
        <v>1566</v>
      </c>
      <c r="AK319" s="247" t="s">
        <v>1567</v>
      </c>
      <c r="AL319" s="247" t="s">
        <v>1568</v>
      </c>
      <c r="AM319" s="247" t="s">
        <v>1569</v>
      </c>
    </row>
    <row r="320" spans="35:39">
      <c r="AI320" s="247"/>
      <c r="AJ320" s="248" t="s">
        <v>1570</v>
      </c>
      <c r="AK320" s="247"/>
      <c r="AL320" s="247"/>
      <c r="AM320" s="247"/>
    </row>
    <row r="321" spans="35:39">
      <c r="AI321" s="247" t="str">
        <f>INDEX($AJ:$AM,ROW(),Language)</f>
        <v>Material duct</v>
      </c>
      <c r="AJ321" s="474" t="s">
        <v>1512</v>
      </c>
      <c r="AK321" s="247" t="s">
        <v>125</v>
      </c>
      <c r="AL321" s="476" t="s">
        <v>2121</v>
      </c>
      <c r="AM321" s="476" t="s">
        <v>2108</v>
      </c>
    </row>
    <row r="322" spans="35:39">
      <c r="AI322" s="247"/>
      <c r="AJ322" s="248" t="s">
        <v>1604</v>
      </c>
      <c r="AK322" s="247"/>
      <c r="AL322" s="247"/>
      <c r="AM322" s="247"/>
    </row>
    <row r="323" spans="35:39">
      <c r="AI323" s="247"/>
      <c r="AJ323" s="248" t="s">
        <v>1622</v>
      </c>
      <c r="AK323" s="247"/>
      <c r="AL323" s="247"/>
      <c r="AM323" s="247"/>
    </row>
    <row r="324" spans="35:39">
      <c r="AI324" s="247" t="str">
        <f t="shared" ref="AI324:AI330" si="33">INDEX($AJ:$AM,ROW(),Language)</f>
        <v>Surface</v>
      </c>
      <c r="AJ324" s="247" t="s">
        <v>368</v>
      </c>
      <c r="AK324" s="247" t="s">
        <v>369</v>
      </c>
      <c r="AL324" s="247" t="s">
        <v>369</v>
      </c>
      <c r="AM324" s="249" t="s">
        <v>370</v>
      </c>
    </row>
    <row r="325" spans="35:39">
      <c r="AI325" s="247" t="str">
        <f t="shared" si="33"/>
        <v>Kiln diameter burning zone</v>
      </c>
      <c r="AJ325" s="247" t="s">
        <v>371</v>
      </c>
      <c r="AK325" s="247" t="s">
        <v>372</v>
      </c>
      <c r="AL325" s="247" t="s">
        <v>373</v>
      </c>
      <c r="AM325" s="249" t="s">
        <v>374</v>
      </c>
    </row>
    <row r="326" spans="35:39">
      <c r="AI326" s="247" t="str">
        <f t="shared" si="33"/>
        <v>Kiln Shell 1/2</v>
      </c>
      <c r="AJ326" s="247" t="s">
        <v>375</v>
      </c>
      <c r="AK326" s="247" t="s">
        <v>376</v>
      </c>
      <c r="AL326" s="247" t="s">
        <v>377</v>
      </c>
      <c r="AM326" s="247" t="s">
        <v>378</v>
      </c>
    </row>
    <row r="327" spans="35:39">
      <c r="AI327" s="247" t="str">
        <f t="shared" si="33"/>
        <v>Kiln Shell 2/2</v>
      </c>
      <c r="AJ327" s="247" t="s">
        <v>379</v>
      </c>
      <c r="AK327" s="247" t="s">
        <v>380</v>
      </c>
      <c r="AL327" s="247" t="s">
        <v>381</v>
      </c>
      <c r="AM327" s="247" t="s">
        <v>382</v>
      </c>
    </row>
    <row r="328" spans="35:39" ht="38.25">
      <c r="AI328" s="247" t="str">
        <f t="shared" si="33"/>
        <v>HEAT LOSSES OF KILN SHELL RADIATION AND CONVECTION</v>
      </c>
      <c r="AJ328" s="247" t="s">
        <v>383</v>
      </c>
      <c r="AK328" s="247" t="s">
        <v>384</v>
      </c>
      <c r="AL328" s="247" t="s">
        <v>385</v>
      </c>
      <c r="AM328" s="247" t="s">
        <v>386</v>
      </c>
    </row>
    <row r="329" spans="35:39">
      <c r="AI329" s="247" t="str">
        <f t="shared" si="33"/>
        <v>Kiln shell surface</v>
      </c>
      <c r="AJ329" s="247" t="s">
        <v>1686</v>
      </c>
      <c r="AK329" s="247" t="s">
        <v>1687</v>
      </c>
      <c r="AL329" s="247" t="s">
        <v>1688</v>
      </c>
      <c r="AM329" s="249" t="s">
        <v>1689</v>
      </c>
    </row>
    <row r="330" spans="35:39">
      <c r="AI330" s="247" t="str">
        <f t="shared" si="33"/>
        <v>Kiln shell segment</v>
      </c>
      <c r="AJ330" s="247" t="s">
        <v>388</v>
      </c>
      <c r="AK330" s="247" t="s">
        <v>389</v>
      </c>
      <c r="AL330" s="247" t="s">
        <v>390</v>
      </c>
      <c r="AM330" s="247" t="s">
        <v>391</v>
      </c>
    </row>
    <row r="331" spans="35:39">
      <c r="AI331" s="247"/>
      <c r="AJ331" s="248" t="s">
        <v>1706</v>
      </c>
      <c r="AK331" s="247"/>
      <c r="AL331" s="247"/>
      <c r="AM331" s="247"/>
    </row>
    <row r="332" spans="35:39">
      <c r="AI332" s="247" t="str">
        <f>INDEX($AJ:$AM,ROW(),Language)</f>
        <v>Position</v>
      </c>
      <c r="AJ332" s="247" t="s">
        <v>1707</v>
      </c>
      <c r="AK332" s="247" t="s">
        <v>1707</v>
      </c>
      <c r="AL332" s="247" t="s">
        <v>1707</v>
      </c>
      <c r="AM332" s="247" t="s">
        <v>1708</v>
      </c>
    </row>
    <row r="333" spans="35:39">
      <c r="AI333" s="247"/>
      <c r="AJ333" s="248" t="s">
        <v>1755</v>
      </c>
      <c r="AK333" s="247"/>
      <c r="AL333" s="247"/>
      <c r="AM333" s="247"/>
    </row>
    <row r="334" spans="35:39">
      <c r="AI334" s="247"/>
      <c r="AJ334" s="248" t="s">
        <v>1762</v>
      </c>
      <c r="AK334" s="247"/>
      <c r="AL334" s="247"/>
      <c r="AM334" s="247"/>
    </row>
    <row r="335" spans="35:39">
      <c r="AI335" s="247" t="str">
        <f>INDEX($AJ:$AM,ROW(),Language)</f>
        <v>Square shaped</v>
      </c>
      <c r="AJ335" s="474" t="s">
        <v>1514</v>
      </c>
      <c r="AK335" s="247" t="s">
        <v>1515</v>
      </c>
      <c r="AL335" s="476" t="s">
        <v>2115</v>
      </c>
      <c r="AM335" s="476" t="s">
        <v>2107</v>
      </c>
    </row>
    <row r="336" spans="35:39">
      <c r="AI336" s="247"/>
      <c r="AJ336" s="248" t="s">
        <v>512</v>
      </c>
      <c r="AK336" s="247"/>
      <c r="AL336" s="247"/>
      <c r="AM336" s="247"/>
    </row>
    <row r="337" spans="35:39">
      <c r="AI337" s="247"/>
      <c r="AJ337" s="248" t="s">
        <v>1805</v>
      </c>
      <c r="AK337" s="247"/>
      <c r="AL337" s="247"/>
      <c r="AM337" s="247"/>
    </row>
    <row r="338" spans="35:39">
      <c r="AI338" s="247" t="str">
        <f>INDEX($AJ:$AM,ROW(),Language)</f>
        <v>velocity</v>
      </c>
      <c r="AJ338" s="247" t="s">
        <v>392</v>
      </c>
      <c r="AK338" s="247" t="s">
        <v>393</v>
      </c>
      <c r="AL338" s="247" t="s">
        <v>394</v>
      </c>
      <c r="AM338" s="249" t="s">
        <v>395</v>
      </c>
    </row>
    <row r="339" spans="35:39">
      <c r="AI339" s="247"/>
      <c r="AJ339" s="248" t="s">
        <v>1840</v>
      </c>
      <c r="AK339" s="247"/>
      <c r="AL339" s="247"/>
      <c r="AM339" s="247"/>
    </row>
    <row r="340" spans="35:39">
      <c r="AI340" s="247" t="str">
        <f>INDEX($AJ:$AM,ROW(),Language)</f>
        <v>Specific heat loss</v>
      </c>
      <c r="AJ340" s="247" t="s">
        <v>396</v>
      </c>
      <c r="AK340" s="247" t="s">
        <v>397</v>
      </c>
      <c r="AL340" s="247" t="s">
        <v>398</v>
      </c>
      <c r="AM340" s="247" t="s">
        <v>399</v>
      </c>
    </row>
    <row r="341" spans="35:39">
      <c r="AI341" s="247"/>
      <c r="AJ341" s="248" t="s">
        <v>1863</v>
      </c>
      <c r="AK341" s="247"/>
      <c r="AL341" s="247"/>
      <c r="AM341" s="247"/>
    </row>
    <row r="342" spans="35:39" ht="25.5">
      <c r="AI342" s="247" t="str">
        <f>INDEX($AJ:$AM,ROW(),Language)</f>
        <v>Radiation &amp; Convection Losses</v>
      </c>
      <c r="AJ342" s="247" t="s">
        <v>400</v>
      </c>
      <c r="AK342" s="247" t="s">
        <v>401</v>
      </c>
      <c r="AL342" s="249" t="s">
        <v>402</v>
      </c>
      <c r="AM342" s="249" t="s">
        <v>2100</v>
      </c>
    </row>
    <row r="343" spans="35:39" ht="25.5">
      <c r="AI343" s="247" t="str">
        <f>INDEX($AJ:$AM,ROW(),Language)</f>
        <v>Radiation &amp; Convection of Preheater, Precalciner</v>
      </c>
      <c r="AJ343" s="249" t="s">
        <v>132</v>
      </c>
      <c r="AK343" s="249" t="s">
        <v>133</v>
      </c>
      <c r="AL343" s="477" t="s">
        <v>2116</v>
      </c>
      <c r="AM343" s="249" t="s">
        <v>2106</v>
      </c>
    </row>
    <row r="344" spans="35:39">
      <c r="AI344" s="247"/>
      <c r="AJ344" s="248" t="s">
        <v>489</v>
      </c>
      <c r="AK344" s="247"/>
      <c r="AL344" s="247"/>
      <c r="AM344" s="247"/>
    </row>
    <row r="345" spans="35:39">
      <c r="AI345" s="247" t="str">
        <f t="shared" ref="AI345:AI351" si="34">INDEX($AJ:$AM,ROW(),Language)</f>
        <v>t/d</v>
      </c>
      <c r="AJ345" s="247" t="s">
        <v>1940</v>
      </c>
      <c r="AK345" s="247" t="s">
        <v>1941</v>
      </c>
      <c r="AL345" s="247" t="s">
        <v>1942</v>
      </c>
      <c r="AM345" s="247" t="s">
        <v>1941</v>
      </c>
    </row>
    <row r="346" spans="35:39">
      <c r="AI346" s="247" t="str">
        <f t="shared" si="34"/>
        <v>Temperature</v>
      </c>
      <c r="AJ346" s="247" t="s">
        <v>1953</v>
      </c>
      <c r="AK346" s="247" t="s">
        <v>1954</v>
      </c>
      <c r="AL346" s="247" t="s">
        <v>1957</v>
      </c>
      <c r="AM346" s="247" t="s">
        <v>1958</v>
      </c>
    </row>
    <row r="347" spans="35:39">
      <c r="AI347" s="247" t="str">
        <f t="shared" si="34"/>
        <v>total</v>
      </c>
      <c r="AJ347" s="247" t="s">
        <v>404</v>
      </c>
      <c r="AK347" s="247" t="s">
        <v>404</v>
      </c>
      <c r="AL347" s="247" t="s">
        <v>404</v>
      </c>
      <c r="AM347" s="247" t="s">
        <v>404</v>
      </c>
    </row>
    <row r="348" spans="35:39">
      <c r="AI348" s="247" t="str">
        <f t="shared" si="34"/>
        <v>Transition chamber</v>
      </c>
      <c r="AJ348" s="478" t="s">
        <v>2126</v>
      </c>
      <c r="AK348" s="253" t="s">
        <v>127</v>
      </c>
      <c r="AL348" s="476" t="s">
        <v>2117</v>
      </c>
      <c r="AM348" s="477" t="s">
        <v>2105</v>
      </c>
    </row>
    <row r="349" spans="35:39">
      <c r="AI349" s="247" t="str">
        <f t="shared" si="34"/>
        <v>Drop out chamber</v>
      </c>
      <c r="AJ349" s="479" t="s">
        <v>2127</v>
      </c>
      <c r="AK349" s="253" t="s">
        <v>327</v>
      </c>
      <c r="AL349" s="477" t="s">
        <v>2118</v>
      </c>
      <c r="AM349" s="477" t="s">
        <v>2112</v>
      </c>
    </row>
    <row r="350" spans="35:39">
      <c r="AI350" s="247" t="str">
        <f t="shared" si="34"/>
        <v>Connection to kiln hood</v>
      </c>
      <c r="AJ350" s="478" t="s">
        <v>2125</v>
      </c>
      <c r="AK350" s="253" t="s">
        <v>328</v>
      </c>
      <c r="AL350" s="476" t="s">
        <v>2119</v>
      </c>
      <c r="AM350" s="477" t="s">
        <v>2104</v>
      </c>
    </row>
    <row r="351" spans="35:39">
      <c r="AI351" s="247" t="str">
        <f t="shared" si="34"/>
        <v>Kiln hood</v>
      </c>
      <c r="AJ351" s="478" t="s">
        <v>2124</v>
      </c>
      <c r="AK351" s="253" t="s">
        <v>329</v>
      </c>
      <c r="AL351" s="476" t="s">
        <v>2120</v>
      </c>
      <c r="AM351" s="476" t="s">
        <v>2101</v>
      </c>
    </row>
    <row r="352" spans="35:39">
      <c r="AI352" s="247"/>
      <c r="AJ352" s="248" t="s">
        <v>2009</v>
      </c>
      <c r="AK352" s="247"/>
      <c r="AL352" s="247"/>
      <c r="AM352" s="247"/>
    </row>
    <row r="353" spans="35:39">
      <c r="AI353" s="247" t="str">
        <f>INDEX($AJ:$AM,ROW(),Language)</f>
        <v>Ambient pressure</v>
      </c>
      <c r="AJ353" s="247" t="s">
        <v>405</v>
      </c>
      <c r="AK353" s="247" t="s">
        <v>406</v>
      </c>
      <c r="AL353" s="247" t="s">
        <v>407</v>
      </c>
      <c r="AM353" s="249" t="s">
        <v>408</v>
      </c>
    </row>
    <row r="354" spans="35:39">
      <c r="AI354" s="247" t="str">
        <f>INDEX($AJ:$AM,ROW(),Language)</f>
        <v>Ambient temperature</v>
      </c>
      <c r="AJ354" s="247" t="s">
        <v>2028</v>
      </c>
      <c r="AK354" s="247" t="s">
        <v>2029</v>
      </c>
      <c r="AL354" s="247" t="s">
        <v>2030</v>
      </c>
      <c r="AM354" s="247" t="s">
        <v>2031</v>
      </c>
    </row>
    <row r="355" spans="35:39">
      <c r="AI355" s="247"/>
      <c r="AJ355" s="248" t="s">
        <v>2048</v>
      </c>
      <c r="AK355" s="247"/>
      <c r="AL355" s="247"/>
      <c r="AM355" s="247"/>
    </row>
    <row r="356" spans="35:39">
      <c r="AI356" s="247"/>
      <c r="AJ356" s="248" t="s">
        <v>2142</v>
      </c>
      <c r="AK356" s="247"/>
      <c r="AL356" s="247"/>
      <c r="AM356" s="247"/>
    </row>
    <row r="357" spans="35:39">
      <c r="AI357" s="247" t="str">
        <f>INDEX($AJ:$AM,ROW(),Language)</f>
        <v>Plant</v>
      </c>
      <c r="AJ357" s="247" t="s">
        <v>184</v>
      </c>
      <c r="AK357" s="247" t="s">
        <v>185</v>
      </c>
      <c r="AL357" s="247" t="s">
        <v>186</v>
      </c>
      <c r="AM357" s="247" t="s">
        <v>187</v>
      </c>
    </row>
    <row r="358" spans="35:39">
      <c r="AI358" s="247" t="str">
        <f>INDEX($AJ:$AM,ROW(),Language)</f>
        <v>Wind</v>
      </c>
      <c r="AJ358" s="247" t="s">
        <v>409</v>
      </c>
      <c r="AK358" s="247" t="s">
        <v>410</v>
      </c>
      <c r="AL358" s="247" t="s">
        <v>1252</v>
      </c>
      <c r="AM358" s="247" t="s">
        <v>1253</v>
      </c>
    </row>
    <row r="359" spans="35:39">
      <c r="AI359" s="247"/>
      <c r="AJ359" s="248" t="s">
        <v>188</v>
      </c>
      <c r="AK359" s="247"/>
      <c r="AL359" s="247"/>
      <c r="AM359" s="247"/>
    </row>
    <row r="360" spans="35:39">
      <c r="AI360" s="247"/>
      <c r="AJ360" s="248" t="s">
        <v>189</v>
      </c>
      <c r="AK360" s="247"/>
      <c r="AL360" s="247"/>
      <c r="AM360" s="247"/>
    </row>
    <row r="361" spans="35:39">
      <c r="AI361" s="247"/>
      <c r="AJ361" s="248" t="s">
        <v>190</v>
      </c>
      <c r="AK361" s="247"/>
      <c r="AL361" s="247"/>
      <c r="AM361" s="247"/>
    </row>
    <row r="362" spans="35:39">
      <c r="AI362" s="247" t="str">
        <f>INDEX($AJ:$AM,ROW(),Language)</f>
        <v>Cyclone</v>
      </c>
      <c r="AJ362" s="247" t="s">
        <v>116</v>
      </c>
      <c r="AK362" s="247" t="s">
        <v>117</v>
      </c>
      <c r="AL362" s="476" t="s">
        <v>117</v>
      </c>
      <c r="AM362" s="247" t="s">
        <v>118</v>
      </c>
    </row>
    <row r="363" spans="35:39">
      <c r="AI363" s="247" t="str">
        <f>INDEX($AJ:$AM,ROW(),Language)</f>
        <v>cyclones</v>
      </c>
      <c r="AJ363" s="247" t="s">
        <v>119</v>
      </c>
      <c r="AK363" s="249" t="s">
        <v>120</v>
      </c>
      <c r="AL363" s="476" t="s">
        <v>120</v>
      </c>
      <c r="AM363" s="247" t="s">
        <v>121</v>
      </c>
    </row>
    <row r="364" spans="35:39">
      <c r="AI364" s="247" t="str">
        <f>INDEX($AJ:$AM,ROW(),Language)</f>
        <v>Summary</v>
      </c>
      <c r="AJ364" s="247" t="s">
        <v>129</v>
      </c>
      <c r="AK364" s="247" t="s">
        <v>131</v>
      </c>
      <c r="AL364" s="477" t="s">
        <v>2113</v>
      </c>
      <c r="AM364" s="476" t="s">
        <v>2102</v>
      </c>
    </row>
    <row r="365" spans="35:39">
      <c r="AI365" s="247" t="str">
        <f>INDEX($AJ:$AM,ROW(),Language)</f>
        <v>Cylindrical part</v>
      </c>
      <c r="AJ365" s="247" t="s">
        <v>1507</v>
      </c>
      <c r="AK365" s="247" t="s">
        <v>124</v>
      </c>
      <c r="AL365" s="477" t="s">
        <v>2114</v>
      </c>
      <c r="AM365" s="476" t="s">
        <v>2103</v>
      </c>
    </row>
    <row r="366" spans="35:39">
      <c r="AI366" s="247"/>
      <c r="AJ366" s="247"/>
      <c r="AK366" s="247"/>
      <c r="AL366" s="247"/>
      <c r="AM366" s="247"/>
    </row>
    <row r="367" spans="35:39">
      <c r="AI367" s="247"/>
      <c r="AJ367" s="247"/>
      <c r="AK367" s="247"/>
      <c r="AL367" s="247"/>
      <c r="AM367" s="247"/>
    </row>
    <row r="368" spans="35:39">
      <c r="AI368" s="247"/>
      <c r="AJ368" s="247"/>
      <c r="AK368" s="247"/>
      <c r="AL368" s="247"/>
      <c r="AM368" s="247"/>
    </row>
    <row r="369" spans="35:39">
      <c r="AI369" s="247"/>
      <c r="AJ369" s="247"/>
      <c r="AK369" s="247"/>
      <c r="AL369" s="247"/>
      <c r="AM369" s="247"/>
    </row>
  </sheetData>
  <phoneticPr fontId="34" type="noConversion"/>
  <printOptions horizontalCentered="1"/>
  <pageMargins left="0.98425196850393704" right="0.51181102362204722" top="0.51181102362204722" bottom="0.51181102362204722" header="0.51181102362204722" footer="0.51181102362204722"/>
  <pageSetup paperSize="9" scale="85" fitToHeight="3" orientation="portrait" r:id="rId1"/>
  <headerFooter alignWithMargins="0"/>
  <rowBreaks count="2" manualBreakCount="2">
    <brk id="89" max="12" man="1"/>
    <brk id="138" max="1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61" r:id="rId4" name="Drop Down 17">
              <controlPr defaultSize="0" autoFill="0" autoLine="0" autoPict="0">
                <anchor moveWithCells="1">
                  <from>
                    <xdr:col>4</xdr:col>
                    <xdr:colOff>314325</xdr:colOff>
                    <xdr:row>12</xdr:row>
                    <xdr:rowOff>133350</xdr:rowOff>
                  </from>
                  <to>
                    <xdr:col>5</xdr:col>
                    <xdr:colOff>561975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AM279"/>
  <sheetViews>
    <sheetView zoomScaleNormal="100" workbookViewId="0"/>
  </sheetViews>
  <sheetFormatPr defaultRowHeight="12.75"/>
  <cols>
    <col min="1" max="1" width="3.83203125" style="253" customWidth="1"/>
    <col min="2" max="3" width="5.6640625" style="253" customWidth="1"/>
    <col min="4" max="4" width="10.5" style="253" customWidth="1"/>
    <col min="5" max="5" width="12.6640625" style="253" customWidth="1"/>
    <col min="6" max="7" width="10.5" style="253" customWidth="1"/>
    <col min="8" max="8" width="10.33203125" style="253" customWidth="1"/>
    <col min="9" max="9" width="13.6640625" style="253" customWidth="1"/>
    <col min="10" max="11" width="10.33203125" style="253" customWidth="1"/>
    <col min="12" max="12" width="10.6640625" style="253" customWidth="1"/>
    <col min="13" max="13" width="3.83203125" style="253" customWidth="1"/>
    <col min="14" max="21" width="10.83203125" style="253" customWidth="1"/>
    <col min="22" max="26" width="10.5" style="253" customWidth="1"/>
    <col min="27" max="27" width="10.33203125" style="253" customWidth="1"/>
    <col min="28" max="28" width="11.33203125" style="253" bestFit="1" customWidth="1"/>
    <col min="29" max="29" width="9.33203125" style="253"/>
    <col min="30" max="30" width="9.6640625" style="253" bestFit="1" customWidth="1"/>
    <col min="31" max="31" width="11.5" style="253" bestFit="1" customWidth="1"/>
    <col min="32" max="32" width="17" style="253" bestFit="1" customWidth="1"/>
    <col min="33" max="34" width="9.33203125" style="253"/>
    <col min="35" max="39" width="35.83203125" style="253" customWidth="1"/>
    <col min="40" max="16384" width="9.33203125" style="253"/>
  </cols>
  <sheetData>
    <row r="2" spans="2:25"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2:25"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</row>
    <row r="4" spans="2:25"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W4" s="4" t="s">
        <v>412</v>
      </c>
      <c r="X4" s="1"/>
      <c r="Y4" s="363" t="s">
        <v>413</v>
      </c>
    </row>
    <row r="5" spans="2:25">
      <c r="B5" s="371"/>
      <c r="C5" s="371"/>
      <c r="D5" s="370"/>
      <c r="E5" s="372"/>
      <c r="F5" s="370"/>
      <c r="G5" s="370"/>
      <c r="H5" s="370"/>
      <c r="I5" s="370"/>
      <c r="J5" s="370"/>
      <c r="K5" s="370"/>
      <c r="L5" s="370"/>
      <c r="W5"/>
      <c r="X5"/>
      <c r="Y5" t="s">
        <v>414</v>
      </c>
    </row>
    <row r="6" spans="2:25">
      <c r="B6" s="373"/>
      <c r="C6" s="373"/>
      <c r="D6" s="372"/>
      <c r="E6" s="372"/>
      <c r="F6" s="370"/>
      <c r="G6" s="370"/>
      <c r="H6" s="370"/>
      <c r="I6" s="370"/>
      <c r="J6" s="370"/>
      <c r="K6" s="370"/>
      <c r="L6" s="370"/>
      <c r="W6"/>
      <c r="X6" s="1"/>
      <c r="Y6" s="252" t="s">
        <v>415</v>
      </c>
    </row>
    <row r="7" spans="2:25" ht="18">
      <c r="B7" s="370"/>
      <c r="C7" s="370"/>
      <c r="D7" s="589" t="s">
        <v>668</v>
      </c>
      <c r="E7" s="370"/>
      <c r="F7" s="370"/>
      <c r="G7" s="370"/>
      <c r="H7" s="370"/>
      <c r="I7" s="370"/>
      <c r="J7" s="370"/>
      <c r="K7" s="370"/>
      <c r="L7" s="370"/>
      <c r="W7"/>
      <c r="X7" s="1"/>
      <c r="Y7" s="252" t="s">
        <v>416</v>
      </c>
    </row>
    <row r="8" spans="2:25" ht="18" customHeight="1">
      <c r="B8" s="370"/>
      <c r="C8" s="370"/>
      <c r="D8" s="521" t="s">
        <v>646</v>
      </c>
      <c r="E8" s="370"/>
      <c r="F8" s="370"/>
      <c r="G8" s="370"/>
      <c r="H8" s="370"/>
      <c r="I8" s="370"/>
      <c r="J8" s="370"/>
      <c r="K8" s="370"/>
      <c r="L8" s="370"/>
      <c r="W8"/>
      <c r="X8" s="1"/>
      <c r="Y8" s="1"/>
    </row>
    <row r="9" spans="2:25" ht="12.75" customHeight="1">
      <c r="B9" s="370"/>
      <c r="C9" s="370"/>
      <c r="D9" s="372" t="s">
        <v>104</v>
      </c>
      <c r="E9" s="372"/>
      <c r="F9" s="370"/>
      <c r="G9" s="370"/>
      <c r="H9" s="370"/>
      <c r="I9" s="370"/>
      <c r="J9" s="370"/>
      <c r="K9" s="370"/>
      <c r="L9" s="370"/>
      <c r="O9" s="641" t="s">
        <v>1509</v>
      </c>
      <c r="P9" s="491"/>
      <c r="Q9" s="644"/>
      <c r="W9" s="4" t="s">
        <v>418</v>
      </c>
      <c r="X9" s="1"/>
      <c r="Y9" s="6">
        <v>2</v>
      </c>
    </row>
    <row r="10" spans="2:25" ht="12.75" customHeight="1">
      <c r="B10" s="370"/>
      <c r="C10" s="370"/>
      <c r="D10" s="372"/>
      <c r="E10" s="372"/>
      <c r="F10" s="370"/>
      <c r="G10" s="370"/>
      <c r="H10" s="370"/>
      <c r="I10" s="370"/>
      <c r="J10" s="370"/>
      <c r="K10" s="370"/>
      <c r="L10" s="370"/>
      <c r="O10" s="642">
        <v>36991</v>
      </c>
      <c r="P10" s="618" t="s">
        <v>122</v>
      </c>
      <c r="Q10" s="645" t="s">
        <v>128</v>
      </c>
      <c r="W10" s="4"/>
      <c r="X10" s="1"/>
      <c r="Y10" s="6"/>
    </row>
    <row r="11" spans="2:25" ht="12.75" customHeight="1">
      <c r="B11" s="370"/>
      <c r="C11" s="370"/>
      <c r="D11" s="1133"/>
      <c r="E11" s="365" t="s">
        <v>417</v>
      </c>
      <c r="F11" s="370"/>
      <c r="G11" s="370"/>
      <c r="H11" s="370"/>
      <c r="I11" s="370"/>
      <c r="J11" s="370"/>
      <c r="K11" s="370"/>
      <c r="L11" s="370"/>
      <c r="O11" s="646">
        <v>36992</v>
      </c>
      <c r="P11" s="647" t="s">
        <v>122</v>
      </c>
      <c r="Q11" s="645" t="s">
        <v>1516</v>
      </c>
    </row>
    <row r="12" spans="2:25" ht="12.75" customHeight="1">
      <c r="B12" s="370"/>
      <c r="C12" s="370"/>
      <c r="D12" s="2"/>
      <c r="E12" s="369" t="s">
        <v>1133</v>
      </c>
      <c r="F12" s="370"/>
      <c r="G12" s="370"/>
      <c r="H12" s="370"/>
      <c r="I12" s="370"/>
      <c r="J12" s="370"/>
      <c r="K12" s="370"/>
      <c r="L12" s="370"/>
      <c r="O12" s="646">
        <v>37064</v>
      </c>
      <c r="P12" s="647" t="s">
        <v>2128</v>
      </c>
      <c r="Q12" s="644" t="s">
        <v>2129</v>
      </c>
    </row>
    <row r="13" spans="2:25" ht="12.75" customHeight="1"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O13" s="642">
        <v>38595</v>
      </c>
      <c r="P13" s="618" t="s">
        <v>955</v>
      </c>
      <c r="Q13" s="491" t="s">
        <v>1509</v>
      </c>
    </row>
    <row r="14" spans="2:25" ht="12.75" customHeight="1">
      <c r="B14" s="370"/>
      <c r="C14" s="370"/>
      <c r="D14" s="364" t="s">
        <v>420</v>
      </c>
      <c r="E14" s="370"/>
      <c r="F14" s="370"/>
      <c r="G14" s="370"/>
      <c r="H14" s="370"/>
      <c r="I14" s="370"/>
      <c r="J14" s="370"/>
      <c r="K14" s="370"/>
      <c r="L14" s="370"/>
      <c r="O14" s="642">
        <v>39827</v>
      </c>
      <c r="P14" s="808" t="s">
        <v>1955</v>
      </c>
      <c r="Q14" s="642" t="s">
        <v>698</v>
      </c>
      <c r="R14" s="642"/>
      <c r="S14" s="642"/>
      <c r="T14" s="642"/>
    </row>
    <row r="15" spans="2:25"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O15" s="642">
        <v>41100</v>
      </c>
      <c r="P15" s="808" t="s">
        <v>1955</v>
      </c>
      <c r="Q15" s="642" t="s">
        <v>2191</v>
      </c>
    </row>
    <row r="16" spans="2:25" ht="13.5">
      <c r="B16" s="374"/>
      <c r="C16" s="372"/>
      <c r="D16" s="370"/>
      <c r="E16" s="370"/>
      <c r="F16" s="370"/>
      <c r="G16" s="370"/>
      <c r="H16" s="370"/>
      <c r="I16" s="370"/>
      <c r="J16" s="370"/>
      <c r="K16" s="370"/>
      <c r="L16" s="480"/>
    </row>
    <row r="19" spans="2:32" ht="15.75">
      <c r="B19" s="1113" t="s">
        <v>667</v>
      </c>
      <c r="C19" s="1113"/>
      <c r="D19" s="1113"/>
      <c r="E19" s="1113"/>
      <c r="F19" s="1113"/>
      <c r="G19" s="1113"/>
      <c r="H19" s="1113"/>
      <c r="I19" s="1113"/>
      <c r="J19" s="1113"/>
      <c r="K19" s="1113"/>
      <c r="L19" s="1113"/>
    </row>
    <row r="20" spans="2:32">
      <c r="N20" s="257"/>
      <c r="O20" s="257"/>
      <c r="P20" s="257"/>
      <c r="Q20" s="257"/>
      <c r="R20" s="257"/>
      <c r="S20" s="257"/>
      <c r="T20" s="257"/>
      <c r="U20" s="257"/>
      <c r="V20" s="257"/>
    </row>
    <row r="21" spans="2:32">
      <c r="B21" s="255" t="str">
        <f>'R&amp;C Preheater'!$AI$267</f>
        <v>Plant</v>
      </c>
      <c r="C21" s="255"/>
      <c r="D21" s="256"/>
      <c r="E21" s="1312" t="s">
        <v>2251</v>
      </c>
      <c r="F21" s="1122"/>
      <c r="G21" s="256"/>
      <c r="H21" s="254" t="str">
        <f>'R&amp;C Preheater'!$AI$219</f>
        <v>Altitude</v>
      </c>
      <c r="I21" s="254"/>
      <c r="J21" s="254"/>
      <c r="K21" s="1123">
        <v>300</v>
      </c>
      <c r="L21" s="254" t="s">
        <v>422</v>
      </c>
      <c r="N21" s="257"/>
      <c r="O21" s="257"/>
      <c r="P21" s="257"/>
      <c r="Q21" s="257"/>
      <c r="R21" s="257"/>
      <c r="S21" s="257"/>
      <c r="T21" s="257"/>
      <c r="U21" s="257"/>
      <c r="V21" s="257"/>
      <c r="Y21" s="258"/>
    </row>
    <row r="22" spans="2:32">
      <c r="B22" s="253" t="s">
        <v>886</v>
      </c>
      <c r="F22" s="1125">
        <v>41220</v>
      </c>
      <c r="G22" s="254"/>
      <c r="H22" s="255" t="str">
        <f>'R&amp;C Preheater'!$AI$264</f>
        <v>Ambient temperature</v>
      </c>
      <c r="I22" s="254"/>
      <c r="J22" s="254"/>
      <c r="K22" s="1124">
        <v>20</v>
      </c>
      <c r="L22" s="254" t="s">
        <v>425</v>
      </c>
    </row>
    <row r="23" spans="2:32">
      <c r="B23" s="255" t="str">
        <f>'R&amp;C Preheater'!$AI$224</f>
        <v>Clinker production rate</v>
      </c>
      <c r="C23" s="254"/>
      <c r="D23" s="254"/>
      <c r="E23" s="254"/>
      <c r="F23" s="1148">
        <v>4030</v>
      </c>
      <c r="G23" s="254" t="str">
        <f>'R&amp;C Preheater'!$AI$255</f>
        <v>t/d</v>
      </c>
      <c r="H23" s="255" t="str">
        <f>'R&amp;C Preheater'!$AI$263</f>
        <v>Ambient pressure</v>
      </c>
      <c r="I23" s="254"/>
      <c r="J23" s="254"/>
      <c r="K23" s="620">
        <f>IF(ALTITUDE="","",1.03323*((288-6.5*ALTITUDE/1000)/288)^5.255*980.665)</f>
        <v>977.71576555840886</v>
      </c>
      <c r="L23" s="254" t="s">
        <v>424</v>
      </c>
    </row>
    <row r="24" spans="2:32">
      <c r="H24" s="255" t="str">
        <f>'R&amp;C Preheater'!$AI$229</f>
        <v>Air density</v>
      </c>
      <c r="I24" s="254"/>
      <c r="J24" s="254"/>
      <c r="K24" s="621">
        <f>IF(TAMB="","",1.293*PAMB/1013*273.16/(TAMB+273.16))</f>
        <v>1.1628242730109473</v>
      </c>
      <c r="L24" s="259" t="s">
        <v>308</v>
      </c>
      <c r="X24" s="362" t="s">
        <v>310</v>
      </c>
      <c r="AA24" s="263" t="s">
        <v>311</v>
      </c>
      <c r="AB24" s="263" t="s">
        <v>312</v>
      </c>
    </row>
    <row r="25" spans="2:32">
      <c r="AD25"/>
      <c r="AE25" s="262"/>
      <c r="AF25" s="262"/>
    </row>
    <row r="26" spans="2:32">
      <c r="B26" s="358" t="s">
        <v>1379</v>
      </c>
      <c r="C26" s="465"/>
      <c r="D26" s="465"/>
      <c r="E26" s="465"/>
      <c r="F26" s="772">
        <f>IF(SUM(G84:G89)+G75+G68+G61+G54="","",SUM(G84:G89)+G75+G68+G61+G82+G54)</f>
        <v>4975.8462820845052</v>
      </c>
      <c r="G26" s="465" t="s">
        <v>309</v>
      </c>
      <c r="H26" s="354" t="s">
        <v>440</v>
      </c>
      <c r="I26"/>
      <c r="J26" s="354"/>
      <c r="K26" s="1123">
        <v>3</v>
      </c>
      <c r="L26" s="354" t="s">
        <v>422</v>
      </c>
      <c r="AD26"/>
      <c r="AE26" s="262"/>
      <c r="AF26" s="262"/>
    </row>
    <row r="27" spans="2:32">
      <c r="B27" s="358"/>
      <c r="C27" s="465"/>
      <c r="D27" s="465"/>
      <c r="E27" s="465"/>
      <c r="F27" s="613"/>
      <c r="G27" s="465"/>
      <c r="H27" s="795" t="s">
        <v>441</v>
      </c>
      <c r="AD27"/>
      <c r="AE27" s="262"/>
      <c r="AF27" s="262"/>
    </row>
    <row r="28" spans="2:32" ht="13.5" thickBot="1">
      <c r="B28" s="358" t="s">
        <v>338</v>
      </c>
      <c r="C28" s="465"/>
      <c r="D28" s="465"/>
      <c r="E28" s="465"/>
      <c r="F28" s="1159">
        <f>IF(SUM(L84:L89)+L75+L68+L61+L54="","",SUM(L84:L89)+L82+L75+L68+L61+L54)</f>
        <v>11247.625886576056</v>
      </c>
      <c r="G28" s="465" t="s">
        <v>1376</v>
      </c>
      <c r="AD28"/>
      <c r="AE28" s="262"/>
      <c r="AF28" s="262"/>
    </row>
    <row r="29" spans="2:32" ht="13.5" thickBot="1">
      <c r="B29" s="358" t="s">
        <v>1377</v>
      </c>
      <c r="C29" s="465"/>
      <c r="D29" s="465"/>
      <c r="E29" s="465"/>
      <c r="F29" s="1160">
        <f>IF(M_CLI="","",F28*24*3.6/M_CLI)</f>
        <v>241.14016789086136</v>
      </c>
      <c r="G29" s="358" t="s">
        <v>509</v>
      </c>
      <c r="AD29"/>
      <c r="AE29" s="262"/>
      <c r="AF29" s="262"/>
    </row>
    <row r="30" spans="2:32">
      <c r="B30" s="358" t="s">
        <v>1377</v>
      </c>
      <c r="F30" s="740">
        <f>IF(F29="","",F29/4.1868)</f>
        <v>57.595339612797687</v>
      </c>
      <c r="G30" s="253" t="s">
        <v>666</v>
      </c>
      <c r="AD30"/>
      <c r="AE30" s="262"/>
      <c r="AF30" s="262"/>
    </row>
    <row r="31" spans="2:32">
      <c r="C31" s="254"/>
      <c r="D31" s="254"/>
      <c r="E31" s="254"/>
      <c r="F31" s="260"/>
      <c r="G31" s="254"/>
      <c r="H31" s="254"/>
      <c r="I31" s="254"/>
      <c r="J31" s="254"/>
      <c r="K31" s="254"/>
      <c r="L31" s="254"/>
      <c r="Z31" s="253">
        <v>0</v>
      </c>
      <c r="AA31" s="265">
        <v>2.4539999999999999E-2</v>
      </c>
      <c r="AB31" s="265">
        <v>1.7099999999999999E-5</v>
      </c>
      <c r="AD31"/>
      <c r="AE31"/>
      <c r="AF31"/>
    </row>
    <row r="32" spans="2:32">
      <c r="B32" s="261" t="str">
        <f>'R&amp;C Preheater'!$AI$204</f>
        <v>Remark</v>
      </c>
      <c r="C32" s="254"/>
      <c r="D32" s="254"/>
      <c r="E32" s="254"/>
      <c r="F32" s="260"/>
      <c r="G32" s="254"/>
      <c r="H32" s="254"/>
      <c r="I32" s="254"/>
      <c r="J32" s="254"/>
      <c r="K32" s="254"/>
      <c r="L32" s="254"/>
      <c r="AA32" s="265"/>
      <c r="AB32" s="265"/>
      <c r="AD32"/>
      <c r="AE32"/>
      <c r="AF32"/>
    </row>
    <row r="33" spans="1:35">
      <c r="B33" s="1134"/>
      <c r="C33" s="1135"/>
      <c r="D33" s="1135"/>
      <c r="E33" s="1135"/>
      <c r="F33" s="1135"/>
      <c r="G33" s="1135"/>
      <c r="H33" s="1135"/>
      <c r="I33" s="1135"/>
      <c r="J33" s="1135"/>
      <c r="K33" s="1135"/>
      <c r="L33" s="1135"/>
      <c r="Z33" s="253">
        <v>450</v>
      </c>
      <c r="AA33" s="265">
        <v>5.5640000000000002E-2</v>
      </c>
      <c r="AB33" s="265">
        <v>3.4E-5</v>
      </c>
      <c r="AD33"/>
      <c r="AE33"/>
      <c r="AF33"/>
    </row>
    <row r="34" spans="1:35">
      <c r="B34" s="1134"/>
      <c r="C34" s="1135"/>
      <c r="D34" s="1135"/>
      <c r="E34" s="1135"/>
      <c r="F34" s="1147"/>
      <c r="G34" s="1135"/>
      <c r="H34" s="1135"/>
      <c r="I34" s="1135"/>
      <c r="J34" s="1135"/>
      <c r="K34" s="1135"/>
      <c r="L34" s="1135"/>
      <c r="AD34"/>
      <c r="AE34"/>
      <c r="AF34"/>
    </row>
    <row r="35" spans="1:35">
      <c r="B35" s="1134"/>
      <c r="C35" s="1135"/>
      <c r="D35" s="1135"/>
      <c r="E35" s="1135"/>
      <c r="F35" s="1147"/>
      <c r="G35" s="1135"/>
      <c r="H35" s="1135"/>
      <c r="I35" s="1135"/>
      <c r="J35" s="1135"/>
      <c r="K35" s="1135"/>
      <c r="L35" s="1135"/>
      <c r="AD35"/>
      <c r="AE35"/>
      <c r="AF35"/>
      <c r="AG35"/>
      <c r="AH35"/>
      <c r="AI35"/>
    </row>
    <row r="36" spans="1:35">
      <c r="A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4"/>
      <c r="Z36" s="354"/>
      <c r="AA36" s="354"/>
      <c r="AB36" s="354"/>
      <c r="AC36" s="354"/>
      <c r="AD36" s="354"/>
      <c r="AE36" s="354"/>
      <c r="AF36" s="354"/>
    </row>
    <row r="37" spans="1:35">
      <c r="A37" s="354"/>
      <c r="B37" s="605"/>
      <c r="C37" s="606"/>
      <c r="D37" s="606"/>
      <c r="E37" s="606"/>
      <c r="F37" s="606"/>
      <c r="G37" s="592" t="str">
        <f>$AI$234</f>
        <v>Surface</v>
      </c>
      <c r="H37" s="593" t="s">
        <v>325</v>
      </c>
      <c r="I37" s="592" t="str">
        <f>$AI$212</f>
        <v>Emissivity</v>
      </c>
      <c r="J37" s="594" t="str">
        <f>$AI$268</f>
        <v>Wind</v>
      </c>
      <c r="K37" s="595" t="s">
        <v>313</v>
      </c>
      <c r="L37" s="592" t="s">
        <v>314</v>
      </c>
      <c r="M37" s="354"/>
      <c r="N37" s="354"/>
      <c r="O37" s="354"/>
      <c r="P37" s="354"/>
      <c r="Q37" s="354"/>
      <c r="R37" s="354"/>
      <c r="S37" s="354"/>
      <c r="T37" s="354"/>
      <c r="U37" s="354"/>
      <c r="V37" s="354"/>
      <c r="W37" s="354"/>
      <c r="X37" s="354"/>
      <c r="Y37" s="354"/>
      <c r="Z37" s="354"/>
      <c r="AA37" s="354"/>
      <c r="AB37" s="354"/>
      <c r="AC37" s="354"/>
      <c r="AD37" s="354"/>
      <c r="AE37" s="354"/>
      <c r="AF37" s="354"/>
    </row>
    <row r="38" spans="1:35" ht="12.75" customHeight="1">
      <c r="A38" s="354"/>
      <c r="B38" s="607"/>
      <c r="C38" s="465"/>
      <c r="D38" s="465"/>
      <c r="E38" s="465"/>
      <c r="F38" s="465"/>
      <c r="G38" s="596"/>
      <c r="H38" s="597"/>
      <c r="I38" s="598" t="s">
        <v>317</v>
      </c>
      <c r="J38" s="599" t="str">
        <f>$AI$248</f>
        <v>velocity</v>
      </c>
      <c r="K38" s="599" t="str">
        <f>$AI$257</f>
        <v>total</v>
      </c>
      <c r="L38" s="596"/>
      <c r="M38" s="354"/>
      <c r="N38" s="354"/>
      <c r="O38" s="354"/>
      <c r="P38" s="354"/>
      <c r="Q38" s="354"/>
      <c r="R38" s="354"/>
      <c r="S38" s="354"/>
      <c r="T38" s="354"/>
      <c r="AD38" s="354"/>
      <c r="AE38" s="354"/>
      <c r="AF38" s="354"/>
    </row>
    <row r="39" spans="1:35">
      <c r="A39" s="354"/>
      <c r="B39" s="611"/>
      <c r="C39" s="460"/>
      <c r="D39" s="460"/>
      <c r="E39" s="460"/>
      <c r="F39" s="612"/>
      <c r="G39" s="600" t="s">
        <v>471</v>
      </c>
      <c r="H39" s="601" t="s">
        <v>473</v>
      </c>
      <c r="I39" s="602" t="s">
        <v>469</v>
      </c>
      <c r="J39" s="603" t="s">
        <v>472</v>
      </c>
      <c r="K39" s="601" t="s">
        <v>322</v>
      </c>
      <c r="L39" s="604" t="s">
        <v>323</v>
      </c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54"/>
      <c r="AB39" s="354"/>
      <c r="AC39" s="354"/>
      <c r="AD39" s="354"/>
      <c r="AE39" s="354"/>
      <c r="AF39" s="354"/>
    </row>
    <row r="40" spans="1:35">
      <c r="A40" s="354"/>
      <c r="B40" s="608"/>
      <c r="C40" s="465"/>
      <c r="D40" s="465"/>
      <c r="E40" s="357"/>
      <c r="F40" s="356"/>
      <c r="G40" s="445"/>
      <c r="H40" s="446"/>
      <c r="I40" s="446"/>
      <c r="J40" s="446"/>
      <c r="K40" s="446"/>
      <c r="L40" s="446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354"/>
      <c r="AF40" s="354"/>
    </row>
    <row r="41" spans="1:35">
      <c r="A41" s="354"/>
      <c r="B41" s="608" t="s">
        <v>101</v>
      </c>
      <c r="C41" s="465"/>
      <c r="D41" s="465"/>
      <c r="E41" s="357"/>
      <c r="F41" s="356"/>
      <c r="G41" s="1149"/>
      <c r="H41" s="1150"/>
      <c r="I41" s="1150"/>
      <c r="J41" s="1150"/>
      <c r="K41" s="447" t="str">
        <f>IF(G41="","",Z41+SQRT(AA41^2+AB41^2))</f>
        <v/>
      </c>
      <c r="L41" s="448" t="str">
        <f>IF(G41="","",K41*G41*(H41-$K$22)/1000)</f>
        <v/>
      </c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449">
        <f>H41-$K$22</f>
        <v>-20</v>
      </c>
      <c r="Y41" s="449">
        <f>(H41+$K$22)/2+273.16</f>
        <v>283.16000000000003</v>
      </c>
      <c r="Z41" s="450">
        <f>5.67*I41*0.04*(Y41/100)^3*(1+0.25*(X41/Y41)^2)</f>
        <v>0</v>
      </c>
      <c r="AA41" s="451">
        <f>1.4*($K$24*$K$24*(273.16+TAMB)/Y41*X41)^(1/3)</f>
        <v>-4.251136302924281</v>
      </c>
      <c r="AB41" s="451">
        <f>0.00672*AE41*(AD41*J41/AF41)^0.905*$K$26^-0.095</f>
        <v>0</v>
      </c>
      <c r="AC41" s="354"/>
      <c r="AD41" s="452">
        <f>$K$24*(273.16+TAMB)/Y41</f>
        <v>1.2038902524222677</v>
      </c>
      <c r="AE41" s="453">
        <f>$AA$31+($AA$33-$AA$31)/($Z$33-$Z$31)*(Y41-273.16)</f>
        <v>2.523111111111111E-2</v>
      </c>
      <c r="AF41" s="354">
        <f>$AB$31+($AB$33-$AB$31)/($Z$33-$Z$31)*(Y41-273.16)</f>
        <v>1.7475555555555554E-5</v>
      </c>
    </row>
    <row r="42" spans="1:35">
      <c r="A42" s="354"/>
      <c r="B42" s="608"/>
      <c r="C42" s="465"/>
      <c r="D42" s="465"/>
      <c r="E42" s="357"/>
      <c r="F42" s="356"/>
      <c r="G42" s="454"/>
      <c r="H42" s="455"/>
      <c r="I42" s="455"/>
      <c r="J42" s="455"/>
      <c r="K42" s="455"/>
      <c r="L42" s="455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  <c r="AA42" s="451"/>
      <c r="AB42" s="354"/>
      <c r="AC42" s="354"/>
      <c r="AD42" s="452"/>
      <c r="AE42" s="354"/>
      <c r="AF42" s="354"/>
    </row>
    <row r="43" spans="1:35">
      <c r="A43" s="354"/>
      <c r="B43" s="609" t="str">
        <f>$AI$272&amp;" A"</f>
        <v>Cyclone A</v>
      </c>
      <c r="C43" s="465"/>
      <c r="D43" s="465"/>
      <c r="E43" s="357" t="str">
        <f>$AI$275</f>
        <v>Cylindrical part</v>
      </c>
      <c r="F43" s="356"/>
      <c r="G43" s="1149">
        <v>224.21546768670351</v>
      </c>
      <c r="H43" s="1150">
        <v>130</v>
      </c>
      <c r="I43" s="1150">
        <v>0.6</v>
      </c>
      <c r="J43" s="1150">
        <v>1</v>
      </c>
      <c r="K43" s="447">
        <f>IF(G43="","",Z43+SQRT(AA43^2+AB43^2))</f>
        <v>13.574637777864311</v>
      </c>
      <c r="L43" s="448">
        <f>IF(G43="","",K43*G43*(H43-$K$22)/1000)</f>
        <v>334.80081338455835</v>
      </c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449">
        <f>H43-$K$22</f>
        <v>110</v>
      </c>
      <c r="Y43" s="449">
        <f>(H43+$K$22)/2+273.16</f>
        <v>348.16</v>
      </c>
      <c r="Z43" s="450">
        <f>5.67*I43*0.04*(Y43/100)^3*(1+0.25*(X43/Y43)^2)</f>
        <v>5.8862128830794953</v>
      </c>
      <c r="AA43" s="451">
        <f>1.4*($K$24*$K$24*(273.16+TAMB)/Y43*X43)^(1/3)</f>
        <v>7.0044967212838491</v>
      </c>
      <c r="AB43" s="451">
        <f>0.00672*AE43*(AD43*J43/AF43)^0.905*$K$26^-0.095</f>
        <v>3.1700004801688451</v>
      </c>
      <c r="AC43" s="354"/>
      <c r="AD43" s="452">
        <f>$K$24*(273.16+TAMB)/Y43</f>
        <v>0.97912903227220049</v>
      </c>
      <c r="AE43" s="453">
        <f>$AA$31+($AA$33-$AA$31)/($Z$33-$Z$31)*(Y43-273.16)</f>
        <v>2.9723333333333331E-2</v>
      </c>
      <c r="AF43" s="354">
        <f>$AB$31+($AB$33-$AB$31)/($Z$33-$Z$31)*(Y43-273.16)</f>
        <v>1.9916666666666665E-5</v>
      </c>
    </row>
    <row r="44" spans="1:35">
      <c r="A44" s="354"/>
      <c r="B44" s="610"/>
      <c r="C44" s="356"/>
      <c r="D44" s="465"/>
      <c r="E44" s="465" t="str">
        <f>$AI$225</f>
        <v>Cone</v>
      </c>
      <c r="F44" s="356"/>
      <c r="G44" s="1149">
        <v>128.64821916450202</v>
      </c>
      <c r="H44" s="1150">
        <v>130</v>
      </c>
      <c r="I44" s="1150">
        <v>0.6</v>
      </c>
      <c r="J44" s="1150">
        <v>1</v>
      </c>
      <c r="K44" s="447">
        <f>IF(G44="","",Z44+SQRT(AA44^2+AB44^2))</f>
        <v>13.574637777864311</v>
      </c>
      <c r="L44" s="448">
        <f>IF(G44="","",K44*G44*(H44-$K$22)/1000)</f>
        <v>192.09882735179582</v>
      </c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449">
        <f>H44-$K$22</f>
        <v>110</v>
      </c>
      <c r="Y44" s="449">
        <f>(H44+$K$22)/2+273.16</f>
        <v>348.16</v>
      </c>
      <c r="Z44" s="450">
        <f>5.67*I44*0.04*(Y44/100)^3*(1+0.25*(X44/Y44)^2)</f>
        <v>5.8862128830794953</v>
      </c>
      <c r="AA44" s="451">
        <f>1.4*($K$24*$K$24*(273.16+TAMB)/Y44*X44)^(1/3)</f>
        <v>7.0044967212838491</v>
      </c>
      <c r="AB44" s="451">
        <f>0.00672*AE44*(AD44*J44/AF44)^0.905*$K$26^-0.095</f>
        <v>3.1700004801688451</v>
      </c>
      <c r="AC44" s="354"/>
      <c r="AD44" s="452">
        <f>$K$24*(273.16+TAMB)/Y44</f>
        <v>0.97912903227220049</v>
      </c>
      <c r="AE44" s="453">
        <f>$AA$31+($AA$33-$AA$31)/($Z$33-$Z$31)*(Y44-273.16)</f>
        <v>2.9723333333333331E-2</v>
      </c>
      <c r="AF44" s="354">
        <f>$AB$31+($AB$33-$AB$31)/($Z$33-$Z$31)*(Y44-273.16)</f>
        <v>1.9916666666666665E-5</v>
      </c>
    </row>
    <row r="45" spans="1:35">
      <c r="A45" s="354"/>
      <c r="B45" s="610"/>
      <c r="C45" s="356"/>
      <c r="D45" s="465"/>
      <c r="E45" s="465" t="str">
        <f>$AI$215</f>
        <v>Gas duct</v>
      </c>
      <c r="F45" s="356"/>
      <c r="G45" s="1149">
        <v>205.33449583862887</v>
      </c>
      <c r="H45" s="1150">
        <v>150</v>
      </c>
      <c r="I45" s="1150">
        <v>0.6</v>
      </c>
      <c r="J45" s="1150">
        <v>1</v>
      </c>
      <c r="K45" s="447">
        <f>IF(G45="","",Z45+SQRT(AA45^2+AB45^2))</f>
        <v>14.425507134933603</v>
      </c>
      <c r="L45" s="448">
        <f>IF(G45="","",K45*G45*(H45-$K$22)/1000)</f>
        <v>385.06705051985756</v>
      </c>
      <c r="M45" s="354"/>
      <c r="N45" s="354"/>
      <c r="O45" s="354"/>
      <c r="P45" s="354"/>
      <c r="Q45" s="354"/>
      <c r="R45" s="354"/>
      <c r="S45" s="354"/>
      <c r="T45" s="354"/>
      <c r="U45" s="354"/>
      <c r="V45" s="354"/>
      <c r="W45" s="354"/>
      <c r="X45" s="449">
        <f>H45-$K$22</f>
        <v>130</v>
      </c>
      <c r="Y45" s="449">
        <f>(H45+$K$22)/2+273.16</f>
        <v>358.16</v>
      </c>
      <c r="Z45" s="450">
        <f>5.67*I45*0.04*(Y45/100)^3*(1+0.25*(X45/Y45)^2)</f>
        <v>6.4580144524529368</v>
      </c>
      <c r="AA45" s="451">
        <f>1.4*($K$24*$K$24*(273.16+TAMB)/Y45*X45)^(1/3)</f>
        <v>7.336029844855017</v>
      </c>
      <c r="AB45" s="451">
        <f>0.00672*AE45*(AD45*J45/AF45)^0.905*$K$26^-0.095</f>
        <v>3.1086340667211805</v>
      </c>
      <c r="AC45" s="354"/>
      <c r="AD45" s="452">
        <f>$K$24*(273.16+TAMB)/Y45</f>
        <v>0.95179127729475466</v>
      </c>
      <c r="AE45" s="453">
        <f>$AA$31+($AA$33-$AA$31)/($Z$33-$Z$31)*(Y45-273.16)</f>
        <v>3.0414444444444445E-2</v>
      </c>
      <c r="AF45" s="354">
        <f>$AB$31+($AB$33-$AB$31)/($Z$33-$Z$31)*(Y45-273.16)</f>
        <v>2.029222222222222E-5</v>
      </c>
    </row>
    <row r="46" spans="1:35">
      <c r="A46" s="354"/>
      <c r="B46" s="610"/>
      <c r="C46" s="356"/>
      <c r="D46" s="465"/>
      <c r="E46" s="358" t="str">
        <f>$AI$231</f>
        <v>Material duct</v>
      </c>
      <c r="F46" s="356"/>
      <c r="G46" s="1149">
        <v>47.218137583454592</v>
      </c>
      <c r="H46" s="1150">
        <v>100</v>
      </c>
      <c r="I46" s="1150">
        <v>0.6</v>
      </c>
      <c r="J46" s="1150">
        <v>1</v>
      </c>
      <c r="K46" s="447">
        <f>IF(G46="","",Z46+SQRT(AA46^2+AB46^2))</f>
        <v>12.283647951531718</v>
      </c>
      <c r="L46" s="448">
        <f>IF(G46="","",K46*G46*(H46-$K$22)/1000)</f>
        <v>46.400878320171586</v>
      </c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449">
        <f>H46-$K$22</f>
        <v>80</v>
      </c>
      <c r="Y46" s="449">
        <f>(H46+$K$22)/2+273.16</f>
        <v>333.16</v>
      </c>
      <c r="Z46" s="450">
        <f>5.67*I46*0.04*(Y46/100)^3*(1+0.25*(X46/Y46)^2)</f>
        <v>5.1046799482193368</v>
      </c>
      <c r="AA46" s="451">
        <f>1.4*($K$24*$K$24*(273.16+TAMB)/Y46*X46)^(1/3)</f>
        <v>6.3922150461585057</v>
      </c>
      <c r="AB46" s="451">
        <f>0.00672*AE46*(AD46*J46/AF46)^0.905*$K$26^-0.095</f>
        <v>3.2675936706156978</v>
      </c>
      <c r="AC46" s="354"/>
      <c r="AD46" s="452">
        <f>$K$24*(273.16+TAMB)/Y46</f>
        <v>1.0232127622640452</v>
      </c>
      <c r="AE46" s="453">
        <f>$AA$31+($AA$33-$AA$31)/($Z$33-$Z$31)*(Y46-273.16)</f>
        <v>2.8686666666666666E-2</v>
      </c>
      <c r="AF46" s="354">
        <f>$AB$31+($AB$33-$AB$31)/($Z$33-$Z$31)*(Y46-273.16)</f>
        <v>1.9353333333333333E-5</v>
      </c>
    </row>
    <row r="47" spans="1:35">
      <c r="A47" s="354"/>
      <c r="B47" s="610"/>
      <c r="C47" s="356"/>
      <c r="D47" s="465"/>
      <c r="E47" s="358" t="str">
        <f>$AI$207</f>
        <v>Roof</v>
      </c>
      <c r="F47" s="356"/>
      <c r="G47" s="1149">
        <v>22.619467105846507</v>
      </c>
      <c r="H47" s="1150">
        <v>120</v>
      </c>
      <c r="I47" s="1150">
        <v>0.6</v>
      </c>
      <c r="J47" s="1150">
        <v>1</v>
      </c>
      <c r="K47" s="447">
        <f>IF(G47="","",Z47+SQRT(AA47^2+AB47^2))</f>
        <v>13.148341956275763</v>
      </c>
      <c r="L47" s="448">
        <f>IF(G47="","",K47*G47*(H47-$K$22)/1000)</f>
        <v>29.740848837640112</v>
      </c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449">
        <f>H47-$K$22</f>
        <v>100</v>
      </c>
      <c r="Y47" s="449">
        <f>(H47+$K$22)/2+273.16</f>
        <v>343.16</v>
      </c>
      <c r="Z47" s="450">
        <f>5.67*I47*0.04*(Y47/100)^3*(1+0.25*(X47/Y47)^2)</f>
        <v>5.6157501022327763</v>
      </c>
      <c r="AA47" s="451">
        <f>1.4*($K$24*$K$24*(273.16+TAMB)/Y47*X47)^(1/3)</f>
        <v>6.8182582418034281</v>
      </c>
      <c r="AB47" s="451">
        <f>0.00672*AE47*(AD47*J47/AF47)^0.905*$K$26^-0.095</f>
        <v>3.2017642929601138</v>
      </c>
      <c r="AC47" s="354"/>
      <c r="AD47" s="452">
        <f>$K$24*(273.16+TAMB)/Y47</f>
        <v>0.99339539537209853</v>
      </c>
      <c r="AE47" s="453">
        <f>$AA$31+($AA$33-$AA$31)/($Z$33-$Z$31)*(Y47-273.16)</f>
        <v>2.9377777777777777E-2</v>
      </c>
      <c r="AF47" s="354">
        <f>$AB$31+($AB$33-$AB$31)/($Z$33-$Z$31)*(Y47-273.16)</f>
        <v>1.9728888888888888E-5</v>
      </c>
    </row>
    <row r="48" spans="1:35">
      <c r="A48" s="354"/>
      <c r="B48" s="608"/>
      <c r="C48" s="465"/>
      <c r="D48" s="465"/>
      <c r="E48" s="465"/>
      <c r="F48" s="465"/>
      <c r="G48" s="457"/>
      <c r="H48" s="458"/>
      <c r="I48" s="458"/>
      <c r="J48" s="458"/>
      <c r="K48" s="458"/>
      <c r="L48" s="459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449"/>
      <c r="Y48" s="449"/>
      <c r="Z48" s="450"/>
      <c r="AA48" s="451"/>
      <c r="AB48" s="451"/>
      <c r="AC48" s="354"/>
      <c r="AD48" s="452"/>
      <c r="AE48" s="453"/>
      <c r="AF48" s="354"/>
    </row>
    <row r="49" spans="1:32">
      <c r="A49" s="354"/>
      <c r="B49" s="609" t="str">
        <f>$AI$272&amp;" B"</f>
        <v>Cyclone B</v>
      </c>
      <c r="C49" s="465"/>
      <c r="D49" s="465"/>
      <c r="E49" s="357" t="str">
        <f>$AI$275</f>
        <v>Cylindrical part</v>
      </c>
      <c r="F49" s="465"/>
      <c r="G49" s="1149">
        <v>224.21546768670351</v>
      </c>
      <c r="H49" s="1150">
        <v>130</v>
      </c>
      <c r="I49" s="1150">
        <v>0.6</v>
      </c>
      <c r="J49" s="1150">
        <v>1</v>
      </c>
      <c r="K49" s="447">
        <f>IF(G49="","",Z49+SQRT(AA49^2+AB49^2))</f>
        <v>13.574637777864311</v>
      </c>
      <c r="L49" s="448">
        <f>IF(G49="","",K49*G49*(H49-$K$22)/1000)</f>
        <v>334.80081338455835</v>
      </c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449">
        <f>H49-$K$22</f>
        <v>110</v>
      </c>
      <c r="Y49" s="449">
        <f>(H49+$K$22)/2+273.16</f>
        <v>348.16</v>
      </c>
      <c r="Z49" s="450">
        <f>5.67*I49*0.04*(Y49/100)^3*(1+0.25*(X49/Y49)^2)</f>
        <v>5.8862128830794953</v>
      </c>
      <c r="AA49" s="451">
        <f>1.4*($K$24*$K$24*(273.16+TAMB)/Y49*X49)^(1/3)</f>
        <v>7.0044967212838491</v>
      </c>
      <c r="AB49" s="451">
        <f>0.00672*AE49*(AD49*J49/AF49)^0.905*$K$26^-0.095</f>
        <v>3.1700004801688451</v>
      </c>
      <c r="AC49" s="354"/>
      <c r="AD49" s="452">
        <f>$K$24*(273.16+TAMB)/Y49</f>
        <v>0.97912903227220049</v>
      </c>
      <c r="AE49" s="453">
        <f>$AA$31+($AA$33-$AA$31)/($Z$33-$Z$31)*(Y49-273.16)</f>
        <v>2.9723333333333331E-2</v>
      </c>
      <c r="AF49" s="354">
        <f>$AB$31+($AB$33-$AB$31)/($Z$33-$Z$31)*(Y49-273.16)</f>
        <v>1.9916666666666665E-5</v>
      </c>
    </row>
    <row r="50" spans="1:32">
      <c r="A50" s="354"/>
      <c r="B50" s="607"/>
      <c r="C50" s="465"/>
      <c r="D50" s="465"/>
      <c r="E50" s="465" t="str">
        <f>$AI$225</f>
        <v>Cone</v>
      </c>
      <c r="F50" s="465"/>
      <c r="G50" s="1149">
        <v>128.64821916450202</v>
      </c>
      <c r="H50" s="1150">
        <v>130</v>
      </c>
      <c r="I50" s="1150">
        <v>0.6</v>
      </c>
      <c r="J50" s="1150">
        <v>1</v>
      </c>
      <c r="K50" s="447">
        <f>IF(G50="","",Z50+SQRT(AA50^2+AB50^2))</f>
        <v>13.574637777864311</v>
      </c>
      <c r="L50" s="448">
        <f>IF(G50="","",K50*G50*(H50-$K$22)/1000)</f>
        <v>192.09882735179582</v>
      </c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449">
        <f>H50-$K$22</f>
        <v>110</v>
      </c>
      <c r="Y50" s="449">
        <f>(H50+$K$22)/2+273.16</f>
        <v>348.16</v>
      </c>
      <c r="Z50" s="450">
        <f>5.67*I50*0.04*(Y50/100)^3*(1+0.25*(X50/Y50)^2)</f>
        <v>5.8862128830794953</v>
      </c>
      <c r="AA50" s="451">
        <f>1.4*($K$24*$K$24*(273.16+TAMB)/Y50*X50)^(1/3)</f>
        <v>7.0044967212838491</v>
      </c>
      <c r="AB50" s="451">
        <f>0.00672*AE50*(AD50*J50/AF50)^0.905*$K$26^-0.095</f>
        <v>3.1700004801688451</v>
      </c>
      <c r="AC50" s="354"/>
      <c r="AD50" s="452">
        <f>$K$24*(273.16+TAMB)/Y50</f>
        <v>0.97912903227220049</v>
      </c>
      <c r="AE50" s="453">
        <f>$AA$31+($AA$33-$AA$31)/($Z$33-$Z$31)*(Y50-273.16)</f>
        <v>2.9723333333333331E-2</v>
      </c>
      <c r="AF50" s="354">
        <f>$AB$31+($AB$33-$AB$31)/($Z$33-$Z$31)*(Y50-273.16)</f>
        <v>1.9916666666666665E-5</v>
      </c>
    </row>
    <row r="51" spans="1:32">
      <c r="A51" s="354"/>
      <c r="B51" s="607"/>
      <c r="C51" s="465"/>
      <c r="D51" s="465"/>
      <c r="E51" s="465" t="str">
        <f>$AI$215</f>
        <v>Gas duct</v>
      </c>
      <c r="F51" s="465"/>
      <c r="G51" s="1149">
        <v>205.33449583862887</v>
      </c>
      <c r="H51" s="1150">
        <v>150</v>
      </c>
      <c r="I51" s="1150">
        <v>0.6</v>
      </c>
      <c r="J51" s="1150">
        <v>1</v>
      </c>
      <c r="K51" s="447">
        <f>IF(G51="","",Z51+SQRT(AA51^2+AB51^2))</f>
        <v>14.425507134933603</v>
      </c>
      <c r="L51" s="448">
        <f>IF(G51="","",K51*G51*(H51-$K$22)/1000)</f>
        <v>385.06705051985756</v>
      </c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449">
        <f>H51-$K$22</f>
        <v>130</v>
      </c>
      <c r="Y51" s="449">
        <f>(H51+$K$22)/2+273.16</f>
        <v>358.16</v>
      </c>
      <c r="Z51" s="450">
        <f>5.67*I51*0.04*(Y51/100)^3*(1+0.25*(X51/Y51)^2)</f>
        <v>6.4580144524529368</v>
      </c>
      <c r="AA51" s="451">
        <f>1.4*($K$24*$K$24*(273.16+TAMB)/Y51*X51)^(1/3)</f>
        <v>7.336029844855017</v>
      </c>
      <c r="AB51" s="451">
        <f>0.00672*AE51*(AD51*J51/AF51)^0.905*$K$26^-0.095</f>
        <v>3.1086340667211805</v>
      </c>
      <c r="AC51" s="354"/>
      <c r="AD51" s="452">
        <f>$K$24*(273.16+TAMB)/Y51</f>
        <v>0.95179127729475466</v>
      </c>
      <c r="AE51" s="453">
        <f>$AA$31+($AA$33-$AA$31)/($Z$33-$Z$31)*(Y51-273.16)</f>
        <v>3.0414444444444445E-2</v>
      </c>
      <c r="AF51" s="354">
        <f>$AB$31+($AB$33-$AB$31)/($Z$33-$Z$31)*(Y51-273.16)</f>
        <v>2.029222222222222E-5</v>
      </c>
    </row>
    <row r="52" spans="1:32">
      <c r="A52" s="354"/>
      <c r="B52" s="610"/>
      <c r="C52" s="465"/>
      <c r="D52" s="465"/>
      <c r="E52" s="358" t="str">
        <f>$AI$231</f>
        <v>Material duct</v>
      </c>
      <c r="F52" s="465"/>
      <c r="G52" s="1149">
        <v>47.218137583454592</v>
      </c>
      <c r="H52" s="1150">
        <v>100</v>
      </c>
      <c r="I52" s="1150">
        <v>0.6</v>
      </c>
      <c r="J52" s="1150">
        <v>1</v>
      </c>
      <c r="K52" s="447">
        <f>IF(G52="","",Z52+SQRT(AA52^2+AB52^2))</f>
        <v>12.283647951531718</v>
      </c>
      <c r="L52" s="448">
        <f>IF(G52="","",K52*G52*(H52-$K$22)/1000)</f>
        <v>46.400878320171586</v>
      </c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449">
        <f>H52-$K$22</f>
        <v>80</v>
      </c>
      <c r="Y52" s="449">
        <f>(H52+$K$22)/2+273.16</f>
        <v>333.16</v>
      </c>
      <c r="Z52" s="450">
        <f>5.67*I52*0.04*(Y52/100)^3*(1+0.25*(X52/Y52)^2)</f>
        <v>5.1046799482193368</v>
      </c>
      <c r="AA52" s="451">
        <f>1.4*($K$24*$K$24*(273.16+TAMB)/Y52*X52)^(1/3)</f>
        <v>6.3922150461585057</v>
      </c>
      <c r="AB52" s="451">
        <f>0.00672*AE52*(AD52*J52/AF52)^0.905*$K$26^-0.095</f>
        <v>3.2675936706156978</v>
      </c>
      <c r="AC52" s="354"/>
      <c r="AD52" s="452">
        <f>$K$24*(273.16+TAMB)/Y52</f>
        <v>1.0232127622640452</v>
      </c>
      <c r="AE52" s="453">
        <f>$AA$31+($AA$33-$AA$31)/($Z$33-$Z$31)*(Y52-273.16)</f>
        <v>2.8686666666666666E-2</v>
      </c>
      <c r="AF52" s="354">
        <f>$AB$31+($AB$33-$AB$31)/($Z$33-$Z$31)*(Y52-273.16)</f>
        <v>1.9353333333333333E-5</v>
      </c>
    </row>
    <row r="53" spans="1:32">
      <c r="A53" s="354"/>
      <c r="B53" s="610"/>
      <c r="C53" s="465"/>
      <c r="D53" s="465"/>
      <c r="E53" s="358" t="str">
        <f>$AI$207</f>
        <v>Roof</v>
      </c>
      <c r="F53" s="465"/>
      <c r="G53" s="1151">
        <v>22.619467105846507</v>
      </c>
      <c r="H53" s="1152">
        <v>120</v>
      </c>
      <c r="I53" s="1152">
        <v>0.6</v>
      </c>
      <c r="J53" s="1152">
        <v>1</v>
      </c>
      <c r="K53" s="463">
        <f>IF(G53="","",Z53+SQRT(AA53^2+AB53^2))</f>
        <v>13.148341956275763</v>
      </c>
      <c r="L53" s="464">
        <f>IF(G53="","",K53*G53*(H53-$K$22)/1000)</f>
        <v>29.740848837640112</v>
      </c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449">
        <f>H53-$K$22</f>
        <v>100</v>
      </c>
      <c r="Y53" s="449">
        <f>(H53+$K$22)/2+273.16</f>
        <v>343.16</v>
      </c>
      <c r="Z53" s="450">
        <f>5.67*I53*0.04*(Y53/100)^3*(1+0.25*(X53/Y53)^2)</f>
        <v>5.6157501022327763</v>
      </c>
      <c r="AA53" s="451">
        <f>1.4*($K$24*$K$24*(273.16+TAMB)/Y53*X53)^(1/3)</f>
        <v>6.8182582418034281</v>
      </c>
      <c r="AB53" s="451">
        <f>0.00672*AE53*(AD53*J53/AF53)^0.905*$K$26^-0.095</f>
        <v>3.2017642929601138</v>
      </c>
      <c r="AC53" s="354"/>
      <c r="AD53" s="452">
        <f>$K$24*(273.16+TAMB)/Y53</f>
        <v>0.99339539537209853</v>
      </c>
      <c r="AE53" s="453">
        <f>$AA$31+($AA$33-$AA$31)/($Z$33-$Z$31)*(Y53-273.16)</f>
        <v>2.9377777777777777E-2</v>
      </c>
      <c r="AF53" s="354">
        <f>$AB$31+($AB$33-$AB$31)/($Z$33-$Z$31)*(Y53-273.16)</f>
        <v>1.9728888888888888E-5</v>
      </c>
    </row>
    <row r="54" spans="1:32">
      <c r="A54" s="354"/>
      <c r="B54" s="609" t="str">
        <f>"Total "&amp;$AI$272&amp;" A+B"</f>
        <v>Total Cyclone A+B</v>
      </c>
      <c r="C54" s="465"/>
      <c r="D54" s="465"/>
      <c r="E54" s="465"/>
      <c r="F54" s="465"/>
      <c r="G54" s="461">
        <f>SUM(G43:G53)</f>
        <v>1256.071574758271</v>
      </c>
      <c r="H54" s="458"/>
      <c r="I54" s="458"/>
      <c r="J54" s="458"/>
      <c r="K54" s="458"/>
      <c r="L54" s="462">
        <f>SUM(L43:L53)</f>
        <v>1976.216836828047</v>
      </c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54"/>
      <c r="Z54" s="354"/>
      <c r="AA54" s="451"/>
      <c r="AB54" s="354"/>
      <c r="AC54" s="354"/>
      <c r="AD54" s="452"/>
      <c r="AE54" s="354"/>
      <c r="AF54" s="354"/>
    </row>
    <row r="55" spans="1:32">
      <c r="A55" s="354"/>
      <c r="B55" s="608"/>
      <c r="C55" s="465"/>
      <c r="D55" s="465"/>
      <c r="E55" s="357"/>
      <c r="F55" s="465"/>
      <c r="G55" s="457"/>
      <c r="H55" s="458"/>
      <c r="I55" s="458"/>
      <c r="J55" s="458"/>
      <c r="K55" s="458"/>
      <c r="L55" s="459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  <c r="Z55" s="354"/>
      <c r="AA55" s="451"/>
      <c r="AB55" s="354"/>
      <c r="AC55" s="354"/>
      <c r="AD55" s="452"/>
      <c r="AE55" s="354"/>
      <c r="AF55" s="354"/>
    </row>
    <row r="56" spans="1:32">
      <c r="A56" s="354"/>
      <c r="B56" s="609" t="str">
        <f>$AI$272&amp;" C"</f>
        <v>Cyclone C</v>
      </c>
      <c r="C56" s="465"/>
      <c r="D56" s="465"/>
      <c r="E56" s="357" t="str">
        <f>$AI$275</f>
        <v>Cylindrical part</v>
      </c>
      <c r="F56" s="465"/>
      <c r="G56" s="1153">
        <v>188.44843532558374</v>
      </c>
      <c r="H56" s="1154">
        <v>120</v>
      </c>
      <c r="I56" s="1150">
        <v>0.6</v>
      </c>
      <c r="J56" s="1150">
        <v>1</v>
      </c>
      <c r="K56" s="447">
        <f>IF(G56="","",Z56+SQRT(AA56^2+AB56^2))</f>
        <v>13.148341956275763</v>
      </c>
      <c r="L56" s="448">
        <f>IF(G56="","",K56*G56*(H56-$K$22)/1000)</f>
        <v>247.77844687858922</v>
      </c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449">
        <f>H56-$K$22</f>
        <v>100</v>
      </c>
      <c r="Y56" s="449">
        <f>(H56+$K$22)/2+273.16</f>
        <v>343.16</v>
      </c>
      <c r="Z56" s="450">
        <f>5.67*I56*0.04*(Y56/100)^3*(1+0.25*(X56/Y56)^2)</f>
        <v>5.6157501022327763</v>
      </c>
      <c r="AA56" s="451">
        <f>1.4*($K$24*$K$24*(273.16+TAMB)/Y56*X56)^(1/3)</f>
        <v>6.8182582418034281</v>
      </c>
      <c r="AB56" s="451">
        <f>0.00672*AE56*(AD56*J56/AF56)^0.905*$K$26^-0.095</f>
        <v>3.2017642929601138</v>
      </c>
      <c r="AC56" s="354"/>
      <c r="AD56" s="452">
        <f>$K$24*(273.16+TAMB)/Y56</f>
        <v>0.99339539537209853</v>
      </c>
      <c r="AE56" s="453">
        <f>$AA$31+($AA$33-$AA$31)/($Z$33-$Z$31)*(Y56-273.16)</f>
        <v>2.9377777777777777E-2</v>
      </c>
      <c r="AF56" s="354">
        <f>$AB$31+($AB$33-$AB$31)/($Z$33-$Z$31)*(Y56-273.16)</f>
        <v>1.9728888888888888E-5</v>
      </c>
    </row>
    <row r="57" spans="1:32">
      <c r="A57" s="354"/>
      <c r="B57" s="610"/>
      <c r="C57" s="465"/>
      <c r="D57" s="465"/>
      <c r="E57" s="465" t="str">
        <f>$AI$225</f>
        <v>Cone</v>
      </c>
      <c r="F57" s="465"/>
      <c r="G57" s="1155">
        <v>105.36901760140167</v>
      </c>
      <c r="H57" s="1156">
        <v>100</v>
      </c>
      <c r="I57" s="1150">
        <v>0.6</v>
      </c>
      <c r="J57" s="1150">
        <v>1</v>
      </c>
      <c r="K57" s="447">
        <f>IF(G57="","",Z57+SQRT(AA57^2+AB57^2))</f>
        <v>12.283647951531718</v>
      </c>
      <c r="L57" s="448">
        <f>IF(G57="","",K57*G57*(H57-$K$22)/1000)</f>
        <v>103.54527337714937</v>
      </c>
      <c r="M57" s="354"/>
      <c r="N57" s="354"/>
      <c r="O57" s="354"/>
      <c r="P57" s="354"/>
      <c r="Q57" s="354"/>
      <c r="R57" s="354"/>
      <c r="S57" s="354"/>
      <c r="T57" s="354"/>
      <c r="U57" s="354"/>
      <c r="V57" s="354"/>
      <c r="W57" s="354"/>
      <c r="X57" s="449">
        <f>H57-$K$22</f>
        <v>80</v>
      </c>
      <c r="Y57" s="449">
        <f>(H57+$K$22)/2+273.16</f>
        <v>333.16</v>
      </c>
      <c r="Z57" s="450">
        <f>5.67*I57*0.04*(Y57/100)^3*(1+0.25*(X57/Y57)^2)</f>
        <v>5.1046799482193368</v>
      </c>
      <c r="AA57" s="451">
        <f>1.4*($K$24*$K$24*(273.16+TAMB)/Y57*X57)^(1/3)</f>
        <v>6.3922150461585057</v>
      </c>
      <c r="AB57" s="451">
        <f>0.00672*AE57*(AD57*J57/AF57)^0.905*$K$26^-0.095</f>
        <v>3.2675936706156978</v>
      </c>
      <c r="AC57" s="354"/>
      <c r="AD57" s="452">
        <f>$K$24*(273.16+TAMB)/Y57</f>
        <v>1.0232127622640452</v>
      </c>
      <c r="AE57" s="453">
        <f>$AA$31+($AA$33-$AA$31)/($Z$33-$Z$31)*(Y57-273.16)</f>
        <v>2.8686666666666666E-2</v>
      </c>
      <c r="AF57" s="354">
        <f>$AB$31+($AB$33-$AB$31)/($Z$33-$Z$31)*(Y57-273.16)</f>
        <v>1.9353333333333333E-5</v>
      </c>
    </row>
    <row r="58" spans="1:32">
      <c r="A58" s="354"/>
      <c r="B58" s="610"/>
      <c r="C58" s="465"/>
      <c r="D58" s="465"/>
      <c r="E58" s="465" t="str">
        <f>$AI$215</f>
        <v>Gas duct</v>
      </c>
      <c r="F58" s="465"/>
      <c r="G58" s="1155">
        <v>214.88493750554184</v>
      </c>
      <c r="H58" s="1156">
        <v>120</v>
      </c>
      <c r="I58" s="1150">
        <v>0.6</v>
      </c>
      <c r="J58" s="1150">
        <v>1</v>
      </c>
      <c r="K58" s="447">
        <f>IF(G58="","",Z58+SQRT(AA58^2+AB58^2))</f>
        <v>13.148341956275763</v>
      </c>
      <c r="L58" s="448">
        <f>IF(G58="","",K58*G58*(H58-$K$22)/1000)</f>
        <v>282.53806395758113</v>
      </c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  <c r="X58" s="449">
        <f>H58-$K$22</f>
        <v>100</v>
      </c>
      <c r="Y58" s="449">
        <f>(H58+$K$22)/2+273.16</f>
        <v>343.16</v>
      </c>
      <c r="Z58" s="450">
        <f>5.67*I58*0.04*(Y58/100)^3*(1+0.25*(X58/Y58)^2)</f>
        <v>5.6157501022327763</v>
      </c>
      <c r="AA58" s="451">
        <f>1.4*($K$24*$K$24*(273.16+TAMB)/Y58*X58)^(1/3)</f>
        <v>6.8182582418034281</v>
      </c>
      <c r="AB58" s="451">
        <f>0.00672*AE58*(AD58*J58/AF58)^0.905*$K$26^-0.095</f>
        <v>3.2017642929601138</v>
      </c>
      <c r="AC58" s="354"/>
      <c r="AD58" s="452">
        <f>$K$24*(273.16+TAMB)/Y58</f>
        <v>0.99339539537209853</v>
      </c>
      <c r="AE58" s="453">
        <f>$AA$31+($AA$33-$AA$31)/($Z$33-$Z$31)*(Y58-273.16)</f>
        <v>2.9377777777777777E-2</v>
      </c>
      <c r="AF58" s="354">
        <f>$AB$31+($AB$33-$AB$31)/($Z$33-$Z$31)*(Y58-273.16)</f>
        <v>1.9728888888888888E-5</v>
      </c>
    </row>
    <row r="59" spans="1:32">
      <c r="A59" s="354"/>
      <c r="B59" s="610"/>
      <c r="C59" s="465"/>
      <c r="D59" s="465"/>
      <c r="E59" s="358" t="str">
        <f>$AI$231</f>
        <v>Material duct</v>
      </c>
      <c r="F59" s="465"/>
      <c r="G59" s="1155">
        <v>41.469023027385276</v>
      </c>
      <c r="H59" s="1156">
        <v>130</v>
      </c>
      <c r="I59" s="1150">
        <v>0.6</v>
      </c>
      <c r="J59" s="1150">
        <v>1</v>
      </c>
      <c r="K59" s="447">
        <f>IF(G59="","",Z59+SQRT(AA59^2+AB59^2))</f>
        <v>13.574637777864311</v>
      </c>
      <c r="L59" s="448">
        <f>IF(G59="","",K59*G59*(H59-$K$22)/1000)</f>
        <v>61.92196632585361</v>
      </c>
      <c r="M59" s="354"/>
      <c r="N59" s="354"/>
      <c r="O59" s="354"/>
      <c r="P59" s="354"/>
      <c r="Q59" s="354"/>
      <c r="R59" s="354"/>
      <c r="S59" s="354"/>
      <c r="T59" s="354"/>
      <c r="U59" s="354"/>
      <c r="V59" s="354"/>
      <c r="W59" s="354"/>
      <c r="X59" s="449">
        <f>H59-$K$22</f>
        <v>110</v>
      </c>
      <c r="Y59" s="449">
        <f>(H59+$K$22)/2+273.16</f>
        <v>348.16</v>
      </c>
      <c r="Z59" s="450">
        <f>5.67*I59*0.04*(Y59/100)^3*(1+0.25*(X59/Y59)^2)</f>
        <v>5.8862128830794953</v>
      </c>
      <c r="AA59" s="451">
        <f>1.4*($K$24*$K$24*(273.16+TAMB)/Y59*X59)^(1/3)</f>
        <v>7.0044967212838491</v>
      </c>
      <c r="AB59" s="451">
        <f>0.00672*AE59*(AD59*J59/AF59)^0.905*$K$26^-0.095</f>
        <v>3.1700004801688451</v>
      </c>
      <c r="AC59" s="354"/>
      <c r="AD59" s="452">
        <f>$K$24*(273.16+TAMB)/Y59</f>
        <v>0.97912903227220049</v>
      </c>
      <c r="AE59" s="453">
        <f>$AA$31+($AA$33-$AA$31)/($Z$33-$Z$31)*(Y59-273.16)</f>
        <v>2.9723333333333331E-2</v>
      </c>
      <c r="AF59" s="354">
        <f>$AB$31+($AB$33-$AB$31)/($Z$33-$Z$31)*(Y59-273.16)</f>
        <v>1.9916666666666665E-5</v>
      </c>
    </row>
    <row r="60" spans="1:32">
      <c r="A60" s="354"/>
      <c r="B60" s="610"/>
      <c r="C60" s="465"/>
      <c r="D60" s="465"/>
      <c r="E60" s="358" t="str">
        <f>$AI$207</f>
        <v>Roof</v>
      </c>
      <c r="F60" s="465"/>
      <c r="G60" s="1157">
        <v>50.20854109059038</v>
      </c>
      <c r="H60" s="1141">
        <v>130</v>
      </c>
      <c r="I60" s="1152">
        <v>0.6</v>
      </c>
      <c r="J60" s="1152">
        <v>1</v>
      </c>
      <c r="K60" s="463">
        <f>IF(G60="","",Z60+SQRT(AA60^2+AB60^2))</f>
        <v>13.574637777864311</v>
      </c>
      <c r="L60" s="464">
        <f>IF(G60="","",K60*G60*(H60-$K$22)/1000)</f>
        <v>74.971903452575873</v>
      </c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449">
        <f>H60-$K$22</f>
        <v>110</v>
      </c>
      <c r="Y60" s="449">
        <f>(H60+$K$22)/2+273.16</f>
        <v>348.16</v>
      </c>
      <c r="Z60" s="450">
        <f>5.67*I60*0.04*(Y60/100)^3*(1+0.25*(X60/Y60)^2)</f>
        <v>5.8862128830794953</v>
      </c>
      <c r="AA60" s="451">
        <f>1.4*($K$24*$K$24*(273.16+TAMB)/Y60*X60)^(1/3)</f>
        <v>7.0044967212838491</v>
      </c>
      <c r="AB60" s="451">
        <f>0.00672*AE60*(AD60*J60/AF60)^0.905*$K$26^-0.095</f>
        <v>3.1700004801688451</v>
      </c>
      <c r="AC60" s="354"/>
      <c r="AD60" s="452">
        <f>$K$24*(273.16+TAMB)/Y60</f>
        <v>0.97912903227220049</v>
      </c>
      <c r="AE60" s="453">
        <f>$AA$31+($AA$33-$AA$31)/($Z$33-$Z$31)*(Y60-273.16)</f>
        <v>2.9723333333333331E-2</v>
      </c>
      <c r="AF60" s="354">
        <f>$AB$31+($AB$33-$AB$31)/($Z$33-$Z$31)*(Y60-273.16)</f>
        <v>1.9916666666666665E-5</v>
      </c>
    </row>
    <row r="61" spans="1:32">
      <c r="A61" s="354"/>
      <c r="B61" s="609" t="str">
        <f>"Total "&amp;$AI$272&amp;" C"</f>
        <v>Total Cyclone C</v>
      </c>
      <c r="C61" s="465"/>
      <c r="D61" s="465"/>
      <c r="E61" s="465"/>
      <c r="F61" s="465"/>
      <c r="G61" s="461">
        <f>SUM(G56:G60)</f>
        <v>600.37995455050304</v>
      </c>
      <c r="H61" s="458"/>
      <c r="I61" s="458"/>
      <c r="J61" s="458"/>
      <c r="K61" s="458"/>
      <c r="L61" s="462">
        <f>SUM(L56:L60)</f>
        <v>770.75565399174911</v>
      </c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54"/>
      <c r="Z61" s="354"/>
      <c r="AA61" s="451"/>
      <c r="AB61" s="354"/>
      <c r="AC61" s="354"/>
      <c r="AD61" s="452"/>
      <c r="AE61" s="354"/>
      <c r="AF61" s="354"/>
    </row>
    <row r="62" spans="1:32">
      <c r="A62" s="354"/>
      <c r="B62" s="436"/>
      <c r="C62" s="465"/>
      <c r="D62" s="465"/>
      <c r="E62" s="465"/>
      <c r="F62" s="465"/>
      <c r="G62" s="457"/>
      <c r="H62" s="458"/>
      <c r="I62" s="458"/>
      <c r="J62" s="458"/>
      <c r="K62" s="458"/>
      <c r="L62" s="459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54"/>
      <c r="Z62" s="354"/>
      <c r="AA62" s="451"/>
      <c r="AB62" s="354"/>
      <c r="AC62" s="354"/>
      <c r="AD62" s="452"/>
      <c r="AE62" s="354"/>
      <c r="AF62" s="354"/>
    </row>
    <row r="63" spans="1:32">
      <c r="A63" s="354"/>
      <c r="B63" s="609" t="str">
        <f>$AI$272&amp;" D"</f>
        <v>Cyclone D</v>
      </c>
      <c r="C63" s="465"/>
      <c r="D63" s="465"/>
      <c r="E63" s="357" t="str">
        <f>$AI$275</f>
        <v>Cylindrical part</v>
      </c>
      <c r="F63" s="465"/>
      <c r="G63" s="1155">
        <v>189.90927590950301</v>
      </c>
      <c r="H63" s="1156">
        <v>130</v>
      </c>
      <c r="I63" s="1150">
        <v>0.6</v>
      </c>
      <c r="J63" s="1150">
        <v>1</v>
      </c>
      <c r="K63" s="447">
        <f>IF(G63="","",Z63+SQRT(AA63^2+AB63^2))</f>
        <v>13.574637777864311</v>
      </c>
      <c r="L63" s="448">
        <f>IF(G63="","",K63*G63*(H63-$K$22)/1000)</f>
        <v>283.57445942407958</v>
      </c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449">
        <f>H63-$K$22</f>
        <v>110</v>
      </c>
      <c r="Y63" s="449">
        <f>(H63+$K$22)/2+273.16</f>
        <v>348.16</v>
      </c>
      <c r="Z63" s="450">
        <f>5.67*I63*0.04*(Y63/100)^3*(1+0.25*(X63/Y63)^2)</f>
        <v>5.8862128830794953</v>
      </c>
      <c r="AA63" s="451">
        <f>1.4*($K$24*$K$24*(273.16+TAMB)/Y63*X63)^(1/3)</f>
        <v>7.0044967212838491</v>
      </c>
      <c r="AB63" s="451">
        <f>0.00672*AE63*(AD63*J63/AF63)^0.905*$K$26^-0.095</f>
        <v>3.1700004801688451</v>
      </c>
      <c r="AC63" s="354"/>
      <c r="AD63" s="452">
        <f>$K$24*(273.16+TAMB)/Y63</f>
        <v>0.97912903227220049</v>
      </c>
      <c r="AE63" s="453">
        <f>$AA$31+($AA$33-$AA$31)/($Z$33-$Z$31)*(Y63-273.16)</f>
        <v>2.9723333333333331E-2</v>
      </c>
      <c r="AF63" s="354">
        <f>$AB$31+($AB$33-$AB$31)/($Z$33-$Z$31)*(Y63-273.16)</f>
        <v>1.9916666666666665E-5</v>
      </c>
    </row>
    <row r="64" spans="1:32">
      <c r="A64" s="354"/>
      <c r="B64" s="607"/>
      <c r="C64" s="465"/>
      <c r="D64" s="465"/>
      <c r="E64" s="465" t="str">
        <f>$AI$225</f>
        <v>Cone</v>
      </c>
      <c r="F64" s="465"/>
      <c r="G64" s="1155">
        <v>106.18583169133501</v>
      </c>
      <c r="H64" s="1156">
        <v>130</v>
      </c>
      <c r="I64" s="1150">
        <v>0.6</v>
      </c>
      <c r="J64" s="1150">
        <v>1</v>
      </c>
      <c r="K64" s="447">
        <f>IF(G64="","",Z64+SQRT(AA64^2+AB64^2))</f>
        <v>13.574637777864311</v>
      </c>
      <c r="L64" s="448">
        <f>IF(G64="","",K64*G64*(H64-$K$22)/1000)</f>
        <v>158.55776225862516</v>
      </c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449">
        <f>H64-$K$22</f>
        <v>110</v>
      </c>
      <c r="Y64" s="449">
        <f>(H64+$K$22)/2+273.16</f>
        <v>348.16</v>
      </c>
      <c r="Z64" s="450">
        <f>5.67*I64*0.04*(Y64/100)^3*(1+0.25*(X64/Y64)^2)</f>
        <v>5.8862128830794953</v>
      </c>
      <c r="AA64" s="451">
        <f>1.4*($K$24*$K$24*(273.16+TAMB)/Y64*X64)^(1/3)</f>
        <v>7.0044967212838491</v>
      </c>
      <c r="AB64" s="451">
        <f>0.00672*AE64*(AD64*J64/AF64)^0.905*$K$26^-0.095</f>
        <v>3.1700004801688451</v>
      </c>
      <c r="AC64" s="354"/>
      <c r="AD64" s="452">
        <f>$K$24*(273.16+TAMB)/Y64</f>
        <v>0.97912903227220049</v>
      </c>
      <c r="AE64" s="453">
        <f>$AA$31+($AA$33-$AA$31)/($Z$33-$Z$31)*(Y64-273.16)</f>
        <v>2.9723333333333331E-2</v>
      </c>
      <c r="AF64" s="354">
        <f>$AB$31+($AB$33-$AB$31)/($Z$33-$Z$31)*(Y64-273.16)</f>
        <v>1.9916666666666665E-5</v>
      </c>
    </row>
    <row r="65" spans="1:32">
      <c r="A65" s="354"/>
      <c r="B65" s="607"/>
      <c r="C65" s="465"/>
      <c r="D65" s="465"/>
      <c r="E65" s="465" t="str">
        <f>$AI$215</f>
        <v>Gas duct</v>
      </c>
      <c r="F65" s="465"/>
      <c r="G65" s="1155">
        <v>223.17874211101892</v>
      </c>
      <c r="H65" s="1156">
        <v>130</v>
      </c>
      <c r="I65" s="1150">
        <v>0.6</v>
      </c>
      <c r="J65" s="1150">
        <v>1</v>
      </c>
      <c r="K65" s="447">
        <f>IF(G65="","",Z65+SQRT(AA65^2+AB65^2))</f>
        <v>13.574637777864311</v>
      </c>
      <c r="L65" s="448">
        <f>IF(G65="","",K65*G65*(H65-$K$22)/1000)</f>
        <v>333.25276422641213</v>
      </c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449">
        <f>H65-$K$22</f>
        <v>110</v>
      </c>
      <c r="Y65" s="449">
        <f>(H65+$K$22)/2+273.16</f>
        <v>348.16</v>
      </c>
      <c r="Z65" s="450">
        <f>5.67*I65*0.04*(Y65/100)^3*(1+0.25*(X65/Y65)^2)</f>
        <v>5.8862128830794953</v>
      </c>
      <c r="AA65" s="451">
        <f>1.4*($K$24*$K$24*(273.16+TAMB)/Y65*X65)^(1/3)</f>
        <v>7.0044967212838491</v>
      </c>
      <c r="AB65" s="451">
        <f>0.00672*AE65*(AD65*J65/AF65)^0.905*$K$26^-0.095</f>
        <v>3.1700004801688451</v>
      </c>
      <c r="AC65" s="354"/>
      <c r="AD65" s="452">
        <f>$K$24*(273.16+TAMB)/Y65</f>
        <v>0.97912903227220049</v>
      </c>
      <c r="AE65" s="453">
        <f>$AA$31+($AA$33-$AA$31)/($Z$33-$Z$31)*(Y65-273.16)</f>
        <v>2.9723333333333331E-2</v>
      </c>
      <c r="AF65" s="354">
        <f>$AB$31+($AB$33-$AB$31)/($Z$33-$Z$31)*(Y65-273.16)</f>
        <v>1.9916666666666665E-5</v>
      </c>
    </row>
    <row r="66" spans="1:32">
      <c r="A66" s="354"/>
      <c r="B66" s="610"/>
      <c r="C66" s="465"/>
      <c r="D66" s="465"/>
      <c r="E66" s="358" t="str">
        <f>$AI$231</f>
        <v>Material duct</v>
      </c>
      <c r="F66" s="465"/>
      <c r="G66" s="1155">
        <v>38.013271108436498</v>
      </c>
      <c r="H66" s="1156">
        <v>140</v>
      </c>
      <c r="I66" s="1150">
        <v>0.6</v>
      </c>
      <c r="J66" s="1150">
        <v>1</v>
      </c>
      <c r="K66" s="447">
        <f>IF(G66="","",Z66+SQRT(AA66^2+AB66^2))</f>
        <v>13.999802257577302</v>
      </c>
      <c r="L66" s="448">
        <f>IF(G66="","",K66*G66*(H66-$K$22)/1000)</f>
        <v>63.861393441814478</v>
      </c>
      <c r="M66" s="354"/>
      <c r="N66" s="354"/>
      <c r="O66" s="354"/>
      <c r="P66" s="354"/>
      <c r="Q66" s="354"/>
      <c r="R66" s="354"/>
      <c r="S66" s="354"/>
      <c r="T66" s="354"/>
      <c r="U66" s="354"/>
      <c r="V66" s="354"/>
      <c r="W66" s="354"/>
      <c r="X66" s="449">
        <f>H66-$K$22</f>
        <v>120</v>
      </c>
      <c r="Y66" s="449">
        <f>(H66+$K$22)/2+273.16</f>
        <v>353.16</v>
      </c>
      <c r="Z66" s="450">
        <f>5.67*I66*0.04*(Y66/100)^3*(1+0.25*(X66/Y66)^2)</f>
        <v>6.1668996264862148</v>
      </c>
      <c r="AA66" s="451">
        <f>1.4*($K$24*$K$24*(273.16+TAMB)/Y66*X66)^(1/3)</f>
        <v>7.1764375809793766</v>
      </c>
      <c r="AB66" s="451">
        <f>0.00672*AE66*(AD66*J66/AF66)^0.905*$K$26^-0.095</f>
        <v>3.1389659562442778</v>
      </c>
      <c r="AC66" s="354"/>
      <c r="AD66" s="452">
        <f>$K$24*(273.16+TAMB)/Y66</f>
        <v>0.96526663233630461</v>
      </c>
      <c r="AE66" s="453">
        <f>$AA$31+($AA$33-$AA$31)/($Z$33-$Z$31)*(Y66-273.16)</f>
        <v>3.0068888888888888E-2</v>
      </c>
      <c r="AF66" s="354">
        <f>$AB$31+($AB$33-$AB$31)/($Z$33-$Z$31)*(Y66-273.16)</f>
        <v>2.0104444444444442E-5</v>
      </c>
    </row>
    <row r="67" spans="1:32">
      <c r="A67" s="354"/>
      <c r="B67" s="610"/>
      <c r="C67" s="465"/>
      <c r="D67" s="465"/>
      <c r="E67" s="358" t="str">
        <f>$AI$207</f>
        <v>Roof</v>
      </c>
      <c r="F67" s="465"/>
      <c r="G67" s="1157">
        <v>47.50088092227768</v>
      </c>
      <c r="H67" s="1141">
        <v>130</v>
      </c>
      <c r="I67" s="1152">
        <v>0.6</v>
      </c>
      <c r="J67" s="1152">
        <v>1</v>
      </c>
      <c r="K67" s="463">
        <f>IF(G67="","",Z67+SQRT(AA67^2+AB67^2))</f>
        <v>13.574637777864311</v>
      </c>
      <c r="L67" s="464">
        <f>IF(G67="","",K67*G67*(H67-$K$22)/1000)</f>
        <v>70.928797791432331</v>
      </c>
      <c r="M67" s="354"/>
      <c r="N67" s="354"/>
      <c r="O67" s="354"/>
      <c r="P67" s="354"/>
      <c r="Q67" s="354"/>
      <c r="R67" s="354"/>
      <c r="S67" s="354"/>
      <c r="T67" s="354"/>
      <c r="U67" s="354"/>
      <c r="V67" s="354"/>
      <c r="W67" s="354"/>
      <c r="X67" s="449">
        <f>H67-$K$22</f>
        <v>110</v>
      </c>
      <c r="Y67" s="449">
        <f>(H67+$K$22)/2+273.16</f>
        <v>348.16</v>
      </c>
      <c r="Z67" s="450">
        <f>5.67*I67*0.04*(Y67/100)^3*(1+0.25*(X67/Y67)^2)</f>
        <v>5.8862128830794953</v>
      </c>
      <c r="AA67" s="451">
        <f>1.4*($K$24*$K$24*(273.16+TAMB)/Y67*X67)^(1/3)</f>
        <v>7.0044967212838491</v>
      </c>
      <c r="AB67" s="451">
        <f>0.00672*AE67*(AD67*J67/AF67)^0.905*$K$26^-0.095</f>
        <v>3.1700004801688451</v>
      </c>
      <c r="AC67" s="354"/>
      <c r="AD67" s="452">
        <f>$K$24*(273.16+TAMB)/Y67</f>
        <v>0.97912903227220049</v>
      </c>
      <c r="AE67" s="453">
        <f>$AA$31+($AA$33-$AA$31)/($Z$33-$Z$31)*(Y67-273.16)</f>
        <v>2.9723333333333331E-2</v>
      </c>
      <c r="AF67" s="354">
        <f>$AB$31+($AB$33-$AB$31)/($Z$33-$Z$31)*(Y67-273.16)</f>
        <v>1.9916666666666665E-5</v>
      </c>
    </row>
    <row r="68" spans="1:32">
      <c r="A68" s="354"/>
      <c r="B68" s="609" t="str">
        <f>"Total "&amp;$AI$272&amp;" D"</f>
        <v>Total Cyclone D</v>
      </c>
      <c r="C68" s="465"/>
      <c r="D68" s="465"/>
      <c r="E68" s="465"/>
      <c r="F68" s="465"/>
      <c r="G68" s="461">
        <f>SUM(G63:G67)</f>
        <v>604.78800174257105</v>
      </c>
      <c r="H68" s="458"/>
      <c r="I68" s="458"/>
      <c r="J68" s="458"/>
      <c r="K68" s="458"/>
      <c r="L68" s="462">
        <f>SUM(L63:L67)</f>
        <v>910.17517714236374</v>
      </c>
      <c r="M68" s="354"/>
      <c r="N68" s="354"/>
      <c r="O68" s="354"/>
      <c r="P68" s="354"/>
      <c r="Q68" s="354"/>
      <c r="R68" s="354"/>
      <c r="S68" s="354"/>
      <c r="T68" s="354"/>
      <c r="U68" s="354"/>
      <c r="V68" s="354"/>
      <c r="W68" s="354"/>
      <c r="X68" s="354"/>
      <c r="Y68" s="354"/>
      <c r="Z68" s="354"/>
      <c r="AA68" s="451"/>
      <c r="AB68" s="354"/>
      <c r="AC68" s="354"/>
      <c r="AD68" s="452"/>
      <c r="AE68" s="354"/>
      <c r="AF68" s="354"/>
    </row>
    <row r="69" spans="1:32">
      <c r="A69" s="354"/>
      <c r="B69" s="608"/>
      <c r="C69" s="465"/>
      <c r="D69" s="465"/>
      <c r="E69" s="465"/>
      <c r="F69" s="465"/>
      <c r="G69" s="457"/>
      <c r="H69" s="458"/>
      <c r="I69" s="458"/>
      <c r="J69" s="458"/>
      <c r="K69" s="458"/>
      <c r="L69" s="459"/>
      <c r="M69" s="354"/>
      <c r="N69" s="354"/>
      <c r="O69" s="354"/>
      <c r="P69" s="354"/>
      <c r="Q69" s="354"/>
      <c r="R69" s="354"/>
      <c r="S69" s="354"/>
      <c r="T69" s="354"/>
      <c r="U69" s="354"/>
      <c r="V69" s="354"/>
      <c r="W69" s="354"/>
      <c r="X69" s="354"/>
      <c r="Y69" s="354"/>
      <c r="Z69" s="354"/>
      <c r="AA69" s="451"/>
      <c r="AB69" s="354"/>
      <c r="AC69" s="354"/>
      <c r="AD69" s="452"/>
      <c r="AE69" s="354"/>
      <c r="AF69" s="354"/>
    </row>
    <row r="70" spans="1:32">
      <c r="A70" s="354"/>
      <c r="B70" s="609" t="str">
        <f>$AI$272&amp;" E"</f>
        <v>Cyclone E</v>
      </c>
      <c r="C70" s="465"/>
      <c r="D70" s="465"/>
      <c r="E70" s="357" t="str">
        <f>$AI$275</f>
        <v>Cylindrical part</v>
      </c>
      <c r="F70" s="465"/>
      <c r="G70" s="1155">
        <v>188.44843532558374</v>
      </c>
      <c r="H70" s="1156">
        <v>150</v>
      </c>
      <c r="I70" s="1150">
        <v>0.6</v>
      </c>
      <c r="J70" s="1150">
        <v>1</v>
      </c>
      <c r="K70" s="447">
        <f>IF(G70="","",Z70+SQRT(AA70^2+AB70^2))</f>
        <v>14.425507134933603</v>
      </c>
      <c r="L70" s="448">
        <f>IF(G70="","",K70*G70*(H70-$K$22)/1000)</f>
        <v>353.40035228631666</v>
      </c>
      <c r="M70" s="354"/>
      <c r="N70" s="354"/>
      <c r="O70" s="354"/>
      <c r="P70" s="354"/>
      <c r="Q70" s="354"/>
      <c r="R70" s="354"/>
      <c r="S70" s="354"/>
      <c r="T70" s="354"/>
      <c r="U70" s="354"/>
      <c r="V70" s="354"/>
      <c r="W70" s="354"/>
      <c r="X70" s="449">
        <f>H70-$K$22</f>
        <v>130</v>
      </c>
      <c r="Y70" s="449">
        <f>(H70+$K$22)/2+273.16</f>
        <v>358.16</v>
      </c>
      <c r="Z70" s="450">
        <f>5.67*I70*0.04*(Y70/100)^3*(1+0.25*(X70/Y70)^2)</f>
        <v>6.4580144524529368</v>
      </c>
      <c r="AA70" s="451">
        <f>1.4*($K$24*$K$24*(273.16+TAMB)/Y70*X70)^(1/3)</f>
        <v>7.336029844855017</v>
      </c>
      <c r="AB70" s="451">
        <f>0.00672*AE70*(AD70*J70/AF70)^0.905*$K$26^-0.095</f>
        <v>3.1086340667211805</v>
      </c>
      <c r="AC70" s="354"/>
      <c r="AD70" s="452">
        <f>$K$24*(273.16+TAMB)/Y70</f>
        <v>0.95179127729475466</v>
      </c>
      <c r="AE70" s="453">
        <f>$AA$31+($AA$33-$AA$31)/($Z$33-$Z$31)*(Y70-273.16)</f>
        <v>3.0414444444444445E-2</v>
      </c>
      <c r="AF70" s="354">
        <f>$AB$31+($AB$33-$AB$31)/($Z$33-$Z$31)*(Y70-273.16)</f>
        <v>2.029222222222222E-5</v>
      </c>
    </row>
    <row r="71" spans="1:32">
      <c r="A71" s="354"/>
      <c r="B71" s="607"/>
      <c r="C71" s="465"/>
      <c r="D71" s="465"/>
      <c r="E71" s="465" t="str">
        <f>$AI$225</f>
        <v>Cone</v>
      </c>
      <c r="F71" s="465"/>
      <c r="G71" s="1155">
        <v>105.36901760140167</v>
      </c>
      <c r="H71" s="1156">
        <v>130</v>
      </c>
      <c r="I71" s="1150">
        <v>0.6</v>
      </c>
      <c r="J71" s="1150">
        <v>1</v>
      </c>
      <c r="K71" s="447">
        <f>IF(G71="","",Z71+SQRT(AA71^2+AB71^2))</f>
        <v>13.574637777864311</v>
      </c>
      <c r="L71" s="448">
        <f>IF(G71="","",K71*G71*(H71-$K$22)/1000)</f>
        <v>157.33808716432802</v>
      </c>
      <c r="M71" s="354"/>
      <c r="N71" s="354"/>
      <c r="O71" s="354"/>
      <c r="P71" s="354"/>
      <c r="Q71" s="354"/>
      <c r="R71" s="354"/>
      <c r="S71" s="354"/>
      <c r="T71" s="354"/>
      <c r="U71" s="354"/>
      <c r="V71" s="354"/>
      <c r="W71" s="354"/>
      <c r="X71" s="449">
        <f>H71-$K$22</f>
        <v>110</v>
      </c>
      <c r="Y71" s="449">
        <f>(H71+$K$22)/2+273.16</f>
        <v>348.16</v>
      </c>
      <c r="Z71" s="450">
        <f>5.67*I71*0.04*(Y71/100)^3*(1+0.25*(X71/Y71)^2)</f>
        <v>5.8862128830794953</v>
      </c>
      <c r="AA71" s="451">
        <f>1.4*($K$24*$K$24*(273.16+TAMB)/Y71*X71)^(1/3)</f>
        <v>7.0044967212838491</v>
      </c>
      <c r="AB71" s="451">
        <f>0.00672*AE71*(AD71*J71/AF71)^0.905*$K$26^-0.095</f>
        <v>3.1700004801688451</v>
      </c>
      <c r="AC71" s="354"/>
      <c r="AD71" s="452">
        <f>$K$24*(273.16+TAMB)/Y71</f>
        <v>0.97912903227220049</v>
      </c>
      <c r="AE71" s="453">
        <f>$AA$31+($AA$33-$AA$31)/($Z$33-$Z$31)*(Y71-273.16)</f>
        <v>2.9723333333333331E-2</v>
      </c>
      <c r="AF71" s="354">
        <f>$AB$31+($AB$33-$AB$31)/($Z$33-$Z$31)*(Y71-273.16)</f>
        <v>1.9916666666666665E-5</v>
      </c>
    </row>
    <row r="72" spans="1:32">
      <c r="A72" s="354"/>
      <c r="B72" s="610"/>
      <c r="C72" s="465"/>
      <c r="D72" s="465"/>
      <c r="E72" s="465" t="str">
        <f>$AI$215</f>
        <v>Gas duct</v>
      </c>
      <c r="F72" s="465"/>
      <c r="G72" s="1155">
        <v>201.87874391968009</v>
      </c>
      <c r="H72" s="1156">
        <v>180</v>
      </c>
      <c r="I72" s="1150">
        <v>0.6</v>
      </c>
      <c r="J72" s="1150">
        <v>1</v>
      </c>
      <c r="K72" s="447">
        <f>IF(G72="","",Z72+SQRT(AA72^2+AB72^2))</f>
        <v>15.718817376871876</v>
      </c>
      <c r="L72" s="448">
        <f>IF(G72="","",K72*G72*(H72-$K$22)/1000)</f>
        <v>507.72721727131756</v>
      </c>
      <c r="M72" s="354"/>
      <c r="N72" s="354"/>
      <c r="O72" s="354"/>
      <c r="P72" s="354"/>
      <c r="Q72" s="354"/>
      <c r="R72" s="354"/>
      <c r="S72" s="354"/>
      <c r="T72" s="354"/>
      <c r="U72" s="354"/>
      <c r="V72" s="354"/>
      <c r="W72" s="354"/>
      <c r="X72" s="449">
        <f>H72-$K$22</f>
        <v>160</v>
      </c>
      <c r="Y72" s="449">
        <f>(H72+$K$22)/2+273.16</f>
        <v>373.16</v>
      </c>
      <c r="Z72" s="450">
        <f>5.67*I72*0.04*(Y72/100)^3*(1+0.25*(X72/Y72)^2)</f>
        <v>7.3959686257130945</v>
      </c>
      <c r="AA72" s="451">
        <f>1.4*($K$24*$K$24*(273.16+TAMB)/Y72*X72)^(1/3)</f>
        <v>7.7549791038991662</v>
      </c>
      <c r="AB72" s="451">
        <f>0.00672*AE72*(AD72*J72/AF72)^0.905*$K$26^-0.095</f>
        <v>3.0216072598457528</v>
      </c>
      <c r="AC72" s="354"/>
      <c r="AD72" s="452">
        <f>$K$24*(273.16+TAMB)/Y72</f>
        <v>0.91353190019265018</v>
      </c>
      <c r="AE72" s="453">
        <f>$AA$31+($AA$33-$AA$31)/($Z$33-$Z$31)*(Y72-273.16)</f>
        <v>3.145111111111111E-2</v>
      </c>
      <c r="AF72" s="354">
        <f>$AB$31+($AB$33-$AB$31)/($Z$33-$Z$31)*(Y72-273.16)</f>
        <v>2.0855555555555555E-5</v>
      </c>
    </row>
    <row r="73" spans="1:32">
      <c r="A73" s="354"/>
      <c r="B73" s="610"/>
      <c r="C73" s="465"/>
      <c r="D73" s="465"/>
      <c r="E73" s="358" t="str">
        <f>$AI$231</f>
        <v>Material duct</v>
      </c>
      <c r="F73" s="465"/>
      <c r="G73" s="1155">
        <v>120.95131716320705</v>
      </c>
      <c r="H73" s="1156">
        <v>160</v>
      </c>
      <c r="I73" s="1150">
        <v>0.6</v>
      </c>
      <c r="J73" s="1150">
        <v>1</v>
      </c>
      <c r="K73" s="447">
        <f>IF(G73="","",Z73+SQRT(AA73^2+AB73^2))</f>
        <v>14.853147568149822</v>
      </c>
      <c r="L73" s="448">
        <f>IF(G73="","",K73*G73*(H73-$K$22)/1000)</f>
        <v>251.51108673420893</v>
      </c>
      <c r="M73" s="354"/>
      <c r="N73" s="354"/>
      <c r="O73" s="354"/>
      <c r="P73" s="354"/>
      <c r="Q73" s="354"/>
      <c r="R73" s="354"/>
      <c r="S73" s="354"/>
      <c r="T73" s="354"/>
      <c r="U73" s="354"/>
      <c r="V73" s="354"/>
      <c r="W73" s="354"/>
      <c r="X73" s="449">
        <f>H73-$K$22</f>
        <v>140</v>
      </c>
      <c r="Y73" s="449">
        <f>(H73+$K$22)/2+273.16</f>
        <v>363.16</v>
      </c>
      <c r="Z73" s="450">
        <f>5.67*I73*0.04*(Y73/100)^3*(1+0.25*(X73/Y73)^2)</f>
        <v>6.7597614809796545</v>
      </c>
      <c r="AA73" s="451">
        <f>1.4*($K$24*$K$24*(273.16+TAMB)/Y73*X73)^(1/3)</f>
        <v>7.4848369126749121</v>
      </c>
      <c r="AB73" s="451">
        <f>0.00672*AE73*(AD73*J73/AF73)^0.905*$K$26^-0.095</f>
        <v>3.0789794976028504</v>
      </c>
      <c r="AC73" s="354"/>
      <c r="AD73" s="452">
        <f>$K$24*(273.16+TAMB)/Y73</f>
        <v>0.93868698060328593</v>
      </c>
      <c r="AE73" s="453">
        <f>$AA$31+($AA$33-$AA$31)/($Z$33-$Z$31)*(Y73-273.16)</f>
        <v>3.0759999999999999E-2</v>
      </c>
      <c r="AF73" s="354">
        <f>$AB$31+($AB$33-$AB$31)/($Z$33-$Z$31)*(Y73-273.16)</f>
        <v>2.048E-5</v>
      </c>
    </row>
    <row r="74" spans="1:32">
      <c r="A74" s="354"/>
      <c r="B74" s="610"/>
      <c r="C74" s="465"/>
      <c r="D74" s="465"/>
      <c r="E74" s="358" t="str">
        <f>$AI$207</f>
        <v>Roof</v>
      </c>
      <c r="F74" s="465"/>
      <c r="G74" s="1157">
        <v>47.50088092227768</v>
      </c>
      <c r="H74" s="1141">
        <v>180</v>
      </c>
      <c r="I74" s="1152">
        <v>0.6</v>
      </c>
      <c r="J74" s="1152">
        <v>1</v>
      </c>
      <c r="K74" s="463">
        <f>IF(G74="","",Z74+SQRT(AA74^2+AB74^2))</f>
        <v>15.718817376871876</v>
      </c>
      <c r="L74" s="464">
        <f>IF(G74="","",K74*G74*(H74-$K$22)/1000)</f>
        <v>119.46522759325121</v>
      </c>
      <c r="M74" s="354"/>
      <c r="N74" s="354"/>
      <c r="O74" s="354"/>
      <c r="P74" s="354"/>
      <c r="Q74" s="354"/>
      <c r="R74" s="354"/>
      <c r="S74" s="354"/>
      <c r="T74" s="354"/>
      <c r="U74" s="354"/>
      <c r="V74" s="354"/>
      <c r="W74" s="354"/>
      <c r="X74" s="449">
        <f>H74-$K$22</f>
        <v>160</v>
      </c>
      <c r="Y74" s="449">
        <f>(H74+$K$22)/2+273.16</f>
        <v>373.16</v>
      </c>
      <c r="Z74" s="450">
        <f>5.67*I74*0.04*(Y74/100)^3*(1+0.25*(X74/Y74)^2)</f>
        <v>7.3959686257130945</v>
      </c>
      <c r="AA74" s="451">
        <f>1.4*($K$24*$K$24*(273.16+TAMB)/Y74*X74)^(1/3)</f>
        <v>7.7549791038991662</v>
      </c>
      <c r="AB74" s="451">
        <f>0.00672*AE74*(AD74*J74/AF74)^0.905*$K$26^-0.095</f>
        <v>3.0216072598457528</v>
      </c>
      <c r="AC74" s="354"/>
      <c r="AD74" s="452">
        <f>$K$24*(273.16+TAMB)/Y74</f>
        <v>0.91353190019265018</v>
      </c>
      <c r="AE74" s="453">
        <f>$AA$31+($AA$33-$AA$31)/($Z$33-$Z$31)*(Y74-273.16)</f>
        <v>3.145111111111111E-2</v>
      </c>
      <c r="AF74" s="354">
        <f>$AB$31+($AB$33-$AB$31)/($Z$33-$Z$31)*(Y74-273.16)</f>
        <v>2.0855555555555555E-5</v>
      </c>
    </row>
    <row r="75" spans="1:32">
      <c r="A75" s="354"/>
      <c r="B75" s="609" t="str">
        <f>"Total "&amp;$AI$272&amp;" E"</f>
        <v>Total Cyclone E</v>
      </c>
      <c r="C75" s="465"/>
      <c r="D75" s="465"/>
      <c r="E75" s="465"/>
      <c r="F75" s="465"/>
      <c r="G75" s="461">
        <f>SUM(G70:G74)</f>
        <v>664.14839493215027</v>
      </c>
      <c r="H75" s="458"/>
      <c r="I75" s="458"/>
      <c r="J75" s="458"/>
      <c r="K75" s="458"/>
      <c r="L75" s="462">
        <f>SUM(L70:L74)</f>
        <v>1389.4419710494224</v>
      </c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X75" s="354"/>
      <c r="Y75" s="354"/>
      <c r="Z75" s="354"/>
      <c r="AA75" s="451"/>
      <c r="AB75" s="354"/>
      <c r="AC75" s="354"/>
      <c r="AD75" s="452"/>
      <c r="AE75" s="354"/>
      <c r="AF75" s="354"/>
    </row>
    <row r="76" spans="1:32">
      <c r="A76" s="354"/>
      <c r="B76" s="608"/>
      <c r="C76" s="465"/>
      <c r="D76" s="465"/>
      <c r="E76" s="465"/>
      <c r="F76" s="465"/>
      <c r="G76" s="461"/>
      <c r="H76" s="458"/>
      <c r="I76" s="458"/>
      <c r="J76" s="458"/>
      <c r="K76" s="458"/>
      <c r="L76" s="462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Z76" s="354"/>
      <c r="AA76" s="451"/>
      <c r="AB76" s="354"/>
      <c r="AC76" s="354"/>
      <c r="AD76" s="452"/>
      <c r="AE76" s="354"/>
      <c r="AF76" s="354"/>
    </row>
    <row r="77" spans="1:32">
      <c r="A77" s="354"/>
      <c r="B77" s="609" t="str">
        <f>$AI$272&amp;" F"</f>
        <v>Cyclone F</v>
      </c>
      <c r="C77" s="465"/>
      <c r="D77" s="465"/>
      <c r="E77" s="357" t="str">
        <f>$AI$275</f>
        <v>Cylindrical part</v>
      </c>
      <c r="F77" s="465"/>
      <c r="G77" s="1155">
        <v>251.26458043411165</v>
      </c>
      <c r="H77" s="1156">
        <v>220</v>
      </c>
      <c r="I77" s="1150">
        <v>0.6</v>
      </c>
      <c r="J77" s="1150">
        <v>1</v>
      </c>
      <c r="K77" s="447">
        <f>IF(G77="","",Z77+SQRT(AA77^2+AB77^2))</f>
        <v>17.516447401695693</v>
      </c>
      <c r="L77" s="448">
        <f>IF(G77="","",K77*G77*(H77-$K$22)/1000)</f>
        <v>880.25256141665068</v>
      </c>
      <c r="M77" s="354"/>
      <c r="N77" s="354"/>
      <c r="O77" s="354"/>
      <c r="P77" s="354"/>
      <c r="Q77" s="354"/>
      <c r="R77" s="354"/>
      <c r="S77" s="354"/>
      <c r="T77" s="354"/>
      <c r="U77" s="354"/>
      <c r="V77" s="354"/>
      <c r="W77" s="354"/>
      <c r="X77" s="449">
        <f>H77-$K$22</f>
        <v>200</v>
      </c>
      <c r="Y77" s="449">
        <f>(H77+$K$22)/2+273.16</f>
        <v>393.16</v>
      </c>
      <c r="Z77" s="450">
        <f>5.67*I77*0.04*(Y77/100)^3*(1+0.25*(X77/Y77)^2)</f>
        <v>8.804950625899977</v>
      </c>
      <c r="AA77" s="451">
        <f>1.4*($K$24*$K$24*(273.16+TAMB)/Y77*X77)^(1/3)</f>
        <v>8.2096735648269821</v>
      </c>
      <c r="AB77" s="451">
        <f>0.00672*AE77*(AD77*J77/AF77)^0.905*$K$26^-0.095</f>
        <v>2.914006869188924</v>
      </c>
      <c r="AC77" s="354"/>
      <c r="AD77" s="452">
        <f>$K$24*(273.16+TAMB)/Y77</f>
        <v>0.86706064674913352</v>
      </c>
      <c r="AE77" s="453">
        <f>$AA$31+($AA$33-$AA$31)/($Z$33-$Z$31)*(Y77-273.16)</f>
        <v>3.2833333333333332E-2</v>
      </c>
      <c r="AF77" s="354">
        <f>$AB$31+($AB$33-$AB$31)/($Z$33-$Z$31)*(Y77-273.16)</f>
        <v>2.1606666666666664E-5</v>
      </c>
    </row>
    <row r="78" spans="1:32">
      <c r="A78" s="354"/>
      <c r="B78" s="607"/>
      <c r="C78" s="465"/>
      <c r="D78" s="465"/>
      <c r="E78" s="465" t="str">
        <f>$AI$225</f>
        <v>Cone</v>
      </c>
      <c r="F78" s="465"/>
      <c r="G78" s="1155">
        <v>145.89556283271</v>
      </c>
      <c r="H78" s="1156">
        <v>220</v>
      </c>
      <c r="I78" s="1150">
        <v>0.6</v>
      </c>
      <c r="J78" s="1150">
        <v>1</v>
      </c>
      <c r="K78" s="447">
        <f>IF(G78="","",Z78+SQRT(AA78^2+AB78^2))</f>
        <v>17.516447401695693</v>
      </c>
      <c r="L78" s="448">
        <f>IF(G78="","",K78*G78*(H78-$K$22)/1000)</f>
        <v>511.11439049999075</v>
      </c>
      <c r="M78" s="354"/>
      <c r="N78" s="354"/>
      <c r="O78" s="354"/>
      <c r="P78" s="354"/>
      <c r="Q78" s="354"/>
      <c r="R78" s="354"/>
      <c r="S78" s="354"/>
      <c r="T78" s="354"/>
      <c r="U78" s="354"/>
      <c r="V78" s="354"/>
      <c r="W78" s="354"/>
      <c r="X78" s="449">
        <f>H78-$K$22</f>
        <v>200</v>
      </c>
      <c r="Y78" s="449">
        <f>(H78+$K$22)/2+273.16</f>
        <v>393.16</v>
      </c>
      <c r="Z78" s="450">
        <f>5.67*I78*0.04*(Y78/100)^3*(1+0.25*(X78/Y78)^2)</f>
        <v>8.804950625899977</v>
      </c>
      <c r="AA78" s="451">
        <f>1.4*($K$24*$K$24*(273.16+TAMB)/Y78*X78)^(1/3)</f>
        <v>8.2096735648269821</v>
      </c>
      <c r="AB78" s="451">
        <f>0.00672*AE78*(AD78*J78/AF78)^0.905*$K$26^-0.095</f>
        <v>2.914006869188924</v>
      </c>
      <c r="AC78" s="354"/>
      <c r="AD78" s="452">
        <f>$K$24*(273.16+TAMB)/Y78</f>
        <v>0.86706064674913352</v>
      </c>
      <c r="AE78" s="453">
        <f>$AA$31+($AA$33-$AA$31)/($Z$33-$Z$31)*(Y78-273.16)</f>
        <v>3.2833333333333332E-2</v>
      </c>
      <c r="AF78" s="354">
        <f>$AB$31+($AB$33-$AB$31)/($Z$33-$Z$31)*(Y78-273.16)</f>
        <v>2.1606666666666664E-5</v>
      </c>
    </row>
    <row r="79" spans="1:32">
      <c r="A79" s="354"/>
      <c r="B79" s="610"/>
      <c r="C79" s="465"/>
      <c r="D79" s="465"/>
      <c r="E79" s="465" t="str">
        <f>$AI$215</f>
        <v>Gas duct</v>
      </c>
      <c r="F79" s="465"/>
      <c r="G79" s="1155">
        <v>0</v>
      </c>
      <c r="H79" s="1156">
        <v>200</v>
      </c>
      <c r="I79" s="1150">
        <v>0.6</v>
      </c>
      <c r="J79" s="1150">
        <v>1</v>
      </c>
      <c r="K79" s="447">
        <f>IF(G79="","",Z79+SQRT(AA79^2+AB79^2))</f>
        <v>16.604559173921345</v>
      </c>
      <c r="L79" s="448">
        <f>IF(G79="","",K79*G79*(H79-$K$22)/1000)</f>
        <v>0</v>
      </c>
      <c r="M79" s="354"/>
      <c r="N79" s="354"/>
      <c r="O79" s="354"/>
      <c r="P79" s="354"/>
      <c r="Q79" s="354"/>
      <c r="R79" s="354"/>
      <c r="S79" s="354"/>
      <c r="T79" s="354"/>
      <c r="U79" s="354"/>
      <c r="V79" s="354"/>
      <c r="W79" s="354"/>
      <c r="X79" s="449">
        <f>H79-$K$22</f>
        <v>180</v>
      </c>
      <c r="Y79" s="449">
        <f>(H79+$K$22)/2+273.16</f>
        <v>383.16</v>
      </c>
      <c r="Z79" s="450">
        <f>5.67*I79*0.04*(Y79/100)^3*(1+0.25*(X79/Y79)^2)</f>
        <v>8.0771540206865371</v>
      </c>
      <c r="AA79" s="451">
        <f>1.4*($K$24*$K$24*(273.16+TAMB)/Y79*X79)^(1/3)</f>
        <v>7.9947173248583985</v>
      </c>
      <c r="AB79" s="451">
        <f>0.00672*AE79*(AD79*J79/AF79)^0.905*$K$26^-0.095</f>
        <v>2.9666704473238226</v>
      </c>
      <c r="AC79" s="354"/>
      <c r="AD79" s="452">
        <f>$K$24*(273.16+TAMB)/Y79</f>
        <v>0.88968985247909316</v>
      </c>
      <c r="AE79" s="453">
        <f>$AA$31+($AA$33-$AA$31)/($Z$33-$Z$31)*(Y79-273.16)</f>
        <v>3.2142222222222225E-2</v>
      </c>
      <c r="AF79" s="354">
        <f>$AB$31+($AB$33-$AB$31)/($Z$33-$Z$31)*(Y79-273.16)</f>
        <v>2.123111111111111E-5</v>
      </c>
    </row>
    <row r="80" spans="1:32">
      <c r="A80" s="354"/>
      <c r="B80" s="610"/>
      <c r="C80" s="465"/>
      <c r="D80" s="465"/>
      <c r="E80" s="358" t="str">
        <f>$AI$231</f>
        <v>Material duct</v>
      </c>
      <c r="F80" s="465"/>
      <c r="G80" s="1155">
        <v>103.67255756846318</v>
      </c>
      <c r="H80" s="1156">
        <v>240</v>
      </c>
      <c r="I80" s="1150">
        <v>0.6</v>
      </c>
      <c r="J80" s="1150">
        <v>1</v>
      </c>
      <c r="K80" s="447">
        <f>IF(G80="","",Z80+SQRT(AA80^2+AB80^2))</f>
        <v>18.459455029841187</v>
      </c>
      <c r="L80" s="448">
        <f>IF(G80="","",K80*G80*(H80-$K$22)/1000)</f>
        <v>421.02256113800684</v>
      </c>
      <c r="M80" s="354"/>
      <c r="N80" s="354"/>
      <c r="O80" s="354"/>
      <c r="P80" s="354"/>
      <c r="Q80" s="354"/>
      <c r="R80" s="354"/>
      <c r="S80" s="354"/>
      <c r="T80" s="354"/>
      <c r="U80" s="354"/>
      <c r="V80" s="354"/>
      <c r="W80" s="354"/>
      <c r="X80" s="449">
        <f>H80-$K$22</f>
        <v>220</v>
      </c>
      <c r="Y80" s="449">
        <f>(H80+$K$22)/2+273.16</f>
        <v>403.16</v>
      </c>
      <c r="Z80" s="450">
        <f>5.67*I80*0.04*(Y80/100)^3*(1+0.25*(X80/Y80)^2)</f>
        <v>9.5809914013534137</v>
      </c>
      <c r="AA80" s="451">
        <f>1.4*($K$24*$K$24*(273.16+TAMB)/Y80*X80)^(1/3)</f>
        <v>8.4040265148102122</v>
      </c>
      <c r="AB80" s="451">
        <f>0.00672*AE80*(AD80*J80/AF80)^0.905*$K$26^-0.095</f>
        <v>2.8634690046772313</v>
      </c>
      <c r="AC80" s="354"/>
      <c r="AD80" s="452">
        <f>$K$24*(273.16+TAMB)/Y80</f>
        <v>0.84555403283036346</v>
      </c>
      <c r="AE80" s="453">
        <f>$AA$31+($AA$33-$AA$31)/($Z$33-$Z$31)*(Y80-273.16)</f>
        <v>3.352444444444444E-2</v>
      </c>
      <c r="AF80" s="354">
        <f>$AB$31+($AB$33-$AB$31)/($Z$33-$Z$31)*(Y80-273.16)</f>
        <v>2.1982222222222222E-5</v>
      </c>
    </row>
    <row r="81" spans="1:32">
      <c r="A81" s="354"/>
      <c r="B81" s="610"/>
      <c r="C81" s="465"/>
      <c r="D81" s="465"/>
      <c r="E81" s="358" t="str">
        <f>$AI$207</f>
        <v>Roof</v>
      </c>
      <c r="F81" s="465"/>
      <c r="G81" s="1158">
        <v>47.50088092227768</v>
      </c>
      <c r="H81" s="1140">
        <v>270</v>
      </c>
      <c r="I81" s="1152">
        <v>0.6</v>
      </c>
      <c r="J81" s="1152">
        <v>1</v>
      </c>
      <c r="K81" s="463">
        <f>IF(G81="","",Z81+SQRT(AA81^2+AB81^2))</f>
        <v>19.94138255561953</v>
      </c>
      <c r="L81" s="464">
        <f>IF(G81="","",K81*G81*(H81-$K$22)/1000)</f>
        <v>236.80830955001716</v>
      </c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449">
        <f>H81-$K$22</f>
        <v>250</v>
      </c>
      <c r="Y81" s="449">
        <f>(H81+$K$22)/2+273.16</f>
        <v>418.16</v>
      </c>
      <c r="Z81" s="450">
        <f>5.67*I81*0.04*(Y81/100)^3*(1+0.25*(X81/Y81)^2)</f>
        <v>10.839082483733577</v>
      </c>
      <c r="AA81" s="451">
        <f>1.4*($K$24*$K$24*(273.16+TAMB)/Y81*X81)^(1/3)</f>
        <v>8.6637286116620356</v>
      </c>
      <c r="AB81" s="451">
        <f>0.00672*AE81*(AD81*J81/AF81)^0.905*$K$26^-0.095</f>
        <v>2.791356863986338</v>
      </c>
      <c r="AC81" s="354"/>
      <c r="AD81" s="452">
        <f>$K$24*(273.16+TAMB)/Y81</f>
        <v>0.81522279480555127</v>
      </c>
      <c r="AE81" s="453">
        <f>$AA$31+($AA$33-$AA$31)/($Z$33-$Z$31)*(Y81-273.16)</f>
        <v>3.4561111111111112E-2</v>
      </c>
      <c r="AF81" s="354">
        <f>$AB$31+($AB$33-$AB$31)/($Z$33-$Z$31)*(Y81-273.16)</f>
        <v>2.2545555555555554E-5</v>
      </c>
    </row>
    <row r="82" spans="1:32">
      <c r="A82" s="354"/>
      <c r="B82" s="609" t="str">
        <f>"Total "&amp;$AI$272&amp;" F"</f>
        <v>Total Cyclone F</v>
      </c>
      <c r="C82" s="465"/>
      <c r="D82" s="465"/>
      <c r="E82" s="465"/>
      <c r="F82" s="465"/>
      <c r="G82" s="461">
        <f>SUM(G77:G81)</f>
        <v>548.33358175756246</v>
      </c>
      <c r="H82" s="458"/>
      <c r="I82" s="458"/>
      <c r="J82" s="458"/>
      <c r="K82" s="458"/>
      <c r="L82" s="462">
        <f>SUM(L77:L81)</f>
        <v>2049.1978226046658</v>
      </c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Z82" s="354"/>
      <c r="AA82" s="451"/>
      <c r="AB82" s="354"/>
      <c r="AC82" s="354"/>
      <c r="AD82" s="452"/>
      <c r="AE82" s="354"/>
      <c r="AF82" s="354"/>
    </row>
    <row r="83" spans="1:32">
      <c r="A83" s="354"/>
      <c r="B83" s="607"/>
      <c r="C83" s="465"/>
      <c r="D83" s="465"/>
      <c r="E83" s="465"/>
      <c r="F83" s="465"/>
      <c r="G83" s="457"/>
      <c r="H83" s="458"/>
      <c r="I83" s="458"/>
      <c r="J83" s="458"/>
      <c r="K83" s="458"/>
      <c r="L83" s="459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451"/>
      <c r="AB83" s="354"/>
      <c r="AC83" s="354"/>
      <c r="AD83" s="452"/>
      <c r="AE83" s="354"/>
      <c r="AF83" s="354"/>
    </row>
    <row r="84" spans="1:32">
      <c r="A84" s="354"/>
      <c r="B84" s="608" t="str">
        <f>$AI$223</f>
        <v>Calciner</v>
      </c>
      <c r="C84" s="465"/>
      <c r="D84" s="465"/>
      <c r="E84" s="465" t="str">
        <f>$AI$245</f>
        <v>Square shaped</v>
      </c>
      <c r="F84" s="465"/>
      <c r="G84" s="1153">
        <v>1174.2</v>
      </c>
      <c r="H84" s="1154">
        <v>200</v>
      </c>
      <c r="I84" s="1150">
        <v>0.6</v>
      </c>
      <c r="J84" s="1150">
        <v>1</v>
      </c>
      <c r="K84" s="447">
        <f t="shared" ref="K84:K89" si="0">IF(G84="","",Z84+SQRT(AA84^2+AB84^2))</f>
        <v>16.604559173921345</v>
      </c>
      <c r="L84" s="448">
        <f t="shared" ref="L84:L89" si="1">IF(G84="","",K84*G84*(H84-$K$22)/1000)</f>
        <v>3509.4732087633201</v>
      </c>
      <c r="M84" s="354"/>
      <c r="N84" s="354"/>
      <c r="O84" s="354"/>
      <c r="P84" s="354"/>
      <c r="Q84" s="354"/>
      <c r="R84" s="354"/>
      <c r="S84" s="354"/>
      <c r="T84" s="354"/>
      <c r="U84" s="354"/>
      <c r="V84" s="354"/>
      <c r="W84" s="354"/>
      <c r="X84" s="449">
        <f t="shared" ref="X84:X89" si="2">H84-$K$22</f>
        <v>180</v>
      </c>
      <c r="Y84" s="449">
        <f t="shared" ref="Y84:Y89" si="3">(H84+$K$22)/2+273.16</f>
        <v>383.16</v>
      </c>
      <c r="Z84" s="450">
        <f t="shared" ref="Z84:Z89" si="4">5.67*I84*0.04*(Y84/100)^3*(1+0.25*(X84/Y84)^2)</f>
        <v>8.0771540206865371</v>
      </c>
      <c r="AA84" s="451">
        <f t="shared" ref="AA84:AA89" si="5">1.4*($K$24*$K$24*(273.16+TAMB)/Y84*X84)^(1/3)</f>
        <v>7.9947173248583985</v>
      </c>
      <c r="AB84" s="451">
        <f t="shared" ref="AB84:AB89" si="6">0.00672*AE84*(AD84*J84/AF84)^0.905*$K$26^-0.095</f>
        <v>2.9666704473238226</v>
      </c>
      <c r="AC84" s="354"/>
      <c r="AD84" s="452">
        <f t="shared" ref="AD84:AD89" si="7">$K$24*(273.16+TAMB)/Y84</f>
        <v>0.88968985247909316</v>
      </c>
      <c r="AE84" s="453">
        <f t="shared" ref="AE84:AE89" si="8">$AA$31+($AA$33-$AA$31)/($Z$33-$Z$31)*(Y84-273.16)</f>
        <v>3.2142222222222225E-2</v>
      </c>
      <c r="AF84" s="354">
        <f t="shared" ref="AF84:AF89" si="9">$AB$31+($AB$33-$AB$31)/($Z$33-$Z$31)*(Y84-273.16)</f>
        <v>2.123111111111111E-5</v>
      </c>
    </row>
    <row r="85" spans="1:32">
      <c r="A85" s="354"/>
      <c r="B85" s="608"/>
      <c r="C85" s="465"/>
      <c r="D85" s="465"/>
      <c r="E85" s="465"/>
      <c r="F85" s="465"/>
      <c r="G85" s="1153"/>
      <c r="H85" s="1154"/>
      <c r="I85" s="1150">
        <v>0.6</v>
      </c>
      <c r="J85" s="1150"/>
      <c r="K85" s="447" t="str">
        <f t="shared" si="0"/>
        <v/>
      </c>
      <c r="L85" s="448" t="str">
        <f t="shared" si="1"/>
        <v/>
      </c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449">
        <f t="shared" si="2"/>
        <v>-20</v>
      </c>
      <c r="Y85" s="449">
        <f t="shared" si="3"/>
        <v>283.16000000000003</v>
      </c>
      <c r="Z85" s="450">
        <f t="shared" si="4"/>
        <v>3.0933661317521368</v>
      </c>
      <c r="AA85" s="451">
        <f t="shared" si="5"/>
        <v>-4.251136302924281</v>
      </c>
      <c r="AB85" s="451">
        <f t="shared" si="6"/>
        <v>0</v>
      </c>
      <c r="AC85" s="354"/>
      <c r="AD85" s="452">
        <f t="shared" si="7"/>
        <v>1.2038902524222677</v>
      </c>
      <c r="AE85" s="453">
        <f t="shared" si="8"/>
        <v>2.523111111111111E-2</v>
      </c>
      <c r="AF85" s="354">
        <f t="shared" si="9"/>
        <v>1.7475555555555554E-5</v>
      </c>
    </row>
    <row r="86" spans="1:32">
      <c r="A86" s="354"/>
      <c r="B86" s="608" t="str">
        <f>$AI$258</f>
        <v>Transition chamber</v>
      </c>
      <c r="C86" s="465"/>
      <c r="D86" s="465"/>
      <c r="E86" s="465"/>
      <c r="F86" s="465"/>
      <c r="G86" s="1153">
        <v>52.024774343446964</v>
      </c>
      <c r="H86" s="1154">
        <v>260</v>
      </c>
      <c r="I86" s="1150">
        <v>0.6</v>
      </c>
      <c r="J86" s="1150">
        <v>1</v>
      </c>
      <c r="K86" s="447">
        <f t="shared" si="0"/>
        <v>19.437796669070245</v>
      </c>
      <c r="L86" s="448">
        <f t="shared" si="1"/>
        <v>242.69927650612428</v>
      </c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449">
        <f t="shared" si="2"/>
        <v>240</v>
      </c>
      <c r="Y86" s="449">
        <f t="shared" si="3"/>
        <v>413.16</v>
      </c>
      <c r="Z86" s="450">
        <f t="shared" si="4"/>
        <v>10.406909307046858</v>
      </c>
      <c r="AA86" s="451">
        <f t="shared" si="5"/>
        <v>8.5809753979197012</v>
      </c>
      <c r="AB86" s="451">
        <f t="shared" si="6"/>
        <v>2.8149223374456587</v>
      </c>
      <c r="AC86" s="354"/>
      <c r="AD86" s="452">
        <f t="shared" si="7"/>
        <v>0.82508849810216223</v>
      </c>
      <c r="AE86" s="453">
        <f t="shared" si="8"/>
        <v>3.4215555555555555E-2</v>
      </c>
      <c r="AF86" s="354">
        <f t="shared" si="9"/>
        <v>2.2357777777777777E-5</v>
      </c>
    </row>
    <row r="87" spans="1:32">
      <c r="A87" s="354"/>
      <c r="B87" s="608" t="str">
        <f>$AI$259</f>
        <v>Drop out chamber</v>
      </c>
      <c r="C87" s="465"/>
      <c r="D87" s="465"/>
      <c r="E87" s="465"/>
      <c r="F87" s="465"/>
      <c r="G87" s="1153"/>
      <c r="H87" s="1154"/>
      <c r="I87" s="1150">
        <v>0.6</v>
      </c>
      <c r="J87" s="1150"/>
      <c r="K87" s="447" t="str">
        <f t="shared" si="0"/>
        <v/>
      </c>
      <c r="L87" s="448" t="str">
        <f t="shared" si="1"/>
        <v/>
      </c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449">
        <f t="shared" si="2"/>
        <v>-20</v>
      </c>
      <c r="Y87" s="449">
        <f t="shared" si="3"/>
        <v>283.16000000000003</v>
      </c>
      <c r="Z87" s="450">
        <f t="shared" si="4"/>
        <v>3.0933661317521368</v>
      </c>
      <c r="AA87" s="451">
        <f t="shared" si="5"/>
        <v>-4.251136302924281</v>
      </c>
      <c r="AB87" s="451">
        <f t="shared" si="6"/>
        <v>0</v>
      </c>
      <c r="AC87" s="354"/>
      <c r="AD87" s="452">
        <f t="shared" si="7"/>
        <v>1.2038902524222677</v>
      </c>
      <c r="AE87" s="453">
        <f t="shared" si="8"/>
        <v>2.523111111111111E-2</v>
      </c>
      <c r="AF87" s="354">
        <f t="shared" si="9"/>
        <v>1.7475555555555554E-5</v>
      </c>
    </row>
    <row r="88" spans="1:32">
      <c r="A88" s="354"/>
      <c r="B88" s="608" t="str">
        <f>$AI$260</f>
        <v>Connection to kiln hood</v>
      </c>
      <c r="C88" s="465"/>
      <c r="D88" s="465"/>
      <c r="E88" s="465"/>
      <c r="F88" s="465"/>
      <c r="G88" s="1153">
        <v>12</v>
      </c>
      <c r="H88" s="1154">
        <v>270</v>
      </c>
      <c r="I88" s="1150">
        <v>0.6</v>
      </c>
      <c r="J88" s="1150">
        <v>1</v>
      </c>
      <c r="K88" s="447">
        <f t="shared" si="0"/>
        <v>19.94138255561953</v>
      </c>
      <c r="L88" s="448">
        <f t="shared" si="1"/>
        <v>59.824147666858593</v>
      </c>
      <c r="M88" s="354"/>
      <c r="W88" s="354"/>
      <c r="X88" s="449">
        <f t="shared" si="2"/>
        <v>250</v>
      </c>
      <c r="Y88" s="449">
        <f t="shared" si="3"/>
        <v>418.16</v>
      </c>
      <c r="Z88" s="450">
        <f t="shared" si="4"/>
        <v>10.839082483733577</v>
      </c>
      <c r="AA88" s="451">
        <f t="shared" si="5"/>
        <v>8.6637286116620356</v>
      </c>
      <c r="AB88" s="451">
        <f t="shared" si="6"/>
        <v>2.791356863986338</v>
      </c>
      <c r="AC88" s="354"/>
      <c r="AD88" s="452">
        <f t="shared" si="7"/>
        <v>0.81522279480555127</v>
      </c>
      <c r="AE88" s="453">
        <f t="shared" si="8"/>
        <v>3.4561111111111112E-2</v>
      </c>
      <c r="AF88" s="354">
        <f t="shared" si="9"/>
        <v>2.2545555555555554E-5</v>
      </c>
    </row>
    <row r="89" spans="1:32">
      <c r="A89" s="354"/>
      <c r="B89" s="608" t="str">
        <f>$AI$261</f>
        <v>Kiln hood</v>
      </c>
      <c r="C89" s="356"/>
      <c r="D89" s="356"/>
      <c r="E89" s="465"/>
      <c r="F89" s="465"/>
      <c r="G89" s="1153">
        <v>63.9</v>
      </c>
      <c r="H89" s="1154">
        <v>280</v>
      </c>
      <c r="I89" s="1150">
        <v>0.6</v>
      </c>
      <c r="J89" s="1150">
        <v>1</v>
      </c>
      <c r="K89" s="447">
        <f t="shared" si="0"/>
        <v>20.455145782081651</v>
      </c>
      <c r="L89" s="448">
        <f t="shared" si="1"/>
        <v>339.84179202350458</v>
      </c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449">
        <f t="shared" si="2"/>
        <v>260</v>
      </c>
      <c r="Y89" s="449">
        <f t="shared" si="3"/>
        <v>423.16</v>
      </c>
      <c r="Z89" s="450">
        <f t="shared" si="4"/>
        <v>11.284337302980298</v>
      </c>
      <c r="AA89" s="451">
        <f t="shared" si="5"/>
        <v>8.7430288677906702</v>
      </c>
      <c r="AB89" s="451">
        <f t="shared" si="6"/>
        <v>2.7682439157950509</v>
      </c>
      <c r="AC89" s="354"/>
      <c r="AD89" s="452">
        <f t="shared" si="7"/>
        <v>0.80559023507866845</v>
      </c>
      <c r="AE89" s="453">
        <f t="shared" si="8"/>
        <v>3.4906666666666669E-2</v>
      </c>
      <c r="AF89" s="354">
        <f t="shared" si="9"/>
        <v>2.2733333333333335E-5</v>
      </c>
    </row>
    <row r="90" spans="1:32">
      <c r="A90" s="354"/>
      <c r="B90" s="616"/>
      <c r="C90" s="460"/>
      <c r="D90" s="460"/>
      <c r="E90" s="460"/>
      <c r="F90" s="460"/>
      <c r="G90" s="611"/>
      <c r="H90" s="611"/>
      <c r="I90" s="611"/>
      <c r="J90" s="611"/>
      <c r="K90" s="611"/>
      <c r="L90" s="617"/>
      <c r="M90" s="354"/>
      <c r="N90" s="354"/>
      <c r="O90" s="354"/>
      <c r="P90" s="354"/>
      <c r="Q90" s="354"/>
      <c r="R90" s="354"/>
      <c r="S90" s="354"/>
      <c r="T90" s="354"/>
      <c r="U90" s="354"/>
      <c r="V90" s="354"/>
      <c r="W90" s="354"/>
      <c r="X90" s="354"/>
      <c r="Y90" s="354"/>
      <c r="Z90" s="354"/>
      <c r="AA90" s="354"/>
      <c r="AB90" s="354"/>
      <c r="AC90" s="354"/>
      <c r="AD90" s="354"/>
      <c r="AE90" s="354"/>
      <c r="AF90" s="354"/>
    </row>
    <row r="91" spans="1:32">
      <c r="A91" s="354"/>
      <c r="B91" s="210"/>
      <c r="C91" s="465"/>
      <c r="D91" s="465"/>
      <c r="E91" s="465"/>
      <c r="F91" s="465"/>
      <c r="G91" s="465"/>
      <c r="H91" s="465"/>
      <c r="I91" s="465"/>
      <c r="J91" s="465"/>
      <c r="K91" s="465"/>
      <c r="L91" s="465"/>
      <c r="M91" s="354"/>
      <c r="N91" s="354"/>
      <c r="O91" s="354"/>
      <c r="P91" s="354"/>
      <c r="Q91" s="354"/>
      <c r="R91" s="354"/>
      <c r="S91" s="354"/>
      <c r="T91" s="354"/>
      <c r="U91" s="354"/>
      <c r="V91" s="354"/>
      <c r="W91" s="354"/>
      <c r="X91" s="354">
        <f>SUM(L87:L88)*24*3.6/M_CLI2</f>
        <v>1.2825822229321544</v>
      </c>
      <c r="Y91" s="354"/>
      <c r="Z91" s="354"/>
      <c r="AA91" s="354"/>
      <c r="AB91" s="354"/>
      <c r="AC91" s="354"/>
      <c r="AD91" s="354"/>
      <c r="AE91" s="354"/>
      <c r="AF91" s="354"/>
    </row>
    <row r="92" spans="1:32">
      <c r="A92" s="354"/>
      <c r="B92" s="254"/>
      <c r="C92" s="254"/>
      <c r="D92" s="254"/>
      <c r="E92" s="254"/>
      <c r="F92" s="254"/>
      <c r="G92" s="254"/>
      <c r="H92" s="254"/>
      <c r="I92" s="254"/>
      <c r="J92" s="356"/>
      <c r="K92" s="465"/>
      <c r="L92" s="355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54"/>
      <c r="Z92" s="354"/>
      <c r="AA92" s="354"/>
      <c r="AB92" s="354"/>
      <c r="AC92" s="354"/>
      <c r="AD92" s="354"/>
      <c r="AE92" s="354"/>
      <c r="AF92" s="354"/>
    </row>
    <row r="93" spans="1:32">
      <c r="A93" s="354"/>
      <c r="B93" s="254"/>
      <c r="C93" s="254"/>
      <c r="D93" s="254"/>
      <c r="E93" s="254"/>
      <c r="F93" s="254"/>
      <c r="G93" s="254"/>
      <c r="H93" s="254"/>
      <c r="I93" s="254"/>
      <c r="J93" s="356"/>
      <c r="K93" s="254"/>
      <c r="L93" s="2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Z93" s="354"/>
      <c r="AA93" s="354"/>
      <c r="AB93" s="354"/>
      <c r="AC93" s="354"/>
      <c r="AD93" s="354"/>
      <c r="AE93" s="354"/>
      <c r="AF93" s="354"/>
    </row>
    <row r="94" spans="1:32">
      <c r="A94" s="354"/>
      <c r="B94" s="254"/>
      <c r="C94" s="254"/>
      <c r="D94" s="254"/>
      <c r="E94" s="254"/>
      <c r="F94" s="254"/>
      <c r="G94" s="254"/>
      <c r="H94" s="254"/>
      <c r="I94" s="254"/>
      <c r="J94" s="356"/>
      <c r="K94" s="466"/>
      <c r="L94" s="357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  <c r="AA94" s="354"/>
      <c r="AB94" s="354"/>
      <c r="AC94" s="354"/>
      <c r="AD94" s="354"/>
      <c r="AE94" s="354"/>
      <c r="AF94" s="354"/>
    </row>
    <row r="95" spans="1:32" ht="13.5">
      <c r="A95" s="354"/>
      <c r="B95" s="614"/>
      <c r="C95" s="465"/>
      <c r="D95" s="465"/>
      <c r="E95" s="465"/>
      <c r="F95" s="465"/>
      <c r="G95" s="465"/>
      <c r="H95" s="465"/>
      <c r="I95" s="465"/>
      <c r="J95" s="465"/>
      <c r="K95" s="465"/>
      <c r="L95" s="615"/>
      <c r="M95" s="354"/>
      <c r="N95" s="354"/>
      <c r="O95" s="354"/>
      <c r="P95" s="354"/>
      <c r="Q95" s="354"/>
      <c r="R95" s="354"/>
      <c r="S95" s="354"/>
      <c r="T95" s="354"/>
      <c r="U95" s="354"/>
      <c r="V95" s="354"/>
      <c r="W95" s="354"/>
      <c r="X95" s="354"/>
      <c r="Y95" s="354"/>
      <c r="Z95" s="354"/>
      <c r="AA95" s="354"/>
      <c r="AB95" s="354"/>
      <c r="AC95" s="354"/>
      <c r="AD95" s="354"/>
      <c r="AE95" s="354"/>
      <c r="AF95" s="354"/>
    </row>
    <row r="96" spans="1:32" ht="13.5">
      <c r="A96" s="354"/>
      <c r="B96" s="614"/>
      <c r="C96" s="465"/>
      <c r="D96" s="465"/>
      <c r="E96" s="465"/>
      <c r="F96" s="465"/>
      <c r="G96" s="465"/>
      <c r="H96" s="465"/>
      <c r="I96" s="465"/>
      <c r="J96" s="465"/>
      <c r="K96" s="465"/>
      <c r="L96" s="615"/>
      <c r="M96" s="354"/>
      <c r="N96" s="354"/>
      <c r="O96" s="354"/>
      <c r="P96" s="354"/>
      <c r="Q96" s="354"/>
      <c r="R96" s="354"/>
      <c r="S96" s="354"/>
      <c r="T96" s="354"/>
      <c r="U96" s="354"/>
      <c r="V96" s="354"/>
      <c r="W96" s="354"/>
      <c r="X96" s="354"/>
      <c r="Y96" s="354"/>
      <c r="Z96" s="354"/>
      <c r="AA96" s="354"/>
      <c r="AB96" s="354"/>
      <c r="AC96" s="354"/>
      <c r="AD96" s="354"/>
      <c r="AE96" s="354"/>
      <c r="AF96" s="354"/>
    </row>
    <row r="97" spans="1:32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354"/>
      <c r="N97" s="354"/>
      <c r="O97" s="354"/>
      <c r="P97" s="354"/>
      <c r="Q97" s="354"/>
      <c r="R97" s="354"/>
      <c r="S97" s="354"/>
      <c r="T97" s="354"/>
      <c r="U97" s="354"/>
      <c r="V97" s="354"/>
      <c r="W97" s="354"/>
      <c r="X97" s="354"/>
      <c r="Y97" s="354"/>
      <c r="Z97" s="354"/>
      <c r="AA97" s="354"/>
      <c r="AB97" s="354"/>
      <c r="AC97" s="354"/>
      <c r="AD97" s="354"/>
      <c r="AE97" s="354"/>
      <c r="AF97" s="354"/>
    </row>
    <row r="98" spans="1:32">
      <c r="A98" s="354"/>
      <c r="E98" s="354"/>
      <c r="F98" s="354"/>
      <c r="G98" s="354"/>
      <c r="H98" s="354"/>
      <c r="I98" s="354"/>
      <c r="J98" s="354"/>
      <c r="K98" s="354"/>
      <c r="L98" s="354"/>
      <c r="M98" s="354"/>
      <c r="N98" s="354"/>
      <c r="O98" s="354"/>
      <c r="P98" s="354"/>
      <c r="Q98" s="354"/>
      <c r="R98" s="354"/>
      <c r="S98" s="354"/>
      <c r="T98" s="354"/>
      <c r="U98" s="354"/>
      <c r="V98" s="354"/>
      <c r="W98" s="354"/>
      <c r="X98" s="354"/>
      <c r="Y98" s="354"/>
      <c r="Z98" s="354"/>
      <c r="AA98" s="354"/>
      <c r="AB98" s="354"/>
      <c r="AC98" s="354"/>
      <c r="AD98" s="354"/>
      <c r="AE98" s="354"/>
      <c r="AF98" s="354"/>
    </row>
    <row r="99" spans="1:32" ht="16.5">
      <c r="A99" s="354"/>
      <c r="E99" s="354"/>
      <c r="F99" s="354"/>
      <c r="G99" s="354"/>
      <c r="H99" s="354"/>
      <c r="I99" s="354"/>
      <c r="J99" s="471"/>
      <c r="K99" s="472"/>
      <c r="L99" s="472"/>
      <c r="M99" s="354"/>
      <c r="N99" s="354"/>
      <c r="O99" s="354"/>
      <c r="P99" s="354"/>
      <c r="Q99" s="354"/>
      <c r="R99" s="354"/>
      <c r="S99" s="354"/>
      <c r="T99" s="354"/>
      <c r="U99" s="354"/>
      <c r="V99" s="354"/>
      <c r="W99" s="354"/>
      <c r="X99" s="354"/>
      <c r="Y99" s="354"/>
      <c r="Z99" s="354"/>
      <c r="AA99" s="354"/>
      <c r="AB99" s="354"/>
      <c r="AC99" s="354"/>
      <c r="AD99" s="354"/>
      <c r="AE99" s="354"/>
      <c r="AF99" s="354"/>
    </row>
    <row r="100" spans="1:32">
      <c r="A100" s="354"/>
      <c r="B100" s="354"/>
      <c r="C100" s="354"/>
      <c r="D100" s="354"/>
      <c r="E100" s="354"/>
      <c r="F100"/>
      <c r="G100" s="354"/>
      <c r="H100" s="354"/>
      <c r="I100" s="354"/>
      <c r="J100" s="354"/>
      <c r="K100" s="354"/>
      <c r="L100" s="354"/>
      <c r="M100" s="354"/>
      <c r="N100" s="354"/>
      <c r="O100" s="354"/>
      <c r="P100" s="354"/>
      <c r="Q100" s="354"/>
      <c r="R100" s="354"/>
      <c r="S100" s="354"/>
      <c r="T100" s="354"/>
      <c r="U100" s="354"/>
      <c r="V100" s="354"/>
      <c r="W100" s="354"/>
      <c r="X100" s="354"/>
      <c r="Y100" s="354"/>
      <c r="Z100" s="354"/>
      <c r="AA100" s="354"/>
      <c r="AB100" s="354"/>
      <c r="AC100" s="354"/>
      <c r="AD100" s="354"/>
      <c r="AE100" s="354"/>
      <c r="AF100" s="354"/>
    </row>
    <row r="201" spans="35:39" ht="15">
      <c r="AI201" s="245" t="s">
        <v>522</v>
      </c>
      <c r="AJ201" s="245" t="s">
        <v>523</v>
      </c>
      <c r="AK201" s="246" t="s">
        <v>414</v>
      </c>
      <c r="AL201" s="246" t="s">
        <v>524</v>
      </c>
      <c r="AM201" s="246" t="s">
        <v>525</v>
      </c>
    </row>
    <row r="202" spans="35:39">
      <c r="AI202" s="247"/>
      <c r="AJ202" s="248" t="s">
        <v>526</v>
      </c>
      <c r="AK202" s="247"/>
      <c r="AL202" s="247"/>
      <c r="AM202" s="247"/>
    </row>
    <row r="203" spans="35:39">
      <c r="AI203" s="247"/>
      <c r="AJ203" s="248" t="s">
        <v>623</v>
      </c>
      <c r="AK203" s="247"/>
      <c r="AL203" s="247"/>
      <c r="AM203" s="247"/>
    </row>
    <row r="204" spans="35:39">
      <c r="AI204" s="247" t="str">
        <f>INDEX($AJ:$AM,ROW(),Language)</f>
        <v>Remark</v>
      </c>
      <c r="AJ204" s="247" t="s">
        <v>624</v>
      </c>
      <c r="AK204" s="249" t="s">
        <v>625</v>
      </c>
      <c r="AL204" s="249" t="s">
        <v>626</v>
      </c>
      <c r="AM204" s="249" t="s">
        <v>627</v>
      </c>
    </row>
    <row r="205" spans="35:39">
      <c r="AI205" s="247"/>
      <c r="AJ205" s="248" t="s">
        <v>784</v>
      </c>
      <c r="AK205" s="247"/>
      <c r="AL205" s="247"/>
      <c r="AM205" s="247"/>
    </row>
    <row r="206" spans="35:39">
      <c r="AI206" s="247"/>
      <c r="AJ206" s="248" t="s">
        <v>879</v>
      </c>
      <c r="AK206" s="247"/>
      <c r="AL206" s="247"/>
      <c r="AM206" s="247"/>
    </row>
    <row r="207" spans="35:39">
      <c r="AI207" s="247" t="str">
        <f>INDEX($AJ:$AM,ROW(),Language)</f>
        <v>Roof</v>
      </c>
      <c r="AJ207" s="474" t="s">
        <v>1513</v>
      </c>
      <c r="AK207" s="247" t="s">
        <v>126</v>
      </c>
      <c r="AL207" s="247"/>
      <c r="AM207" s="247" t="s">
        <v>2111</v>
      </c>
    </row>
    <row r="208" spans="35:39">
      <c r="AI208" s="247" t="str">
        <f>INDEX($AJ:$AM,ROW(),Language)</f>
        <v>Date</v>
      </c>
      <c r="AJ208" s="247" t="s">
        <v>885</v>
      </c>
      <c r="AK208" s="247" t="s">
        <v>886</v>
      </c>
      <c r="AL208" s="247" t="s">
        <v>886</v>
      </c>
      <c r="AM208" s="247" t="s">
        <v>887</v>
      </c>
    </row>
    <row r="209" spans="35:39">
      <c r="AI209" s="247" t="str">
        <f>INDEX($AJ:$AM,ROW(),Language)</f>
        <v>Diameter</v>
      </c>
      <c r="AJ209" s="247" t="s">
        <v>330</v>
      </c>
      <c r="AK209" s="247" t="s">
        <v>331</v>
      </c>
      <c r="AL209" s="247" t="s">
        <v>332</v>
      </c>
      <c r="AM209" s="247" t="s">
        <v>917</v>
      </c>
    </row>
    <row r="210" spans="35:39">
      <c r="AI210" s="247"/>
      <c r="AJ210" s="248" t="s">
        <v>904</v>
      </c>
      <c r="AK210" s="247"/>
      <c r="AL210" s="247"/>
      <c r="AM210" s="247"/>
    </row>
    <row r="211" spans="35:39">
      <c r="AI211" s="247"/>
      <c r="AJ211" s="474"/>
      <c r="AK211" s="247"/>
      <c r="AL211" s="247"/>
      <c r="AM211" s="247"/>
    </row>
    <row r="212" spans="35:39">
      <c r="AI212" s="247" t="str">
        <f>INDEX($AJ:$AM,ROW(),Language)</f>
        <v>Emissivity</v>
      </c>
      <c r="AJ212" s="247" t="s">
        <v>333</v>
      </c>
      <c r="AK212" s="247" t="s">
        <v>334</v>
      </c>
      <c r="AL212" s="247" t="s">
        <v>335</v>
      </c>
      <c r="AM212" s="247" t="s">
        <v>336</v>
      </c>
    </row>
    <row r="213" spans="35:39">
      <c r="AI213" s="247"/>
      <c r="AJ213" s="248" t="s">
        <v>933</v>
      </c>
      <c r="AK213" s="247"/>
      <c r="AL213" s="247"/>
      <c r="AM213" s="247"/>
    </row>
    <row r="214" spans="35:39">
      <c r="AI214" s="247"/>
      <c r="AJ214" s="248" t="s">
        <v>1200</v>
      </c>
      <c r="AK214" s="247"/>
      <c r="AL214" s="247"/>
      <c r="AM214" s="247"/>
    </row>
    <row r="215" spans="35:39">
      <c r="AI215" s="247" t="str">
        <f>INDEX($AJ:$AM,ROW(),Language)</f>
        <v>Gas duct</v>
      </c>
      <c r="AJ215" s="474" t="s">
        <v>1510</v>
      </c>
      <c r="AK215" s="247" t="s">
        <v>1511</v>
      </c>
      <c r="AL215" s="477" t="s">
        <v>2123</v>
      </c>
      <c r="AM215" s="476" t="s">
        <v>2110</v>
      </c>
    </row>
    <row r="216" spans="35:39">
      <c r="AI216" s="247" t="str">
        <f>INDEX($AJ:$AM,ROW(),Language)</f>
        <v>Total heat loss</v>
      </c>
      <c r="AJ216" s="247" t="s">
        <v>337</v>
      </c>
      <c r="AK216" s="247" t="s">
        <v>338</v>
      </c>
      <c r="AL216" s="249" t="s">
        <v>339</v>
      </c>
      <c r="AM216" s="249" t="s">
        <v>340</v>
      </c>
    </row>
    <row r="217" spans="35:39" ht="25.5">
      <c r="AI217" s="247" t="str">
        <f>INDEX($AJ:$AM,ROW(),Language)</f>
        <v>Diameter choosen for calculation of acon_forced</v>
      </c>
      <c r="AJ217" s="249" t="s">
        <v>341</v>
      </c>
      <c r="AK217" s="249" t="s">
        <v>342</v>
      </c>
      <c r="AL217" s="249" t="s">
        <v>362</v>
      </c>
      <c r="AM217" s="249" t="s">
        <v>363</v>
      </c>
    </row>
    <row r="218" spans="35:39">
      <c r="AI218" s="247"/>
      <c r="AJ218" s="248" t="s">
        <v>1271</v>
      </c>
      <c r="AK218" s="247"/>
      <c r="AL218" s="247"/>
      <c r="AM218" s="247"/>
    </row>
    <row r="219" spans="35:39">
      <c r="AI219" s="247" t="str">
        <f>INDEX($AJ:$AM,ROW(),Language)</f>
        <v>Altitude</v>
      </c>
      <c r="AJ219" s="247" t="s">
        <v>1272</v>
      </c>
      <c r="AK219" s="247" t="s">
        <v>1273</v>
      </c>
      <c r="AL219" s="247" t="s">
        <v>1273</v>
      </c>
      <c r="AM219" s="249" t="s">
        <v>1274</v>
      </c>
    </row>
    <row r="220" spans="35:39">
      <c r="AI220" s="247"/>
      <c r="AJ220" s="248" t="s">
        <v>1315</v>
      </c>
      <c r="AK220" s="247"/>
      <c r="AL220" s="247"/>
      <c r="AM220" s="247"/>
    </row>
    <row r="221" spans="35:39">
      <c r="AI221" s="247"/>
      <c r="AJ221" s="248" t="s">
        <v>1323</v>
      </c>
      <c r="AK221" s="247"/>
      <c r="AL221" s="247"/>
      <c r="AM221" s="247"/>
    </row>
    <row r="222" spans="35:39">
      <c r="AI222" s="247"/>
      <c r="AJ222" s="248" t="s">
        <v>514</v>
      </c>
      <c r="AK222" s="247"/>
      <c r="AL222" s="247"/>
      <c r="AM222" s="247"/>
    </row>
    <row r="223" spans="35:39">
      <c r="AI223" s="247" t="str">
        <f>INDEX($AJ:$AM,ROW(),Language)</f>
        <v>Calciner</v>
      </c>
      <c r="AJ223" s="474" t="s">
        <v>1423</v>
      </c>
      <c r="AK223" s="247" t="s">
        <v>1424</v>
      </c>
      <c r="AL223" s="476" t="s">
        <v>1425</v>
      </c>
      <c r="AM223" s="476" t="s">
        <v>1426</v>
      </c>
    </row>
    <row r="224" spans="35:39">
      <c r="AI224" s="247" t="str">
        <f>INDEX($AJ:$AM,ROW(),Language)</f>
        <v>Clinker production rate</v>
      </c>
      <c r="AJ224" s="247" t="s">
        <v>1483</v>
      </c>
      <c r="AK224" s="247" t="s">
        <v>1484</v>
      </c>
      <c r="AL224" s="247" t="s">
        <v>1485</v>
      </c>
      <c r="AM224" s="247" t="s">
        <v>1486</v>
      </c>
    </row>
    <row r="225" spans="35:39">
      <c r="AI225" s="247" t="str">
        <f>INDEX($AJ:$AM,ROW(),Language)</f>
        <v>Cone</v>
      </c>
      <c r="AJ225" s="247" t="s">
        <v>1508</v>
      </c>
      <c r="AK225" s="247" t="s">
        <v>326</v>
      </c>
      <c r="AL225" s="476" t="s">
        <v>2122</v>
      </c>
      <c r="AM225" s="476" t="s">
        <v>2109</v>
      </c>
    </row>
    <row r="226" spans="35:39">
      <c r="AI226" s="247"/>
      <c r="AJ226" s="248" t="s">
        <v>1533</v>
      </c>
      <c r="AK226" s="247"/>
      <c r="AL226" s="247"/>
      <c r="AM226" s="247"/>
    </row>
    <row r="227" spans="35:39">
      <c r="AI227" s="247" t="str">
        <f>INDEX($AJ:$AM,ROW(),Language)</f>
        <v>Length</v>
      </c>
      <c r="AJ227" s="247" t="s">
        <v>364</v>
      </c>
      <c r="AK227" s="247" t="s">
        <v>365</v>
      </c>
      <c r="AL227" s="247" t="s">
        <v>366</v>
      </c>
      <c r="AM227" s="247" t="s">
        <v>367</v>
      </c>
    </row>
    <row r="228" spans="35:39">
      <c r="AI228" s="247" t="str">
        <f>INDEX($AJ:$AM,ROW(),Language)</f>
        <v>Kiln length</v>
      </c>
      <c r="AJ228" s="247" t="s">
        <v>1534</v>
      </c>
      <c r="AK228" s="247" t="s">
        <v>1535</v>
      </c>
      <c r="AL228" s="247" t="s">
        <v>1536</v>
      </c>
      <c r="AM228" s="247" t="s">
        <v>1537</v>
      </c>
    </row>
    <row r="229" spans="35:39">
      <c r="AI229" s="247" t="str">
        <f>INDEX($AJ:$AM,ROW(),Language)</f>
        <v>Air density</v>
      </c>
      <c r="AJ229" s="247" t="s">
        <v>1566</v>
      </c>
      <c r="AK229" s="247" t="s">
        <v>1567</v>
      </c>
      <c r="AL229" s="247" t="s">
        <v>1568</v>
      </c>
      <c r="AM229" s="247" t="s">
        <v>1569</v>
      </c>
    </row>
    <row r="230" spans="35:39">
      <c r="AI230" s="247"/>
      <c r="AJ230" s="248" t="s">
        <v>1570</v>
      </c>
      <c r="AK230" s="247"/>
      <c r="AL230" s="247"/>
      <c r="AM230" s="247"/>
    </row>
    <row r="231" spans="35:39">
      <c r="AI231" s="247" t="str">
        <f>INDEX($AJ:$AM,ROW(),Language)</f>
        <v>Material duct</v>
      </c>
      <c r="AJ231" s="474" t="s">
        <v>1512</v>
      </c>
      <c r="AK231" s="247" t="s">
        <v>125</v>
      </c>
      <c r="AL231" s="476" t="s">
        <v>2121</v>
      </c>
      <c r="AM231" s="476" t="s">
        <v>2108</v>
      </c>
    </row>
    <row r="232" spans="35:39">
      <c r="AI232" s="247"/>
      <c r="AJ232" s="248" t="s">
        <v>1604</v>
      </c>
      <c r="AK232" s="247"/>
      <c r="AL232" s="247"/>
      <c r="AM232" s="247"/>
    </row>
    <row r="233" spans="35:39">
      <c r="AI233" s="247"/>
      <c r="AJ233" s="248" t="s">
        <v>1622</v>
      </c>
      <c r="AK233" s="247"/>
      <c r="AL233" s="247"/>
      <c r="AM233" s="247"/>
    </row>
    <row r="234" spans="35:39">
      <c r="AI234" s="247" t="str">
        <f t="shared" ref="AI234:AI240" si="10">INDEX($AJ:$AM,ROW(),Language)</f>
        <v>Surface</v>
      </c>
      <c r="AJ234" s="247" t="s">
        <v>368</v>
      </c>
      <c r="AK234" s="247" t="s">
        <v>369</v>
      </c>
      <c r="AL234" s="247" t="s">
        <v>369</v>
      </c>
      <c r="AM234" s="249" t="s">
        <v>370</v>
      </c>
    </row>
    <row r="235" spans="35:39">
      <c r="AI235" s="247" t="str">
        <f t="shared" si="10"/>
        <v>Kiln diameter burning zone</v>
      </c>
      <c r="AJ235" s="247" t="s">
        <v>371</v>
      </c>
      <c r="AK235" s="247" t="s">
        <v>372</v>
      </c>
      <c r="AL235" s="247" t="s">
        <v>373</v>
      </c>
      <c r="AM235" s="249" t="s">
        <v>374</v>
      </c>
    </row>
    <row r="236" spans="35:39">
      <c r="AI236" s="247" t="str">
        <f t="shared" si="10"/>
        <v>Kiln Shell 1/2</v>
      </c>
      <c r="AJ236" s="247" t="s">
        <v>375</v>
      </c>
      <c r="AK236" s="247" t="s">
        <v>376</v>
      </c>
      <c r="AL236" s="247" t="s">
        <v>377</v>
      </c>
      <c r="AM236" s="247" t="s">
        <v>378</v>
      </c>
    </row>
    <row r="237" spans="35:39">
      <c r="AI237" s="247" t="str">
        <f t="shared" si="10"/>
        <v>Kiln Shell 2/2</v>
      </c>
      <c r="AJ237" s="247" t="s">
        <v>379</v>
      </c>
      <c r="AK237" s="247" t="s">
        <v>380</v>
      </c>
      <c r="AL237" s="247" t="s">
        <v>381</v>
      </c>
      <c r="AM237" s="247" t="s">
        <v>382</v>
      </c>
    </row>
    <row r="238" spans="35:39" ht="38.25">
      <c r="AI238" s="247" t="str">
        <f t="shared" si="10"/>
        <v>HEAT LOSSES OF KILN SHELL RADIATION AND CONVECTION</v>
      </c>
      <c r="AJ238" s="247" t="s">
        <v>383</v>
      </c>
      <c r="AK238" s="247" t="s">
        <v>384</v>
      </c>
      <c r="AL238" s="247" t="s">
        <v>385</v>
      </c>
      <c r="AM238" s="247" t="s">
        <v>386</v>
      </c>
    </row>
    <row r="239" spans="35:39">
      <c r="AI239" s="247" t="str">
        <f t="shared" si="10"/>
        <v>Kiln shell surface</v>
      </c>
      <c r="AJ239" s="247" t="s">
        <v>1686</v>
      </c>
      <c r="AK239" s="247" t="s">
        <v>1687</v>
      </c>
      <c r="AL239" s="247" t="s">
        <v>1688</v>
      </c>
      <c r="AM239" s="249" t="s">
        <v>1689</v>
      </c>
    </row>
    <row r="240" spans="35:39">
      <c r="AI240" s="247" t="str">
        <f t="shared" si="10"/>
        <v>Kiln shell segment</v>
      </c>
      <c r="AJ240" s="247" t="s">
        <v>388</v>
      </c>
      <c r="AK240" s="247" t="s">
        <v>389</v>
      </c>
      <c r="AL240" s="247" t="s">
        <v>390</v>
      </c>
      <c r="AM240" s="247" t="s">
        <v>391</v>
      </c>
    </row>
    <row r="241" spans="35:39">
      <c r="AI241" s="247"/>
      <c r="AJ241" s="248" t="s">
        <v>1706</v>
      </c>
      <c r="AK241" s="247"/>
      <c r="AL241" s="247"/>
      <c r="AM241" s="247"/>
    </row>
    <row r="242" spans="35:39">
      <c r="AI242" s="247" t="str">
        <f>INDEX($AJ:$AM,ROW(),Language)</f>
        <v>Position</v>
      </c>
      <c r="AJ242" s="247" t="s">
        <v>1707</v>
      </c>
      <c r="AK242" s="247" t="s">
        <v>1707</v>
      </c>
      <c r="AL242" s="247" t="s">
        <v>1707</v>
      </c>
      <c r="AM242" s="247" t="s">
        <v>1708</v>
      </c>
    </row>
    <row r="243" spans="35:39">
      <c r="AI243" s="247"/>
      <c r="AJ243" s="248" t="s">
        <v>1755</v>
      </c>
      <c r="AK243" s="247"/>
      <c r="AL243" s="247"/>
      <c r="AM243" s="247"/>
    </row>
    <row r="244" spans="35:39">
      <c r="AI244" s="247"/>
      <c r="AJ244" s="248" t="s">
        <v>1762</v>
      </c>
      <c r="AK244" s="247"/>
      <c r="AL244" s="247"/>
      <c r="AM244" s="247"/>
    </row>
    <row r="245" spans="35:39">
      <c r="AI245" s="247" t="str">
        <f>INDEX($AJ:$AM,ROW(),Language)</f>
        <v>Square shaped</v>
      </c>
      <c r="AJ245" s="474" t="s">
        <v>1514</v>
      </c>
      <c r="AK245" s="247" t="s">
        <v>1515</v>
      </c>
      <c r="AL245" s="476" t="s">
        <v>2115</v>
      </c>
      <c r="AM245" s="476" t="s">
        <v>2107</v>
      </c>
    </row>
    <row r="246" spans="35:39">
      <c r="AI246" s="247"/>
      <c r="AJ246" s="248" t="s">
        <v>512</v>
      </c>
      <c r="AK246" s="247"/>
      <c r="AL246" s="247"/>
      <c r="AM246" s="247"/>
    </row>
    <row r="247" spans="35:39">
      <c r="AI247" s="247"/>
      <c r="AJ247" s="248" t="s">
        <v>1805</v>
      </c>
      <c r="AK247" s="247"/>
      <c r="AL247" s="247"/>
      <c r="AM247" s="247"/>
    </row>
    <row r="248" spans="35:39">
      <c r="AI248" s="247" t="str">
        <f>INDEX($AJ:$AM,ROW(),Language)</f>
        <v>velocity</v>
      </c>
      <c r="AJ248" s="247" t="s">
        <v>392</v>
      </c>
      <c r="AK248" s="247" t="s">
        <v>393</v>
      </c>
      <c r="AL248" s="247" t="s">
        <v>394</v>
      </c>
      <c r="AM248" s="249" t="s">
        <v>395</v>
      </c>
    </row>
    <row r="249" spans="35:39">
      <c r="AI249" s="247"/>
      <c r="AJ249" s="248" t="s">
        <v>1840</v>
      </c>
      <c r="AK249" s="247"/>
      <c r="AL249" s="247"/>
      <c r="AM249" s="247"/>
    </row>
    <row r="250" spans="35:39">
      <c r="AI250" s="247" t="str">
        <f>INDEX($AJ:$AM,ROW(),Language)</f>
        <v>Specific heat loss</v>
      </c>
      <c r="AJ250" s="247" t="s">
        <v>396</v>
      </c>
      <c r="AK250" s="247" t="s">
        <v>397</v>
      </c>
      <c r="AL250" s="247" t="s">
        <v>398</v>
      </c>
      <c r="AM250" s="247" t="s">
        <v>399</v>
      </c>
    </row>
    <row r="251" spans="35:39">
      <c r="AI251" s="247"/>
      <c r="AJ251" s="248" t="s">
        <v>1863</v>
      </c>
      <c r="AK251" s="247"/>
      <c r="AL251" s="247"/>
      <c r="AM251" s="247"/>
    </row>
    <row r="252" spans="35:39" ht="25.5">
      <c r="AI252" s="247" t="str">
        <f>INDEX($AJ:$AM,ROW(),Language)</f>
        <v>Radiation &amp; Convection Losses</v>
      </c>
      <c r="AJ252" s="247" t="s">
        <v>400</v>
      </c>
      <c r="AK252" s="247" t="s">
        <v>401</v>
      </c>
      <c r="AL252" s="249" t="s">
        <v>402</v>
      </c>
      <c r="AM252" s="249" t="s">
        <v>2100</v>
      </c>
    </row>
    <row r="253" spans="35:39" ht="25.5">
      <c r="AI253" s="247" t="str">
        <f>INDEX($AJ:$AM,ROW(),Language)</f>
        <v>Radiation &amp; Convection of Preheater, Precalciner</v>
      </c>
      <c r="AJ253" s="249" t="s">
        <v>132</v>
      </c>
      <c r="AK253" s="249" t="s">
        <v>133</v>
      </c>
      <c r="AL253" s="477" t="s">
        <v>2116</v>
      </c>
      <c r="AM253" s="249" t="s">
        <v>2106</v>
      </c>
    </row>
    <row r="254" spans="35:39">
      <c r="AI254" s="247"/>
      <c r="AJ254" s="248" t="s">
        <v>489</v>
      </c>
      <c r="AK254" s="247"/>
      <c r="AL254" s="247"/>
      <c r="AM254" s="247"/>
    </row>
    <row r="255" spans="35:39">
      <c r="AI255" s="247" t="str">
        <f t="shared" ref="AI255:AI261" si="11">INDEX($AJ:$AM,ROW(),Language)</f>
        <v>t/d</v>
      </c>
      <c r="AJ255" s="247" t="s">
        <v>1940</v>
      </c>
      <c r="AK255" s="247" t="s">
        <v>1941</v>
      </c>
      <c r="AL255" s="247" t="s">
        <v>1942</v>
      </c>
      <c r="AM255" s="247" t="s">
        <v>1941</v>
      </c>
    </row>
    <row r="256" spans="35:39">
      <c r="AI256" s="247" t="str">
        <f t="shared" si="11"/>
        <v>Temperature</v>
      </c>
      <c r="AJ256" s="247" t="s">
        <v>1953</v>
      </c>
      <c r="AK256" s="247" t="s">
        <v>1954</v>
      </c>
      <c r="AL256" s="247" t="s">
        <v>1957</v>
      </c>
      <c r="AM256" s="247" t="s">
        <v>1958</v>
      </c>
    </row>
    <row r="257" spans="35:39">
      <c r="AI257" s="247" t="str">
        <f t="shared" si="11"/>
        <v>total</v>
      </c>
      <c r="AJ257" s="247" t="s">
        <v>404</v>
      </c>
      <c r="AK257" s="247" t="s">
        <v>404</v>
      </c>
      <c r="AL257" s="247" t="s">
        <v>404</v>
      </c>
      <c r="AM257" s="247" t="s">
        <v>404</v>
      </c>
    </row>
    <row r="258" spans="35:39">
      <c r="AI258" s="247" t="str">
        <f t="shared" si="11"/>
        <v>Transition chamber</v>
      </c>
      <c r="AJ258" s="478" t="s">
        <v>2126</v>
      </c>
      <c r="AK258" s="253" t="s">
        <v>127</v>
      </c>
      <c r="AL258" s="476" t="s">
        <v>2117</v>
      </c>
      <c r="AM258" s="477" t="s">
        <v>2105</v>
      </c>
    </row>
    <row r="259" spans="35:39">
      <c r="AI259" s="247" t="str">
        <f t="shared" si="11"/>
        <v>Drop out chamber</v>
      </c>
      <c r="AJ259" s="479" t="s">
        <v>2127</v>
      </c>
      <c r="AK259" s="253" t="s">
        <v>327</v>
      </c>
      <c r="AL259" s="477" t="s">
        <v>2118</v>
      </c>
      <c r="AM259" s="477" t="s">
        <v>2112</v>
      </c>
    </row>
    <row r="260" spans="35:39">
      <c r="AI260" s="247" t="str">
        <f t="shared" si="11"/>
        <v>Connection to kiln hood</v>
      </c>
      <c r="AJ260" s="478" t="s">
        <v>2125</v>
      </c>
      <c r="AK260" s="253" t="s">
        <v>328</v>
      </c>
      <c r="AL260" s="476" t="s">
        <v>2119</v>
      </c>
      <c r="AM260" s="477" t="s">
        <v>2104</v>
      </c>
    </row>
    <row r="261" spans="35:39">
      <c r="AI261" s="247" t="str">
        <f t="shared" si="11"/>
        <v>Kiln hood</v>
      </c>
      <c r="AJ261" s="478" t="s">
        <v>2124</v>
      </c>
      <c r="AK261" s="253" t="s">
        <v>329</v>
      </c>
      <c r="AL261" s="476" t="s">
        <v>2120</v>
      </c>
      <c r="AM261" s="476" t="s">
        <v>2101</v>
      </c>
    </row>
    <row r="262" spans="35:39">
      <c r="AI262" s="247"/>
      <c r="AJ262" s="248" t="s">
        <v>2009</v>
      </c>
      <c r="AK262" s="247"/>
      <c r="AL262" s="247"/>
      <c r="AM262" s="247"/>
    </row>
    <row r="263" spans="35:39">
      <c r="AI263" s="247" t="str">
        <f>INDEX($AJ:$AM,ROW(),Language)</f>
        <v>Ambient pressure</v>
      </c>
      <c r="AJ263" s="247" t="s">
        <v>405</v>
      </c>
      <c r="AK263" s="247" t="s">
        <v>406</v>
      </c>
      <c r="AL263" s="247" t="s">
        <v>407</v>
      </c>
      <c r="AM263" s="249" t="s">
        <v>408</v>
      </c>
    </row>
    <row r="264" spans="35:39">
      <c r="AI264" s="247" t="str">
        <f>INDEX($AJ:$AM,ROW(),Language)</f>
        <v>Ambient temperature</v>
      </c>
      <c r="AJ264" s="247" t="s">
        <v>2028</v>
      </c>
      <c r="AK264" s="247" t="s">
        <v>2029</v>
      </c>
      <c r="AL264" s="247" t="s">
        <v>2030</v>
      </c>
      <c r="AM264" s="247" t="s">
        <v>2031</v>
      </c>
    </row>
    <row r="265" spans="35:39">
      <c r="AI265" s="247"/>
      <c r="AJ265" s="248" t="s">
        <v>2048</v>
      </c>
      <c r="AK265" s="247"/>
      <c r="AL265" s="247"/>
      <c r="AM265" s="247"/>
    </row>
    <row r="266" spans="35:39">
      <c r="AI266" s="247"/>
      <c r="AJ266" s="248" t="s">
        <v>2142</v>
      </c>
      <c r="AK266" s="247"/>
      <c r="AL266" s="247"/>
      <c r="AM266" s="247"/>
    </row>
    <row r="267" spans="35:39">
      <c r="AI267" s="247" t="str">
        <f>INDEX($AJ:$AM,ROW(),Language)</f>
        <v>Plant</v>
      </c>
      <c r="AJ267" s="247" t="s">
        <v>184</v>
      </c>
      <c r="AK267" s="247" t="s">
        <v>185</v>
      </c>
      <c r="AL267" s="247" t="s">
        <v>186</v>
      </c>
      <c r="AM267" s="247" t="s">
        <v>187</v>
      </c>
    </row>
    <row r="268" spans="35:39">
      <c r="AI268" s="247" t="str">
        <f>INDEX($AJ:$AM,ROW(),Language)</f>
        <v>Wind</v>
      </c>
      <c r="AJ268" s="247" t="s">
        <v>409</v>
      </c>
      <c r="AK268" s="247" t="s">
        <v>410</v>
      </c>
      <c r="AL268" s="247" t="s">
        <v>1252</v>
      </c>
      <c r="AM268" s="247" t="s">
        <v>1253</v>
      </c>
    </row>
    <row r="269" spans="35:39">
      <c r="AI269" s="247"/>
      <c r="AJ269" s="248" t="s">
        <v>188</v>
      </c>
      <c r="AK269" s="247"/>
      <c r="AL269" s="247"/>
      <c r="AM269" s="247"/>
    </row>
    <row r="270" spans="35:39">
      <c r="AI270" s="247"/>
      <c r="AJ270" s="248" t="s">
        <v>189</v>
      </c>
      <c r="AK270" s="247"/>
      <c r="AL270" s="247"/>
      <c r="AM270" s="247"/>
    </row>
    <row r="271" spans="35:39">
      <c r="AI271" s="247"/>
      <c r="AJ271" s="248" t="s">
        <v>190</v>
      </c>
      <c r="AK271" s="247"/>
      <c r="AL271" s="247"/>
      <c r="AM271" s="247"/>
    </row>
    <row r="272" spans="35:39">
      <c r="AI272" s="247" t="str">
        <f>INDEX($AJ:$AM,ROW(),Language)</f>
        <v>Cyclone</v>
      </c>
      <c r="AJ272" s="247" t="s">
        <v>116</v>
      </c>
      <c r="AK272" s="247" t="s">
        <v>117</v>
      </c>
      <c r="AL272" s="476" t="s">
        <v>117</v>
      </c>
      <c r="AM272" s="247" t="s">
        <v>118</v>
      </c>
    </row>
    <row r="273" spans="35:39">
      <c r="AI273" s="247" t="str">
        <f>INDEX($AJ:$AM,ROW(),Language)</f>
        <v>cyclones</v>
      </c>
      <c r="AJ273" s="247" t="s">
        <v>119</v>
      </c>
      <c r="AK273" s="249" t="s">
        <v>120</v>
      </c>
      <c r="AL273" s="476" t="s">
        <v>120</v>
      </c>
      <c r="AM273" s="247" t="s">
        <v>121</v>
      </c>
    </row>
    <row r="274" spans="35:39">
      <c r="AI274" s="247" t="str">
        <f>INDEX($AJ:$AM,ROW(),Language)</f>
        <v>Summary</v>
      </c>
      <c r="AJ274" s="247" t="s">
        <v>129</v>
      </c>
      <c r="AK274" s="247" t="s">
        <v>131</v>
      </c>
      <c r="AL274" s="477" t="s">
        <v>2113</v>
      </c>
      <c r="AM274" s="476" t="s">
        <v>2102</v>
      </c>
    </row>
    <row r="275" spans="35:39">
      <c r="AI275" s="247" t="str">
        <f>INDEX($AJ:$AM,ROW(),Language)</f>
        <v>Cylindrical part</v>
      </c>
      <c r="AJ275" s="247" t="s">
        <v>1507</v>
      </c>
      <c r="AK275" s="247" t="s">
        <v>124</v>
      </c>
      <c r="AL275" s="477" t="s">
        <v>2114</v>
      </c>
      <c r="AM275" s="476" t="s">
        <v>2103</v>
      </c>
    </row>
    <row r="276" spans="35:39">
      <c r="AI276" s="247"/>
      <c r="AJ276" s="247"/>
      <c r="AK276" s="247"/>
      <c r="AL276" s="247"/>
      <c r="AM276" s="247"/>
    </row>
    <row r="277" spans="35:39">
      <c r="AI277" s="247"/>
      <c r="AJ277" s="247"/>
      <c r="AK277" s="247"/>
      <c r="AL277" s="247"/>
      <c r="AM277" s="247"/>
    </row>
    <row r="278" spans="35:39">
      <c r="AI278" s="247"/>
      <c r="AJ278" s="247"/>
      <c r="AK278" s="247"/>
      <c r="AL278" s="247"/>
      <c r="AM278" s="247"/>
    </row>
    <row r="279" spans="35:39">
      <c r="AI279" s="247"/>
      <c r="AJ279" s="247"/>
      <c r="AK279" s="247"/>
      <c r="AL279" s="247"/>
      <c r="AM279" s="247"/>
    </row>
  </sheetData>
  <phoneticPr fontId="34" type="noConversion"/>
  <printOptions horizontalCentered="1"/>
  <pageMargins left="0.98425196850393704" right="0.51181102362204722" top="0.51181102362204722" bottom="0.51181102362204722" header="0.51181102362204722" footer="0.51181102362204722"/>
  <pageSetup paperSize="9" scale="83" fitToHeight="3" orientation="portrait" r:id="rId1"/>
  <headerFooter alignWithMargins="0"/>
  <colBreaks count="1" manualBreakCount="1">
    <brk id="13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7" r:id="rId4" name="Drop Down 17">
              <controlPr defaultSize="0" autoFill="0" autoLine="0" autoPict="0">
                <anchor moveWithCells="1">
                  <from>
                    <xdr:col>4</xdr:col>
                    <xdr:colOff>314325</xdr:colOff>
                    <xdr:row>12</xdr:row>
                    <xdr:rowOff>133350</xdr:rowOff>
                  </from>
                  <to>
                    <xdr:col>5</xdr:col>
                    <xdr:colOff>561975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M369"/>
  <sheetViews>
    <sheetView zoomScaleNormal="100" workbookViewId="0"/>
  </sheetViews>
  <sheetFormatPr defaultRowHeight="12.75"/>
  <cols>
    <col min="1" max="1" width="3.83203125" style="253" customWidth="1"/>
    <col min="2" max="3" width="5.6640625" style="253" customWidth="1"/>
    <col min="4" max="4" width="10.5" style="253" customWidth="1"/>
    <col min="5" max="5" width="12.6640625" style="253" customWidth="1"/>
    <col min="6" max="7" width="10.5" style="253" customWidth="1"/>
    <col min="8" max="8" width="10.33203125" style="253" customWidth="1"/>
    <col min="9" max="9" width="13.6640625" style="253" customWidth="1"/>
    <col min="10" max="11" width="10.33203125" style="253" customWidth="1"/>
    <col min="12" max="12" width="10.6640625" style="253" customWidth="1"/>
    <col min="13" max="13" width="3.83203125" style="253" customWidth="1"/>
    <col min="14" max="22" width="10.83203125" style="253" customWidth="1"/>
    <col min="23" max="26" width="10.5" style="253" customWidth="1"/>
    <col min="27" max="27" width="10.33203125" style="253" customWidth="1"/>
    <col min="28" max="28" width="11.33203125" style="253" bestFit="1" customWidth="1"/>
    <col min="29" max="29" width="9.33203125" style="253"/>
    <col min="30" max="30" width="9.6640625" style="253" bestFit="1" customWidth="1"/>
    <col min="31" max="31" width="11.5" style="253" bestFit="1" customWidth="1"/>
    <col min="32" max="32" width="17" style="253" bestFit="1" customWidth="1"/>
    <col min="33" max="34" width="9.33203125" style="253"/>
    <col min="35" max="39" width="35.83203125" style="253" customWidth="1"/>
    <col min="40" max="16384" width="9.33203125" style="253"/>
  </cols>
  <sheetData>
    <row r="2" spans="2:25"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2:25"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</row>
    <row r="4" spans="2:25"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W4" s="4" t="s">
        <v>412</v>
      </c>
      <c r="X4" s="1"/>
      <c r="Y4" s="363" t="s">
        <v>413</v>
      </c>
    </row>
    <row r="5" spans="2:25">
      <c r="B5" s="371"/>
      <c r="C5" s="371"/>
      <c r="D5" s="370"/>
      <c r="E5" s="372"/>
      <c r="F5" s="370"/>
      <c r="G5" s="370"/>
      <c r="H5" s="370"/>
      <c r="I5" s="370"/>
      <c r="J5" s="370"/>
      <c r="K5" s="370"/>
      <c r="L5" s="370"/>
      <c r="W5"/>
      <c r="X5"/>
      <c r="Y5" t="s">
        <v>414</v>
      </c>
    </row>
    <row r="6" spans="2:25">
      <c r="B6" s="373"/>
      <c r="C6" s="373"/>
      <c r="D6" s="372"/>
      <c r="E6" s="372"/>
      <c r="F6" s="370"/>
      <c r="G6" s="370"/>
      <c r="H6" s="370"/>
      <c r="I6" s="370"/>
      <c r="J6" s="370"/>
      <c r="K6" s="370"/>
      <c r="L6" s="370"/>
      <c r="W6"/>
      <c r="X6" s="1"/>
      <c r="Y6" s="252" t="s">
        <v>415</v>
      </c>
    </row>
    <row r="7" spans="2:25" ht="18">
      <c r="B7" s="370"/>
      <c r="C7" s="370"/>
      <c r="D7" s="522" t="s">
        <v>648</v>
      </c>
      <c r="E7" s="370"/>
      <c r="F7" s="370"/>
      <c r="G7" s="370"/>
      <c r="H7" s="370"/>
      <c r="I7" s="370"/>
      <c r="J7" s="370"/>
      <c r="K7" s="370"/>
      <c r="L7" s="370"/>
      <c r="W7"/>
      <c r="X7" s="1"/>
      <c r="Y7" s="252" t="s">
        <v>416</v>
      </c>
    </row>
    <row r="8" spans="2:25" ht="18" customHeight="1">
      <c r="B8" s="370"/>
      <c r="C8" s="370"/>
      <c r="D8" s="521" t="s">
        <v>646</v>
      </c>
      <c r="E8" s="370"/>
      <c r="F8" s="370"/>
      <c r="G8" s="370"/>
      <c r="H8" s="370"/>
      <c r="I8" s="370"/>
      <c r="J8" s="370"/>
      <c r="K8" s="370"/>
      <c r="L8" s="370"/>
      <c r="W8"/>
      <c r="X8" s="1"/>
      <c r="Y8" s="1"/>
    </row>
    <row r="9" spans="2:25" ht="12.75" customHeight="1">
      <c r="B9" s="370"/>
      <c r="C9" s="370"/>
      <c r="D9" s="372" t="s">
        <v>1235</v>
      </c>
      <c r="E9" s="372"/>
      <c r="F9" s="370"/>
      <c r="G9" s="370"/>
      <c r="H9" s="370"/>
      <c r="I9" s="370"/>
      <c r="J9" s="370"/>
      <c r="K9" s="370"/>
      <c r="L9" s="370"/>
      <c r="O9" s="641" t="s">
        <v>1378</v>
      </c>
      <c r="P9" s="491"/>
      <c r="Q9" s="644"/>
      <c r="R9" s="644"/>
      <c r="W9" s="4" t="s">
        <v>418</v>
      </c>
      <c r="X9" s="1"/>
      <c r="Y9" s="6">
        <v>2</v>
      </c>
    </row>
    <row r="10" spans="2:25" ht="12.75" customHeight="1">
      <c r="B10" s="370"/>
      <c r="C10" s="370"/>
      <c r="D10" s="372"/>
      <c r="E10" s="372"/>
      <c r="F10" s="370"/>
      <c r="G10" s="370"/>
      <c r="H10" s="370"/>
      <c r="I10" s="370"/>
      <c r="J10" s="370"/>
      <c r="K10" s="370"/>
      <c r="L10" s="370"/>
      <c r="O10" s="642">
        <v>36991</v>
      </c>
      <c r="P10" s="618" t="s">
        <v>122</v>
      </c>
      <c r="Q10" s="645" t="s">
        <v>128</v>
      </c>
      <c r="R10" s="644"/>
      <c r="W10" s="4"/>
      <c r="X10" s="1"/>
      <c r="Y10" s="6"/>
    </row>
    <row r="11" spans="2:25" ht="12.75" customHeight="1">
      <c r="B11" s="370"/>
      <c r="C11" s="370"/>
      <c r="D11" s="1133"/>
      <c r="E11" s="365" t="s">
        <v>417</v>
      </c>
      <c r="F11" s="370"/>
      <c r="G11" s="370"/>
      <c r="H11" s="370"/>
      <c r="I11" s="370"/>
      <c r="J11" s="370"/>
      <c r="K11" s="370"/>
      <c r="L11" s="370"/>
      <c r="O11" s="646">
        <v>36992</v>
      </c>
      <c r="P11" s="647" t="s">
        <v>122</v>
      </c>
      <c r="Q11" s="645" t="s">
        <v>1516</v>
      </c>
      <c r="R11" s="644"/>
    </row>
    <row r="12" spans="2:25" ht="12.75" customHeight="1">
      <c r="B12" s="370"/>
      <c r="C12" s="370"/>
      <c r="D12" s="2"/>
      <c r="E12" s="369" t="s">
        <v>1133</v>
      </c>
      <c r="F12" s="370"/>
      <c r="G12" s="370"/>
      <c r="H12" s="370"/>
      <c r="I12" s="370"/>
      <c r="J12" s="370"/>
      <c r="K12" s="370"/>
      <c r="L12" s="370"/>
      <c r="O12" s="646">
        <v>37064</v>
      </c>
      <c r="P12" s="647" t="s">
        <v>2128</v>
      </c>
      <c r="Q12" s="644" t="s">
        <v>2129</v>
      </c>
      <c r="R12" s="644"/>
    </row>
    <row r="13" spans="2:25" ht="12.75" customHeight="1"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O13" s="642">
        <v>38595</v>
      </c>
      <c r="P13" s="618" t="s">
        <v>955</v>
      </c>
      <c r="Q13" s="491" t="s">
        <v>1509</v>
      </c>
      <c r="R13" s="644"/>
    </row>
    <row r="14" spans="2:25" ht="12.75" customHeight="1">
      <c r="B14" s="370"/>
      <c r="C14" s="370"/>
      <c r="D14" s="364" t="s">
        <v>420</v>
      </c>
      <c r="E14" s="370"/>
      <c r="F14" s="370"/>
      <c r="G14" s="370"/>
      <c r="H14" s="370"/>
      <c r="I14" s="370"/>
      <c r="J14" s="370"/>
      <c r="K14" s="370"/>
      <c r="L14" s="370"/>
      <c r="O14" s="642">
        <v>39827</v>
      </c>
      <c r="P14" s="808" t="s">
        <v>1955</v>
      </c>
      <c r="Q14" s="642" t="s">
        <v>698</v>
      </c>
      <c r="R14" s="642"/>
      <c r="S14" s="642"/>
      <c r="T14" s="642"/>
    </row>
    <row r="15" spans="2:25" ht="12.75" customHeight="1"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O15" s="642">
        <v>41100</v>
      </c>
      <c r="P15" s="808" t="s">
        <v>1955</v>
      </c>
      <c r="Q15" s="642" t="s">
        <v>2191</v>
      </c>
    </row>
    <row r="16" spans="2:25" ht="13.5">
      <c r="B16" s="374"/>
      <c r="C16" s="372"/>
      <c r="D16" s="370"/>
      <c r="E16" s="370"/>
      <c r="F16" s="370"/>
      <c r="G16" s="370"/>
      <c r="H16" s="370"/>
      <c r="I16" s="370"/>
      <c r="J16" s="370"/>
      <c r="K16" s="370"/>
      <c r="L16" s="480"/>
    </row>
    <row r="19" spans="2:28" ht="15.75">
      <c r="B19" s="1113" t="s">
        <v>1230</v>
      </c>
      <c r="C19" s="1302"/>
      <c r="D19" s="1303"/>
      <c r="E19" s="1303"/>
      <c r="F19" s="1303"/>
      <c r="G19" s="1303"/>
      <c r="H19" s="1303"/>
      <c r="I19" s="1304"/>
      <c r="J19" s="1305"/>
      <c r="K19" s="1306"/>
      <c r="L19" s="1307"/>
    </row>
    <row r="21" spans="2:28">
      <c r="B21" s="255" t="str">
        <f>'R&amp;C Tertiary Air Duct'!$AI$357</f>
        <v>Plant</v>
      </c>
      <c r="C21" s="255"/>
      <c r="D21" s="256"/>
      <c r="E21" s="1312" t="s">
        <v>2251</v>
      </c>
      <c r="F21" s="1122"/>
      <c r="G21" s="256"/>
      <c r="H21" s="254" t="str">
        <f>'R&amp;C Tertiary Air Duct'!$AI$309</f>
        <v>Altitude</v>
      </c>
      <c r="I21" s="254"/>
      <c r="J21" s="254"/>
      <c r="K21" s="1123">
        <v>300</v>
      </c>
      <c r="L21" s="254" t="s">
        <v>422</v>
      </c>
    </row>
    <row r="22" spans="2:28" ht="12.75" customHeight="1">
      <c r="B22" s="253" t="s">
        <v>886</v>
      </c>
      <c r="F22" s="1125">
        <v>41220</v>
      </c>
      <c r="H22" s="255" t="str">
        <f>'R&amp;C Tertiary Air Duct'!$AI$354</f>
        <v>Ambient temperature</v>
      </c>
      <c r="I22" s="254"/>
      <c r="J22" s="254"/>
      <c r="K22" s="1124">
        <v>20</v>
      </c>
      <c r="L22" s="254" t="s">
        <v>425</v>
      </c>
    </row>
    <row r="23" spans="2:28" ht="12.75" customHeight="1">
      <c r="B23" s="255" t="s">
        <v>1231</v>
      </c>
      <c r="C23" s="255"/>
      <c r="D23" s="254"/>
      <c r="E23" s="254"/>
      <c r="F23" s="1123"/>
      <c r="G23" s="254" t="s">
        <v>422</v>
      </c>
      <c r="H23" s="255" t="str">
        <f>'R&amp;C Tertiary Air Duct'!$AI$353</f>
        <v>Ambient pressure</v>
      </c>
      <c r="I23" s="254"/>
      <c r="J23" s="254"/>
      <c r="K23" s="620">
        <f>IF(ALTITUDE="","",1.03323*((288-6.5*ALTITUDE/1000)/288)^5.255*980.665)</f>
        <v>977.71576555840886</v>
      </c>
      <c r="L23" s="254" t="s">
        <v>424</v>
      </c>
    </row>
    <row r="24" spans="2:28" ht="12.75" customHeight="1">
      <c r="B24" s="254" t="s">
        <v>1232</v>
      </c>
      <c r="C24" s="254"/>
      <c r="D24" s="254"/>
      <c r="E24" s="254"/>
      <c r="F24" s="1123"/>
      <c r="G24" s="254" t="s">
        <v>422</v>
      </c>
      <c r="H24" s="255" t="str">
        <f>'R&amp;C Tertiary Air Duct'!$AI$319</f>
        <v>Air density</v>
      </c>
      <c r="I24" s="254"/>
      <c r="J24" s="254"/>
      <c r="K24" s="621">
        <f>IF(TAMB="","",1.293*PAMB/1013*273.16/(TAMB+273.16))</f>
        <v>1.1628242730109473</v>
      </c>
      <c r="L24" s="259" t="s">
        <v>308</v>
      </c>
      <c r="X24" s="362" t="s">
        <v>310</v>
      </c>
      <c r="AA24" s="263" t="s">
        <v>311</v>
      </c>
      <c r="AB24" s="263" t="s">
        <v>312</v>
      </c>
    </row>
    <row r="25" spans="2:28" ht="12.75" customHeight="1">
      <c r="B25" s="255" t="str">
        <f>'R&amp;C Tertiary Air Duct'!$AI$314</f>
        <v>Clinker production rate</v>
      </c>
      <c r="C25" s="254"/>
      <c r="D25" s="254"/>
      <c r="E25" s="254"/>
      <c r="F25" s="1126">
        <v>4030</v>
      </c>
      <c r="G25" s="254" t="str">
        <f>'R&amp;C Tertiary Air Duct'!$AI$345</f>
        <v>t/d</v>
      </c>
      <c r="H25" s="254"/>
      <c r="I25" s="254"/>
      <c r="J25" s="254"/>
      <c r="K25" s="254"/>
      <c r="L25" s="254"/>
      <c r="V25" s="257"/>
    </row>
    <row r="26" spans="2:28" ht="12.75" customHeight="1">
      <c r="B26" s="254" t="s">
        <v>1233</v>
      </c>
      <c r="C26" s="254"/>
      <c r="D26" s="254"/>
      <c r="E26" s="254"/>
      <c r="F26" s="619">
        <f>IF(SUM(F42:F71)=0,"",SUM(F42:F71)+SUM(F72:F118))</f>
        <v>757.12382951514019</v>
      </c>
      <c r="G26" s="254" t="s">
        <v>309</v>
      </c>
      <c r="H26" s="254"/>
      <c r="I26" s="254"/>
      <c r="J26" s="254"/>
      <c r="K26" s="254"/>
      <c r="L26" s="254"/>
      <c r="V26" s="257"/>
      <c r="Z26" s="253">
        <v>0</v>
      </c>
      <c r="AA26" s="265">
        <v>2.4539999999999999E-2</v>
      </c>
      <c r="AB26" s="265">
        <v>1.7099999999999999E-5</v>
      </c>
    </row>
    <row r="27" spans="2:28" ht="12.75" customHeight="1">
      <c r="B27" s="254"/>
      <c r="C27" s="254"/>
      <c r="D27" s="254"/>
      <c r="E27" s="254"/>
      <c r="F27" s="260"/>
      <c r="G27" s="254"/>
      <c r="Z27" s="253">
        <v>450</v>
      </c>
      <c r="AA27" s="265">
        <v>5.5640000000000002E-2</v>
      </c>
      <c r="AB27" s="265">
        <v>3.4E-5</v>
      </c>
    </row>
    <row r="28" spans="2:28" ht="12.75" customHeight="1" thickBot="1">
      <c r="B28" s="254" t="str">
        <f>'R&amp;C Tertiary Air Duct'!$AI$306</f>
        <v>Total heat loss</v>
      </c>
      <c r="C28" s="254"/>
      <c r="D28" s="254"/>
      <c r="E28" s="254"/>
      <c r="F28" s="260">
        <f>IF(ISERR(SUM(K42:K71)+SUM(K72:K118)),"",SUM(K42:K71)+SUM(K72:K118))</f>
        <v>1272.9343245436492</v>
      </c>
      <c r="G28" s="465" t="s">
        <v>1376</v>
      </c>
    </row>
    <row r="29" spans="2:28" ht="12.75" customHeight="1" thickBot="1">
      <c r="B29" s="254" t="s">
        <v>1377</v>
      </c>
      <c r="C29" s="254"/>
      <c r="D29" s="254"/>
      <c r="F29" s="1145">
        <f>IF(ISERR(24*QTOT*3.6/M_CLI),"",24*QTOT*3.6/M_CLI)</f>
        <v>27.290701151506521</v>
      </c>
      <c r="G29" s="358" t="s">
        <v>509</v>
      </c>
    </row>
    <row r="30" spans="2:28" ht="12.75" customHeight="1">
      <c r="F30" s="741">
        <f>IF(QRADKLN="","",QRADKLN/4.1868)</f>
        <v>6.5182719861246117</v>
      </c>
      <c r="G30" s="253" t="s">
        <v>666</v>
      </c>
    </row>
    <row r="31" spans="2:28" ht="12.75" customHeight="1">
      <c r="C31" s="254"/>
      <c r="D31" s="254"/>
      <c r="E31" s="254"/>
      <c r="F31" s="260"/>
      <c r="G31" s="254"/>
      <c r="H31" s="254"/>
      <c r="I31" s="254"/>
      <c r="J31" s="254"/>
      <c r="K31" s="254"/>
      <c r="L31" s="254"/>
    </row>
    <row r="32" spans="2:28" ht="12.75" customHeight="1">
      <c r="B32" s="261" t="str">
        <f>'R&amp;C Tertiary Air Duct'!$AI$294</f>
        <v>Remark</v>
      </c>
      <c r="C32" s="254"/>
      <c r="D32" s="254"/>
      <c r="E32" s="254"/>
      <c r="F32" s="260"/>
      <c r="G32" s="254"/>
      <c r="H32" s="254"/>
      <c r="I32" s="254"/>
      <c r="J32" s="254"/>
      <c r="K32" s="254"/>
      <c r="L32" s="254"/>
    </row>
    <row r="33" spans="2:36" ht="12.75" customHeight="1">
      <c r="B33" s="1134"/>
      <c r="C33" s="1135"/>
      <c r="D33" s="1135"/>
      <c r="E33" s="1135"/>
      <c r="F33" s="1135"/>
      <c r="G33" s="1135"/>
      <c r="H33" s="1135"/>
      <c r="I33" s="1135"/>
      <c r="J33" s="1135"/>
      <c r="K33" s="1135"/>
      <c r="L33" s="1135"/>
      <c r="AD33"/>
      <c r="AE33" s="262"/>
      <c r="AF33" s="262"/>
    </row>
    <row r="34" spans="2:36" ht="12.75" customHeight="1">
      <c r="B34" s="1136"/>
      <c r="C34" s="1137"/>
      <c r="D34" s="1138"/>
      <c r="E34" s="1138"/>
      <c r="F34" s="1139"/>
      <c r="G34" s="1138"/>
      <c r="H34" s="1138"/>
      <c r="I34" s="1138"/>
      <c r="J34" s="1138"/>
      <c r="K34" s="1138"/>
      <c r="L34" s="1138"/>
      <c r="AD34"/>
      <c r="AE34"/>
      <c r="AF34"/>
    </row>
    <row r="35" spans="2:36" ht="12.75" customHeight="1">
      <c r="B35" s="1136"/>
      <c r="C35" s="1138"/>
      <c r="D35" s="1138"/>
      <c r="E35" s="1138"/>
      <c r="F35" s="1139"/>
      <c r="G35" s="1138"/>
      <c r="H35" s="1138"/>
      <c r="I35" s="1138"/>
      <c r="J35" s="1138"/>
      <c r="K35" s="1138"/>
      <c r="L35" s="1138"/>
      <c r="AD35"/>
      <c r="AE35"/>
      <c r="AF35"/>
    </row>
    <row r="36" spans="2:36" ht="12.75" customHeight="1">
      <c r="B36" s="254"/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AD36"/>
      <c r="AE36"/>
      <c r="AF36"/>
      <c r="AG36"/>
      <c r="AH36"/>
      <c r="AI36"/>
    </row>
    <row r="37" spans="2:36" ht="12.75" customHeight="1">
      <c r="B37" s="570" t="s">
        <v>1234</v>
      </c>
      <c r="C37" s="571"/>
      <c r="D37" s="571"/>
      <c r="E37" s="571"/>
      <c r="F37" s="572"/>
      <c r="G37" s="573" t="s">
        <v>325</v>
      </c>
      <c r="H37" s="573" t="str">
        <f>'R&amp;C Tertiary Air Duct'!$AI$302</f>
        <v>Emissivity</v>
      </c>
      <c r="I37" s="574" t="str">
        <f>'R&amp;C Tertiary Air Duct'!$AI$358</f>
        <v>Wind</v>
      </c>
      <c r="J37" s="575" t="s">
        <v>313</v>
      </c>
      <c r="K37" s="573" t="s">
        <v>314</v>
      </c>
      <c r="L37" s="573"/>
      <c r="X37" s="263" t="s">
        <v>315</v>
      </c>
      <c r="Y37" s="264" t="s">
        <v>316</v>
      </c>
      <c r="Z37" s="351" t="s">
        <v>313</v>
      </c>
      <c r="AA37" s="351" t="s">
        <v>313</v>
      </c>
      <c r="AB37" s="351" t="s">
        <v>313</v>
      </c>
      <c r="AG37"/>
      <c r="AH37"/>
      <c r="AI37"/>
    </row>
    <row r="38" spans="2:36" ht="12.75" customHeight="1">
      <c r="B38" s="781" t="s">
        <v>827</v>
      </c>
      <c r="C38" s="782"/>
      <c r="D38" s="578" t="str">
        <f>'R&amp;C Tertiary Air Duct'!$AI$317</f>
        <v>Length</v>
      </c>
      <c r="E38" s="579" t="str">
        <f>'R&amp;C Tertiary Air Duct'!$AI$299</f>
        <v>Diameter</v>
      </c>
      <c r="F38" s="579" t="str">
        <f>'R&amp;C Tertiary Air Duct'!$AI$324</f>
        <v>Surface</v>
      </c>
      <c r="G38" s="581"/>
      <c r="H38" s="580" t="s">
        <v>317</v>
      </c>
      <c r="I38" s="581" t="str">
        <f>'R&amp;C Tertiary Air Duct'!$AI$338</f>
        <v>velocity</v>
      </c>
      <c r="J38" s="581" t="s">
        <v>828</v>
      </c>
      <c r="K38" s="478"/>
      <c r="L38" s="582" t="str">
        <f>'R&amp;C Tertiary Air Duct'!$AI$294</f>
        <v>Remark</v>
      </c>
      <c r="X38" s="263"/>
      <c r="Y38" s="263"/>
      <c r="Z38" s="263" t="s">
        <v>318</v>
      </c>
      <c r="AA38" s="263" t="s">
        <v>319</v>
      </c>
      <c r="AB38" s="263" t="s">
        <v>320</v>
      </c>
      <c r="AD38" s="263" t="s">
        <v>321</v>
      </c>
      <c r="AE38" s="263" t="s">
        <v>311</v>
      </c>
      <c r="AF38" s="263" t="s">
        <v>312</v>
      </c>
      <c r="AG38"/>
      <c r="AH38" s="362"/>
      <c r="AI38" s="263"/>
      <c r="AJ38" s="263"/>
    </row>
    <row r="39" spans="2:36" ht="12.75" customHeight="1">
      <c r="B39" s="780" t="s">
        <v>2139</v>
      </c>
      <c r="C39" s="579" t="s">
        <v>711</v>
      </c>
      <c r="D39" s="578"/>
      <c r="E39" s="579"/>
      <c r="F39" s="579"/>
      <c r="G39" s="581"/>
      <c r="H39" s="580"/>
      <c r="I39" s="581"/>
      <c r="J39" s="581"/>
      <c r="K39" s="478"/>
      <c r="L39" s="582"/>
      <c r="X39" s="263"/>
      <c r="Y39" s="263"/>
      <c r="Z39" s="263"/>
      <c r="AA39" s="263"/>
      <c r="AB39" s="263"/>
      <c r="AD39" s="263"/>
      <c r="AE39" s="263"/>
      <c r="AF39" s="263"/>
      <c r="AG39"/>
      <c r="AH39" s="362"/>
      <c r="AI39" s="263"/>
      <c r="AJ39" s="263"/>
    </row>
    <row r="40" spans="2:36" ht="12.75" customHeight="1">
      <c r="B40" s="583" t="s">
        <v>470</v>
      </c>
      <c r="C40" s="583" t="s">
        <v>470</v>
      </c>
      <c r="D40" s="583" t="s">
        <v>470</v>
      </c>
      <c r="E40" s="584" t="s">
        <v>470</v>
      </c>
      <c r="F40" s="584" t="s">
        <v>471</v>
      </c>
      <c r="G40" s="585" t="s">
        <v>473</v>
      </c>
      <c r="H40" s="586" t="s">
        <v>469</v>
      </c>
      <c r="I40" s="587" t="s">
        <v>472</v>
      </c>
      <c r="J40" s="585" t="s">
        <v>322</v>
      </c>
      <c r="K40" s="588" t="s">
        <v>323</v>
      </c>
      <c r="L40" s="588"/>
      <c r="X40" s="263" t="s">
        <v>473</v>
      </c>
      <c r="Y40" s="263" t="s">
        <v>324</v>
      </c>
      <c r="Z40" s="263" t="s">
        <v>322</v>
      </c>
      <c r="AA40" s="263" t="s">
        <v>322</v>
      </c>
      <c r="AB40" s="263" t="s">
        <v>322</v>
      </c>
      <c r="AG40"/>
    </row>
    <row r="41" spans="2:36" ht="12.75" customHeight="1">
      <c r="B41" s="266"/>
      <c r="C41" s="267"/>
      <c r="D41" s="254"/>
      <c r="E41" s="1142"/>
      <c r="F41" s="1143"/>
      <c r="G41" s="1143"/>
      <c r="H41" s="1144"/>
      <c r="I41" s="1144"/>
      <c r="J41" s="268"/>
      <c r="K41" s="270"/>
      <c r="L41" s="269"/>
      <c r="AG41"/>
      <c r="AH41"/>
      <c r="AI41"/>
    </row>
    <row r="42" spans="2:36" ht="12.75" customHeight="1">
      <c r="B42" s="271">
        <f>IF(P_START="","",0)</f>
        <v>0</v>
      </c>
      <c r="C42" s="1127">
        <v>28</v>
      </c>
      <c r="D42" s="272">
        <f t="shared" ref="D42:D73" si="0">IF(C42="","",C42-B42)</f>
        <v>28</v>
      </c>
      <c r="E42" s="1129">
        <v>3</v>
      </c>
      <c r="F42" s="273">
        <f t="shared" ref="F42:F73" si="1">IF(D42="","",PI()*D42*E42)</f>
        <v>263.89378290154264</v>
      </c>
      <c r="G42" s="1127">
        <v>140</v>
      </c>
      <c r="H42" s="1131">
        <v>0.6</v>
      </c>
      <c r="I42" s="1131">
        <v>1</v>
      </c>
      <c r="J42" s="273">
        <f t="shared" ref="J42:J73" si="2">IF(F42="","",Z42+SQRT(AA42^2+AB42^2))</f>
        <v>13.999802257577302</v>
      </c>
      <c r="K42" s="274">
        <f t="shared" ref="K42:K73" si="3">IF(F42="","",J42*F42*(G42-$K$22)/1000)</f>
        <v>443.33529331507577</v>
      </c>
      <c r="L42" s="272"/>
      <c r="X42" s="275">
        <f t="shared" ref="X42:X73" si="4">G42-$K$22</f>
        <v>120</v>
      </c>
      <c r="Y42" s="275">
        <f t="shared" ref="Y42:Y73" si="5">(G42+$K$22)/2+273.16</f>
        <v>353.16</v>
      </c>
      <c r="Z42" s="276">
        <f t="shared" ref="Z42:Z73" si="6">5.67*H42*0.04*(Y42/100)^3*(1+0.25*(X42/Y42)^2)</f>
        <v>6.1668996264862148</v>
      </c>
      <c r="AA42" s="277">
        <f t="shared" ref="AA42:AA73" si="7">1.4*($K$24*$K$24*(273.16+TAMB)/Y42*X42)^(1/3)</f>
        <v>7.1764375809793766</v>
      </c>
      <c r="AB42" s="277">
        <f t="shared" ref="AB42:AB73" si="8">0.00672*AE42*(AD42*I42/AF42)^0.905*E42^-0.095</f>
        <v>3.1389659562442778</v>
      </c>
      <c r="AD42" s="278">
        <f t="shared" ref="AD42:AD73" si="9">$K$24*(273.16+TAMB)/Y42</f>
        <v>0.96526663233630461</v>
      </c>
      <c r="AE42" s="265">
        <f t="shared" ref="AE42:AE73" si="10">$AA$26+($AA$27-$AA$26)/($Z$27-$Z$26)*(Y42-273.16)</f>
        <v>3.0068888888888888E-2</v>
      </c>
      <c r="AF42" s="253">
        <f t="shared" ref="AF42:AF73" si="11">$AB$26+($AB$27-$AB$26)/($Z$27-$Z$26)*(Y42-273.16)</f>
        <v>2.0104444444444442E-5</v>
      </c>
    </row>
    <row r="43" spans="2:36" ht="12.75" customHeight="1">
      <c r="B43" s="279">
        <f>IF(C43="","",C42)</f>
        <v>28</v>
      </c>
      <c r="C43" s="1127">
        <v>63</v>
      </c>
      <c r="D43" s="272">
        <f t="shared" si="0"/>
        <v>35</v>
      </c>
      <c r="E43" s="1129">
        <v>3</v>
      </c>
      <c r="F43" s="273">
        <f t="shared" si="1"/>
        <v>329.86722862692829</v>
      </c>
      <c r="G43" s="1127">
        <v>140</v>
      </c>
      <c r="H43" s="1131">
        <v>0.6</v>
      </c>
      <c r="I43" s="1131">
        <v>1</v>
      </c>
      <c r="J43" s="273">
        <f t="shared" si="2"/>
        <v>13.999802257577302</v>
      </c>
      <c r="K43" s="274">
        <f t="shared" si="3"/>
        <v>554.16911664384475</v>
      </c>
      <c r="L43" s="272"/>
      <c r="X43" s="275">
        <f t="shared" si="4"/>
        <v>120</v>
      </c>
      <c r="Y43" s="275">
        <f t="shared" si="5"/>
        <v>353.16</v>
      </c>
      <c r="Z43" s="276">
        <f t="shared" si="6"/>
        <v>6.1668996264862148</v>
      </c>
      <c r="AA43" s="277">
        <f t="shared" si="7"/>
        <v>7.1764375809793766</v>
      </c>
      <c r="AB43" s="277">
        <f t="shared" si="8"/>
        <v>3.1389659562442778</v>
      </c>
      <c r="AD43" s="278">
        <f t="shared" si="9"/>
        <v>0.96526663233630461</v>
      </c>
      <c r="AE43" s="265">
        <f t="shared" si="10"/>
        <v>3.0068888888888888E-2</v>
      </c>
      <c r="AF43" s="253">
        <f t="shared" si="11"/>
        <v>2.0104444444444442E-5</v>
      </c>
    </row>
    <row r="44" spans="2:36" ht="12.75" customHeight="1">
      <c r="B44" s="279">
        <f t="shared" ref="B44:B74" si="12">IF(C44="","",C43)</f>
        <v>63</v>
      </c>
      <c r="C44" s="1127">
        <v>79</v>
      </c>
      <c r="D44" s="272">
        <f t="shared" si="0"/>
        <v>16</v>
      </c>
      <c r="E44" s="1129">
        <v>2</v>
      </c>
      <c r="F44" s="273">
        <f t="shared" si="1"/>
        <v>100.53096491487338</v>
      </c>
      <c r="G44" s="1127">
        <v>140</v>
      </c>
      <c r="H44" s="1131">
        <v>0.6</v>
      </c>
      <c r="I44" s="1131">
        <v>1</v>
      </c>
      <c r="J44" s="273">
        <f t="shared" si="2"/>
        <v>14.050010378698108</v>
      </c>
      <c r="K44" s="274">
        <f t="shared" si="3"/>
        <v>169.49533205214075</v>
      </c>
      <c r="L44" s="272"/>
      <c r="X44" s="275">
        <f t="shared" si="4"/>
        <v>120</v>
      </c>
      <c r="Y44" s="275">
        <f t="shared" si="5"/>
        <v>353.16</v>
      </c>
      <c r="Z44" s="276">
        <f t="shared" si="6"/>
        <v>6.1668996264862148</v>
      </c>
      <c r="AA44" s="277">
        <f t="shared" si="7"/>
        <v>7.1764375809793766</v>
      </c>
      <c r="AB44" s="277">
        <f t="shared" si="8"/>
        <v>3.2622352425822441</v>
      </c>
      <c r="AD44" s="278">
        <f t="shared" si="9"/>
        <v>0.96526663233630461</v>
      </c>
      <c r="AE44" s="265">
        <f t="shared" si="10"/>
        <v>3.0068888888888888E-2</v>
      </c>
      <c r="AF44" s="253">
        <f t="shared" si="11"/>
        <v>2.0104444444444442E-5</v>
      </c>
    </row>
    <row r="45" spans="2:36" ht="12.75" customHeight="1">
      <c r="B45" s="279">
        <f t="shared" si="12"/>
        <v>79</v>
      </c>
      <c r="C45" s="1127">
        <v>89</v>
      </c>
      <c r="D45" s="272">
        <f t="shared" si="0"/>
        <v>10</v>
      </c>
      <c r="E45" s="1129">
        <v>2</v>
      </c>
      <c r="F45" s="273">
        <f t="shared" si="1"/>
        <v>62.831853071795862</v>
      </c>
      <c r="G45" s="1127">
        <v>140</v>
      </c>
      <c r="H45" s="1131">
        <v>0.6</v>
      </c>
      <c r="I45" s="1131">
        <v>1</v>
      </c>
      <c r="J45" s="273">
        <f t="shared" si="2"/>
        <v>14.050010378698108</v>
      </c>
      <c r="K45" s="274">
        <f t="shared" si="3"/>
        <v>105.93458253258797</v>
      </c>
      <c r="L45" s="272"/>
      <c r="X45" s="275">
        <f t="shared" si="4"/>
        <v>120</v>
      </c>
      <c r="Y45" s="275">
        <f t="shared" si="5"/>
        <v>353.16</v>
      </c>
      <c r="Z45" s="276">
        <f t="shared" si="6"/>
        <v>6.1668996264862148</v>
      </c>
      <c r="AA45" s="277">
        <f t="shared" si="7"/>
        <v>7.1764375809793766</v>
      </c>
      <c r="AB45" s="277">
        <f t="shared" si="8"/>
        <v>3.2622352425822441</v>
      </c>
      <c r="AD45" s="278">
        <f t="shared" si="9"/>
        <v>0.96526663233630461</v>
      </c>
      <c r="AE45" s="265">
        <f t="shared" si="10"/>
        <v>3.0068888888888888E-2</v>
      </c>
      <c r="AF45" s="253">
        <f t="shared" si="11"/>
        <v>2.0104444444444442E-5</v>
      </c>
    </row>
    <row r="46" spans="2:36" ht="12.75" customHeight="1">
      <c r="B46" s="279" t="str">
        <f t="shared" si="12"/>
        <v/>
      </c>
      <c r="C46" s="1127"/>
      <c r="D46" s="272" t="str">
        <f t="shared" si="0"/>
        <v/>
      </c>
      <c r="E46" s="1129"/>
      <c r="F46" s="273" t="str">
        <f t="shared" si="1"/>
        <v/>
      </c>
      <c r="G46" s="1127"/>
      <c r="H46" s="1131"/>
      <c r="I46" s="1131"/>
      <c r="J46" s="273" t="str">
        <f t="shared" si="2"/>
        <v/>
      </c>
      <c r="K46" s="274" t="str">
        <f t="shared" si="3"/>
        <v/>
      </c>
      <c r="L46" s="272"/>
      <c r="X46" s="275">
        <f t="shared" si="4"/>
        <v>-20</v>
      </c>
      <c r="Y46" s="275">
        <f t="shared" si="5"/>
        <v>283.16000000000003</v>
      </c>
      <c r="Z46" s="276">
        <f t="shared" si="6"/>
        <v>0</v>
      </c>
      <c r="AA46" s="277">
        <f t="shared" si="7"/>
        <v>-4.251136302924281</v>
      </c>
      <c r="AB46" s="277" t="e">
        <f t="shared" si="8"/>
        <v>#DIV/0!</v>
      </c>
      <c r="AD46" s="278">
        <f t="shared" si="9"/>
        <v>1.2038902524222677</v>
      </c>
      <c r="AE46" s="265">
        <f t="shared" si="10"/>
        <v>2.523111111111111E-2</v>
      </c>
      <c r="AF46" s="253">
        <f t="shared" si="11"/>
        <v>1.7475555555555554E-5</v>
      </c>
    </row>
    <row r="47" spans="2:36" ht="12.75" customHeight="1">
      <c r="B47" s="279" t="str">
        <f t="shared" si="12"/>
        <v/>
      </c>
      <c r="C47" s="1127"/>
      <c r="D47" s="272" t="str">
        <f t="shared" si="0"/>
        <v/>
      </c>
      <c r="E47" s="1129"/>
      <c r="F47" s="273" t="str">
        <f t="shared" si="1"/>
        <v/>
      </c>
      <c r="G47" s="1127"/>
      <c r="H47" s="1131"/>
      <c r="I47" s="1131"/>
      <c r="J47" s="273" t="str">
        <f t="shared" si="2"/>
        <v/>
      </c>
      <c r="K47" s="274" t="str">
        <f t="shared" si="3"/>
        <v/>
      </c>
      <c r="L47" s="272"/>
      <c r="X47" s="275">
        <f t="shared" si="4"/>
        <v>-20</v>
      </c>
      <c r="Y47" s="275">
        <f t="shared" si="5"/>
        <v>283.16000000000003</v>
      </c>
      <c r="Z47" s="276">
        <f t="shared" si="6"/>
        <v>0</v>
      </c>
      <c r="AA47" s="277">
        <f t="shared" si="7"/>
        <v>-4.251136302924281</v>
      </c>
      <c r="AB47" s="277" t="e">
        <f t="shared" si="8"/>
        <v>#DIV/0!</v>
      </c>
      <c r="AD47" s="278">
        <f t="shared" si="9"/>
        <v>1.2038902524222677</v>
      </c>
      <c r="AE47" s="265">
        <f t="shared" si="10"/>
        <v>2.523111111111111E-2</v>
      </c>
      <c r="AF47" s="253">
        <f t="shared" si="11"/>
        <v>1.7475555555555554E-5</v>
      </c>
    </row>
    <row r="48" spans="2:36" ht="12.75" customHeight="1">
      <c r="B48" s="279" t="str">
        <f t="shared" si="12"/>
        <v/>
      </c>
      <c r="C48" s="1127"/>
      <c r="D48" s="272" t="str">
        <f t="shared" si="0"/>
        <v/>
      </c>
      <c r="E48" s="1129"/>
      <c r="F48" s="273" t="str">
        <f t="shared" si="1"/>
        <v/>
      </c>
      <c r="G48" s="1127"/>
      <c r="H48" s="1131"/>
      <c r="I48" s="1131"/>
      <c r="J48" s="273" t="str">
        <f t="shared" si="2"/>
        <v/>
      </c>
      <c r="K48" s="274" t="str">
        <f t="shared" si="3"/>
        <v/>
      </c>
      <c r="L48" s="280"/>
      <c r="X48" s="275">
        <f t="shared" si="4"/>
        <v>-20</v>
      </c>
      <c r="Y48" s="275">
        <f t="shared" si="5"/>
        <v>283.16000000000003</v>
      </c>
      <c r="Z48" s="276">
        <f t="shared" si="6"/>
        <v>0</v>
      </c>
      <c r="AA48" s="277">
        <f t="shared" si="7"/>
        <v>-4.251136302924281</v>
      </c>
      <c r="AB48" s="277" t="e">
        <f t="shared" si="8"/>
        <v>#DIV/0!</v>
      </c>
      <c r="AD48" s="278">
        <f t="shared" si="9"/>
        <v>1.2038902524222677</v>
      </c>
      <c r="AE48" s="265">
        <f t="shared" si="10"/>
        <v>2.523111111111111E-2</v>
      </c>
      <c r="AF48" s="253">
        <f t="shared" si="11"/>
        <v>1.7475555555555554E-5</v>
      </c>
    </row>
    <row r="49" spans="2:32" ht="12.75" customHeight="1">
      <c r="B49" s="279" t="str">
        <f t="shared" si="12"/>
        <v/>
      </c>
      <c r="C49" s="1127"/>
      <c r="D49" s="272" t="str">
        <f t="shared" si="0"/>
        <v/>
      </c>
      <c r="E49" s="1129"/>
      <c r="F49" s="273" t="str">
        <f t="shared" si="1"/>
        <v/>
      </c>
      <c r="G49" s="1127"/>
      <c r="H49" s="1131"/>
      <c r="I49" s="1131"/>
      <c r="J49" s="273" t="str">
        <f t="shared" si="2"/>
        <v/>
      </c>
      <c r="K49" s="274" t="str">
        <f t="shared" si="3"/>
        <v/>
      </c>
      <c r="L49" s="272"/>
      <c r="X49" s="275">
        <f t="shared" si="4"/>
        <v>-20</v>
      </c>
      <c r="Y49" s="275">
        <f t="shared" si="5"/>
        <v>283.16000000000003</v>
      </c>
      <c r="Z49" s="276">
        <f t="shared" si="6"/>
        <v>0</v>
      </c>
      <c r="AA49" s="277">
        <f t="shared" si="7"/>
        <v>-4.251136302924281</v>
      </c>
      <c r="AB49" s="277" t="e">
        <f t="shared" si="8"/>
        <v>#DIV/0!</v>
      </c>
      <c r="AD49" s="278">
        <f t="shared" si="9"/>
        <v>1.2038902524222677</v>
      </c>
      <c r="AE49" s="265">
        <f t="shared" si="10"/>
        <v>2.523111111111111E-2</v>
      </c>
      <c r="AF49" s="253">
        <f t="shared" si="11"/>
        <v>1.7475555555555554E-5</v>
      </c>
    </row>
    <row r="50" spans="2:32" ht="12.75" customHeight="1">
      <c r="B50" s="279" t="str">
        <f t="shared" si="12"/>
        <v/>
      </c>
      <c r="C50" s="1127"/>
      <c r="D50" s="272" t="str">
        <f t="shared" si="0"/>
        <v/>
      </c>
      <c r="E50" s="1129"/>
      <c r="F50" s="273" t="str">
        <f t="shared" si="1"/>
        <v/>
      </c>
      <c r="G50" s="1127"/>
      <c r="H50" s="1131"/>
      <c r="I50" s="1131"/>
      <c r="J50" s="273" t="str">
        <f t="shared" si="2"/>
        <v/>
      </c>
      <c r="K50" s="274" t="str">
        <f t="shared" si="3"/>
        <v/>
      </c>
      <c r="L50" s="272"/>
      <c r="X50" s="275">
        <f t="shared" si="4"/>
        <v>-20</v>
      </c>
      <c r="Y50" s="275">
        <f t="shared" si="5"/>
        <v>283.16000000000003</v>
      </c>
      <c r="Z50" s="276">
        <f t="shared" si="6"/>
        <v>0</v>
      </c>
      <c r="AA50" s="277">
        <f t="shared" si="7"/>
        <v>-4.251136302924281</v>
      </c>
      <c r="AB50" s="277" t="e">
        <f t="shared" si="8"/>
        <v>#DIV/0!</v>
      </c>
      <c r="AD50" s="278">
        <f t="shared" si="9"/>
        <v>1.2038902524222677</v>
      </c>
      <c r="AE50" s="265">
        <f t="shared" si="10"/>
        <v>2.523111111111111E-2</v>
      </c>
      <c r="AF50" s="253">
        <f t="shared" si="11"/>
        <v>1.7475555555555554E-5</v>
      </c>
    </row>
    <row r="51" spans="2:32" ht="12.75" customHeight="1">
      <c r="B51" s="279" t="str">
        <f t="shared" si="12"/>
        <v/>
      </c>
      <c r="C51" s="1127"/>
      <c r="D51" s="272" t="str">
        <f t="shared" si="0"/>
        <v/>
      </c>
      <c r="E51" s="1129"/>
      <c r="F51" s="273" t="str">
        <f t="shared" si="1"/>
        <v/>
      </c>
      <c r="G51" s="1127"/>
      <c r="H51" s="1131"/>
      <c r="I51" s="1131"/>
      <c r="J51" s="273" t="str">
        <f t="shared" si="2"/>
        <v/>
      </c>
      <c r="K51" s="274" t="str">
        <f t="shared" si="3"/>
        <v/>
      </c>
      <c r="L51" s="272"/>
      <c r="X51" s="275">
        <f t="shared" si="4"/>
        <v>-20</v>
      </c>
      <c r="Y51" s="275">
        <f t="shared" si="5"/>
        <v>283.16000000000003</v>
      </c>
      <c r="Z51" s="276">
        <f t="shared" si="6"/>
        <v>0</v>
      </c>
      <c r="AA51" s="277">
        <f t="shared" si="7"/>
        <v>-4.251136302924281</v>
      </c>
      <c r="AB51" s="277" t="e">
        <f t="shared" si="8"/>
        <v>#DIV/0!</v>
      </c>
      <c r="AD51" s="278">
        <f t="shared" si="9"/>
        <v>1.2038902524222677</v>
      </c>
      <c r="AE51" s="265">
        <f t="shared" si="10"/>
        <v>2.523111111111111E-2</v>
      </c>
      <c r="AF51" s="253">
        <f t="shared" si="11"/>
        <v>1.7475555555555554E-5</v>
      </c>
    </row>
    <row r="52" spans="2:32" ht="12.75" customHeight="1">
      <c r="B52" s="279" t="str">
        <f t="shared" si="12"/>
        <v/>
      </c>
      <c r="C52" s="1127"/>
      <c r="D52" s="272" t="str">
        <f t="shared" si="0"/>
        <v/>
      </c>
      <c r="E52" s="1129"/>
      <c r="F52" s="273" t="str">
        <f t="shared" si="1"/>
        <v/>
      </c>
      <c r="G52" s="1127"/>
      <c r="H52" s="1131"/>
      <c r="I52" s="1131"/>
      <c r="J52" s="273" t="str">
        <f t="shared" si="2"/>
        <v/>
      </c>
      <c r="K52" s="274" t="str">
        <f t="shared" si="3"/>
        <v/>
      </c>
      <c r="L52" s="272"/>
      <c r="X52" s="275">
        <f t="shared" si="4"/>
        <v>-20</v>
      </c>
      <c r="Y52" s="275">
        <f t="shared" si="5"/>
        <v>283.16000000000003</v>
      </c>
      <c r="Z52" s="276">
        <f t="shared" si="6"/>
        <v>0</v>
      </c>
      <c r="AA52" s="277">
        <f t="shared" si="7"/>
        <v>-4.251136302924281</v>
      </c>
      <c r="AB52" s="277" t="e">
        <f t="shared" si="8"/>
        <v>#DIV/0!</v>
      </c>
      <c r="AD52" s="278">
        <f t="shared" si="9"/>
        <v>1.2038902524222677</v>
      </c>
      <c r="AE52" s="265">
        <f t="shared" si="10"/>
        <v>2.523111111111111E-2</v>
      </c>
      <c r="AF52" s="253">
        <f t="shared" si="11"/>
        <v>1.7475555555555554E-5</v>
      </c>
    </row>
    <row r="53" spans="2:32" ht="12.75" customHeight="1">
      <c r="B53" s="279" t="str">
        <f t="shared" si="12"/>
        <v/>
      </c>
      <c r="C53" s="1127"/>
      <c r="D53" s="272" t="str">
        <f t="shared" si="0"/>
        <v/>
      </c>
      <c r="E53" s="1129"/>
      <c r="F53" s="273" t="str">
        <f t="shared" si="1"/>
        <v/>
      </c>
      <c r="G53" s="1127"/>
      <c r="H53" s="1131"/>
      <c r="I53" s="1131"/>
      <c r="J53" s="273" t="str">
        <f t="shared" si="2"/>
        <v/>
      </c>
      <c r="K53" s="274" t="str">
        <f t="shared" si="3"/>
        <v/>
      </c>
      <c r="L53" s="272"/>
      <c r="X53" s="275">
        <f t="shared" si="4"/>
        <v>-20</v>
      </c>
      <c r="Y53" s="275">
        <f t="shared" si="5"/>
        <v>283.16000000000003</v>
      </c>
      <c r="Z53" s="276">
        <f t="shared" si="6"/>
        <v>0</v>
      </c>
      <c r="AA53" s="277">
        <f t="shared" si="7"/>
        <v>-4.251136302924281</v>
      </c>
      <c r="AB53" s="277" t="e">
        <f t="shared" si="8"/>
        <v>#DIV/0!</v>
      </c>
      <c r="AD53" s="278">
        <f t="shared" si="9"/>
        <v>1.2038902524222677</v>
      </c>
      <c r="AE53" s="265">
        <f t="shared" si="10"/>
        <v>2.523111111111111E-2</v>
      </c>
      <c r="AF53" s="253">
        <f t="shared" si="11"/>
        <v>1.7475555555555554E-5</v>
      </c>
    </row>
    <row r="54" spans="2:32" ht="12.75" customHeight="1">
      <c r="B54" s="279" t="str">
        <f t="shared" si="12"/>
        <v/>
      </c>
      <c r="C54" s="1127"/>
      <c r="D54" s="272" t="str">
        <f t="shared" si="0"/>
        <v/>
      </c>
      <c r="E54" s="1129"/>
      <c r="F54" s="273" t="str">
        <f t="shared" si="1"/>
        <v/>
      </c>
      <c r="G54" s="1127"/>
      <c r="H54" s="1131"/>
      <c r="I54" s="1131"/>
      <c r="J54" s="273" t="str">
        <f t="shared" si="2"/>
        <v/>
      </c>
      <c r="K54" s="274" t="str">
        <f t="shared" si="3"/>
        <v/>
      </c>
      <c r="L54" s="272"/>
      <c r="X54" s="275">
        <f t="shared" si="4"/>
        <v>-20</v>
      </c>
      <c r="Y54" s="275">
        <f t="shared" si="5"/>
        <v>283.16000000000003</v>
      </c>
      <c r="Z54" s="276">
        <f t="shared" si="6"/>
        <v>0</v>
      </c>
      <c r="AA54" s="277">
        <f t="shared" si="7"/>
        <v>-4.251136302924281</v>
      </c>
      <c r="AB54" s="277" t="e">
        <f t="shared" si="8"/>
        <v>#DIV/0!</v>
      </c>
      <c r="AD54" s="278">
        <f t="shared" si="9"/>
        <v>1.2038902524222677</v>
      </c>
      <c r="AE54" s="265">
        <f t="shared" si="10"/>
        <v>2.523111111111111E-2</v>
      </c>
      <c r="AF54" s="253">
        <f t="shared" si="11"/>
        <v>1.7475555555555554E-5</v>
      </c>
    </row>
    <row r="55" spans="2:32" ht="12.75" customHeight="1">
      <c r="B55" s="279" t="str">
        <f t="shared" si="12"/>
        <v/>
      </c>
      <c r="C55" s="1127"/>
      <c r="D55" s="272" t="str">
        <f t="shared" si="0"/>
        <v/>
      </c>
      <c r="E55" s="1129"/>
      <c r="F55" s="273" t="str">
        <f t="shared" si="1"/>
        <v/>
      </c>
      <c r="G55" s="1127"/>
      <c r="H55" s="1131"/>
      <c r="I55" s="1131"/>
      <c r="J55" s="273" t="str">
        <f t="shared" si="2"/>
        <v/>
      </c>
      <c r="K55" s="274" t="str">
        <f t="shared" si="3"/>
        <v/>
      </c>
      <c r="L55" s="272"/>
      <c r="X55" s="275">
        <f t="shared" si="4"/>
        <v>-20</v>
      </c>
      <c r="Y55" s="275">
        <f t="shared" si="5"/>
        <v>283.16000000000003</v>
      </c>
      <c r="Z55" s="276">
        <f t="shared" si="6"/>
        <v>0</v>
      </c>
      <c r="AA55" s="277">
        <f t="shared" si="7"/>
        <v>-4.251136302924281</v>
      </c>
      <c r="AB55" s="277" t="e">
        <f t="shared" si="8"/>
        <v>#DIV/0!</v>
      </c>
      <c r="AD55" s="278">
        <f t="shared" si="9"/>
        <v>1.2038902524222677</v>
      </c>
      <c r="AE55" s="265">
        <f t="shared" si="10"/>
        <v>2.523111111111111E-2</v>
      </c>
      <c r="AF55" s="253">
        <f t="shared" si="11"/>
        <v>1.7475555555555554E-5</v>
      </c>
    </row>
    <row r="56" spans="2:32" ht="12.75" customHeight="1">
      <c r="B56" s="279" t="str">
        <f t="shared" si="12"/>
        <v/>
      </c>
      <c r="C56" s="1127"/>
      <c r="D56" s="272" t="str">
        <f t="shared" si="0"/>
        <v/>
      </c>
      <c r="E56" s="1129"/>
      <c r="F56" s="273" t="str">
        <f t="shared" si="1"/>
        <v/>
      </c>
      <c r="G56" s="1127"/>
      <c r="H56" s="1131"/>
      <c r="I56" s="1131"/>
      <c r="J56" s="273" t="str">
        <f t="shared" si="2"/>
        <v/>
      </c>
      <c r="K56" s="274" t="str">
        <f t="shared" si="3"/>
        <v/>
      </c>
      <c r="L56" s="272"/>
      <c r="X56" s="275">
        <f t="shared" si="4"/>
        <v>-20</v>
      </c>
      <c r="Y56" s="275">
        <f t="shared" si="5"/>
        <v>283.16000000000003</v>
      </c>
      <c r="Z56" s="276">
        <f t="shared" si="6"/>
        <v>0</v>
      </c>
      <c r="AA56" s="277">
        <f t="shared" si="7"/>
        <v>-4.251136302924281</v>
      </c>
      <c r="AB56" s="277" t="e">
        <f t="shared" si="8"/>
        <v>#DIV/0!</v>
      </c>
      <c r="AD56" s="278">
        <f t="shared" si="9"/>
        <v>1.2038902524222677</v>
      </c>
      <c r="AE56" s="265">
        <f t="shared" si="10"/>
        <v>2.523111111111111E-2</v>
      </c>
      <c r="AF56" s="253">
        <f t="shared" si="11"/>
        <v>1.7475555555555554E-5</v>
      </c>
    </row>
    <row r="57" spans="2:32" ht="12.75" customHeight="1">
      <c r="B57" s="279" t="str">
        <f t="shared" si="12"/>
        <v/>
      </c>
      <c r="C57" s="1127"/>
      <c r="D57" s="272" t="str">
        <f t="shared" si="0"/>
        <v/>
      </c>
      <c r="E57" s="1129"/>
      <c r="F57" s="273" t="str">
        <f t="shared" si="1"/>
        <v/>
      </c>
      <c r="G57" s="1127"/>
      <c r="H57" s="1131"/>
      <c r="I57" s="1131"/>
      <c r="J57" s="273" t="str">
        <f t="shared" si="2"/>
        <v/>
      </c>
      <c r="K57" s="274" t="str">
        <f t="shared" si="3"/>
        <v/>
      </c>
      <c r="L57" s="272"/>
      <c r="X57" s="275">
        <f t="shared" si="4"/>
        <v>-20</v>
      </c>
      <c r="Y57" s="275">
        <f t="shared" si="5"/>
        <v>283.16000000000003</v>
      </c>
      <c r="Z57" s="276">
        <f t="shared" si="6"/>
        <v>0</v>
      </c>
      <c r="AA57" s="277">
        <f t="shared" si="7"/>
        <v>-4.251136302924281</v>
      </c>
      <c r="AB57" s="277" t="e">
        <f t="shared" si="8"/>
        <v>#DIV/0!</v>
      </c>
      <c r="AD57" s="278">
        <f t="shared" si="9"/>
        <v>1.2038902524222677</v>
      </c>
      <c r="AE57" s="265">
        <f t="shared" si="10"/>
        <v>2.523111111111111E-2</v>
      </c>
      <c r="AF57" s="253">
        <f t="shared" si="11"/>
        <v>1.7475555555555554E-5</v>
      </c>
    </row>
    <row r="58" spans="2:32" ht="12.75" customHeight="1">
      <c r="B58" s="279" t="str">
        <f t="shared" si="12"/>
        <v/>
      </c>
      <c r="C58" s="1127"/>
      <c r="D58" s="272" t="str">
        <f t="shared" si="0"/>
        <v/>
      </c>
      <c r="E58" s="1129"/>
      <c r="F58" s="273" t="str">
        <f t="shared" si="1"/>
        <v/>
      </c>
      <c r="G58" s="1127"/>
      <c r="H58" s="1131"/>
      <c r="I58" s="1131"/>
      <c r="J58" s="273" t="str">
        <f t="shared" si="2"/>
        <v/>
      </c>
      <c r="K58" s="274" t="str">
        <f t="shared" si="3"/>
        <v/>
      </c>
      <c r="L58" s="272"/>
      <c r="X58" s="275">
        <f t="shared" si="4"/>
        <v>-20</v>
      </c>
      <c r="Y58" s="275">
        <f t="shared" si="5"/>
        <v>283.16000000000003</v>
      </c>
      <c r="Z58" s="276">
        <f t="shared" si="6"/>
        <v>0</v>
      </c>
      <c r="AA58" s="277">
        <f t="shared" si="7"/>
        <v>-4.251136302924281</v>
      </c>
      <c r="AB58" s="277" t="e">
        <f t="shared" si="8"/>
        <v>#DIV/0!</v>
      </c>
      <c r="AD58" s="278">
        <f t="shared" si="9"/>
        <v>1.2038902524222677</v>
      </c>
      <c r="AE58" s="265">
        <f t="shared" si="10"/>
        <v>2.523111111111111E-2</v>
      </c>
      <c r="AF58" s="253">
        <f t="shared" si="11"/>
        <v>1.7475555555555554E-5</v>
      </c>
    </row>
    <row r="59" spans="2:32" ht="12.75" customHeight="1">
      <c r="B59" s="279" t="str">
        <f t="shared" si="12"/>
        <v/>
      </c>
      <c r="C59" s="1127"/>
      <c r="D59" s="272" t="str">
        <f t="shared" si="0"/>
        <v/>
      </c>
      <c r="E59" s="1129"/>
      <c r="F59" s="273" t="str">
        <f t="shared" si="1"/>
        <v/>
      </c>
      <c r="G59" s="1127"/>
      <c r="H59" s="1131"/>
      <c r="I59" s="1131"/>
      <c r="J59" s="273" t="str">
        <f t="shared" si="2"/>
        <v/>
      </c>
      <c r="K59" s="274" t="str">
        <f t="shared" si="3"/>
        <v/>
      </c>
      <c r="L59" s="272"/>
      <c r="X59" s="275">
        <f t="shared" si="4"/>
        <v>-20</v>
      </c>
      <c r="Y59" s="275">
        <f t="shared" si="5"/>
        <v>283.16000000000003</v>
      </c>
      <c r="Z59" s="276">
        <f t="shared" si="6"/>
        <v>0</v>
      </c>
      <c r="AA59" s="277">
        <f t="shared" si="7"/>
        <v>-4.251136302924281</v>
      </c>
      <c r="AB59" s="277" t="e">
        <f t="shared" si="8"/>
        <v>#DIV/0!</v>
      </c>
      <c r="AD59" s="278">
        <f t="shared" si="9"/>
        <v>1.2038902524222677</v>
      </c>
      <c r="AE59" s="265">
        <f t="shared" si="10"/>
        <v>2.523111111111111E-2</v>
      </c>
      <c r="AF59" s="253">
        <f t="shared" si="11"/>
        <v>1.7475555555555554E-5</v>
      </c>
    </row>
    <row r="60" spans="2:32" ht="12.75" customHeight="1">
      <c r="B60" s="279" t="str">
        <f t="shared" si="12"/>
        <v/>
      </c>
      <c r="C60" s="1127"/>
      <c r="D60" s="272" t="str">
        <f t="shared" si="0"/>
        <v/>
      </c>
      <c r="E60" s="1129"/>
      <c r="F60" s="273" t="str">
        <f t="shared" si="1"/>
        <v/>
      </c>
      <c r="G60" s="1127"/>
      <c r="H60" s="1131"/>
      <c r="I60" s="1131"/>
      <c r="J60" s="273" t="str">
        <f t="shared" si="2"/>
        <v/>
      </c>
      <c r="K60" s="274" t="str">
        <f t="shared" si="3"/>
        <v/>
      </c>
      <c r="L60" s="272"/>
      <c r="X60" s="275">
        <f t="shared" si="4"/>
        <v>-20</v>
      </c>
      <c r="Y60" s="275">
        <f t="shared" si="5"/>
        <v>283.16000000000003</v>
      </c>
      <c r="Z60" s="276">
        <f t="shared" si="6"/>
        <v>0</v>
      </c>
      <c r="AA60" s="277">
        <f t="shared" si="7"/>
        <v>-4.251136302924281</v>
      </c>
      <c r="AB60" s="277" t="e">
        <f t="shared" si="8"/>
        <v>#DIV/0!</v>
      </c>
      <c r="AD60" s="278">
        <f t="shared" si="9"/>
        <v>1.2038902524222677</v>
      </c>
      <c r="AE60" s="265">
        <f t="shared" si="10"/>
        <v>2.523111111111111E-2</v>
      </c>
      <c r="AF60" s="253">
        <f t="shared" si="11"/>
        <v>1.7475555555555554E-5</v>
      </c>
    </row>
    <row r="61" spans="2:32" ht="12.75" customHeight="1">
      <c r="B61" s="279" t="str">
        <f t="shared" si="12"/>
        <v/>
      </c>
      <c r="C61" s="1127"/>
      <c r="D61" s="272" t="str">
        <f t="shared" si="0"/>
        <v/>
      </c>
      <c r="E61" s="1129"/>
      <c r="F61" s="273" t="str">
        <f t="shared" si="1"/>
        <v/>
      </c>
      <c r="G61" s="1127"/>
      <c r="H61" s="1131"/>
      <c r="I61" s="1131"/>
      <c r="J61" s="273" t="str">
        <f t="shared" si="2"/>
        <v/>
      </c>
      <c r="K61" s="274" t="str">
        <f t="shared" si="3"/>
        <v/>
      </c>
      <c r="L61" s="272"/>
      <c r="X61" s="275">
        <f t="shared" si="4"/>
        <v>-20</v>
      </c>
      <c r="Y61" s="275">
        <f t="shared" si="5"/>
        <v>283.16000000000003</v>
      </c>
      <c r="Z61" s="276">
        <f t="shared" si="6"/>
        <v>0</v>
      </c>
      <c r="AA61" s="277">
        <f t="shared" si="7"/>
        <v>-4.251136302924281</v>
      </c>
      <c r="AB61" s="277" t="e">
        <f t="shared" si="8"/>
        <v>#DIV/0!</v>
      </c>
      <c r="AD61" s="278">
        <f t="shared" si="9"/>
        <v>1.2038902524222677</v>
      </c>
      <c r="AE61" s="265">
        <f t="shared" si="10"/>
        <v>2.523111111111111E-2</v>
      </c>
      <c r="AF61" s="253">
        <f t="shared" si="11"/>
        <v>1.7475555555555554E-5</v>
      </c>
    </row>
    <row r="62" spans="2:32" ht="12.75" customHeight="1">
      <c r="B62" s="279" t="str">
        <f t="shared" si="12"/>
        <v/>
      </c>
      <c r="C62" s="1127"/>
      <c r="D62" s="272" t="str">
        <f t="shared" si="0"/>
        <v/>
      </c>
      <c r="E62" s="1129"/>
      <c r="F62" s="273" t="str">
        <f t="shared" si="1"/>
        <v/>
      </c>
      <c r="G62" s="1127"/>
      <c r="H62" s="1131"/>
      <c r="I62" s="1131"/>
      <c r="J62" s="273" t="str">
        <f t="shared" si="2"/>
        <v/>
      </c>
      <c r="K62" s="274" t="str">
        <f t="shared" si="3"/>
        <v/>
      </c>
      <c r="L62" s="272"/>
      <c r="X62" s="275">
        <f t="shared" si="4"/>
        <v>-20</v>
      </c>
      <c r="Y62" s="275">
        <f t="shared" si="5"/>
        <v>283.16000000000003</v>
      </c>
      <c r="Z62" s="276">
        <f t="shared" si="6"/>
        <v>0</v>
      </c>
      <c r="AA62" s="277">
        <f t="shared" si="7"/>
        <v>-4.251136302924281</v>
      </c>
      <c r="AB62" s="277" t="e">
        <f t="shared" si="8"/>
        <v>#DIV/0!</v>
      </c>
      <c r="AD62" s="278">
        <f t="shared" si="9"/>
        <v>1.2038902524222677</v>
      </c>
      <c r="AE62" s="265">
        <f t="shared" si="10"/>
        <v>2.523111111111111E-2</v>
      </c>
      <c r="AF62" s="253">
        <f t="shared" si="11"/>
        <v>1.7475555555555554E-5</v>
      </c>
    </row>
    <row r="63" spans="2:32" ht="12.75" customHeight="1">
      <c r="B63" s="279" t="str">
        <f t="shared" si="12"/>
        <v/>
      </c>
      <c r="C63" s="1127"/>
      <c r="D63" s="272" t="str">
        <f t="shared" si="0"/>
        <v/>
      </c>
      <c r="E63" s="1129"/>
      <c r="F63" s="273" t="str">
        <f t="shared" si="1"/>
        <v/>
      </c>
      <c r="G63" s="1127"/>
      <c r="H63" s="1131"/>
      <c r="I63" s="1131"/>
      <c r="J63" s="273" t="str">
        <f t="shared" si="2"/>
        <v/>
      </c>
      <c r="K63" s="274" t="str">
        <f t="shared" si="3"/>
        <v/>
      </c>
      <c r="L63" s="272"/>
      <c r="X63" s="275">
        <f t="shared" si="4"/>
        <v>-20</v>
      </c>
      <c r="Y63" s="275">
        <f t="shared" si="5"/>
        <v>283.16000000000003</v>
      </c>
      <c r="Z63" s="276">
        <f t="shared" si="6"/>
        <v>0</v>
      </c>
      <c r="AA63" s="277">
        <f t="shared" si="7"/>
        <v>-4.251136302924281</v>
      </c>
      <c r="AB63" s="277" t="e">
        <f t="shared" si="8"/>
        <v>#DIV/0!</v>
      </c>
      <c r="AD63" s="278">
        <f t="shared" si="9"/>
        <v>1.2038902524222677</v>
      </c>
      <c r="AE63" s="265">
        <f t="shared" si="10"/>
        <v>2.523111111111111E-2</v>
      </c>
      <c r="AF63" s="253">
        <f t="shared" si="11"/>
        <v>1.7475555555555554E-5</v>
      </c>
    </row>
    <row r="64" spans="2:32" ht="12.75" customHeight="1">
      <c r="B64" s="279" t="str">
        <f t="shared" si="12"/>
        <v/>
      </c>
      <c r="C64" s="1127"/>
      <c r="D64" s="272" t="str">
        <f t="shared" si="0"/>
        <v/>
      </c>
      <c r="E64" s="1129"/>
      <c r="F64" s="273" t="str">
        <f t="shared" si="1"/>
        <v/>
      </c>
      <c r="G64" s="1127"/>
      <c r="H64" s="1131"/>
      <c r="I64" s="1131"/>
      <c r="J64" s="273" t="str">
        <f t="shared" si="2"/>
        <v/>
      </c>
      <c r="K64" s="274" t="str">
        <f t="shared" si="3"/>
        <v/>
      </c>
      <c r="L64" s="272"/>
      <c r="X64" s="275">
        <f t="shared" si="4"/>
        <v>-20</v>
      </c>
      <c r="Y64" s="275">
        <f t="shared" si="5"/>
        <v>283.16000000000003</v>
      </c>
      <c r="Z64" s="276">
        <f t="shared" si="6"/>
        <v>0</v>
      </c>
      <c r="AA64" s="277">
        <f t="shared" si="7"/>
        <v>-4.251136302924281</v>
      </c>
      <c r="AB64" s="277" t="e">
        <f t="shared" si="8"/>
        <v>#DIV/0!</v>
      </c>
      <c r="AD64" s="278">
        <f t="shared" si="9"/>
        <v>1.2038902524222677</v>
      </c>
      <c r="AE64" s="265">
        <f t="shared" si="10"/>
        <v>2.523111111111111E-2</v>
      </c>
      <c r="AF64" s="253">
        <f t="shared" si="11"/>
        <v>1.7475555555555554E-5</v>
      </c>
    </row>
    <row r="65" spans="2:32" ht="12.75" customHeight="1">
      <c r="B65" s="279" t="str">
        <f t="shared" si="12"/>
        <v/>
      </c>
      <c r="C65" s="1127"/>
      <c r="D65" s="272" t="str">
        <f t="shared" si="0"/>
        <v/>
      </c>
      <c r="E65" s="1129"/>
      <c r="F65" s="273" t="str">
        <f t="shared" si="1"/>
        <v/>
      </c>
      <c r="G65" s="1127"/>
      <c r="H65" s="1131"/>
      <c r="I65" s="1131"/>
      <c r="J65" s="273" t="str">
        <f t="shared" si="2"/>
        <v/>
      </c>
      <c r="K65" s="274" t="str">
        <f t="shared" si="3"/>
        <v/>
      </c>
      <c r="L65" s="272"/>
      <c r="X65" s="275">
        <f t="shared" si="4"/>
        <v>-20</v>
      </c>
      <c r="Y65" s="275">
        <f t="shared" si="5"/>
        <v>283.16000000000003</v>
      </c>
      <c r="Z65" s="276">
        <f t="shared" si="6"/>
        <v>0</v>
      </c>
      <c r="AA65" s="277">
        <f t="shared" si="7"/>
        <v>-4.251136302924281</v>
      </c>
      <c r="AB65" s="277" t="e">
        <f t="shared" si="8"/>
        <v>#DIV/0!</v>
      </c>
      <c r="AD65" s="278">
        <f t="shared" si="9"/>
        <v>1.2038902524222677</v>
      </c>
      <c r="AE65" s="265">
        <f t="shared" si="10"/>
        <v>2.523111111111111E-2</v>
      </c>
      <c r="AF65" s="253">
        <f t="shared" si="11"/>
        <v>1.7475555555555554E-5</v>
      </c>
    </row>
    <row r="66" spans="2:32" ht="12.75" customHeight="1">
      <c r="B66" s="279" t="str">
        <f t="shared" si="12"/>
        <v/>
      </c>
      <c r="C66" s="1127"/>
      <c r="D66" s="272" t="str">
        <f t="shared" si="0"/>
        <v/>
      </c>
      <c r="E66" s="1129"/>
      <c r="F66" s="273" t="str">
        <f t="shared" si="1"/>
        <v/>
      </c>
      <c r="G66" s="1127"/>
      <c r="H66" s="1131"/>
      <c r="I66" s="1131"/>
      <c r="J66" s="273" t="str">
        <f t="shared" si="2"/>
        <v/>
      </c>
      <c r="K66" s="274" t="str">
        <f t="shared" si="3"/>
        <v/>
      </c>
      <c r="L66" s="272"/>
      <c r="X66" s="275">
        <f t="shared" si="4"/>
        <v>-20</v>
      </c>
      <c r="Y66" s="275">
        <f t="shared" si="5"/>
        <v>283.16000000000003</v>
      </c>
      <c r="Z66" s="276">
        <f t="shared" si="6"/>
        <v>0</v>
      </c>
      <c r="AA66" s="277">
        <f t="shared" si="7"/>
        <v>-4.251136302924281</v>
      </c>
      <c r="AB66" s="277" t="e">
        <f t="shared" si="8"/>
        <v>#DIV/0!</v>
      </c>
      <c r="AD66" s="278">
        <f t="shared" si="9"/>
        <v>1.2038902524222677</v>
      </c>
      <c r="AE66" s="265">
        <f t="shared" si="10"/>
        <v>2.523111111111111E-2</v>
      </c>
      <c r="AF66" s="253">
        <f t="shared" si="11"/>
        <v>1.7475555555555554E-5</v>
      </c>
    </row>
    <row r="67" spans="2:32" ht="12.75" customHeight="1">
      <c r="B67" s="279" t="str">
        <f t="shared" si="12"/>
        <v/>
      </c>
      <c r="C67" s="1127"/>
      <c r="D67" s="272" t="str">
        <f t="shared" si="0"/>
        <v/>
      </c>
      <c r="E67" s="1129"/>
      <c r="F67" s="273" t="str">
        <f t="shared" si="1"/>
        <v/>
      </c>
      <c r="G67" s="1127"/>
      <c r="H67" s="1131"/>
      <c r="I67" s="1131"/>
      <c r="J67" s="273" t="str">
        <f t="shared" si="2"/>
        <v/>
      </c>
      <c r="K67" s="274" t="str">
        <f t="shared" si="3"/>
        <v/>
      </c>
      <c r="L67" s="272"/>
      <c r="X67" s="275">
        <f t="shared" si="4"/>
        <v>-20</v>
      </c>
      <c r="Y67" s="275">
        <f t="shared" si="5"/>
        <v>283.16000000000003</v>
      </c>
      <c r="Z67" s="276">
        <f t="shared" si="6"/>
        <v>0</v>
      </c>
      <c r="AA67" s="277">
        <f t="shared" si="7"/>
        <v>-4.251136302924281</v>
      </c>
      <c r="AB67" s="277" t="e">
        <f t="shared" si="8"/>
        <v>#DIV/0!</v>
      </c>
      <c r="AD67" s="278">
        <f t="shared" si="9"/>
        <v>1.2038902524222677</v>
      </c>
      <c r="AE67" s="265">
        <f t="shared" si="10"/>
        <v>2.523111111111111E-2</v>
      </c>
      <c r="AF67" s="253">
        <f t="shared" si="11"/>
        <v>1.7475555555555554E-5</v>
      </c>
    </row>
    <row r="68" spans="2:32" ht="12.75" customHeight="1">
      <c r="B68" s="279" t="str">
        <f t="shared" si="12"/>
        <v/>
      </c>
      <c r="C68" s="1127"/>
      <c r="D68" s="272" t="str">
        <f t="shared" si="0"/>
        <v/>
      </c>
      <c r="E68" s="1129"/>
      <c r="F68" s="273" t="str">
        <f t="shared" si="1"/>
        <v/>
      </c>
      <c r="G68" s="1127"/>
      <c r="H68" s="1131"/>
      <c r="I68" s="1131"/>
      <c r="J68" s="273" t="str">
        <f t="shared" si="2"/>
        <v/>
      </c>
      <c r="K68" s="274" t="str">
        <f t="shared" si="3"/>
        <v/>
      </c>
      <c r="L68" s="272"/>
      <c r="X68" s="275">
        <f t="shared" si="4"/>
        <v>-20</v>
      </c>
      <c r="Y68" s="275">
        <f t="shared" si="5"/>
        <v>283.16000000000003</v>
      </c>
      <c r="Z68" s="276">
        <f t="shared" si="6"/>
        <v>0</v>
      </c>
      <c r="AA68" s="277">
        <f t="shared" si="7"/>
        <v>-4.251136302924281</v>
      </c>
      <c r="AB68" s="277" t="e">
        <f t="shared" si="8"/>
        <v>#DIV/0!</v>
      </c>
      <c r="AD68" s="278">
        <f t="shared" si="9"/>
        <v>1.2038902524222677</v>
      </c>
      <c r="AE68" s="265">
        <f t="shared" si="10"/>
        <v>2.523111111111111E-2</v>
      </c>
      <c r="AF68" s="253">
        <f t="shared" si="11"/>
        <v>1.7475555555555554E-5</v>
      </c>
    </row>
    <row r="69" spans="2:32" ht="12.75" customHeight="1">
      <c r="B69" s="279" t="str">
        <f t="shared" si="12"/>
        <v/>
      </c>
      <c r="C69" s="1127"/>
      <c r="D69" s="272" t="str">
        <f t="shared" si="0"/>
        <v/>
      </c>
      <c r="E69" s="1129"/>
      <c r="F69" s="273" t="str">
        <f t="shared" si="1"/>
        <v/>
      </c>
      <c r="G69" s="1127"/>
      <c r="H69" s="1131"/>
      <c r="I69" s="1131"/>
      <c r="J69" s="273" t="str">
        <f t="shared" si="2"/>
        <v/>
      </c>
      <c r="K69" s="274" t="str">
        <f t="shared" si="3"/>
        <v/>
      </c>
      <c r="L69" s="272"/>
      <c r="X69" s="275">
        <f t="shared" si="4"/>
        <v>-20</v>
      </c>
      <c r="Y69" s="275">
        <f t="shared" si="5"/>
        <v>283.16000000000003</v>
      </c>
      <c r="Z69" s="276">
        <f t="shared" si="6"/>
        <v>0</v>
      </c>
      <c r="AA69" s="277">
        <f t="shared" si="7"/>
        <v>-4.251136302924281</v>
      </c>
      <c r="AB69" s="277" t="e">
        <f t="shared" si="8"/>
        <v>#DIV/0!</v>
      </c>
      <c r="AD69" s="278">
        <f t="shared" si="9"/>
        <v>1.2038902524222677</v>
      </c>
      <c r="AE69" s="265">
        <f t="shared" si="10"/>
        <v>2.523111111111111E-2</v>
      </c>
      <c r="AF69" s="253">
        <f t="shared" si="11"/>
        <v>1.7475555555555554E-5</v>
      </c>
    </row>
    <row r="70" spans="2:32" ht="12.75" customHeight="1">
      <c r="B70" s="279" t="str">
        <f t="shared" si="12"/>
        <v/>
      </c>
      <c r="C70" s="1127"/>
      <c r="D70" s="272" t="str">
        <f t="shared" si="0"/>
        <v/>
      </c>
      <c r="E70" s="1129"/>
      <c r="F70" s="273" t="str">
        <f t="shared" si="1"/>
        <v/>
      </c>
      <c r="G70" s="1127"/>
      <c r="H70" s="1131"/>
      <c r="I70" s="1131"/>
      <c r="J70" s="273" t="str">
        <f t="shared" si="2"/>
        <v/>
      </c>
      <c r="K70" s="274" t="str">
        <f t="shared" si="3"/>
        <v/>
      </c>
      <c r="L70" s="272"/>
      <c r="X70" s="275">
        <f t="shared" si="4"/>
        <v>-20</v>
      </c>
      <c r="Y70" s="275">
        <f t="shared" si="5"/>
        <v>283.16000000000003</v>
      </c>
      <c r="Z70" s="276">
        <f t="shared" si="6"/>
        <v>0</v>
      </c>
      <c r="AA70" s="277">
        <f t="shared" si="7"/>
        <v>-4.251136302924281</v>
      </c>
      <c r="AB70" s="277" t="e">
        <f t="shared" si="8"/>
        <v>#DIV/0!</v>
      </c>
      <c r="AD70" s="278">
        <f t="shared" si="9"/>
        <v>1.2038902524222677</v>
      </c>
      <c r="AE70" s="265">
        <f t="shared" si="10"/>
        <v>2.523111111111111E-2</v>
      </c>
      <c r="AF70" s="253">
        <f t="shared" si="11"/>
        <v>1.7475555555555554E-5</v>
      </c>
    </row>
    <row r="71" spans="2:32" ht="12.75" customHeight="1">
      <c r="B71" s="279" t="str">
        <f t="shared" si="12"/>
        <v/>
      </c>
      <c r="C71" s="1127"/>
      <c r="D71" s="272" t="str">
        <f t="shared" si="0"/>
        <v/>
      </c>
      <c r="E71" s="1129"/>
      <c r="F71" s="273" t="str">
        <f t="shared" si="1"/>
        <v/>
      </c>
      <c r="G71" s="1127"/>
      <c r="H71" s="1131"/>
      <c r="I71" s="1131"/>
      <c r="J71" s="273" t="str">
        <f t="shared" si="2"/>
        <v/>
      </c>
      <c r="K71" s="274" t="str">
        <f t="shared" si="3"/>
        <v/>
      </c>
      <c r="L71" s="272"/>
      <c r="X71" s="275">
        <f t="shared" si="4"/>
        <v>-20</v>
      </c>
      <c r="Y71" s="275">
        <f t="shared" si="5"/>
        <v>283.16000000000003</v>
      </c>
      <c r="Z71" s="276">
        <f t="shared" si="6"/>
        <v>0</v>
      </c>
      <c r="AA71" s="277">
        <f t="shared" si="7"/>
        <v>-4.251136302924281</v>
      </c>
      <c r="AB71" s="277" t="e">
        <f t="shared" si="8"/>
        <v>#DIV/0!</v>
      </c>
      <c r="AD71" s="278">
        <f t="shared" si="9"/>
        <v>1.2038902524222677</v>
      </c>
      <c r="AE71" s="265">
        <f t="shared" si="10"/>
        <v>2.523111111111111E-2</v>
      </c>
      <c r="AF71" s="253">
        <f t="shared" si="11"/>
        <v>1.7475555555555554E-5</v>
      </c>
    </row>
    <row r="72" spans="2:32" ht="12.75" customHeight="1">
      <c r="B72" s="271" t="str">
        <f t="shared" si="12"/>
        <v/>
      </c>
      <c r="C72" s="1127"/>
      <c r="D72" s="272" t="str">
        <f t="shared" si="0"/>
        <v/>
      </c>
      <c r="E72" s="1129"/>
      <c r="F72" s="273" t="str">
        <f t="shared" si="1"/>
        <v/>
      </c>
      <c r="G72" s="1127"/>
      <c r="H72" s="1131"/>
      <c r="I72" s="1131"/>
      <c r="J72" s="273" t="str">
        <f t="shared" si="2"/>
        <v/>
      </c>
      <c r="K72" s="274" t="str">
        <f t="shared" si="3"/>
        <v/>
      </c>
      <c r="L72" s="272"/>
      <c r="X72" s="275">
        <f t="shared" si="4"/>
        <v>-20</v>
      </c>
      <c r="Y72" s="275">
        <f t="shared" si="5"/>
        <v>283.16000000000003</v>
      </c>
      <c r="Z72" s="276">
        <f t="shared" si="6"/>
        <v>0</v>
      </c>
      <c r="AA72" s="277">
        <f t="shared" si="7"/>
        <v>-4.251136302924281</v>
      </c>
      <c r="AB72" s="277" t="e">
        <f t="shared" si="8"/>
        <v>#DIV/0!</v>
      </c>
      <c r="AD72" s="278">
        <f t="shared" si="9"/>
        <v>1.2038902524222677</v>
      </c>
      <c r="AE72" s="265">
        <f t="shared" si="10"/>
        <v>2.523111111111111E-2</v>
      </c>
      <c r="AF72" s="253">
        <f t="shared" si="11"/>
        <v>1.7475555555555554E-5</v>
      </c>
    </row>
    <row r="73" spans="2:32" ht="12.75" customHeight="1">
      <c r="B73" s="279" t="str">
        <f t="shared" si="12"/>
        <v/>
      </c>
      <c r="C73" s="1127"/>
      <c r="D73" s="272" t="str">
        <f t="shared" si="0"/>
        <v/>
      </c>
      <c r="E73" s="1129"/>
      <c r="F73" s="273" t="str">
        <f t="shared" si="1"/>
        <v/>
      </c>
      <c r="G73" s="1127"/>
      <c r="H73" s="1131"/>
      <c r="I73" s="1131"/>
      <c r="J73" s="273" t="str">
        <f t="shared" si="2"/>
        <v/>
      </c>
      <c r="K73" s="274" t="str">
        <f t="shared" si="3"/>
        <v/>
      </c>
      <c r="L73" s="272"/>
      <c r="X73" s="275">
        <f t="shared" si="4"/>
        <v>-20</v>
      </c>
      <c r="Y73" s="275">
        <f t="shared" si="5"/>
        <v>283.16000000000003</v>
      </c>
      <c r="Z73" s="276">
        <f t="shared" si="6"/>
        <v>0</v>
      </c>
      <c r="AA73" s="277">
        <f t="shared" si="7"/>
        <v>-4.251136302924281</v>
      </c>
      <c r="AB73" s="277" t="e">
        <f t="shared" si="8"/>
        <v>#DIV/0!</v>
      </c>
      <c r="AD73" s="278">
        <f t="shared" si="9"/>
        <v>1.2038902524222677</v>
      </c>
      <c r="AE73" s="265">
        <f t="shared" si="10"/>
        <v>2.523111111111111E-2</v>
      </c>
      <c r="AF73" s="253">
        <f t="shared" si="11"/>
        <v>1.7475555555555554E-5</v>
      </c>
    </row>
    <row r="74" spans="2:32" ht="12.75" customHeight="1">
      <c r="B74" s="279" t="str">
        <f t="shared" si="12"/>
        <v/>
      </c>
      <c r="C74" s="1127"/>
      <c r="D74" s="272" t="str">
        <f t="shared" ref="D74:D105" si="13">IF(C74="","",C74-B74)</f>
        <v/>
      </c>
      <c r="E74" s="1129"/>
      <c r="F74" s="273" t="str">
        <f t="shared" ref="F74:F105" si="14">IF(D74="","",PI()*D74*E74)</f>
        <v/>
      </c>
      <c r="G74" s="1127"/>
      <c r="H74" s="1131"/>
      <c r="I74" s="1131"/>
      <c r="J74" s="273" t="str">
        <f t="shared" ref="J74:J105" si="15">IF(F74="","",Z74+SQRT(AA74^2+AB74^2))</f>
        <v/>
      </c>
      <c r="K74" s="274" t="str">
        <f t="shared" ref="K74:K105" si="16">IF(F74="","",J74*F74*(G74-$K$22)/1000)</f>
        <v/>
      </c>
      <c r="L74" s="280"/>
      <c r="X74" s="275">
        <f t="shared" ref="X74:X105" si="17">G74-$K$22</f>
        <v>-20</v>
      </c>
      <c r="Y74" s="275">
        <f t="shared" ref="Y74:Y105" si="18">(G74+$K$22)/2+273.16</f>
        <v>283.16000000000003</v>
      </c>
      <c r="Z74" s="276">
        <f t="shared" ref="Z74:Z105" si="19">5.67*H74*0.04*(Y74/100)^3*(1+0.25*(X74/Y74)^2)</f>
        <v>0</v>
      </c>
      <c r="AA74" s="277">
        <f t="shared" ref="AA74:AA105" si="20">1.4*($K$24*$K$24*(273.16+TAMB)/Y74*X74)^(1/3)</f>
        <v>-4.251136302924281</v>
      </c>
      <c r="AB74" s="277" t="e">
        <f t="shared" ref="AB74:AB105" si="21">0.00672*AE74*(AD74*I74/AF74)^0.905*E74^-0.095</f>
        <v>#DIV/0!</v>
      </c>
      <c r="AD74" s="278">
        <f t="shared" ref="AD74:AD105" si="22">$K$24*(273.16+TAMB)/Y74</f>
        <v>1.2038902524222677</v>
      </c>
      <c r="AE74" s="265">
        <f t="shared" ref="AE74:AE105" si="23">$AA$26+($AA$27-$AA$26)/($Z$27-$Z$26)*(Y74-273.16)</f>
        <v>2.523111111111111E-2</v>
      </c>
      <c r="AF74" s="253">
        <f t="shared" ref="AF74:AF105" si="24">$AB$26+($AB$27-$AB$26)/($Z$27-$Z$26)*(Y74-273.16)</f>
        <v>1.7475555555555554E-5</v>
      </c>
    </row>
    <row r="75" spans="2:32" ht="12.75" customHeight="1">
      <c r="B75" s="279" t="str">
        <f t="shared" ref="B75:B106" si="25">IF(C75="","",C74)</f>
        <v/>
      </c>
      <c r="C75" s="1127"/>
      <c r="D75" s="272" t="str">
        <f t="shared" si="13"/>
        <v/>
      </c>
      <c r="E75" s="1129"/>
      <c r="F75" s="273" t="str">
        <f t="shared" si="14"/>
        <v/>
      </c>
      <c r="G75" s="1127"/>
      <c r="H75" s="1131"/>
      <c r="I75" s="1131"/>
      <c r="J75" s="273" t="str">
        <f t="shared" si="15"/>
        <v/>
      </c>
      <c r="K75" s="274" t="str">
        <f t="shared" si="16"/>
        <v/>
      </c>
      <c r="L75" s="272"/>
      <c r="X75" s="275">
        <f t="shared" si="17"/>
        <v>-20</v>
      </c>
      <c r="Y75" s="275">
        <f t="shared" si="18"/>
        <v>283.16000000000003</v>
      </c>
      <c r="Z75" s="276">
        <f t="shared" si="19"/>
        <v>0</v>
      </c>
      <c r="AA75" s="277">
        <f t="shared" si="20"/>
        <v>-4.251136302924281</v>
      </c>
      <c r="AB75" s="277" t="e">
        <f t="shared" si="21"/>
        <v>#DIV/0!</v>
      </c>
      <c r="AD75" s="278">
        <f t="shared" si="22"/>
        <v>1.2038902524222677</v>
      </c>
      <c r="AE75" s="265">
        <f t="shared" si="23"/>
        <v>2.523111111111111E-2</v>
      </c>
      <c r="AF75" s="253">
        <f t="shared" si="24"/>
        <v>1.7475555555555554E-5</v>
      </c>
    </row>
    <row r="76" spans="2:32" ht="12.75" customHeight="1">
      <c r="B76" s="279" t="str">
        <f t="shared" si="25"/>
        <v/>
      </c>
      <c r="C76" s="1127"/>
      <c r="D76" s="272" t="str">
        <f t="shared" si="13"/>
        <v/>
      </c>
      <c r="E76" s="1129"/>
      <c r="F76" s="273" t="str">
        <f t="shared" si="14"/>
        <v/>
      </c>
      <c r="G76" s="1127"/>
      <c r="H76" s="1131"/>
      <c r="I76" s="1131"/>
      <c r="J76" s="273" t="str">
        <f t="shared" si="15"/>
        <v/>
      </c>
      <c r="K76" s="274" t="str">
        <f t="shared" si="16"/>
        <v/>
      </c>
      <c r="L76" s="272"/>
      <c r="X76" s="275">
        <f t="shared" si="17"/>
        <v>-20</v>
      </c>
      <c r="Y76" s="275">
        <f t="shared" si="18"/>
        <v>283.16000000000003</v>
      </c>
      <c r="Z76" s="276">
        <f t="shared" si="19"/>
        <v>0</v>
      </c>
      <c r="AA76" s="277">
        <f t="shared" si="20"/>
        <v>-4.251136302924281</v>
      </c>
      <c r="AB76" s="277" t="e">
        <f t="shared" si="21"/>
        <v>#DIV/0!</v>
      </c>
      <c r="AD76" s="278">
        <f t="shared" si="22"/>
        <v>1.2038902524222677</v>
      </c>
      <c r="AE76" s="265">
        <f t="shared" si="23"/>
        <v>2.523111111111111E-2</v>
      </c>
      <c r="AF76" s="253">
        <f t="shared" si="24"/>
        <v>1.7475555555555554E-5</v>
      </c>
    </row>
    <row r="77" spans="2:32" ht="12.75" customHeight="1">
      <c r="B77" s="279" t="str">
        <f t="shared" si="25"/>
        <v/>
      </c>
      <c r="C77" s="1127"/>
      <c r="D77" s="272" t="str">
        <f t="shared" si="13"/>
        <v/>
      </c>
      <c r="E77" s="1129"/>
      <c r="F77" s="273" t="str">
        <f t="shared" si="14"/>
        <v/>
      </c>
      <c r="G77" s="1127"/>
      <c r="H77" s="1131"/>
      <c r="I77" s="1131"/>
      <c r="J77" s="273" t="str">
        <f t="shared" si="15"/>
        <v/>
      </c>
      <c r="K77" s="274" t="str">
        <f t="shared" si="16"/>
        <v/>
      </c>
      <c r="L77" s="272"/>
      <c r="X77" s="275">
        <f t="shared" si="17"/>
        <v>-20</v>
      </c>
      <c r="Y77" s="275">
        <f t="shared" si="18"/>
        <v>283.16000000000003</v>
      </c>
      <c r="Z77" s="276">
        <f t="shared" si="19"/>
        <v>0</v>
      </c>
      <c r="AA77" s="277">
        <f t="shared" si="20"/>
        <v>-4.251136302924281</v>
      </c>
      <c r="AB77" s="277" t="e">
        <f t="shared" si="21"/>
        <v>#DIV/0!</v>
      </c>
      <c r="AD77" s="278">
        <f t="shared" si="22"/>
        <v>1.2038902524222677</v>
      </c>
      <c r="AE77" s="265">
        <f t="shared" si="23"/>
        <v>2.523111111111111E-2</v>
      </c>
      <c r="AF77" s="253">
        <f t="shared" si="24"/>
        <v>1.7475555555555554E-5</v>
      </c>
    </row>
    <row r="78" spans="2:32" ht="12.75" customHeight="1">
      <c r="B78" s="279" t="str">
        <f t="shared" si="25"/>
        <v/>
      </c>
      <c r="C78" s="1127"/>
      <c r="D78" s="272" t="str">
        <f t="shared" si="13"/>
        <v/>
      </c>
      <c r="E78" s="1129"/>
      <c r="F78" s="273" t="str">
        <f t="shared" si="14"/>
        <v/>
      </c>
      <c r="G78" s="1127"/>
      <c r="H78" s="1131"/>
      <c r="I78" s="1131"/>
      <c r="J78" s="273" t="str">
        <f t="shared" si="15"/>
        <v/>
      </c>
      <c r="K78" s="274" t="str">
        <f t="shared" si="16"/>
        <v/>
      </c>
      <c r="L78" s="272"/>
      <c r="X78" s="275">
        <f t="shared" si="17"/>
        <v>-20</v>
      </c>
      <c r="Y78" s="275">
        <f t="shared" si="18"/>
        <v>283.16000000000003</v>
      </c>
      <c r="Z78" s="276">
        <f t="shared" si="19"/>
        <v>0</v>
      </c>
      <c r="AA78" s="277">
        <f t="shared" si="20"/>
        <v>-4.251136302924281</v>
      </c>
      <c r="AB78" s="277" t="e">
        <f t="shared" si="21"/>
        <v>#DIV/0!</v>
      </c>
      <c r="AD78" s="278">
        <f t="shared" si="22"/>
        <v>1.2038902524222677</v>
      </c>
      <c r="AE78" s="265">
        <f t="shared" si="23"/>
        <v>2.523111111111111E-2</v>
      </c>
      <c r="AF78" s="253">
        <f t="shared" si="24"/>
        <v>1.7475555555555554E-5</v>
      </c>
    </row>
    <row r="79" spans="2:32" ht="12.75" customHeight="1">
      <c r="B79" s="279" t="str">
        <f t="shared" si="25"/>
        <v/>
      </c>
      <c r="C79" s="1127"/>
      <c r="D79" s="272" t="str">
        <f t="shared" si="13"/>
        <v/>
      </c>
      <c r="E79" s="1129"/>
      <c r="F79" s="273" t="str">
        <f t="shared" si="14"/>
        <v/>
      </c>
      <c r="G79" s="1127"/>
      <c r="H79" s="1131"/>
      <c r="I79" s="1131"/>
      <c r="J79" s="273" t="str">
        <f t="shared" si="15"/>
        <v/>
      </c>
      <c r="K79" s="274" t="str">
        <f t="shared" si="16"/>
        <v/>
      </c>
      <c r="L79" s="272"/>
      <c r="X79" s="275">
        <f t="shared" si="17"/>
        <v>-20</v>
      </c>
      <c r="Y79" s="275">
        <f t="shared" si="18"/>
        <v>283.16000000000003</v>
      </c>
      <c r="Z79" s="276">
        <f t="shared" si="19"/>
        <v>0</v>
      </c>
      <c r="AA79" s="277">
        <f t="shared" si="20"/>
        <v>-4.251136302924281</v>
      </c>
      <c r="AB79" s="277" t="e">
        <f t="shared" si="21"/>
        <v>#DIV/0!</v>
      </c>
      <c r="AD79" s="278">
        <f t="shared" si="22"/>
        <v>1.2038902524222677</v>
      </c>
      <c r="AE79" s="265">
        <f t="shared" si="23"/>
        <v>2.523111111111111E-2</v>
      </c>
      <c r="AF79" s="253">
        <f t="shared" si="24"/>
        <v>1.7475555555555554E-5</v>
      </c>
    </row>
    <row r="80" spans="2:32" ht="12.75" customHeight="1">
      <c r="B80" s="279" t="str">
        <f t="shared" si="25"/>
        <v/>
      </c>
      <c r="C80" s="1127"/>
      <c r="D80" s="272" t="str">
        <f t="shared" si="13"/>
        <v/>
      </c>
      <c r="E80" s="1129"/>
      <c r="F80" s="273" t="str">
        <f t="shared" si="14"/>
        <v/>
      </c>
      <c r="G80" s="1127"/>
      <c r="H80" s="1131"/>
      <c r="I80" s="1131"/>
      <c r="J80" s="273" t="str">
        <f t="shared" si="15"/>
        <v/>
      </c>
      <c r="K80" s="274" t="str">
        <f t="shared" si="16"/>
        <v/>
      </c>
      <c r="L80" s="272"/>
      <c r="X80" s="275">
        <f t="shared" si="17"/>
        <v>-20</v>
      </c>
      <c r="Y80" s="275">
        <f t="shared" si="18"/>
        <v>283.16000000000003</v>
      </c>
      <c r="Z80" s="276">
        <f t="shared" si="19"/>
        <v>0</v>
      </c>
      <c r="AA80" s="277">
        <f t="shared" si="20"/>
        <v>-4.251136302924281</v>
      </c>
      <c r="AB80" s="277" t="e">
        <f t="shared" si="21"/>
        <v>#DIV/0!</v>
      </c>
      <c r="AD80" s="278">
        <f t="shared" si="22"/>
        <v>1.2038902524222677</v>
      </c>
      <c r="AE80" s="265">
        <f t="shared" si="23"/>
        <v>2.523111111111111E-2</v>
      </c>
      <c r="AF80" s="253">
        <f t="shared" si="24"/>
        <v>1.7475555555555554E-5</v>
      </c>
    </row>
    <row r="81" spans="2:32" ht="12.75" customHeight="1">
      <c r="B81" s="279" t="str">
        <f t="shared" si="25"/>
        <v/>
      </c>
      <c r="C81" s="1127"/>
      <c r="D81" s="272" t="str">
        <f t="shared" si="13"/>
        <v/>
      </c>
      <c r="E81" s="1129"/>
      <c r="F81" s="273" t="str">
        <f t="shared" si="14"/>
        <v/>
      </c>
      <c r="G81" s="1127"/>
      <c r="H81" s="1131"/>
      <c r="I81" s="1131"/>
      <c r="J81" s="273" t="str">
        <f t="shared" si="15"/>
        <v/>
      </c>
      <c r="K81" s="274" t="str">
        <f t="shared" si="16"/>
        <v/>
      </c>
      <c r="L81" s="272"/>
      <c r="X81" s="275">
        <f t="shared" si="17"/>
        <v>-20</v>
      </c>
      <c r="Y81" s="275">
        <f t="shared" si="18"/>
        <v>283.16000000000003</v>
      </c>
      <c r="Z81" s="276">
        <f t="shared" si="19"/>
        <v>0</v>
      </c>
      <c r="AA81" s="277">
        <f t="shared" si="20"/>
        <v>-4.251136302924281</v>
      </c>
      <c r="AB81" s="277" t="e">
        <f t="shared" si="21"/>
        <v>#DIV/0!</v>
      </c>
      <c r="AD81" s="278">
        <f t="shared" si="22"/>
        <v>1.2038902524222677</v>
      </c>
      <c r="AE81" s="265">
        <f t="shared" si="23"/>
        <v>2.523111111111111E-2</v>
      </c>
      <c r="AF81" s="253">
        <f t="shared" si="24"/>
        <v>1.7475555555555554E-5</v>
      </c>
    </row>
    <row r="82" spans="2:32" ht="12.75" customHeight="1">
      <c r="B82" s="279" t="str">
        <f t="shared" si="25"/>
        <v/>
      </c>
      <c r="C82" s="1127"/>
      <c r="D82" s="272" t="str">
        <f t="shared" si="13"/>
        <v/>
      </c>
      <c r="E82" s="1129"/>
      <c r="F82" s="273" t="str">
        <f t="shared" si="14"/>
        <v/>
      </c>
      <c r="G82" s="1127"/>
      <c r="H82" s="1131"/>
      <c r="I82" s="1131"/>
      <c r="J82" s="273" t="str">
        <f t="shared" si="15"/>
        <v/>
      </c>
      <c r="K82" s="274" t="str">
        <f t="shared" si="16"/>
        <v/>
      </c>
      <c r="L82" s="272"/>
      <c r="X82" s="275">
        <f t="shared" si="17"/>
        <v>-20</v>
      </c>
      <c r="Y82" s="275">
        <f t="shared" si="18"/>
        <v>283.16000000000003</v>
      </c>
      <c r="Z82" s="276">
        <f t="shared" si="19"/>
        <v>0</v>
      </c>
      <c r="AA82" s="277">
        <f t="shared" si="20"/>
        <v>-4.251136302924281</v>
      </c>
      <c r="AB82" s="277" t="e">
        <f t="shared" si="21"/>
        <v>#DIV/0!</v>
      </c>
      <c r="AD82" s="278">
        <f t="shared" si="22"/>
        <v>1.2038902524222677</v>
      </c>
      <c r="AE82" s="265">
        <f t="shared" si="23"/>
        <v>2.523111111111111E-2</v>
      </c>
      <c r="AF82" s="253">
        <f t="shared" si="24"/>
        <v>1.7475555555555554E-5</v>
      </c>
    </row>
    <row r="83" spans="2:32" ht="12.75" customHeight="1">
      <c r="B83" s="279" t="str">
        <f t="shared" si="25"/>
        <v/>
      </c>
      <c r="C83" s="1127"/>
      <c r="D83" s="272" t="str">
        <f t="shared" si="13"/>
        <v/>
      </c>
      <c r="E83" s="1129"/>
      <c r="F83" s="273" t="str">
        <f t="shared" si="14"/>
        <v/>
      </c>
      <c r="G83" s="1127"/>
      <c r="H83" s="1131"/>
      <c r="I83" s="1131"/>
      <c r="J83" s="273" t="str">
        <f t="shared" si="15"/>
        <v/>
      </c>
      <c r="K83" s="274" t="str">
        <f t="shared" si="16"/>
        <v/>
      </c>
      <c r="L83" s="272"/>
      <c r="X83" s="275">
        <f t="shared" si="17"/>
        <v>-20</v>
      </c>
      <c r="Y83" s="275">
        <f t="shared" si="18"/>
        <v>283.16000000000003</v>
      </c>
      <c r="Z83" s="276">
        <f t="shared" si="19"/>
        <v>0</v>
      </c>
      <c r="AA83" s="277">
        <f t="shared" si="20"/>
        <v>-4.251136302924281</v>
      </c>
      <c r="AB83" s="277" t="e">
        <f t="shared" si="21"/>
        <v>#DIV/0!</v>
      </c>
      <c r="AD83" s="278">
        <f t="shared" si="22"/>
        <v>1.2038902524222677</v>
      </c>
      <c r="AE83" s="265">
        <f t="shared" si="23"/>
        <v>2.523111111111111E-2</v>
      </c>
      <c r="AF83" s="253">
        <f t="shared" si="24"/>
        <v>1.7475555555555554E-5</v>
      </c>
    </row>
    <row r="84" spans="2:32" ht="12.75" customHeight="1">
      <c r="B84" s="279" t="str">
        <f t="shared" si="25"/>
        <v/>
      </c>
      <c r="C84" s="1127"/>
      <c r="D84" s="272" t="str">
        <f t="shared" si="13"/>
        <v/>
      </c>
      <c r="E84" s="1129"/>
      <c r="F84" s="273" t="str">
        <f t="shared" si="14"/>
        <v/>
      </c>
      <c r="G84" s="1127"/>
      <c r="H84" s="1131"/>
      <c r="I84" s="1131"/>
      <c r="J84" s="273" t="str">
        <f t="shared" si="15"/>
        <v/>
      </c>
      <c r="K84" s="274" t="str">
        <f t="shared" si="16"/>
        <v/>
      </c>
      <c r="L84" s="272"/>
      <c r="X84" s="275">
        <f t="shared" si="17"/>
        <v>-20</v>
      </c>
      <c r="Y84" s="275">
        <f t="shared" si="18"/>
        <v>283.16000000000003</v>
      </c>
      <c r="Z84" s="276">
        <f t="shared" si="19"/>
        <v>0</v>
      </c>
      <c r="AA84" s="277">
        <f t="shared" si="20"/>
        <v>-4.251136302924281</v>
      </c>
      <c r="AB84" s="277" t="e">
        <f t="shared" si="21"/>
        <v>#DIV/0!</v>
      </c>
      <c r="AD84" s="278">
        <f t="shared" si="22"/>
        <v>1.2038902524222677</v>
      </c>
      <c r="AE84" s="265">
        <f t="shared" si="23"/>
        <v>2.523111111111111E-2</v>
      </c>
      <c r="AF84" s="253">
        <f t="shared" si="24"/>
        <v>1.7475555555555554E-5</v>
      </c>
    </row>
    <row r="85" spans="2:32" ht="12.75" customHeight="1">
      <c r="B85" s="279" t="str">
        <f t="shared" si="25"/>
        <v/>
      </c>
      <c r="C85" s="1127"/>
      <c r="D85" s="272" t="str">
        <f t="shared" si="13"/>
        <v/>
      </c>
      <c r="E85" s="1129"/>
      <c r="F85" s="273" t="str">
        <f t="shared" si="14"/>
        <v/>
      </c>
      <c r="G85" s="1127"/>
      <c r="H85" s="1131"/>
      <c r="I85" s="1131"/>
      <c r="J85" s="273" t="str">
        <f t="shared" si="15"/>
        <v/>
      </c>
      <c r="K85" s="274" t="str">
        <f t="shared" si="16"/>
        <v/>
      </c>
      <c r="L85" s="272"/>
      <c r="X85" s="275">
        <f t="shared" si="17"/>
        <v>-20</v>
      </c>
      <c r="Y85" s="275">
        <f t="shared" si="18"/>
        <v>283.16000000000003</v>
      </c>
      <c r="Z85" s="276">
        <f t="shared" si="19"/>
        <v>0</v>
      </c>
      <c r="AA85" s="277">
        <f t="shared" si="20"/>
        <v>-4.251136302924281</v>
      </c>
      <c r="AB85" s="277" t="e">
        <f t="shared" si="21"/>
        <v>#DIV/0!</v>
      </c>
      <c r="AD85" s="278">
        <f t="shared" si="22"/>
        <v>1.2038902524222677</v>
      </c>
      <c r="AE85" s="265">
        <f t="shared" si="23"/>
        <v>2.523111111111111E-2</v>
      </c>
      <c r="AF85" s="253">
        <f t="shared" si="24"/>
        <v>1.7475555555555554E-5</v>
      </c>
    </row>
    <row r="86" spans="2:32" ht="12.75" customHeight="1">
      <c r="B86" s="279" t="str">
        <f t="shared" si="25"/>
        <v/>
      </c>
      <c r="C86" s="1127"/>
      <c r="D86" s="272" t="str">
        <f t="shared" si="13"/>
        <v/>
      </c>
      <c r="E86" s="1129"/>
      <c r="F86" s="273" t="str">
        <f t="shared" si="14"/>
        <v/>
      </c>
      <c r="G86" s="1127"/>
      <c r="H86" s="1131"/>
      <c r="I86" s="1131"/>
      <c r="J86" s="273" t="str">
        <f t="shared" si="15"/>
        <v/>
      </c>
      <c r="K86" s="274" t="str">
        <f t="shared" si="16"/>
        <v/>
      </c>
      <c r="L86" s="272"/>
      <c r="X86" s="275">
        <f t="shared" si="17"/>
        <v>-20</v>
      </c>
      <c r="Y86" s="275">
        <f t="shared" si="18"/>
        <v>283.16000000000003</v>
      </c>
      <c r="Z86" s="276">
        <f t="shared" si="19"/>
        <v>0</v>
      </c>
      <c r="AA86" s="277">
        <f t="shared" si="20"/>
        <v>-4.251136302924281</v>
      </c>
      <c r="AB86" s="277" t="e">
        <f t="shared" si="21"/>
        <v>#DIV/0!</v>
      </c>
      <c r="AD86" s="278">
        <f t="shared" si="22"/>
        <v>1.2038902524222677</v>
      </c>
      <c r="AE86" s="265">
        <f t="shared" si="23"/>
        <v>2.523111111111111E-2</v>
      </c>
      <c r="AF86" s="253">
        <f t="shared" si="24"/>
        <v>1.7475555555555554E-5</v>
      </c>
    </row>
    <row r="87" spans="2:32" ht="12.75" customHeight="1">
      <c r="B87" s="279" t="str">
        <f t="shared" si="25"/>
        <v/>
      </c>
      <c r="C87" s="1127"/>
      <c r="D87" s="272" t="str">
        <f t="shared" si="13"/>
        <v/>
      </c>
      <c r="E87" s="1129"/>
      <c r="F87" s="273" t="str">
        <f t="shared" si="14"/>
        <v/>
      </c>
      <c r="G87" s="1127"/>
      <c r="H87" s="1131"/>
      <c r="I87" s="1131"/>
      <c r="J87" s="273" t="str">
        <f t="shared" si="15"/>
        <v/>
      </c>
      <c r="K87" s="274" t="str">
        <f t="shared" si="16"/>
        <v/>
      </c>
      <c r="L87" s="272"/>
      <c r="X87" s="275">
        <f t="shared" si="17"/>
        <v>-20</v>
      </c>
      <c r="Y87" s="275">
        <f t="shared" si="18"/>
        <v>283.16000000000003</v>
      </c>
      <c r="Z87" s="276">
        <f t="shared" si="19"/>
        <v>0</v>
      </c>
      <c r="AA87" s="277">
        <f t="shared" si="20"/>
        <v>-4.251136302924281</v>
      </c>
      <c r="AB87" s="277" t="e">
        <f t="shared" si="21"/>
        <v>#DIV/0!</v>
      </c>
      <c r="AD87" s="278">
        <f t="shared" si="22"/>
        <v>1.2038902524222677</v>
      </c>
      <c r="AE87" s="265">
        <f t="shared" si="23"/>
        <v>2.523111111111111E-2</v>
      </c>
      <c r="AF87" s="253">
        <f t="shared" si="24"/>
        <v>1.7475555555555554E-5</v>
      </c>
    </row>
    <row r="88" spans="2:32" ht="12.75" customHeight="1">
      <c r="B88" s="279" t="str">
        <f t="shared" si="25"/>
        <v/>
      </c>
      <c r="C88" s="1127"/>
      <c r="D88" s="272" t="str">
        <f t="shared" si="13"/>
        <v/>
      </c>
      <c r="E88" s="1129"/>
      <c r="F88" s="273" t="str">
        <f t="shared" si="14"/>
        <v/>
      </c>
      <c r="G88" s="1127"/>
      <c r="H88" s="1131"/>
      <c r="I88" s="1131"/>
      <c r="J88" s="273" t="str">
        <f t="shared" si="15"/>
        <v/>
      </c>
      <c r="K88" s="274" t="str">
        <f t="shared" si="16"/>
        <v/>
      </c>
      <c r="L88" s="272"/>
      <c r="X88" s="275">
        <f t="shared" si="17"/>
        <v>-20</v>
      </c>
      <c r="Y88" s="275">
        <f t="shared" si="18"/>
        <v>283.16000000000003</v>
      </c>
      <c r="Z88" s="276">
        <f t="shared" si="19"/>
        <v>0</v>
      </c>
      <c r="AA88" s="277">
        <f t="shared" si="20"/>
        <v>-4.251136302924281</v>
      </c>
      <c r="AB88" s="277" t="e">
        <f t="shared" si="21"/>
        <v>#DIV/0!</v>
      </c>
      <c r="AD88" s="278">
        <f t="shared" si="22"/>
        <v>1.2038902524222677</v>
      </c>
      <c r="AE88" s="265">
        <f t="shared" si="23"/>
        <v>2.523111111111111E-2</v>
      </c>
      <c r="AF88" s="253">
        <f t="shared" si="24"/>
        <v>1.7475555555555554E-5</v>
      </c>
    </row>
    <row r="89" spans="2:32" ht="12.75" customHeight="1">
      <c r="B89" s="279" t="str">
        <f t="shared" si="25"/>
        <v/>
      </c>
      <c r="C89" s="1127"/>
      <c r="D89" s="272" t="str">
        <f t="shared" si="13"/>
        <v/>
      </c>
      <c r="E89" s="1129"/>
      <c r="F89" s="273" t="str">
        <f t="shared" si="14"/>
        <v/>
      </c>
      <c r="G89" s="1127"/>
      <c r="H89" s="1131"/>
      <c r="I89" s="1131"/>
      <c r="J89" s="273" t="str">
        <f t="shared" si="15"/>
        <v/>
      </c>
      <c r="K89" s="274" t="str">
        <f t="shared" si="16"/>
        <v/>
      </c>
      <c r="L89" s="272"/>
      <c r="X89" s="275">
        <f t="shared" si="17"/>
        <v>-20</v>
      </c>
      <c r="Y89" s="275">
        <f t="shared" si="18"/>
        <v>283.16000000000003</v>
      </c>
      <c r="Z89" s="276">
        <f t="shared" si="19"/>
        <v>0</v>
      </c>
      <c r="AA89" s="277">
        <f t="shared" si="20"/>
        <v>-4.251136302924281</v>
      </c>
      <c r="AB89" s="277" t="e">
        <f t="shared" si="21"/>
        <v>#DIV/0!</v>
      </c>
      <c r="AD89" s="278">
        <f t="shared" si="22"/>
        <v>1.2038902524222677</v>
      </c>
      <c r="AE89" s="265">
        <f t="shared" si="23"/>
        <v>2.523111111111111E-2</v>
      </c>
      <c r="AF89" s="253">
        <f t="shared" si="24"/>
        <v>1.7475555555555554E-5</v>
      </c>
    </row>
    <row r="90" spans="2:32" ht="12.75" customHeight="1">
      <c r="B90" s="279" t="str">
        <f t="shared" si="25"/>
        <v/>
      </c>
      <c r="C90" s="1127"/>
      <c r="D90" s="272" t="str">
        <f t="shared" si="13"/>
        <v/>
      </c>
      <c r="E90" s="1129"/>
      <c r="F90" s="273" t="str">
        <f t="shared" si="14"/>
        <v/>
      </c>
      <c r="G90" s="1127"/>
      <c r="H90" s="1131"/>
      <c r="I90" s="1131"/>
      <c r="J90" s="273" t="str">
        <f t="shared" si="15"/>
        <v/>
      </c>
      <c r="K90" s="274" t="str">
        <f t="shared" si="16"/>
        <v/>
      </c>
      <c r="L90" s="272"/>
      <c r="X90" s="275">
        <f t="shared" si="17"/>
        <v>-20</v>
      </c>
      <c r="Y90" s="275">
        <f t="shared" si="18"/>
        <v>283.16000000000003</v>
      </c>
      <c r="Z90" s="276">
        <f t="shared" si="19"/>
        <v>0</v>
      </c>
      <c r="AA90" s="277">
        <f t="shared" si="20"/>
        <v>-4.251136302924281</v>
      </c>
      <c r="AB90" s="277" t="e">
        <f t="shared" si="21"/>
        <v>#DIV/0!</v>
      </c>
      <c r="AD90" s="278">
        <f t="shared" si="22"/>
        <v>1.2038902524222677</v>
      </c>
      <c r="AE90" s="265">
        <f t="shared" si="23"/>
        <v>2.523111111111111E-2</v>
      </c>
      <c r="AF90" s="253">
        <f t="shared" si="24"/>
        <v>1.7475555555555554E-5</v>
      </c>
    </row>
    <row r="91" spans="2:32" ht="12.75" customHeight="1">
      <c r="B91" s="279" t="str">
        <f t="shared" si="25"/>
        <v/>
      </c>
      <c r="C91" s="1127"/>
      <c r="D91" s="272" t="str">
        <f t="shared" si="13"/>
        <v/>
      </c>
      <c r="E91" s="1129"/>
      <c r="F91" s="273" t="str">
        <f t="shared" si="14"/>
        <v/>
      </c>
      <c r="G91" s="1127"/>
      <c r="H91" s="1131"/>
      <c r="I91" s="1131"/>
      <c r="J91" s="273" t="str">
        <f t="shared" si="15"/>
        <v/>
      </c>
      <c r="K91" s="274" t="str">
        <f t="shared" si="16"/>
        <v/>
      </c>
      <c r="L91" s="272"/>
      <c r="X91" s="275">
        <f t="shared" si="17"/>
        <v>-20</v>
      </c>
      <c r="Y91" s="275">
        <f t="shared" si="18"/>
        <v>283.16000000000003</v>
      </c>
      <c r="Z91" s="276">
        <f t="shared" si="19"/>
        <v>0</v>
      </c>
      <c r="AA91" s="277">
        <f t="shared" si="20"/>
        <v>-4.251136302924281</v>
      </c>
      <c r="AB91" s="277" t="e">
        <f t="shared" si="21"/>
        <v>#DIV/0!</v>
      </c>
      <c r="AD91" s="278">
        <f t="shared" si="22"/>
        <v>1.2038902524222677</v>
      </c>
      <c r="AE91" s="265">
        <f t="shared" si="23"/>
        <v>2.523111111111111E-2</v>
      </c>
      <c r="AF91" s="253">
        <f t="shared" si="24"/>
        <v>1.7475555555555554E-5</v>
      </c>
    </row>
    <row r="92" spans="2:32" ht="12.75" customHeight="1">
      <c r="B92" s="279" t="str">
        <f t="shared" si="25"/>
        <v/>
      </c>
      <c r="C92" s="1127"/>
      <c r="D92" s="272" t="str">
        <f t="shared" si="13"/>
        <v/>
      </c>
      <c r="E92" s="1129"/>
      <c r="F92" s="273" t="str">
        <f t="shared" si="14"/>
        <v/>
      </c>
      <c r="G92" s="1127"/>
      <c r="H92" s="1131"/>
      <c r="I92" s="1131"/>
      <c r="J92" s="273" t="str">
        <f t="shared" si="15"/>
        <v/>
      </c>
      <c r="K92" s="274" t="str">
        <f t="shared" si="16"/>
        <v/>
      </c>
      <c r="L92" s="272"/>
      <c r="X92" s="275">
        <f t="shared" si="17"/>
        <v>-20</v>
      </c>
      <c r="Y92" s="275">
        <f t="shared" si="18"/>
        <v>283.16000000000003</v>
      </c>
      <c r="Z92" s="276">
        <f t="shared" si="19"/>
        <v>0</v>
      </c>
      <c r="AA92" s="277">
        <f t="shared" si="20"/>
        <v>-4.251136302924281</v>
      </c>
      <c r="AB92" s="277" t="e">
        <f t="shared" si="21"/>
        <v>#DIV/0!</v>
      </c>
      <c r="AD92" s="278">
        <f t="shared" si="22"/>
        <v>1.2038902524222677</v>
      </c>
      <c r="AE92" s="265">
        <f t="shared" si="23"/>
        <v>2.523111111111111E-2</v>
      </c>
      <c r="AF92" s="253">
        <f t="shared" si="24"/>
        <v>1.7475555555555554E-5</v>
      </c>
    </row>
    <row r="93" spans="2:32" ht="12.75" customHeight="1">
      <c r="B93" s="279" t="str">
        <f t="shared" si="25"/>
        <v/>
      </c>
      <c r="C93" s="1127"/>
      <c r="D93" s="272" t="str">
        <f t="shared" si="13"/>
        <v/>
      </c>
      <c r="E93" s="1129"/>
      <c r="F93" s="273" t="str">
        <f t="shared" si="14"/>
        <v/>
      </c>
      <c r="G93" s="1127"/>
      <c r="H93" s="1131"/>
      <c r="I93" s="1131"/>
      <c r="J93" s="273" t="str">
        <f t="shared" si="15"/>
        <v/>
      </c>
      <c r="K93" s="274" t="str">
        <f t="shared" si="16"/>
        <v/>
      </c>
      <c r="L93" s="272"/>
      <c r="X93" s="275">
        <f t="shared" si="17"/>
        <v>-20</v>
      </c>
      <c r="Y93" s="275">
        <f t="shared" si="18"/>
        <v>283.16000000000003</v>
      </c>
      <c r="Z93" s="276">
        <f t="shared" si="19"/>
        <v>0</v>
      </c>
      <c r="AA93" s="277">
        <f t="shared" si="20"/>
        <v>-4.251136302924281</v>
      </c>
      <c r="AB93" s="277" t="e">
        <f t="shared" si="21"/>
        <v>#DIV/0!</v>
      </c>
      <c r="AD93" s="278">
        <f t="shared" si="22"/>
        <v>1.2038902524222677</v>
      </c>
      <c r="AE93" s="265">
        <f t="shared" si="23"/>
        <v>2.523111111111111E-2</v>
      </c>
      <c r="AF93" s="253">
        <f t="shared" si="24"/>
        <v>1.7475555555555554E-5</v>
      </c>
    </row>
    <row r="94" spans="2:32" ht="12.75" customHeight="1">
      <c r="B94" s="279" t="str">
        <f t="shared" si="25"/>
        <v/>
      </c>
      <c r="C94" s="1127"/>
      <c r="D94" s="272" t="str">
        <f t="shared" si="13"/>
        <v/>
      </c>
      <c r="E94" s="1129"/>
      <c r="F94" s="273" t="str">
        <f t="shared" si="14"/>
        <v/>
      </c>
      <c r="G94" s="1127"/>
      <c r="H94" s="1131"/>
      <c r="I94" s="1131"/>
      <c r="J94" s="273" t="str">
        <f t="shared" si="15"/>
        <v/>
      </c>
      <c r="K94" s="274" t="str">
        <f t="shared" si="16"/>
        <v/>
      </c>
      <c r="L94" s="272"/>
      <c r="X94" s="275">
        <f t="shared" si="17"/>
        <v>-20</v>
      </c>
      <c r="Y94" s="275">
        <f t="shared" si="18"/>
        <v>283.16000000000003</v>
      </c>
      <c r="Z94" s="276">
        <f t="shared" si="19"/>
        <v>0</v>
      </c>
      <c r="AA94" s="277">
        <f t="shared" si="20"/>
        <v>-4.251136302924281</v>
      </c>
      <c r="AB94" s="277" t="e">
        <f t="shared" si="21"/>
        <v>#DIV/0!</v>
      </c>
      <c r="AD94" s="278">
        <f t="shared" si="22"/>
        <v>1.2038902524222677</v>
      </c>
      <c r="AE94" s="265">
        <f t="shared" si="23"/>
        <v>2.523111111111111E-2</v>
      </c>
      <c r="AF94" s="253">
        <f t="shared" si="24"/>
        <v>1.7475555555555554E-5</v>
      </c>
    </row>
    <row r="95" spans="2:32" ht="12.75" customHeight="1">
      <c r="B95" s="279" t="str">
        <f t="shared" si="25"/>
        <v/>
      </c>
      <c r="C95" s="1127"/>
      <c r="D95" s="272" t="str">
        <f t="shared" si="13"/>
        <v/>
      </c>
      <c r="E95" s="1129"/>
      <c r="F95" s="273" t="str">
        <f t="shared" si="14"/>
        <v/>
      </c>
      <c r="G95" s="1127"/>
      <c r="H95" s="1131"/>
      <c r="I95" s="1131"/>
      <c r="J95" s="273" t="str">
        <f t="shared" si="15"/>
        <v/>
      </c>
      <c r="K95" s="274" t="str">
        <f t="shared" si="16"/>
        <v/>
      </c>
      <c r="L95" s="272"/>
      <c r="X95" s="275">
        <f t="shared" si="17"/>
        <v>-20</v>
      </c>
      <c r="Y95" s="275">
        <f t="shared" si="18"/>
        <v>283.16000000000003</v>
      </c>
      <c r="Z95" s="276">
        <f t="shared" si="19"/>
        <v>0</v>
      </c>
      <c r="AA95" s="277">
        <f t="shared" si="20"/>
        <v>-4.251136302924281</v>
      </c>
      <c r="AB95" s="277" t="e">
        <f t="shared" si="21"/>
        <v>#DIV/0!</v>
      </c>
      <c r="AD95" s="278">
        <f t="shared" si="22"/>
        <v>1.2038902524222677</v>
      </c>
      <c r="AE95" s="265">
        <f t="shared" si="23"/>
        <v>2.523111111111111E-2</v>
      </c>
      <c r="AF95" s="253">
        <f t="shared" si="24"/>
        <v>1.7475555555555554E-5</v>
      </c>
    </row>
    <row r="96" spans="2:32" ht="12.75" customHeight="1">
      <c r="B96" s="279" t="str">
        <f t="shared" si="25"/>
        <v/>
      </c>
      <c r="C96" s="1127"/>
      <c r="D96" s="272" t="str">
        <f t="shared" si="13"/>
        <v/>
      </c>
      <c r="E96" s="1129"/>
      <c r="F96" s="273" t="str">
        <f t="shared" si="14"/>
        <v/>
      </c>
      <c r="G96" s="1127"/>
      <c r="H96" s="1131"/>
      <c r="I96" s="1131"/>
      <c r="J96" s="273" t="str">
        <f t="shared" si="15"/>
        <v/>
      </c>
      <c r="K96" s="274" t="str">
        <f t="shared" si="16"/>
        <v/>
      </c>
      <c r="L96" s="272"/>
      <c r="X96" s="275">
        <f t="shared" si="17"/>
        <v>-20</v>
      </c>
      <c r="Y96" s="275">
        <f t="shared" si="18"/>
        <v>283.16000000000003</v>
      </c>
      <c r="Z96" s="276">
        <f t="shared" si="19"/>
        <v>0</v>
      </c>
      <c r="AA96" s="277">
        <f t="shared" si="20"/>
        <v>-4.251136302924281</v>
      </c>
      <c r="AB96" s="277" t="e">
        <f t="shared" si="21"/>
        <v>#DIV/0!</v>
      </c>
      <c r="AD96" s="278">
        <f t="shared" si="22"/>
        <v>1.2038902524222677</v>
      </c>
      <c r="AE96" s="265">
        <f t="shared" si="23"/>
        <v>2.523111111111111E-2</v>
      </c>
      <c r="AF96" s="253">
        <f t="shared" si="24"/>
        <v>1.7475555555555554E-5</v>
      </c>
    </row>
    <row r="97" spans="2:32" ht="12.75" customHeight="1">
      <c r="B97" s="279" t="str">
        <f t="shared" si="25"/>
        <v/>
      </c>
      <c r="C97" s="1127"/>
      <c r="D97" s="272" t="str">
        <f t="shared" si="13"/>
        <v/>
      </c>
      <c r="E97" s="1129"/>
      <c r="F97" s="273" t="str">
        <f t="shared" si="14"/>
        <v/>
      </c>
      <c r="G97" s="1127"/>
      <c r="H97" s="1131"/>
      <c r="I97" s="1131"/>
      <c r="J97" s="273" t="str">
        <f t="shared" si="15"/>
        <v/>
      </c>
      <c r="K97" s="274" t="str">
        <f t="shared" si="16"/>
        <v/>
      </c>
      <c r="L97" s="272"/>
      <c r="X97" s="275">
        <f t="shared" si="17"/>
        <v>-20</v>
      </c>
      <c r="Y97" s="275">
        <f t="shared" si="18"/>
        <v>283.16000000000003</v>
      </c>
      <c r="Z97" s="276">
        <f t="shared" si="19"/>
        <v>0</v>
      </c>
      <c r="AA97" s="277">
        <f t="shared" si="20"/>
        <v>-4.251136302924281</v>
      </c>
      <c r="AB97" s="277" t="e">
        <f t="shared" si="21"/>
        <v>#DIV/0!</v>
      </c>
      <c r="AD97" s="278">
        <f t="shared" si="22"/>
        <v>1.2038902524222677</v>
      </c>
      <c r="AE97" s="265">
        <f t="shared" si="23"/>
        <v>2.523111111111111E-2</v>
      </c>
      <c r="AF97" s="253">
        <f t="shared" si="24"/>
        <v>1.7475555555555554E-5</v>
      </c>
    </row>
    <row r="98" spans="2:32" ht="12.75" customHeight="1">
      <c r="B98" s="279" t="str">
        <f t="shared" si="25"/>
        <v/>
      </c>
      <c r="C98" s="1127"/>
      <c r="D98" s="272" t="str">
        <f t="shared" si="13"/>
        <v/>
      </c>
      <c r="E98" s="1129"/>
      <c r="F98" s="273" t="str">
        <f t="shared" si="14"/>
        <v/>
      </c>
      <c r="G98" s="1127"/>
      <c r="H98" s="1131"/>
      <c r="I98" s="1131"/>
      <c r="J98" s="273" t="str">
        <f t="shared" si="15"/>
        <v/>
      </c>
      <c r="K98" s="274" t="str">
        <f t="shared" si="16"/>
        <v/>
      </c>
      <c r="L98" s="272"/>
      <c r="W98" s="258"/>
      <c r="X98" s="275">
        <f t="shared" si="17"/>
        <v>-20</v>
      </c>
      <c r="Y98" s="275">
        <f t="shared" si="18"/>
        <v>283.16000000000003</v>
      </c>
      <c r="Z98" s="276">
        <f t="shared" si="19"/>
        <v>0</v>
      </c>
      <c r="AA98" s="277">
        <f t="shared" si="20"/>
        <v>-4.251136302924281</v>
      </c>
      <c r="AB98" s="277" t="e">
        <f t="shared" si="21"/>
        <v>#DIV/0!</v>
      </c>
      <c r="AD98" s="278">
        <f t="shared" si="22"/>
        <v>1.2038902524222677</v>
      </c>
      <c r="AE98" s="265">
        <f t="shared" si="23"/>
        <v>2.523111111111111E-2</v>
      </c>
      <c r="AF98" s="253">
        <f t="shared" si="24"/>
        <v>1.7475555555555554E-5</v>
      </c>
    </row>
    <row r="99" spans="2:32" ht="12.75" customHeight="1">
      <c r="B99" s="279" t="str">
        <f t="shared" si="25"/>
        <v/>
      </c>
      <c r="C99" s="1127"/>
      <c r="D99" s="272" t="str">
        <f t="shared" si="13"/>
        <v/>
      </c>
      <c r="E99" s="1129"/>
      <c r="F99" s="273" t="str">
        <f t="shared" si="14"/>
        <v/>
      </c>
      <c r="G99" s="1127"/>
      <c r="H99" s="1131"/>
      <c r="I99" s="1131"/>
      <c r="J99" s="273" t="str">
        <f t="shared" si="15"/>
        <v/>
      </c>
      <c r="K99" s="274" t="str">
        <f t="shared" si="16"/>
        <v/>
      </c>
      <c r="L99" s="272"/>
      <c r="W99" s="258"/>
      <c r="X99" s="275">
        <f t="shared" si="17"/>
        <v>-20</v>
      </c>
      <c r="Y99" s="275">
        <f t="shared" si="18"/>
        <v>283.16000000000003</v>
      </c>
      <c r="Z99" s="276">
        <f t="shared" si="19"/>
        <v>0</v>
      </c>
      <c r="AA99" s="277">
        <f t="shared" si="20"/>
        <v>-4.251136302924281</v>
      </c>
      <c r="AB99" s="277" t="e">
        <f t="shared" si="21"/>
        <v>#DIV/0!</v>
      </c>
      <c r="AD99" s="278">
        <f t="shared" si="22"/>
        <v>1.2038902524222677</v>
      </c>
      <c r="AE99" s="265">
        <f t="shared" si="23"/>
        <v>2.523111111111111E-2</v>
      </c>
      <c r="AF99" s="253">
        <f t="shared" si="24"/>
        <v>1.7475555555555554E-5</v>
      </c>
    </row>
    <row r="100" spans="2:32" ht="12.75" customHeight="1">
      <c r="B100" s="279" t="str">
        <f t="shared" si="25"/>
        <v/>
      </c>
      <c r="C100" s="1127"/>
      <c r="D100" s="272" t="str">
        <f t="shared" si="13"/>
        <v/>
      </c>
      <c r="E100" s="1129"/>
      <c r="F100" s="273" t="str">
        <f t="shared" si="14"/>
        <v/>
      </c>
      <c r="G100" s="1127"/>
      <c r="H100" s="1131"/>
      <c r="I100" s="1131"/>
      <c r="J100" s="273" t="str">
        <f t="shared" si="15"/>
        <v/>
      </c>
      <c r="K100" s="274" t="str">
        <f t="shared" si="16"/>
        <v/>
      </c>
      <c r="L100" s="272"/>
      <c r="W100" s="258"/>
      <c r="X100" s="275">
        <f t="shared" si="17"/>
        <v>-20</v>
      </c>
      <c r="Y100" s="275">
        <f t="shared" si="18"/>
        <v>283.16000000000003</v>
      </c>
      <c r="Z100" s="276">
        <f t="shared" si="19"/>
        <v>0</v>
      </c>
      <c r="AA100" s="277">
        <f t="shared" si="20"/>
        <v>-4.251136302924281</v>
      </c>
      <c r="AB100" s="277" t="e">
        <f t="shared" si="21"/>
        <v>#DIV/0!</v>
      </c>
      <c r="AD100" s="278">
        <f t="shared" si="22"/>
        <v>1.2038902524222677</v>
      </c>
      <c r="AE100" s="265">
        <f t="shared" si="23"/>
        <v>2.523111111111111E-2</v>
      </c>
      <c r="AF100" s="253">
        <f t="shared" si="24"/>
        <v>1.7475555555555554E-5</v>
      </c>
    </row>
    <row r="101" spans="2:32" ht="12.75" customHeight="1">
      <c r="B101" s="279" t="str">
        <f t="shared" si="25"/>
        <v/>
      </c>
      <c r="C101" s="1127"/>
      <c r="D101" s="272" t="str">
        <f t="shared" si="13"/>
        <v/>
      </c>
      <c r="E101" s="1129"/>
      <c r="F101" s="273" t="str">
        <f t="shared" si="14"/>
        <v/>
      </c>
      <c r="G101" s="1127"/>
      <c r="H101" s="1131"/>
      <c r="I101" s="1131"/>
      <c r="J101" s="273" t="str">
        <f t="shared" si="15"/>
        <v/>
      </c>
      <c r="K101" s="274" t="str">
        <f t="shared" si="16"/>
        <v/>
      </c>
      <c r="L101" s="272"/>
      <c r="W101" s="258"/>
      <c r="X101" s="275">
        <f t="shared" si="17"/>
        <v>-20</v>
      </c>
      <c r="Y101" s="275">
        <f t="shared" si="18"/>
        <v>283.16000000000003</v>
      </c>
      <c r="Z101" s="276">
        <f t="shared" si="19"/>
        <v>0</v>
      </c>
      <c r="AA101" s="277">
        <f t="shared" si="20"/>
        <v>-4.251136302924281</v>
      </c>
      <c r="AB101" s="277" t="e">
        <f t="shared" si="21"/>
        <v>#DIV/0!</v>
      </c>
      <c r="AD101" s="278">
        <f t="shared" si="22"/>
        <v>1.2038902524222677</v>
      </c>
      <c r="AE101" s="265">
        <f t="shared" si="23"/>
        <v>2.523111111111111E-2</v>
      </c>
      <c r="AF101" s="253">
        <f t="shared" si="24"/>
        <v>1.7475555555555554E-5</v>
      </c>
    </row>
    <row r="102" spans="2:32" ht="12.75" customHeight="1">
      <c r="B102" s="279" t="str">
        <f t="shared" si="25"/>
        <v/>
      </c>
      <c r="C102" s="1127"/>
      <c r="D102" s="272" t="str">
        <f t="shared" si="13"/>
        <v/>
      </c>
      <c r="E102" s="1129"/>
      <c r="F102" s="273" t="str">
        <f t="shared" si="14"/>
        <v/>
      </c>
      <c r="G102" s="1127"/>
      <c r="H102" s="1131"/>
      <c r="I102" s="1131"/>
      <c r="J102" s="273" t="str">
        <f t="shared" si="15"/>
        <v/>
      </c>
      <c r="K102" s="274" t="str">
        <f t="shared" si="16"/>
        <v/>
      </c>
      <c r="L102" s="272"/>
      <c r="W102" s="258"/>
      <c r="X102" s="275">
        <f t="shared" si="17"/>
        <v>-20</v>
      </c>
      <c r="Y102" s="275">
        <f t="shared" si="18"/>
        <v>283.16000000000003</v>
      </c>
      <c r="Z102" s="276">
        <f t="shared" si="19"/>
        <v>0</v>
      </c>
      <c r="AA102" s="277">
        <f t="shared" si="20"/>
        <v>-4.251136302924281</v>
      </c>
      <c r="AB102" s="277" t="e">
        <f t="shared" si="21"/>
        <v>#DIV/0!</v>
      </c>
      <c r="AD102" s="278">
        <f t="shared" si="22"/>
        <v>1.2038902524222677</v>
      </c>
      <c r="AE102" s="265">
        <f t="shared" si="23"/>
        <v>2.523111111111111E-2</v>
      </c>
      <c r="AF102" s="253">
        <f t="shared" si="24"/>
        <v>1.7475555555555554E-5</v>
      </c>
    </row>
    <row r="103" spans="2:32" ht="12.75" customHeight="1">
      <c r="B103" s="279" t="str">
        <f t="shared" si="25"/>
        <v/>
      </c>
      <c r="C103" s="1127"/>
      <c r="D103" s="272" t="str">
        <f t="shared" si="13"/>
        <v/>
      </c>
      <c r="E103" s="1129"/>
      <c r="F103" s="273" t="str">
        <f t="shared" si="14"/>
        <v/>
      </c>
      <c r="G103" s="1127"/>
      <c r="H103" s="1131"/>
      <c r="I103" s="1131"/>
      <c r="J103" s="273" t="str">
        <f t="shared" si="15"/>
        <v/>
      </c>
      <c r="K103" s="274" t="str">
        <f t="shared" si="16"/>
        <v/>
      </c>
      <c r="L103" s="272"/>
      <c r="X103" s="275">
        <f t="shared" si="17"/>
        <v>-20</v>
      </c>
      <c r="Y103" s="275">
        <f t="shared" si="18"/>
        <v>283.16000000000003</v>
      </c>
      <c r="Z103" s="276">
        <f t="shared" si="19"/>
        <v>0</v>
      </c>
      <c r="AA103" s="277">
        <f t="shared" si="20"/>
        <v>-4.251136302924281</v>
      </c>
      <c r="AB103" s="277" t="e">
        <f t="shared" si="21"/>
        <v>#DIV/0!</v>
      </c>
      <c r="AD103" s="278">
        <f t="shared" si="22"/>
        <v>1.2038902524222677</v>
      </c>
      <c r="AE103" s="265">
        <f t="shared" si="23"/>
        <v>2.523111111111111E-2</v>
      </c>
      <c r="AF103" s="253">
        <f t="shared" si="24"/>
        <v>1.7475555555555554E-5</v>
      </c>
    </row>
    <row r="104" spans="2:32" ht="12.75" customHeight="1">
      <c r="B104" s="279" t="str">
        <f t="shared" si="25"/>
        <v/>
      </c>
      <c r="C104" s="1127"/>
      <c r="D104" s="272" t="str">
        <f t="shared" si="13"/>
        <v/>
      </c>
      <c r="E104" s="1129"/>
      <c r="F104" s="273" t="str">
        <f t="shared" si="14"/>
        <v/>
      </c>
      <c r="G104" s="1127"/>
      <c r="H104" s="1131"/>
      <c r="I104" s="1131"/>
      <c r="J104" s="273" t="str">
        <f t="shared" si="15"/>
        <v/>
      </c>
      <c r="K104" s="274" t="str">
        <f t="shared" si="16"/>
        <v/>
      </c>
      <c r="L104" s="272"/>
      <c r="X104" s="275">
        <f t="shared" si="17"/>
        <v>-20</v>
      </c>
      <c r="Y104" s="275">
        <f t="shared" si="18"/>
        <v>283.16000000000003</v>
      </c>
      <c r="Z104" s="276">
        <f t="shared" si="19"/>
        <v>0</v>
      </c>
      <c r="AA104" s="277">
        <f t="shared" si="20"/>
        <v>-4.251136302924281</v>
      </c>
      <c r="AB104" s="277" t="e">
        <f t="shared" si="21"/>
        <v>#DIV/0!</v>
      </c>
      <c r="AD104" s="278">
        <f t="shared" si="22"/>
        <v>1.2038902524222677</v>
      </c>
      <c r="AE104" s="265">
        <f t="shared" si="23"/>
        <v>2.523111111111111E-2</v>
      </c>
      <c r="AF104" s="253">
        <f t="shared" si="24"/>
        <v>1.7475555555555554E-5</v>
      </c>
    </row>
    <row r="105" spans="2:32" ht="12.75" customHeight="1">
      <c r="B105" s="279" t="str">
        <f t="shared" si="25"/>
        <v/>
      </c>
      <c r="C105" s="1127"/>
      <c r="D105" s="272" t="str">
        <f t="shared" si="13"/>
        <v/>
      </c>
      <c r="E105" s="1129"/>
      <c r="F105" s="273" t="str">
        <f t="shared" si="14"/>
        <v/>
      </c>
      <c r="G105" s="1127"/>
      <c r="H105" s="1131"/>
      <c r="I105" s="1131"/>
      <c r="J105" s="273" t="str">
        <f t="shared" si="15"/>
        <v/>
      </c>
      <c r="K105" s="274" t="str">
        <f t="shared" si="16"/>
        <v/>
      </c>
      <c r="L105" s="272"/>
      <c r="X105" s="275">
        <f t="shared" si="17"/>
        <v>-20</v>
      </c>
      <c r="Y105" s="275">
        <f t="shared" si="18"/>
        <v>283.16000000000003</v>
      </c>
      <c r="Z105" s="276">
        <f t="shared" si="19"/>
        <v>0</v>
      </c>
      <c r="AA105" s="277">
        <f t="shared" si="20"/>
        <v>-4.251136302924281</v>
      </c>
      <c r="AB105" s="277" t="e">
        <f t="shared" si="21"/>
        <v>#DIV/0!</v>
      </c>
      <c r="AD105" s="278">
        <f t="shared" si="22"/>
        <v>1.2038902524222677</v>
      </c>
      <c r="AE105" s="265">
        <f t="shared" si="23"/>
        <v>2.523111111111111E-2</v>
      </c>
      <c r="AF105" s="253">
        <f t="shared" si="24"/>
        <v>1.7475555555555554E-5</v>
      </c>
    </row>
    <row r="106" spans="2:32" ht="12.75" customHeight="1">
      <c r="B106" s="279" t="str">
        <f t="shared" si="25"/>
        <v/>
      </c>
      <c r="C106" s="1127"/>
      <c r="D106" s="272" t="str">
        <f t="shared" ref="D106:D118" si="26">IF(C106="","",C106-B106)</f>
        <v/>
      </c>
      <c r="E106" s="1129"/>
      <c r="F106" s="273" t="str">
        <f t="shared" ref="F106:F118" si="27">IF(D106="","",PI()*D106*E106)</f>
        <v/>
      </c>
      <c r="G106" s="1127"/>
      <c r="H106" s="1131"/>
      <c r="I106" s="1131"/>
      <c r="J106" s="273" t="str">
        <f t="shared" ref="J106:J118" si="28">IF(F106="","",Z106+SQRT(AA106^2+AB106^2))</f>
        <v/>
      </c>
      <c r="K106" s="274" t="str">
        <f t="shared" ref="K106:K118" si="29">IF(F106="","",J106*F106*(G106-$K$22)/1000)</f>
        <v/>
      </c>
      <c r="L106" s="272"/>
      <c r="X106" s="275">
        <f t="shared" ref="X106:X118" si="30">G106-$K$22</f>
        <v>-20</v>
      </c>
      <c r="Y106" s="275">
        <f t="shared" ref="Y106:Y118" si="31">(G106+$K$22)/2+273.16</f>
        <v>283.16000000000003</v>
      </c>
      <c r="Z106" s="276">
        <f t="shared" ref="Z106:Z118" si="32">5.67*H106*0.04*(Y106/100)^3*(1+0.25*(X106/Y106)^2)</f>
        <v>0</v>
      </c>
      <c r="AA106" s="277">
        <f t="shared" ref="AA106:AA118" si="33">1.4*($K$24*$K$24*(273.16+TAMB)/Y106*X106)^(1/3)</f>
        <v>-4.251136302924281</v>
      </c>
      <c r="AB106" s="277" t="e">
        <f t="shared" ref="AB106:AB118" si="34">0.00672*AE106*(AD106*I106/AF106)^0.905*E106^-0.095</f>
        <v>#DIV/0!</v>
      </c>
      <c r="AD106" s="278">
        <f t="shared" ref="AD106:AD118" si="35">$K$24*(273.16+TAMB)/Y106</f>
        <v>1.2038902524222677</v>
      </c>
      <c r="AE106" s="265">
        <f t="shared" ref="AE106:AE118" si="36">$AA$26+($AA$27-$AA$26)/($Z$27-$Z$26)*(Y106-273.16)</f>
        <v>2.523111111111111E-2</v>
      </c>
      <c r="AF106" s="253">
        <f t="shared" ref="AF106:AF118" si="37">$AB$26+($AB$27-$AB$26)/($Z$27-$Z$26)*(Y106-273.16)</f>
        <v>1.7475555555555554E-5</v>
      </c>
    </row>
    <row r="107" spans="2:32" ht="12.75" customHeight="1">
      <c r="B107" s="279" t="str">
        <f t="shared" ref="B107:B118" si="38">IF(C107="","",C106)</f>
        <v/>
      </c>
      <c r="C107" s="1127"/>
      <c r="D107" s="272" t="str">
        <f t="shared" si="26"/>
        <v/>
      </c>
      <c r="E107" s="1129"/>
      <c r="F107" s="273" t="str">
        <f t="shared" si="27"/>
        <v/>
      </c>
      <c r="G107" s="1127"/>
      <c r="H107" s="1131"/>
      <c r="I107" s="1131"/>
      <c r="J107" s="273" t="str">
        <f t="shared" si="28"/>
        <v/>
      </c>
      <c r="K107" s="274" t="str">
        <f t="shared" si="29"/>
        <v/>
      </c>
      <c r="L107" s="272"/>
      <c r="X107" s="275">
        <f t="shared" si="30"/>
        <v>-20</v>
      </c>
      <c r="Y107" s="275">
        <f t="shared" si="31"/>
        <v>283.16000000000003</v>
      </c>
      <c r="Z107" s="276">
        <f t="shared" si="32"/>
        <v>0</v>
      </c>
      <c r="AA107" s="277">
        <f t="shared" si="33"/>
        <v>-4.251136302924281</v>
      </c>
      <c r="AB107" s="277" t="e">
        <f t="shared" si="34"/>
        <v>#DIV/0!</v>
      </c>
      <c r="AD107" s="278">
        <f t="shared" si="35"/>
        <v>1.2038902524222677</v>
      </c>
      <c r="AE107" s="265">
        <f t="shared" si="36"/>
        <v>2.523111111111111E-2</v>
      </c>
      <c r="AF107" s="253">
        <f t="shared" si="37"/>
        <v>1.7475555555555554E-5</v>
      </c>
    </row>
    <row r="108" spans="2:32" ht="12.75" customHeight="1">
      <c r="B108" s="279" t="str">
        <f t="shared" si="38"/>
        <v/>
      </c>
      <c r="C108" s="1127"/>
      <c r="D108" s="272" t="str">
        <f t="shared" si="26"/>
        <v/>
      </c>
      <c r="E108" s="1129"/>
      <c r="F108" s="273" t="str">
        <f t="shared" si="27"/>
        <v/>
      </c>
      <c r="G108" s="1127"/>
      <c r="H108" s="1131"/>
      <c r="I108" s="1131"/>
      <c r="J108" s="273" t="str">
        <f t="shared" si="28"/>
        <v/>
      </c>
      <c r="K108" s="274" t="str">
        <f t="shared" si="29"/>
        <v/>
      </c>
      <c r="L108" s="272"/>
      <c r="X108" s="275">
        <f t="shared" si="30"/>
        <v>-20</v>
      </c>
      <c r="Y108" s="275">
        <f t="shared" si="31"/>
        <v>283.16000000000003</v>
      </c>
      <c r="Z108" s="276">
        <f t="shared" si="32"/>
        <v>0</v>
      </c>
      <c r="AA108" s="277">
        <f t="shared" si="33"/>
        <v>-4.251136302924281</v>
      </c>
      <c r="AB108" s="277" t="e">
        <f t="shared" si="34"/>
        <v>#DIV/0!</v>
      </c>
      <c r="AD108" s="278">
        <f t="shared" si="35"/>
        <v>1.2038902524222677</v>
      </c>
      <c r="AE108" s="265">
        <f t="shared" si="36"/>
        <v>2.523111111111111E-2</v>
      </c>
      <c r="AF108" s="253">
        <f t="shared" si="37"/>
        <v>1.7475555555555554E-5</v>
      </c>
    </row>
    <row r="109" spans="2:32" ht="12.75" customHeight="1">
      <c r="B109" s="279" t="str">
        <f t="shared" si="38"/>
        <v/>
      </c>
      <c r="C109" s="1127"/>
      <c r="D109" s="272" t="str">
        <f t="shared" si="26"/>
        <v/>
      </c>
      <c r="E109" s="1129"/>
      <c r="F109" s="273" t="str">
        <f t="shared" si="27"/>
        <v/>
      </c>
      <c r="G109" s="1127"/>
      <c r="H109" s="1131"/>
      <c r="I109" s="1131"/>
      <c r="J109" s="273" t="str">
        <f t="shared" si="28"/>
        <v/>
      </c>
      <c r="K109" s="274" t="str">
        <f t="shared" si="29"/>
        <v/>
      </c>
      <c r="L109" s="272"/>
      <c r="X109" s="275">
        <f t="shared" si="30"/>
        <v>-20</v>
      </c>
      <c r="Y109" s="275">
        <f t="shared" si="31"/>
        <v>283.16000000000003</v>
      </c>
      <c r="Z109" s="276">
        <f t="shared" si="32"/>
        <v>0</v>
      </c>
      <c r="AA109" s="277">
        <f t="shared" si="33"/>
        <v>-4.251136302924281</v>
      </c>
      <c r="AB109" s="277" t="e">
        <f t="shared" si="34"/>
        <v>#DIV/0!</v>
      </c>
      <c r="AD109" s="278">
        <f t="shared" si="35"/>
        <v>1.2038902524222677</v>
      </c>
      <c r="AE109" s="265">
        <f t="shared" si="36"/>
        <v>2.523111111111111E-2</v>
      </c>
      <c r="AF109" s="253">
        <f t="shared" si="37"/>
        <v>1.7475555555555554E-5</v>
      </c>
    </row>
    <row r="110" spans="2:32" ht="12.75" customHeight="1">
      <c r="B110" s="279" t="str">
        <f t="shared" si="38"/>
        <v/>
      </c>
      <c r="C110" s="1127"/>
      <c r="D110" s="272" t="str">
        <f t="shared" si="26"/>
        <v/>
      </c>
      <c r="E110" s="1129"/>
      <c r="F110" s="273" t="str">
        <f t="shared" si="27"/>
        <v/>
      </c>
      <c r="G110" s="1127"/>
      <c r="H110" s="1131"/>
      <c r="I110" s="1131"/>
      <c r="J110" s="273" t="str">
        <f t="shared" si="28"/>
        <v/>
      </c>
      <c r="K110" s="274" t="str">
        <f t="shared" si="29"/>
        <v/>
      </c>
      <c r="L110" s="272"/>
      <c r="X110" s="275">
        <f t="shared" si="30"/>
        <v>-20</v>
      </c>
      <c r="Y110" s="275">
        <f t="shared" si="31"/>
        <v>283.16000000000003</v>
      </c>
      <c r="Z110" s="276">
        <f t="shared" si="32"/>
        <v>0</v>
      </c>
      <c r="AA110" s="277">
        <f t="shared" si="33"/>
        <v>-4.251136302924281</v>
      </c>
      <c r="AB110" s="277" t="e">
        <f t="shared" si="34"/>
        <v>#DIV/0!</v>
      </c>
      <c r="AD110" s="278">
        <f t="shared" si="35"/>
        <v>1.2038902524222677</v>
      </c>
      <c r="AE110" s="265">
        <f t="shared" si="36"/>
        <v>2.523111111111111E-2</v>
      </c>
      <c r="AF110" s="253">
        <f t="shared" si="37"/>
        <v>1.7475555555555554E-5</v>
      </c>
    </row>
    <row r="111" spans="2:32" ht="12.75" customHeight="1">
      <c r="B111" s="279" t="str">
        <f t="shared" si="38"/>
        <v/>
      </c>
      <c r="C111" s="1127"/>
      <c r="D111" s="272" t="str">
        <f t="shared" si="26"/>
        <v/>
      </c>
      <c r="E111" s="1129"/>
      <c r="F111" s="273" t="str">
        <f t="shared" si="27"/>
        <v/>
      </c>
      <c r="G111" s="1127"/>
      <c r="H111" s="1131"/>
      <c r="I111" s="1131"/>
      <c r="J111" s="273" t="str">
        <f t="shared" si="28"/>
        <v/>
      </c>
      <c r="K111" s="274" t="str">
        <f t="shared" si="29"/>
        <v/>
      </c>
      <c r="L111" s="272"/>
      <c r="X111" s="275">
        <f t="shared" si="30"/>
        <v>-20</v>
      </c>
      <c r="Y111" s="275">
        <f t="shared" si="31"/>
        <v>283.16000000000003</v>
      </c>
      <c r="Z111" s="276">
        <f t="shared" si="32"/>
        <v>0</v>
      </c>
      <c r="AA111" s="277">
        <f t="shared" si="33"/>
        <v>-4.251136302924281</v>
      </c>
      <c r="AB111" s="277" t="e">
        <f t="shared" si="34"/>
        <v>#DIV/0!</v>
      </c>
      <c r="AD111" s="278">
        <f t="shared" si="35"/>
        <v>1.2038902524222677</v>
      </c>
      <c r="AE111" s="265">
        <f t="shared" si="36"/>
        <v>2.523111111111111E-2</v>
      </c>
      <c r="AF111" s="253">
        <f t="shared" si="37"/>
        <v>1.7475555555555554E-5</v>
      </c>
    </row>
    <row r="112" spans="2:32" ht="12.75" customHeight="1">
      <c r="B112" s="279" t="str">
        <f t="shared" si="38"/>
        <v/>
      </c>
      <c r="C112" s="1127"/>
      <c r="D112" s="272" t="str">
        <f t="shared" si="26"/>
        <v/>
      </c>
      <c r="E112" s="1129"/>
      <c r="F112" s="273" t="str">
        <f t="shared" si="27"/>
        <v/>
      </c>
      <c r="G112" s="1127"/>
      <c r="H112" s="1131"/>
      <c r="I112" s="1131"/>
      <c r="J112" s="273" t="str">
        <f t="shared" si="28"/>
        <v/>
      </c>
      <c r="K112" s="274" t="str">
        <f t="shared" si="29"/>
        <v/>
      </c>
      <c r="L112" s="272"/>
      <c r="X112" s="275">
        <f t="shared" si="30"/>
        <v>-20</v>
      </c>
      <c r="Y112" s="275">
        <f t="shared" si="31"/>
        <v>283.16000000000003</v>
      </c>
      <c r="Z112" s="276">
        <f t="shared" si="32"/>
        <v>0</v>
      </c>
      <c r="AA112" s="277">
        <f t="shared" si="33"/>
        <v>-4.251136302924281</v>
      </c>
      <c r="AB112" s="277" t="e">
        <f t="shared" si="34"/>
        <v>#DIV/0!</v>
      </c>
      <c r="AD112" s="278">
        <f t="shared" si="35"/>
        <v>1.2038902524222677</v>
      </c>
      <c r="AE112" s="265">
        <f t="shared" si="36"/>
        <v>2.523111111111111E-2</v>
      </c>
      <c r="AF112" s="253">
        <f t="shared" si="37"/>
        <v>1.7475555555555554E-5</v>
      </c>
    </row>
    <row r="113" spans="1:32" ht="12.75" customHeight="1">
      <c r="B113" s="279" t="str">
        <f t="shared" si="38"/>
        <v/>
      </c>
      <c r="C113" s="1127"/>
      <c r="D113" s="272" t="str">
        <f t="shared" si="26"/>
        <v/>
      </c>
      <c r="E113" s="1129"/>
      <c r="F113" s="273" t="str">
        <f t="shared" si="27"/>
        <v/>
      </c>
      <c r="G113" s="1127"/>
      <c r="H113" s="1131"/>
      <c r="I113" s="1131"/>
      <c r="J113" s="273" t="str">
        <f t="shared" si="28"/>
        <v/>
      </c>
      <c r="K113" s="274" t="str">
        <f t="shared" si="29"/>
        <v/>
      </c>
      <c r="L113" s="272"/>
      <c r="X113" s="275">
        <f t="shared" si="30"/>
        <v>-20</v>
      </c>
      <c r="Y113" s="275">
        <f t="shared" si="31"/>
        <v>283.16000000000003</v>
      </c>
      <c r="Z113" s="276">
        <f t="shared" si="32"/>
        <v>0</v>
      </c>
      <c r="AA113" s="277">
        <f t="shared" si="33"/>
        <v>-4.251136302924281</v>
      </c>
      <c r="AB113" s="277" t="e">
        <f t="shared" si="34"/>
        <v>#DIV/0!</v>
      </c>
      <c r="AD113" s="278">
        <f t="shared" si="35"/>
        <v>1.2038902524222677</v>
      </c>
      <c r="AE113" s="265">
        <f t="shared" si="36"/>
        <v>2.523111111111111E-2</v>
      </c>
      <c r="AF113" s="253">
        <f t="shared" si="37"/>
        <v>1.7475555555555554E-5</v>
      </c>
    </row>
    <row r="114" spans="1:32" ht="12.75" customHeight="1">
      <c r="B114" s="279" t="str">
        <f t="shared" si="38"/>
        <v/>
      </c>
      <c r="C114" s="1127"/>
      <c r="D114" s="272" t="str">
        <f t="shared" si="26"/>
        <v/>
      </c>
      <c r="E114" s="1129"/>
      <c r="F114" s="273" t="str">
        <f t="shared" si="27"/>
        <v/>
      </c>
      <c r="G114" s="1127"/>
      <c r="H114" s="1131"/>
      <c r="I114" s="1131"/>
      <c r="J114" s="273" t="str">
        <f t="shared" si="28"/>
        <v/>
      </c>
      <c r="K114" s="274" t="str">
        <f t="shared" si="29"/>
        <v/>
      </c>
      <c r="L114" s="272"/>
      <c r="X114" s="275">
        <f t="shared" si="30"/>
        <v>-20</v>
      </c>
      <c r="Y114" s="275">
        <f t="shared" si="31"/>
        <v>283.16000000000003</v>
      </c>
      <c r="Z114" s="276">
        <f t="shared" si="32"/>
        <v>0</v>
      </c>
      <c r="AA114" s="277">
        <f t="shared" si="33"/>
        <v>-4.251136302924281</v>
      </c>
      <c r="AB114" s="277" t="e">
        <f t="shared" si="34"/>
        <v>#DIV/0!</v>
      </c>
      <c r="AD114" s="278">
        <f t="shared" si="35"/>
        <v>1.2038902524222677</v>
      </c>
      <c r="AE114" s="265">
        <f t="shared" si="36"/>
        <v>2.523111111111111E-2</v>
      </c>
      <c r="AF114" s="253">
        <f t="shared" si="37"/>
        <v>1.7475555555555554E-5</v>
      </c>
    </row>
    <row r="115" spans="1:32" ht="12.75" customHeight="1">
      <c r="B115" s="279" t="str">
        <f t="shared" si="38"/>
        <v/>
      </c>
      <c r="C115" s="1127"/>
      <c r="D115" s="272" t="str">
        <f t="shared" si="26"/>
        <v/>
      </c>
      <c r="E115" s="1129"/>
      <c r="F115" s="273" t="str">
        <f t="shared" si="27"/>
        <v/>
      </c>
      <c r="G115" s="1127"/>
      <c r="H115" s="1131"/>
      <c r="I115" s="1131"/>
      <c r="J115" s="273" t="str">
        <f t="shared" si="28"/>
        <v/>
      </c>
      <c r="K115" s="274" t="str">
        <f t="shared" si="29"/>
        <v/>
      </c>
      <c r="L115" s="272"/>
      <c r="X115" s="275">
        <f t="shared" si="30"/>
        <v>-20</v>
      </c>
      <c r="Y115" s="275">
        <f t="shared" si="31"/>
        <v>283.16000000000003</v>
      </c>
      <c r="Z115" s="276">
        <f t="shared" si="32"/>
        <v>0</v>
      </c>
      <c r="AA115" s="277">
        <f t="shared" si="33"/>
        <v>-4.251136302924281</v>
      </c>
      <c r="AB115" s="277" t="e">
        <f t="shared" si="34"/>
        <v>#DIV/0!</v>
      </c>
      <c r="AD115" s="278">
        <f t="shared" si="35"/>
        <v>1.2038902524222677</v>
      </c>
      <c r="AE115" s="265">
        <f t="shared" si="36"/>
        <v>2.523111111111111E-2</v>
      </c>
      <c r="AF115" s="253">
        <f t="shared" si="37"/>
        <v>1.7475555555555554E-5</v>
      </c>
    </row>
    <row r="116" spans="1:32" ht="12.75" customHeight="1">
      <c r="B116" s="279" t="str">
        <f t="shared" si="38"/>
        <v/>
      </c>
      <c r="C116" s="1127"/>
      <c r="D116" s="272" t="str">
        <f t="shared" si="26"/>
        <v/>
      </c>
      <c r="E116" s="1129"/>
      <c r="F116" s="273" t="str">
        <f t="shared" si="27"/>
        <v/>
      </c>
      <c r="G116" s="1127"/>
      <c r="H116" s="1131"/>
      <c r="I116" s="1131"/>
      <c r="J116" s="273" t="str">
        <f t="shared" si="28"/>
        <v/>
      </c>
      <c r="K116" s="274" t="str">
        <f t="shared" si="29"/>
        <v/>
      </c>
      <c r="L116" s="272"/>
      <c r="X116" s="275">
        <f t="shared" si="30"/>
        <v>-20</v>
      </c>
      <c r="Y116" s="275">
        <f t="shared" si="31"/>
        <v>283.16000000000003</v>
      </c>
      <c r="Z116" s="276">
        <f t="shared" si="32"/>
        <v>0</v>
      </c>
      <c r="AA116" s="277">
        <f t="shared" si="33"/>
        <v>-4.251136302924281</v>
      </c>
      <c r="AB116" s="277" t="e">
        <f t="shared" si="34"/>
        <v>#DIV/0!</v>
      </c>
      <c r="AD116" s="278">
        <f t="shared" si="35"/>
        <v>1.2038902524222677</v>
      </c>
      <c r="AE116" s="265">
        <f t="shared" si="36"/>
        <v>2.523111111111111E-2</v>
      </c>
      <c r="AF116" s="253">
        <f t="shared" si="37"/>
        <v>1.7475555555555554E-5</v>
      </c>
    </row>
    <row r="117" spans="1:32" ht="12.75" customHeight="1">
      <c r="B117" s="279" t="str">
        <f t="shared" si="38"/>
        <v/>
      </c>
      <c r="C117" s="1127"/>
      <c r="D117" s="272" t="str">
        <f t="shared" si="26"/>
        <v/>
      </c>
      <c r="E117" s="1129"/>
      <c r="F117" s="273" t="str">
        <f t="shared" si="27"/>
        <v/>
      </c>
      <c r="G117" s="1127"/>
      <c r="H117" s="1131"/>
      <c r="I117" s="1131"/>
      <c r="J117" s="273" t="str">
        <f t="shared" si="28"/>
        <v/>
      </c>
      <c r="K117" s="274" t="str">
        <f t="shared" si="29"/>
        <v/>
      </c>
      <c r="L117" s="272"/>
      <c r="X117" s="275">
        <f t="shared" si="30"/>
        <v>-20</v>
      </c>
      <c r="Y117" s="275">
        <f t="shared" si="31"/>
        <v>283.16000000000003</v>
      </c>
      <c r="Z117" s="276">
        <f t="shared" si="32"/>
        <v>0</v>
      </c>
      <c r="AA117" s="277">
        <f t="shared" si="33"/>
        <v>-4.251136302924281</v>
      </c>
      <c r="AB117" s="277" t="e">
        <f t="shared" si="34"/>
        <v>#DIV/0!</v>
      </c>
      <c r="AD117" s="278">
        <f t="shared" si="35"/>
        <v>1.2038902524222677</v>
      </c>
      <c r="AE117" s="265">
        <f t="shared" si="36"/>
        <v>2.523111111111111E-2</v>
      </c>
      <c r="AF117" s="253">
        <f t="shared" si="37"/>
        <v>1.7475555555555554E-5</v>
      </c>
    </row>
    <row r="118" spans="1:32" ht="12.75" customHeight="1">
      <c r="B118" s="566" t="str">
        <f t="shared" si="38"/>
        <v/>
      </c>
      <c r="C118" s="1128"/>
      <c r="D118" s="567" t="str">
        <f t="shared" si="26"/>
        <v/>
      </c>
      <c r="E118" s="1130"/>
      <c r="F118" s="568" t="str">
        <f t="shared" si="27"/>
        <v/>
      </c>
      <c r="G118" s="1128"/>
      <c r="H118" s="1132"/>
      <c r="I118" s="1132"/>
      <c r="J118" s="568" t="str">
        <f t="shared" si="28"/>
        <v/>
      </c>
      <c r="K118" s="569" t="str">
        <f t="shared" si="29"/>
        <v/>
      </c>
      <c r="L118" s="567"/>
      <c r="X118" s="275">
        <f t="shared" si="30"/>
        <v>-20</v>
      </c>
      <c r="Y118" s="275">
        <f t="shared" si="31"/>
        <v>283.16000000000003</v>
      </c>
      <c r="Z118" s="276">
        <f t="shared" si="32"/>
        <v>0</v>
      </c>
      <c r="AA118" s="277">
        <f t="shared" si="33"/>
        <v>-4.251136302924281</v>
      </c>
      <c r="AB118" s="277" t="e">
        <f t="shared" si="34"/>
        <v>#DIV/0!</v>
      </c>
      <c r="AD118" s="278">
        <f t="shared" si="35"/>
        <v>1.2038902524222677</v>
      </c>
      <c r="AE118" s="265">
        <f t="shared" si="36"/>
        <v>2.523111111111111E-2</v>
      </c>
      <c r="AF118" s="253">
        <f t="shared" si="37"/>
        <v>1.7475555555555554E-5</v>
      </c>
    </row>
    <row r="119" spans="1:32" ht="12.75" customHeight="1">
      <c r="B119" s="254"/>
      <c r="C119" s="254"/>
      <c r="D119" s="254"/>
      <c r="E119" s="254"/>
      <c r="F119" s="254"/>
      <c r="G119" s="254"/>
      <c r="H119" s="254"/>
      <c r="I119" s="254"/>
      <c r="J119" s="254"/>
      <c r="K119" s="254"/>
      <c r="L119" s="254"/>
    </row>
    <row r="120" spans="1:32" ht="12.75" customHeight="1">
      <c r="B120" s="286"/>
      <c r="L120" s="289"/>
    </row>
    <row r="121" spans="1:32" ht="12.75" customHeight="1"/>
    <row r="122" spans="1:32" ht="12.75" customHeight="1">
      <c r="B122" s="290"/>
      <c r="C122" s="287"/>
      <c r="D122" s="350"/>
      <c r="E122" s="481"/>
      <c r="G122" s="291"/>
      <c r="H122" s="262"/>
      <c r="K122" s="482"/>
    </row>
    <row r="123" spans="1:32" ht="12.75" customHeight="1">
      <c r="B123" s="290"/>
      <c r="C123" s="287"/>
      <c r="D123" s="473"/>
      <c r="E123" s="287"/>
      <c r="F123" s="481"/>
      <c r="G123" s="293"/>
      <c r="H123" s="262"/>
      <c r="J123" s="295"/>
      <c r="K123" s="482"/>
      <c r="L123" s="262"/>
    </row>
    <row r="124" spans="1:32" ht="12.75" customHeight="1"/>
    <row r="125" spans="1:32" ht="12.75" customHeight="1">
      <c r="A125" s="354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54"/>
      <c r="Z125" s="354"/>
      <c r="AA125" s="354"/>
      <c r="AB125" s="354"/>
      <c r="AC125" s="354"/>
      <c r="AD125" s="354"/>
      <c r="AE125" s="354"/>
      <c r="AF125" s="354"/>
    </row>
    <row r="126" spans="1:32" ht="12.75" customHeight="1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  <c r="Z126" s="354"/>
      <c r="AA126" s="354"/>
      <c r="AB126" s="354"/>
      <c r="AC126" s="354"/>
      <c r="AD126" s="354"/>
      <c r="AE126" s="354"/>
      <c r="AF126" s="354"/>
    </row>
    <row r="127" spans="1:32" ht="12.75" customHeight="1">
      <c r="A127" s="354"/>
      <c r="B127" s="443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</row>
    <row r="128" spans="1:32" ht="12.75" customHeight="1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354"/>
      <c r="AB128" s="354"/>
      <c r="AC128" s="354"/>
      <c r="AD128" s="354"/>
      <c r="AE128" s="354"/>
      <c r="AF128" s="354"/>
    </row>
    <row r="129" spans="1:32" ht="12.75" customHeight="1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54"/>
      <c r="Z129" s="354"/>
      <c r="AA129" s="354"/>
      <c r="AB129" s="354"/>
      <c r="AC129" s="354"/>
      <c r="AD129" s="354"/>
      <c r="AE129" s="354"/>
      <c r="AF129" s="354"/>
    </row>
    <row r="130" spans="1:32" ht="12.75" customHeight="1">
      <c r="A130" s="354"/>
      <c r="B130" s="354"/>
      <c r="C130" s="354"/>
      <c r="D130" s="354"/>
      <c r="E130" s="354"/>
      <c r="F130" s="354"/>
      <c r="G130" s="354"/>
      <c r="H130" s="354"/>
      <c r="I130" s="354"/>
      <c r="J130" s="354"/>
      <c r="K130" s="354"/>
      <c r="L130" s="354"/>
      <c r="M130" s="354"/>
      <c r="N130" s="354"/>
      <c r="O130" s="354"/>
      <c r="P130" s="354"/>
      <c r="Q130" s="354"/>
      <c r="R130" s="354"/>
      <c r="S130" s="354"/>
      <c r="T130" s="354"/>
      <c r="U130" s="354"/>
      <c r="V130" s="354"/>
      <c r="W130" s="354"/>
      <c r="X130"/>
      <c r="Y130" s="354"/>
      <c r="Z130" s="354"/>
      <c r="AA130" s="354"/>
      <c r="AB130" s="354"/>
      <c r="AC130" s="354"/>
      <c r="AD130" s="354"/>
      <c r="AE130" s="354"/>
      <c r="AF130" s="354"/>
    </row>
    <row r="131" spans="1:32" ht="12.75" customHeight="1">
      <c r="A131" s="354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  <c r="X131" s="354"/>
      <c r="Y131" s="354"/>
      <c r="Z131" s="354"/>
      <c r="AA131" s="354"/>
      <c r="AB131" s="354"/>
      <c r="AC131" s="354"/>
      <c r="AD131" s="354"/>
      <c r="AE131" s="354"/>
      <c r="AF131" s="354"/>
    </row>
    <row r="132" spans="1:32" ht="12.75" customHeight="1">
      <c r="A132" s="354"/>
      <c r="B132" s="352"/>
      <c r="C132" s="354"/>
      <c r="D132" s="354"/>
      <c r="E132" s="44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  <c r="Z132" s="354"/>
      <c r="AA132" s="354"/>
      <c r="AB132" s="354"/>
      <c r="AC132" s="354"/>
      <c r="AD132" s="354"/>
      <c r="AE132" s="354"/>
      <c r="AF132" s="354"/>
    </row>
    <row r="133" spans="1:32" ht="12.75" customHeight="1">
      <c r="A133" s="354"/>
      <c r="B133" s="352"/>
      <c r="C133" s="354"/>
      <c r="D133" s="354"/>
      <c r="E133" s="44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449"/>
      <c r="Y133" s="449"/>
      <c r="Z133" s="450"/>
      <c r="AA133" s="451"/>
      <c r="AB133" s="451"/>
      <c r="AC133" s="354"/>
      <c r="AD133" s="452"/>
      <c r="AE133" s="453"/>
      <c r="AF133" s="354"/>
    </row>
    <row r="134" spans="1:32" ht="12.75" customHeight="1">
      <c r="A134" s="354"/>
      <c r="B134" s="352"/>
      <c r="C134" s="354"/>
      <c r="D134" s="354"/>
      <c r="E134" s="44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354"/>
      <c r="AB134" s="354"/>
      <c r="AC134" s="354"/>
      <c r="AD134" s="354"/>
      <c r="AE134" s="354"/>
      <c r="AF134" s="354"/>
    </row>
    <row r="135" spans="1:32" ht="12.75" customHeight="1">
      <c r="A135" s="354"/>
      <c r="B135" s="361"/>
      <c r="C135" s="354"/>
      <c r="D135" s="354"/>
      <c r="E135" s="44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449"/>
      <c r="Y135" s="449"/>
      <c r="Z135" s="450"/>
      <c r="AA135" s="451"/>
      <c r="AB135" s="451"/>
      <c r="AC135" s="354"/>
      <c r="AD135" s="452"/>
      <c r="AE135" s="453"/>
      <c r="AF135" s="354"/>
    </row>
    <row r="136" spans="1:32" ht="12.75" customHeight="1">
      <c r="A136" s="354"/>
      <c r="B136" s="444"/>
      <c r="C136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449"/>
      <c r="Y136" s="449"/>
      <c r="Z136" s="450"/>
      <c r="AA136" s="451"/>
      <c r="AB136" s="451"/>
      <c r="AC136" s="354"/>
      <c r="AD136" s="452"/>
      <c r="AE136" s="453"/>
      <c r="AF136" s="354"/>
    </row>
    <row r="137" spans="1:32" ht="12.75" customHeight="1">
      <c r="A137" s="354"/>
      <c r="B137" s="444"/>
      <c r="C137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449"/>
      <c r="Y137" s="449"/>
      <c r="Z137" s="450"/>
      <c r="AA137" s="451"/>
      <c r="AB137" s="451"/>
      <c r="AC137" s="354"/>
      <c r="AD137" s="452"/>
      <c r="AE137" s="453"/>
      <c r="AF137" s="354"/>
    </row>
    <row r="138" spans="1:32" ht="12.75" customHeight="1">
      <c r="A138" s="354"/>
      <c r="B138" s="444"/>
      <c r="C138"/>
      <c r="D138" s="354"/>
      <c r="E138" s="456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449"/>
      <c r="Y138" s="449"/>
      <c r="Z138" s="450"/>
      <c r="AA138" s="451"/>
      <c r="AB138" s="451"/>
      <c r="AC138" s="354"/>
      <c r="AD138" s="452"/>
      <c r="AE138" s="453"/>
      <c r="AF138" s="354"/>
    </row>
    <row r="139" spans="1:32" ht="12.75" customHeight="1">
      <c r="A139" s="354"/>
      <c r="B139" s="444"/>
      <c r="C139"/>
      <c r="D139" s="354"/>
      <c r="E139" s="456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449"/>
      <c r="Y139" s="449"/>
      <c r="Z139" s="450"/>
      <c r="AA139" s="451"/>
      <c r="AB139" s="451"/>
      <c r="AC139" s="354"/>
      <c r="AD139" s="452"/>
      <c r="AE139" s="453"/>
      <c r="AF139" s="354"/>
    </row>
    <row r="140" spans="1:32" ht="12.75" customHeight="1">
      <c r="A140" s="354"/>
      <c r="B140" s="352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449"/>
      <c r="Y140" s="449"/>
      <c r="Z140" s="450"/>
      <c r="AA140" s="451"/>
      <c r="AB140" s="451"/>
      <c r="AC140" s="354"/>
      <c r="AD140" s="452"/>
      <c r="AE140" s="453"/>
      <c r="AF140" s="354"/>
    </row>
    <row r="141" spans="1:32" ht="12.75" customHeight="1">
      <c r="A141" s="354"/>
      <c r="B141" s="361"/>
      <c r="C141" s="354"/>
      <c r="D141" s="354"/>
      <c r="E141" s="44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449"/>
      <c r="Y141" s="449"/>
      <c r="Z141" s="450"/>
      <c r="AA141" s="451"/>
      <c r="AB141" s="451"/>
      <c r="AC141" s="354"/>
      <c r="AD141" s="452"/>
      <c r="AE141" s="453"/>
      <c r="AF141" s="354"/>
    </row>
    <row r="142" spans="1:32" ht="12.75" customHeight="1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449"/>
      <c r="Y142" s="449"/>
      <c r="Z142" s="450"/>
      <c r="AA142" s="451"/>
      <c r="AB142" s="451"/>
      <c r="AC142" s="354"/>
      <c r="AD142" s="452"/>
      <c r="AE142" s="453"/>
      <c r="AF142" s="354"/>
    </row>
    <row r="143" spans="1:32" ht="12.75" customHeight="1">
      <c r="A143" s="354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449"/>
      <c r="Y143" s="449"/>
      <c r="Z143" s="450"/>
      <c r="AA143" s="451"/>
      <c r="AB143" s="451"/>
      <c r="AC143" s="354"/>
      <c r="AD143" s="452"/>
      <c r="AE143" s="453"/>
      <c r="AF143" s="354"/>
    </row>
    <row r="144" spans="1:32" ht="12.75" customHeight="1">
      <c r="A144" s="354"/>
      <c r="B144" s="444"/>
      <c r="C144" s="354"/>
      <c r="D144" s="354"/>
      <c r="E144" s="456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449"/>
      <c r="Y144" s="449"/>
      <c r="Z144" s="450"/>
      <c r="AA144" s="451"/>
      <c r="AB144" s="451"/>
      <c r="AC144" s="354"/>
      <c r="AD144" s="452"/>
      <c r="AE144" s="453"/>
      <c r="AF144" s="354"/>
    </row>
    <row r="145" spans="1:32" ht="12.75" customHeight="1">
      <c r="A145" s="354"/>
      <c r="B145" s="444"/>
      <c r="C145" s="354"/>
      <c r="D145" s="354"/>
      <c r="E145" s="456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449"/>
      <c r="Y145" s="449"/>
      <c r="Z145" s="450"/>
      <c r="AA145" s="451"/>
      <c r="AB145" s="451"/>
      <c r="AC145" s="354"/>
      <c r="AD145" s="452"/>
      <c r="AE145" s="453"/>
      <c r="AF145" s="354"/>
    </row>
    <row r="146" spans="1:32" ht="12.75" customHeight="1">
      <c r="A146" s="354"/>
      <c r="B146" s="361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54"/>
      <c r="Z146" s="354"/>
      <c r="AA146" s="354"/>
      <c r="AB146" s="354"/>
      <c r="AC146" s="354"/>
      <c r="AD146" s="354"/>
      <c r="AE146" s="354"/>
      <c r="AF146" s="354"/>
    </row>
    <row r="147" spans="1:32" ht="12.75" customHeight="1">
      <c r="A147" s="354"/>
      <c r="B147" s="352"/>
      <c r="C147" s="354"/>
      <c r="D147" s="354"/>
      <c r="E147" s="44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  <c r="Z147" s="354"/>
      <c r="AA147" s="354"/>
      <c r="AB147" s="354"/>
      <c r="AC147" s="354"/>
      <c r="AD147" s="354"/>
      <c r="AE147" s="354"/>
      <c r="AF147" s="354"/>
    </row>
    <row r="148" spans="1:32" ht="12.75" customHeight="1">
      <c r="A148" s="354"/>
      <c r="B148" s="361"/>
      <c r="C148" s="354"/>
      <c r="D148" s="354"/>
      <c r="E148" s="44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449"/>
      <c r="Y148" s="449"/>
      <c r="Z148" s="450"/>
      <c r="AA148" s="451"/>
      <c r="AB148" s="451"/>
      <c r="AC148" s="354"/>
      <c r="AD148" s="452"/>
      <c r="AE148" s="453"/>
      <c r="AF148" s="354"/>
    </row>
    <row r="149" spans="1:32" ht="12.75" customHeight="1">
      <c r="A149" s="354"/>
      <c r="B149" s="44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  <c r="Q149" s="354"/>
      <c r="R149" s="354"/>
      <c r="S149" s="354"/>
      <c r="T149" s="354"/>
      <c r="U149" s="354"/>
      <c r="V149" s="354"/>
      <c r="W149" s="354"/>
      <c r="X149" s="449"/>
      <c r="Y149" s="449"/>
      <c r="Z149" s="450"/>
      <c r="AA149" s="451"/>
      <c r="AB149" s="451"/>
      <c r="AC149" s="354"/>
      <c r="AD149" s="452"/>
      <c r="AE149" s="453"/>
      <c r="AF149" s="354"/>
    </row>
    <row r="150" spans="1:32" ht="12.75" customHeight="1">
      <c r="A150" s="354"/>
      <c r="B150" s="44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449"/>
      <c r="Y150" s="449"/>
      <c r="Z150" s="450"/>
      <c r="AA150" s="451"/>
      <c r="AB150" s="451"/>
      <c r="AC150" s="354"/>
      <c r="AD150" s="452"/>
      <c r="AE150" s="453"/>
      <c r="AF150" s="354"/>
    </row>
    <row r="151" spans="1:32" ht="12.75" customHeight="1">
      <c r="A151" s="354"/>
      <c r="B151" s="444"/>
      <c r="C151" s="354"/>
      <c r="D151" s="354"/>
      <c r="E151" s="456"/>
      <c r="F151" s="354"/>
      <c r="G151" s="354"/>
      <c r="H151" s="354"/>
      <c r="I151" s="354"/>
      <c r="J151" s="354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449"/>
      <c r="Y151" s="449"/>
      <c r="Z151" s="450"/>
      <c r="AA151" s="451"/>
      <c r="AB151" s="451"/>
      <c r="AC151" s="354"/>
      <c r="AD151" s="452"/>
      <c r="AE151" s="453"/>
      <c r="AF151" s="354"/>
    </row>
    <row r="152" spans="1:32" ht="12.75" customHeight="1">
      <c r="A152" s="354"/>
      <c r="B152" s="444"/>
      <c r="C152" s="354"/>
      <c r="D152" s="354"/>
      <c r="E152" s="456"/>
      <c r="F152" s="354"/>
      <c r="G152" s="354"/>
      <c r="H152" s="354"/>
      <c r="I152" s="354"/>
      <c r="J152" s="354"/>
      <c r="K152" s="354"/>
      <c r="L152" s="354"/>
      <c r="M152" s="354"/>
      <c r="N152" s="354"/>
      <c r="O152" s="354"/>
      <c r="P152" s="354"/>
      <c r="Q152" s="354"/>
      <c r="R152" s="354"/>
      <c r="S152" s="354"/>
      <c r="T152" s="354"/>
      <c r="U152" s="354"/>
      <c r="V152" s="354"/>
      <c r="W152" s="354"/>
      <c r="X152" s="449"/>
      <c r="Y152" s="449"/>
      <c r="Z152" s="450"/>
      <c r="AA152" s="451"/>
      <c r="AB152" s="451"/>
      <c r="AC152" s="354"/>
      <c r="AD152" s="452"/>
      <c r="AE152" s="453"/>
      <c r="AF152" s="354"/>
    </row>
    <row r="153" spans="1:32" ht="12.75" customHeight="1">
      <c r="A153" s="354"/>
      <c r="B153" s="361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54"/>
      <c r="Z153" s="354"/>
      <c r="AA153" s="354"/>
      <c r="AB153" s="354"/>
      <c r="AC153" s="354"/>
      <c r="AD153" s="354"/>
      <c r="AE153" s="354"/>
      <c r="AF153" s="354"/>
    </row>
    <row r="154" spans="1:32" ht="12.75" customHeight="1">
      <c r="A154" s="354"/>
      <c r="B1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54"/>
      <c r="Z154" s="354"/>
      <c r="AA154" s="354"/>
      <c r="AB154" s="354"/>
      <c r="AC154" s="354"/>
      <c r="AD154" s="354"/>
      <c r="AE154" s="354"/>
      <c r="AF154" s="354"/>
    </row>
    <row r="155" spans="1:32" ht="12.75" customHeight="1">
      <c r="A155" s="354"/>
      <c r="B155" s="361"/>
      <c r="C155" s="354"/>
      <c r="D155" s="354"/>
      <c r="E155" s="44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449"/>
      <c r="Y155" s="449"/>
      <c r="Z155" s="450"/>
      <c r="AA155" s="451"/>
      <c r="AB155" s="451"/>
      <c r="AC155" s="354"/>
      <c r="AD155" s="452"/>
      <c r="AE155" s="453"/>
      <c r="AF155" s="354"/>
    </row>
    <row r="156" spans="1:32" ht="12.75" customHeight="1">
      <c r="A156" s="354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449"/>
      <c r="Y156" s="449"/>
      <c r="Z156" s="450"/>
      <c r="AA156" s="451"/>
      <c r="AB156" s="451"/>
      <c r="AC156" s="354"/>
      <c r="AD156" s="452"/>
      <c r="AE156" s="453"/>
      <c r="AF156" s="354"/>
    </row>
    <row r="157" spans="1:32" ht="12.75" customHeight="1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449"/>
      <c r="Y157" s="449"/>
      <c r="Z157" s="450"/>
      <c r="AA157" s="451"/>
      <c r="AB157" s="451"/>
      <c r="AC157" s="354"/>
      <c r="AD157" s="452"/>
      <c r="AE157" s="453"/>
      <c r="AF157" s="354"/>
    </row>
    <row r="158" spans="1:32" ht="12.75" customHeight="1">
      <c r="A158" s="354"/>
      <c r="B158" s="444"/>
      <c r="C158" s="354"/>
      <c r="D158" s="354"/>
      <c r="E158" s="456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449"/>
      <c r="Y158" s="449"/>
      <c r="Z158" s="450"/>
      <c r="AA158" s="451"/>
      <c r="AB158" s="451"/>
      <c r="AC158" s="354"/>
      <c r="AD158" s="452"/>
      <c r="AE158" s="453"/>
      <c r="AF158" s="354"/>
    </row>
    <row r="159" spans="1:32" ht="12.75" customHeight="1">
      <c r="A159" s="354"/>
      <c r="B159" s="444"/>
      <c r="C159" s="354"/>
      <c r="D159" s="354"/>
      <c r="E159" s="456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449"/>
      <c r="Y159" s="449"/>
      <c r="Z159" s="450"/>
      <c r="AA159" s="451"/>
      <c r="AB159" s="451"/>
      <c r="AC159" s="354"/>
      <c r="AD159" s="452"/>
      <c r="AE159" s="453"/>
      <c r="AF159" s="354"/>
    </row>
    <row r="160" spans="1:32" ht="12.75" customHeight="1">
      <c r="A160" s="354"/>
      <c r="B160" s="361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54"/>
      <c r="Z160" s="354"/>
      <c r="AA160" s="354"/>
      <c r="AB160" s="354"/>
      <c r="AC160" s="354"/>
      <c r="AD160" s="354"/>
      <c r="AE160" s="354"/>
      <c r="AF160" s="354"/>
    </row>
    <row r="161" spans="1:32" ht="12.75" customHeight="1">
      <c r="A161" s="354"/>
      <c r="B161" s="352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354"/>
      <c r="AB161" s="354"/>
      <c r="AC161" s="354"/>
      <c r="AD161" s="354"/>
      <c r="AE161" s="354"/>
      <c r="AF161" s="354"/>
    </row>
    <row r="162" spans="1:32" ht="12.75" customHeight="1">
      <c r="A162" s="354"/>
      <c r="B162" s="361"/>
      <c r="C162" s="354"/>
      <c r="D162" s="354"/>
      <c r="E162" s="44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449"/>
      <c r="Y162" s="449"/>
      <c r="Z162" s="450"/>
      <c r="AA162" s="451"/>
      <c r="AB162" s="451"/>
      <c r="AC162" s="354"/>
      <c r="AD162" s="452"/>
      <c r="AE162" s="453"/>
      <c r="AF162" s="354"/>
    </row>
    <row r="163" spans="1:32" ht="12.75" customHeight="1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449"/>
      <c r="Y163" s="449"/>
      <c r="Z163" s="450"/>
      <c r="AA163" s="451"/>
      <c r="AB163" s="451"/>
      <c r="AC163" s="354"/>
      <c r="AD163" s="452"/>
      <c r="AE163" s="453"/>
      <c r="AF163" s="354"/>
    </row>
    <row r="164" spans="1:32" ht="12.75" customHeight="1">
      <c r="A164" s="354"/>
      <c r="B164" s="44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449"/>
      <c r="Y164" s="449"/>
      <c r="Z164" s="450"/>
      <c r="AA164" s="451"/>
      <c r="AB164" s="451"/>
      <c r="AC164" s="354"/>
      <c r="AD164" s="452"/>
      <c r="AE164" s="453"/>
      <c r="AF164" s="354"/>
    </row>
    <row r="165" spans="1:32" ht="12.75" customHeight="1">
      <c r="A165" s="354"/>
      <c r="B165" s="444"/>
      <c r="C165" s="354"/>
      <c r="D165" s="354"/>
      <c r="E165" s="456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449"/>
      <c r="Y165" s="449"/>
      <c r="Z165" s="450"/>
      <c r="AA165" s="451"/>
      <c r="AB165" s="451"/>
      <c r="AC165" s="354"/>
      <c r="AD165" s="452"/>
      <c r="AE165" s="453"/>
      <c r="AF165" s="354"/>
    </row>
    <row r="166" spans="1:32" ht="12.75" customHeight="1">
      <c r="A166" s="354"/>
      <c r="B166" s="444"/>
      <c r="C166" s="354"/>
      <c r="D166" s="354"/>
      <c r="E166" s="456"/>
      <c r="F166" s="354"/>
      <c r="G166" s="354"/>
      <c r="H166" s="354"/>
      <c r="I166" s="354"/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  <c r="U166" s="354"/>
      <c r="V166" s="354"/>
      <c r="W166" s="354"/>
      <c r="X166" s="449"/>
      <c r="Y166" s="449"/>
      <c r="Z166" s="450"/>
      <c r="AA166" s="451"/>
      <c r="AB166" s="451"/>
      <c r="AC166" s="354"/>
      <c r="AD166" s="452"/>
      <c r="AE166" s="453"/>
      <c r="AF166" s="354"/>
    </row>
    <row r="167" spans="1:32" ht="12.75" customHeight="1">
      <c r="A167" s="354"/>
      <c r="B167" s="361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  <c r="AA167" s="354"/>
      <c r="AB167" s="354"/>
      <c r="AC167" s="354"/>
      <c r="AD167" s="354"/>
      <c r="AE167" s="354"/>
      <c r="AF167" s="354"/>
    </row>
    <row r="168" spans="1:32" ht="12.75" customHeight="1">
      <c r="A168" s="354"/>
      <c r="B168" s="352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354"/>
      <c r="AB168" s="354"/>
      <c r="AC168" s="354"/>
      <c r="AD168" s="354"/>
      <c r="AE168" s="354"/>
      <c r="AF168" s="354"/>
    </row>
    <row r="169" spans="1:32" ht="12.75" customHeight="1">
      <c r="A169" s="354"/>
      <c r="B169" s="361"/>
      <c r="C169" s="354"/>
      <c r="D169" s="354"/>
      <c r="E169" s="44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449"/>
      <c r="Y169" s="449"/>
      <c r="Z169" s="450"/>
      <c r="AA169" s="451"/>
      <c r="AB169" s="451"/>
      <c r="AC169" s="354"/>
      <c r="AD169" s="452"/>
      <c r="AE169" s="453"/>
      <c r="AF169" s="354"/>
    </row>
    <row r="170" spans="1:32" ht="12.75" customHeight="1">
      <c r="A170" s="354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4"/>
      <c r="N170" s="354"/>
      <c r="O170" s="354"/>
      <c r="P170" s="354"/>
      <c r="Q170" s="354"/>
      <c r="R170" s="354"/>
      <c r="S170" s="354"/>
      <c r="T170" s="354"/>
      <c r="U170" s="354"/>
      <c r="V170" s="354"/>
      <c r="W170" s="354"/>
      <c r="X170" s="449"/>
      <c r="Y170" s="449"/>
      <c r="Z170" s="450"/>
      <c r="AA170" s="451"/>
      <c r="AB170" s="451"/>
      <c r="AC170" s="354"/>
      <c r="AD170" s="452"/>
      <c r="AE170" s="453"/>
      <c r="AF170" s="354"/>
    </row>
    <row r="171" spans="1:32" ht="12.75" customHeight="1">
      <c r="A171" s="354"/>
      <c r="B171" s="44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449"/>
      <c r="Y171" s="449"/>
      <c r="Z171" s="450"/>
      <c r="AA171" s="451"/>
      <c r="AB171" s="451"/>
      <c r="AC171" s="354"/>
      <c r="AD171" s="452"/>
      <c r="AE171" s="453"/>
      <c r="AF171" s="354"/>
    </row>
    <row r="172" spans="1:32" ht="12.75" customHeight="1">
      <c r="A172" s="354"/>
      <c r="B172" s="444"/>
      <c r="C172" s="354"/>
      <c r="D172" s="354"/>
      <c r="E172" s="456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449"/>
      <c r="Y172" s="449"/>
      <c r="Z172" s="450"/>
      <c r="AA172" s="451"/>
      <c r="AB172" s="451"/>
      <c r="AC172" s="354"/>
      <c r="AD172" s="452"/>
      <c r="AE172" s="453"/>
      <c r="AF172" s="354"/>
    </row>
    <row r="173" spans="1:32" ht="12.75" customHeight="1">
      <c r="A173" s="354"/>
      <c r="B173" s="444"/>
      <c r="C173" s="354"/>
      <c r="D173" s="354"/>
      <c r="E173" s="456"/>
      <c r="F173" s="354"/>
      <c r="G173" s="354"/>
      <c r="H173" s="354"/>
      <c r="I173" s="354"/>
      <c r="J173" s="354"/>
      <c r="K173" s="354"/>
      <c r="L173" s="354"/>
      <c r="M173" s="354"/>
      <c r="N173" s="354"/>
      <c r="O173" s="354"/>
      <c r="P173" s="354"/>
      <c r="Q173" s="354"/>
      <c r="R173" s="354"/>
      <c r="S173" s="354"/>
      <c r="T173" s="354"/>
      <c r="U173" s="354"/>
      <c r="V173" s="354"/>
      <c r="W173" s="354"/>
      <c r="X173" s="449"/>
      <c r="Y173" s="449"/>
      <c r="Z173" s="450"/>
      <c r="AA173" s="451"/>
      <c r="AB173" s="451"/>
      <c r="AC173" s="354"/>
      <c r="AD173" s="452"/>
      <c r="AE173" s="453"/>
      <c r="AF173" s="354"/>
    </row>
    <row r="174" spans="1:32" ht="12.75" customHeight="1">
      <c r="A174" s="354"/>
      <c r="B174" s="361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354"/>
      <c r="AB174" s="354"/>
      <c r="AC174" s="354"/>
      <c r="AD174" s="354"/>
      <c r="AE174" s="354"/>
      <c r="AF174" s="354"/>
    </row>
    <row r="175" spans="1:32" ht="12.75" customHeight="1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4"/>
      <c r="N175" s="354"/>
      <c r="O175" s="354"/>
      <c r="P175" s="354"/>
      <c r="Q175" s="354"/>
      <c r="R175" s="354"/>
      <c r="S175" s="354"/>
      <c r="T175" s="354"/>
      <c r="U175" s="354"/>
      <c r="V175" s="354"/>
      <c r="W175" s="354"/>
      <c r="X175" s="354"/>
      <c r="Y175" s="354"/>
      <c r="Z175" s="354"/>
      <c r="AA175" s="354"/>
      <c r="AB175" s="354"/>
      <c r="AC175" s="354"/>
      <c r="AD175" s="354"/>
      <c r="AE175" s="354"/>
      <c r="AF175" s="354"/>
    </row>
    <row r="176" spans="1:32" ht="12.75" customHeight="1">
      <c r="A176" s="354"/>
      <c r="B176" s="352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449"/>
      <c r="Y176" s="449"/>
      <c r="Z176" s="450"/>
      <c r="AA176" s="451"/>
      <c r="AB176" s="451"/>
      <c r="AC176" s="354"/>
      <c r="AD176" s="452"/>
      <c r="AE176" s="453"/>
      <c r="AF176" s="354"/>
    </row>
    <row r="177" spans="1:32" ht="12.75" customHeight="1">
      <c r="A177" s="354"/>
      <c r="B177" s="352"/>
      <c r="C177" s="354"/>
      <c r="D177" s="354"/>
      <c r="E177" s="354"/>
      <c r="F177" s="354"/>
      <c r="G177" s="354"/>
      <c r="H177" s="354"/>
      <c r="I177" s="354"/>
      <c r="J177" s="354"/>
      <c r="K177" s="354"/>
      <c r="L177" s="354"/>
      <c r="M177" s="354"/>
      <c r="N177" s="354"/>
      <c r="O177" s="354"/>
      <c r="P177" s="354"/>
      <c r="Q177" s="354"/>
      <c r="R177" s="354"/>
      <c r="S177" s="354"/>
      <c r="T177" s="354"/>
      <c r="U177" s="354"/>
      <c r="V177" s="354"/>
      <c r="W177" s="354"/>
      <c r="X177" s="449"/>
      <c r="Y177" s="449"/>
      <c r="Z177" s="450"/>
      <c r="AA177" s="451"/>
      <c r="AB177" s="451"/>
      <c r="AC177" s="354"/>
      <c r="AD177" s="452"/>
      <c r="AE177" s="453"/>
      <c r="AF177" s="354"/>
    </row>
    <row r="178" spans="1:32" ht="12.75" customHeight="1">
      <c r="A178" s="354"/>
      <c r="B178" s="352"/>
      <c r="C178" s="354"/>
      <c r="D178" s="354"/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4"/>
      <c r="P178" s="354"/>
      <c r="Q178" s="354"/>
      <c r="R178" s="354"/>
      <c r="S178" s="354"/>
      <c r="T178" s="354"/>
      <c r="U178" s="354"/>
      <c r="V178" s="354"/>
      <c r="W178" s="354"/>
      <c r="X178" s="449"/>
      <c r="Y178" s="449"/>
      <c r="Z178" s="450"/>
      <c r="AA178" s="451"/>
      <c r="AB178" s="451"/>
      <c r="AC178" s="354"/>
      <c r="AD178" s="452"/>
      <c r="AE178" s="453"/>
      <c r="AF178" s="354"/>
    </row>
    <row r="179" spans="1:32" ht="12.75" customHeight="1">
      <c r="A179" s="354"/>
      <c r="B179" s="352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449"/>
      <c r="Y179" s="449"/>
      <c r="Z179" s="450"/>
      <c r="AA179" s="451"/>
      <c r="AB179" s="451"/>
      <c r="AC179" s="354"/>
      <c r="AD179" s="452"/>
      <c r="AE179" s="453"/>
      <c r="AF179" s="354"/>
    </row>
    <row r="180" spans="1:32" ht="12.75" customHeight="1">
      <c r="A180" s="354"/>
      <c r="B180" s="352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449"/>
      <c r="Y180" s="449"/>
      <c r="Z180" s="450"/>
      <c r="AA180" s="451"/>
      <c r="AB180" s="451"/>
      <c r="AC180" s="354"/>
      <c r="AD180" s="452"/>
      <c r="AE180" s="453"/>
      <c r="AF180" s="354"/>
    </row>
    <row r="181" spans="1:32" ht="12.75" customHeight="1">
      <c r="A181" s="354"/>
      <c r="B181" s="352"/>
      <c r="C181"/>
      <c r="D181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449"/>
      <c r="Y181" s="449"/>
      <c r="Z181" s="450"/>
      <c r="AA181" s="451"/>
      <c r="AB181" s="451"/>
      <c r="AC181" s="354"/>
      <c r="AD181" s="452"/>
      <c r="AE181" s="453"/>
      <c r="AF181" s="354"/>
    </row>
    <row r="182" spans="1:32" ht="12.75" customHeight="1">
      <c r="A182" s="354"/>
      <c r="B182" s="356"/>
      <c r="C182" s="465"/>
      <c r="D182" s="465"/>
      <c r="E182" s="465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  <c r="X182" s="354"/>
      <c r="Y182" s="354"/>
      <c r="Z182" s="354"/>
      <c r="AA182" s="354"/>
      <c r="AB182" s="354"/>
      <c r="AC182" s="354"/>
      <c r="AD182" s="354"/>
      <c r="AE182" s="354"/>
      <c r="AF182" s="354"/>
    </row>
    <row r="183" spans="1:32" ht="12.75" customHeight="1">
      <c r="A183" s="354"/>
      <c r="B183" s="210"/>
      <c r="C183" s="465"/>
      <c r="D183" s="465"/>
      <c r="E183" s="465"/>
      <c r="F183" s="354"/>
      <c r="G183" s="354"/>
      <c r="H183" s="354"/>
      <c r="I183" s="354"/>
      <c r="J183" s="354"/>
      <c r="K183" s="354"/>
      <c r="L183" s="354"/>
      <c r="M183" s="354"/>
      <c r="N183" s="354"/>
      <c r="O183" s="354"/>
      <c r="P183" s="354"/>
      <c r="Q183" s="354"/>
      <c r="R183" s="354"/>
      <c r="S183" s="354"/>
      <c r="T183" s="354"/>
      <c r="U183" s="354"/>
      <c r="V183" s="354"/>
      <c r="W183" s="354"/>
      <c r="X183" s="354"/>
      <c r="Y183" s="354"/>
      <c r="Z183" s="354"/>
      <c r="AA183" s="354"/>
      <c r="AB183" s="354"/>
      <c r="AC183" s="354"/>
      <c r="AD183" s="354"/>
      <c r="AE183" s="354"/>
      <c r="AF183" s="354"/>
    </row>
    <row r="184" spans="1:32" ht="12.75" customHeight="1">
      <c r="A184" s="354"/>
      <c r="B184" s="358"/>
      <c r="C184" s="465"/>
      <c r="D184" s="465"/>
      <c r="E184" s="465"/>
      <c r="F184" s="354"/>
      <c r="G184" s="354"/>
      <c r="H184" s="354"/>
      <c r="I184" s="354"/>
      <c r="J184" s="354"/>
      <c r="K184" s="354"/>
      <c r="L184" s="354"/>
      <c r="M184" s="354"/>
      <c r="N184" s="354"/>
      <c r="O184" s="354"/>
      <c r="P184" s="354"/>
      <c r="Q184" s="354"/>
      <c r="R184" s="354"/>
      <c r="S184" s="354"/>
      <c r="T184" s="354"/>
      <c r="U184" s="354"/>
      <c r="V184" s="354"/>
      <c r="W184" s="354"/>
      <c r="X184" s="354"/>
      <c r="Y184" s="354"/>
      <c r="Z184" s="354"/>
      <c r="AA184" s="354"/>
      <c r="AB184" s="354"/>
      <c r="AC184" s="354"/>
      <c r="AD184" s="354"/>
      <c r="AE184" s="354"/>
      <c r="AF184" s="354"/>
    </row>
    <row r="185" spans="1:32" ht="12.75" customHeight="1">
      <c r="A185" s="354"/>
      <c r="B185" s="358"/>
      <c r="C185" s="465"/>
      <c r="D185" s="465"/>
      <c r="E185" s="465"/>
      <c r="F185" s="354"/>
      <c r="G185" s="354"/>
      <c r="H185" s="354"/>
      <c r="I185" s="354"/>
      <c r="J185" s="354"/>
      <c r="K185" s="354"/>
      <c r="L185" s="354"/>
      <c r="M185" s="354"/>
      <c r="N185" s="354"/>
      <c r="O185" s="354"/>
      <c r="P185" s="354"/>
      <c r="Q185" s="354"/>
      <c r="R185" s="354"/>
      <c r="S185" s="354"/>
      <c r="T185" s="354"/>
      <c r="U185" s="354"/>
      <c r="V185" s="354"/>
      <c r="W185" s="354"/>
      <c r="X185" s="354"/>
      <c r="Y185" s="354"/>
      <c r="Z185" s="354"/>
      <c r="AA185" s="354"/>
      <c r="AB185" s="354"/>
      <c r="AC185" s="354"/>
      <c r="AD185" s="354"/>
      <c r="AE185" s="354"/>
      <c r="AF185" s="354"/>
    </row>
    <row r="186" spans="1:32" ht="12.75" customHeight="1">
      <c r="A186" s="354"/>
      <c r="B186" s="467"/>
      <c r="C186" s="354"/>
      <c r="D186" s="354"/>
      <c r="E186" s="354"/>
      <c r="F186" s="354"/>
      <c r="G186" s="354"/>
      <c r="H186" s="354"/>
      <c r="I186" s="354"/>
      <c r="J186" s="354"/>
      <c r="K186" s="354"/>
      <c r="L186" s="354"/>
      <c r="M186" s="354"/>
      <c r="N186" s="354"/>
      <c r="O186" s="354"/>
      <c r="P186" s="354"/>
      <c r="Q186" s="354"/>
      <c r="R186" s="354"/>
      <c r="S186" s="354"/>
      <c r="T186" s="354"/>
      <c r="U186" s="354"/>
      <c r="V186" s="354"/>
      <c r="W186" s="354"/>
      <c r="X186" s="354"/>
      <c r="Y186" s="354"/>
      <c r="Z186" s="354"/>
      <c r="AA186" s="354"/>
      <c r="AB186" s="354"/>
      <c r="AC186" s="354"/>
      <c r="AD186" s="354"/>
      <c r="AE186" s="354"/>
      <c r="AF186" s="354"/>
    </row>
    <row r="187" spans="1:32" ht="12.75" customHeight="1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354"/>
      <c r="N187" s="354"/>
      <c r="O187" s="354"/>
      <c r="P187" s="354"/>
      <c r="Q187" s="354"/>
      <c r="R187" s="354"/>
      <c r="S187" s="354"/>
      <c r="T187" s="354"/>
      <c r="U187" s="354"/>
      <c r="V187" s="354"/>
      <c r="W187" s="354"/>
      <c r="X187" s="354"/>
      <c r="Y187" s="354"/>
      <c r="Z187" s="354"/>
      <c r="AA187" s="354"/>
      <c r="AB187" s="354"/>
      <c r="AC187" s="354"/>
      <c r="AD187" s="354"/>
      <c r="AE187" s="354"/>
      <c r="AF187" s="354"/>
    </row>
    <row r="188" spans="1:32" ht="12.75" customHeight="1">
      <c r="A188" s="354"/>
      <c r="B188" s="468"/>
      <c r="C188" s="469"/>
      <c r="D188" s="470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  <c r="AA188" s="354"/>
      <c r="AB188" s="354"/>
      <c r="AC188" s="354"/>
      <c r="AD188" s="354"/>
      <c r="AE188" s="354"/>
      <c r="AF188" s="354"/>
    </row>
    <row r="189" spans="1:32" ht="12.75" customHeight="1">
      <c r="A189" s="354"/>
      <c r="B189" s="468"/>
      <c r="C189" s="469"/>
      <c r="D189" s="473"/>
      <c r="E189" s="354"/>
      <c r="F189" s="354"/>
      <c r="G189" s="354"/>
      <c r="H189" s="354"/>
      <c r="I189" s="354"/>
      <c r="J189" s="354"/>
      <c r="K189" s="354"/>
      <c r="L189" s="354"/>
      <c r="M189" s="354"/>
      <c r="N189" s="354"/>
      <c r="O189" s="354"/>
      <c r="P189" s="354"/>
      <c r="Q189" s="354"/>
      <c r="R189" s="354"/>
      <c r="S189" s="354"/>
      <c r="T189" s="354"/>
      <c r="U189" s="354"/>
      <c r="V189" s="354"/>
      <c r="W189" s="354"/>
      <c r="X189" s="354"/>
      <c r="Y189" s="354"/>
      <c r="Z189" s="354"/>
      <c r="AA189" s="354"/>
      <c r="AB189" s="354"/>
      <c r="AC189" s="354"/>
      <c r="AD189" s="354"/>
      <c r="AE189" s="354"/>
      <c r="AF189" s="354"/>
    </row>
    <row r="190" spans="1:32" ht="12.75" customHeight="1">
      <c r="A190" s="354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4"/>
      <c r="N190" s="354"/>
      <c r="O190" s="354"/>
      <c r="P190" s="354"/>
      <c r="Q190" s="354"/>
      <c r="R190" s="354"/>
      <c r="S190" s="354"/>
      <c r="T190" s="354"/>
      <c r="U190" s="354"/>
      <c r="V190" s="354"/>
      <c r="W190" s="354"/>
      <c r="X190" s="354"/>
      <c r="Y190" s="354"/>
      <c r="Z190" s="354"/>
      <c r="AA190" s="354"/>
      <c r="AB190" s="354"/>
      <c r="AC190" s="354"/>
      <c r="AD190" s="354"/>
      <c r="AE190" s="354"/>
      <c r="AF190" s="354"/>
    </row>
    <row r="191" spans="1:32" ht="12.75" customHeight="1">
      <c r="F191" s="354"/>
      <c r="G191" s="354"/>
      <c r="H191" s="354"/>
      <c r="I191" s="354"/>
      <c r="J191" s="354"/>
      <c r="K191" s="354"/>
      <c r="L191" s="354"/>
    </row>
    <row r="192" spans="1:32" ht="12.75" customHeight="1">
      <c r="F192" s="354"/>
      <c r="G192" s="354"/>
      <c r="H192" s="354"/>
      <c r="I192" s="354"/>
      <c r="J192" s="354"/>
      <c r="K192" s="354"/>
      <c r="L192" s="354"/>
    </row>
    <row r="193" spans="6:12" ht="12.75" customHeight="1">
      <c r="F193" s="354"/>
      <c r="G193" s="354"/>
      <c r="H193" s="354"/>
      <c r="I193" s="354"/>
      <c r="J193" s="354"/>
      <c r="K193" s="354"/>
      <c r="L193" s="354"/>
    </row>
    <row r="194" spans="6:12" ht="12.75" customHeight="1">
      <c r="F194" s="354"/>
      <c r="G194" s="354"/>
      <c r="H194" s="354"/>
      <c r="I194" s="354"/>
      <c r="J194" s="354"/>
      <c r="K194" s="354"/>
      <c r="L194" s="354"/>
    </row>
    <row r="195" spans="6:12" ht="12.75" customHeight="1">
      <c r="F195" s="354"/>
      <c r="G195" s="354"/>
      <c r="H195" s="354"/>
      <c r="I195" s="354"/>
      <c r="J195" s="354"/>
      <c r="K195" s="354"/>
      <c r="L195" s="354"/>
    </row>
    <row r="196" spans="6:12" ht="12.75" customHeight="1">
      <c r="F196" s="354"/>
      <c r="G196" s="354"/>
      <c r="H196" s="354"/>
      <c r="I196" s="354"/>
      <c r="J196" s="354"/>
      <c r="K196" s="354"/>
      <c r="L196" s="354"/>
    </row>
    <row r="197" spans="6:12" ht="12.75" customHeight="1">
      <c r="F197" s="354"/>
      <c r="G197" s="354"/>
      <c r="H197" s="354"/>
      <c r="I197" s="354"/>
      <c r="J197" s="354"/>
      <c r="K197" s="354"/>
      <c r="L197" s="354"/>
    </row>
    <row r="198" spans="6:12" ht="12.75" customHeight="1">
      <c r="F198" s="354"/>
      <c r="G198" s="354"/>
      <c r="H198" s="354"/>
      <c r="I198" s="354"/>
      <c r="J198" s="354"/>
      <c r="K198" s="354"/>
      <c r="L198" s="354"/>
    </row>
    <row r="199" spans="6:12" ht="12.75" customHeight="1">
      <c r="F199" s="354"/>
      <c r="G199" s="354"/>
      <c r="H199" s="354"/>
      <c r="I199" s="354"/>
      <c r="J199" s="354"/>
      <c r="K199" s="354"/>
      <c r="L199" s="354"/>
    </row>
    <row r="200" spans="6:12" ht="12.75" customHeight="1">
      <c r="F200" s="354"/>
      <c r="G200" s="354"/>
      <c r="H200" s="354"/>
      <c r="I200" s="354"/>
      <c r="J200" s="354"/>
      <c r="K200" s="354"/>
      <c r="L200" s="354"/>
    </row>
    <row r="201" spans="6:12" ht="12.75" customHeight="1">
      <c r="F201" s="354"/>
      <c r="G201" s="354"/>
      <c r="H201" s="354"/>
      <c r="I201" s="354"/>
      <c r="J201" s="354"/>
      <c r="K201" s="354"/>
      <c r="L201" s="354"/>
    </row>
    <row r="202" spans="6:12" ht="12.75" customHeight="1">
      <c r="F202" s="354"/>
      <c r="G202" s="354"/>
      <c r="H202" s="354"/>
      <c r="I202" s="354"/>
      <c r="J202" s="354"/>
      <c r="K202" s="354"/>
      <c r="L202" s="354"/>
    </row>
    <row r="203" spans="6:12" ht="12.75" customHeight="1">
      <c r="F203" s="354"/>
      <c r="G203" s="354"/>
      <c r="H203" s="354"/>
      <c r="I203" s="354"/>
      <c r="J203" s="354"/>
      <c r="K203" s="354"/>
      <c r="L203" s="354"/>
    </row>
    <row r="204" spans="6:12" ht="12.75" customHeight="1">
      <c r="F204" s="354"/>
      <c r="G204" s="354"/>
      <c r="H204" s="354"/>
      <c r="I204" s="354"/>
      <c r="J204" s="354"/>
      <c r="K204" s="354"/>
      <c r="L204" s="354"/>
    </row>
    <row r="205" spans="6:12" ht="12.75" customHeight="1">
      <c r="F205" s="354"/>
      <c r="G205" s="354"/>
      <c r="H205" s="354"/>
      <c r="I205" s="354"/>
      <c r="J205" s="354"/>
      <c r="K205" s="354"/>
      <c r="L205" s="354"/>
    </row>
    <row r="206" spans="6:12" ht="12.75" customHeight="1">
      <c r="F206" s="354"/>
      <c r="G206" s="354"/>
      <c r="H206" s="354"/>
      <c r="I206" s="354"/>
      <c r="J206" s="354"/>
      <c r="K206" s="354"/>
      <c r="L206" s="354"/>
    </row>
    <row r="207" spans="6:12" ht="12.75" customHeight="1">
      <c r="F207" s="354"/>
      <c r="G207" s="354"/>
      <c r="H207" s="354"/>
      <c r="I207" s="354"/>
      <c r="J207" s="354"/>
      <c r="K207" s="354"/>
      <c r="L207" s="354"/>
    </row>
    <row r="208" spans="6:12" ht="12.75" customHeight="1">
      <c r="F208" s="354"/>
      <c r="G208" s="354"/>
      <c r="H208" s="354"/>
      <c r="I208" s="354"/>
      <c r="J208" s="354"/>
      <c r="K208" s="354"/>
      <c r="L208" s="354"/>
    </row>
    <row r="209" spans="6:12" ht="12.75" customHeight="1">
      <c r="F209" s="354"/>
      <c r="G209" s="354"/>
      <c r="H209" s="354"/>
      <c r="I209" s="354"/>
      <c r="J209" s="354"/>
      <c r="K209" s="354"/>
      <c r="L209" s="354"/>
    </row>
    <row r="210" spans="6:12" ht="12.75" customHeight="1">
      <c r="F210" s="354"/>
      <c r="G210" s="354"/>
      <c r="H210" s="354"/>
      <c r="I210" s="354"/>
      <c r="J210" s="354"/>
      <c r="K210" s="354"/>
      <c r="L210" s="354"/>
    </row>
    <row r="211" spans="6:12" ht="12.75" customHeight="1">
      <c r="F211" s="354"/>
      <c r="G211" s="354"/>
      <c r="H211" s="354"/>
      <c r="I211" s="354"/>
      <c r="J211" s="354"/>
      <c r="K211" s="354"/>
      <c r="L211" s="354"/>
    </row>
    <row r="212" spans="6:12" ht="12.75" customHeight="1">
      <c r="F212" s="354"/>
      <c r="G212" s="354"/>
      <c r="H212" s="354"/>
      <c r="I212" s="354"/>
      <c r="J212" s="354"/>
      <c r="K212" s="354"/>
      <c r="L212" s="354"/>
    </row>
    <row r="213" spans="6:12" ht="12.75" customHeight="1">
      <c r="F213" s="354"/>
      <c r="G213" s="354"/>
      <c r="H213" s="354"/>
      <c r="I213" s="354"/>
      <c r="J213" s="354"/>
      <c r="K213" s="354"/>
      <c r="L213" s="354"/>
    </row>
    <row r="214" spans="6:12" ht="12.75" customHeight="1">
      <c r="F214" s="354"/>
      <c r="G214" s="354"/>
      <c r="H214" s="354"/>
      <c r="I214" s="354"/>
      <c r="J214" s="354"/>
      <c r="K214" s="354"/>
      <c r="L214" s="354"/>
    </row>
    <row r="215" spans="6:12" ht="12.75" customHeight="1">
      <c r="F215" s="354"/>
      <c r="G215" s="354"/>
      <c r="H215" s="354"/>
      <c r="I215" s="354"/>
      <c r="J215" s="354"/>
      <c r="K215" s="354"/>
      <c r="L215" s="354"/>
    </row>
    <row r="216" spans="6:12" ht="12.75" customHeight="1">
      <c r="F216" s="354"/>
      <c r="G216" s="354"/>
      <c r="H216" s="354"/>
      <c r="I216" s="354"/>
      <c r="J216" s="354"/>
      <c r="K216" s="354"/>
      <c r="L216" s="354"/>
    </row>
    <row r="217" spans="6:12" ht="12.75" customHeight="1">
      <c r="F217" s="354"/>
      <c r="G217" s="354"/>
      <c r="H217" s="354"/>
      <c r="I217" s="354"/>
      <c r="J217" s="354"/>
      <c r="K217" s="354"/>
      <c r="L217" s="354"/>
    </row>
    <row r="218" spans="6:12" ht="12.75" customHeight="1">
      <c r="F218" s="354"/>
      <c r="G218" s="354"/>
      <c r="H218" s="354"/>
      <c r="I218" s="354"/>
      <c r="J218" s="354"/>
      <c r="K218" s="354"/>
      <c r="L218" s="354"/>
    </row>
    <row r="219" spans="6:12" ht="12.75" customHeight="1">
      <c r="F219" s="354"/>
      <c r="G219" s="354"/>
      <c r="H219" s="354"/>
      <c r="I219" s="354"/>
      <c r="J219" s="354"/>
      <c r="K219" s="354"/>
      <c r="L219" s="354"/>
    </row>
    <row r="220" spans="6:12" ht="12.75" customHeight="1">
      <c r="F220" s="354"/>
      <c r="G220" s="354"/>
      <c r="H220" s="354"/>
      <c r="I220" s="354"/>
      <c r="J220" s="354"/>
      <c r="K220" s="354"/>
      <c r="L220" s="354"/>
    </row>
    <row r="221" spans="6:12" ht="12.75" customHeight="1">
      <c r="F221" s="354"/>
      <c r="G221" s="354"/>
      <c r="H221" s="354"/>
      <c r="I221" s="354"/>
      <c r="J221" s="354"/>
      <c r="K221" s="354"/>
      <c r="L221" s="354"/>
    </row>
    <row r="222" spans="6:12" ht="12.75" customHeight="1">
      <c r="F222" s="354"/>
      <c r="G222" s="354"/>
      <c r="H222" s="354"/>
      <c r="I222" s="354"/>
      <c r="J222" s="354"/>
      <c r="K222" s="354"/>
      <c r="L222" s="354"/>
    </row>
    <row r="223" spans="6:12" ht="12.75" customHeight="1">
      <c r="F223" s="354"/>
      <c r="G223" s="354"/>
      <c r="H223" s="354"/>
      <c r="I223" s="354"/>
      <c r="J223" s="354"/>
      <c r="K223" s="354"/>
      <c r="L223" s="354"/>
    </row>
    <row r="224" spans="6:12" ht="12.75" customHeight="1">
      <c r="F224" s="354"/>
      <c r="G224" s="354"/>
      <c r="H224" s="354"/>
      <c r="I224" s="354"/>
      <c r="J224" s="354"/>
      <c r="K224" s="354"/>
      <c r="L224" s="354"/>
    </row>
    <row r="225" spans="6:12" ht="12.75" customHeight="1">
      <c r="F225" s="354"/>
      <c r="G225" s="354"/>
      <c r="H225" s="354"/>
      <c r="I225" s="354"/>
      <c r="J225" s="354"/>
      <c r="K225" s="354"/>
      <c r="L225" s="354"/>
    </row>
    <row r="226" spans="6:12" ht="12.75" customHeight="1">
      <c r="F226" s="354"/>
      <c r="G226" s="354"/>
      <c r="H226" s="354"/>
      <c r="I226" s="354"/>
      <c r="J226" s="354"/>
      <c r="K226" s="354"/>
      <c r="L226" s="354"/>
    </row>
    <row r="227" spans="6:12" ht="12.75" customHeight="1">
      <c r="F227" s="354"/>
      <c r="G227" s="354"/>
      <c r="H227" s="354"/>
      <c r="I227" s="354"/>
      <c r="J227" s="354"/>
      <c r="K227" s="354"/>
      <c r="L227" s="354"/>
    </row>
    <row r="228" spans="6:12" ht="12.75" customHeight="1">
      <c r="F228" s="354"/>
      <c r="G228" s="354"/>
      <c r="H228" s="354"/>
      <c r="I228" s="354"/>
      <c r="J228" s="354"/>
      <c r="K228" s="354"/>
      <c r="L228" s="354"/>
    </row>
    <row r="229" spans="6:12" ht="12.75" customHeight="1">
      <c r="F229" s="354"/>
      <c r="G229" s="354"/>
      <c r="H229" s="354"/>
      <c r="I229" s="354"/>
      <c r="J229" s="354"/>
      <c r="K229" s="354"/>
      <c r="L229" s="354"/>
    </row>
    <row r="230" spans="6:12" ht="12.75" customHeight="1">
      <c r="F230" s="354"/>
      <c r="G230" s="354"/>
      <c r="H230" s="354"/>
      <c r="I230" s="354"/>
      <c r="J230" s="354"/>
      <c r="K230" s="354"/>
      <c r="L230" s="354"/>
    </row>
    <row r="231" spans="6:12" ht="12.75" customHeight="1">
      <c r="F231" s="354"/>
      <c r="G231" s="354"/>
      <c r="H231" s="354"/>
      <c r="I231" s="354"/>
      <c r="J231" s="354"/>
      <c r="K231" s="354"/>
      <c r="L231" s="354"/>
    </row>
    <row r="232" spans="6:12" ht="12.75" customHeight="1">
      <c r="F232" s="354"/>
      <c r="G232" s="354"/>
      <c r="H232" s="354"/>
      <c r="I232" s="354"/>
      <c r="J232" s="354"/>
      <c r="K232" s="354"/>
      <c r="L232" s="354"/>
    </row>
    <row r="233" spans="6:12" ht="12.75" customHeight="1">
      <c r="F233" s="354"/>
      <c r="G233" s="354"/>
      <c r="H233" s="354"/>
      <c r="I233" s="354"/>
      <c r="J233" s="354"/>
      <c r="K233" s="354"/>
      <c r="L233" s="354"/>
    </row>
    <row r="234" spans="6:12" ht="12.75" customHeight="1">
      <c r="F234" s="354"/>
      <c r="G234" s="354"/>
      <c r="H234" s="354"/>
      <c r="I234" s="354"/>
      <c r="J234" s="354"/>
      <c r="K234" s="354"/>
      <c r="L234" s="354"/>
    </row>
    <row r="235" spans="6:12" ht="12.75" customHeight="1">
      <c r="F235" s="354"/>
      <c r="G235" s="354"/>
      <c r="H235" s="354"/>
      <c r="I235" s="354"/>
      <c r="J235" s="354"/>
      <c r="K235" s="354"/>
      <c r="L235" s="354"/>
    </row>
    <row r="236" spans="6:12" ht="12.75" customHeight="1">
      <c r="F236" s="354"/>
      <c r="G236" s="354"/>
      <c r="H236" s="354"/>
      <c r="I236" s="354"/>
      <c r="J236" s="354"/>
      <c r="K236" s="354"/>
      <c r="L236" s="354"/>
    </row>
    <row r="237" spans="6:12" ht="12.75" customHeight="1">
      <c r="F237" s="354"/>
      <c r="G237" s="354"/>
      <c r="H237" s="354"/>
      <c r="I237" s="354"/>
      <c r="J237" s="354"/>
      <c r="K237" s="354"/>
      <c r="L237" s="354"/>
    </row>
    <row r="238" spans="6:12" ht="12.75" customHeight="1">
      <c r="F238" s="354"/>
      <c r="G238" s="354"/>
      <c r="H238" s="354"/>
      <c r="I238" s="354"/>
      <c r="J238" s="354"/>
      <c r="K238" s="354"/>
      <c r="L238" s="354"/>
    </row>
    <row r="239" spans="6:12" ht="12.75" customHeight="1">
      <c r="F239" s="354"/>
      <c r="G239" s="354"/>
      <c r="H239" s="354"/>
      <c r="I239" s="354"/>
      <c r="J239" s="354"/>
      <c r="K239" s="354"/>
      <c r="L239" s="354"/>
    </row>
    <row r="240" spans="6:12" ht="12.75" customHeight="1">
      <c r="F240" s="354"/>
      <c r="G240" s="354"/>
      <c r="H240" s="354"/>
      <c r="I240" s="354"/>
      <c r="J240" s="354"/>
      <c r="K240" s="354"/>
      <c r="L240" s="354"/>
    </row>
    <row r="241" spans="6:12" ht="12.75" customHeight="1">
      <c r="F241" s="354"/>
      <c r="G241" s="354"/>
      <c r="H241" s="354"/>
      <c r="I241" s="354"/>
      <c r="J241" s="354"/>
      <c r="K241" s="354"/>
      <c r="L241" s="354"/>
    </row>
    <row r="242" spans="6:12" ht="12.75" customHeight="1">
      <c r="F242" s="354"/>
      <c r="G242" s="354"/>
      <c r="H242" s="354"/>
      <c r="I242" s="354"/>
      <c r="J242" s="354"/>
      <c r="K242" s="354"/>
      <c r="L242" s="354"/>
    </row>
    <row r="243" spans="6:12" ht="12.75" customHeight="1">
      <c r="F243" s="354"/>
      <c r="G243" s="354"/>
      <c r="H243" s="354"/>
      <c r="I243" s="354"/>
      <c r="J243" s="354"/>
      <c r="K243" s="354"/>
      <c r="L243" s="354"/>
    </row>
    <row r="244" spans="6:12" ht="12.75" customHeight="1">
      <c r="F244" s="354"/>
      <c r="G244" s="354"/>
      <c r="H244" s="354"/>
      <c r="I244" s="354"/>
      <c r="J244" s="354"/>
      <c r="K244" s="354"/>
      <c r="L244" s="354"/>
    </row>
    <row r="245" spans="6:12" ht="12.75" customHeight="1">
      <c r="F245" s="354"/>
      <c r="G245" s="354"/>
      <c r="H245" s="354"/>
      <c r="I245" s="354"/>
      <c r="J245" s="354"/>
      <c r="K245" s="354"/>
      <c r="L245" s="354"/>
    </row>
    <row r="246" spans="6:12" ht="12.75" customHeight="1">
      <c r="F246" s="354"/>
      <c r="G246" s="354"/>
      <c r="H246" s="354"/>
      <c r="I246" s="354"/>
      <c r="J246" s="354"/>
      <c r="K246" s="354"/>
      <c r="L246" s="354"/>
    </row>
    <row r="247" spans="6:12" ht="12.75" customHeight="1">
      <c r="F247" s="354"/>
      <c r="G247" s="354"/>
      <c r="H247" s="354"/>
      <c r="I247" s="354"/>
      <c r="J247" s="354"/>
      <c r="K247" s="354"/>
      <c r="L247" s="354"/>
    </row>
    <row r="248" spans="6:12" ht="12.75" customHeight="1">
      <c r="F248" s="354"/>
      <c r="G248" s="354"/>
      <c r="H248" s="354"/>
      <c r="I248" s="354"/>
      <c r="J248" s="354"/>
      <c r="K248" s="354"/>
      <c r="L248" s="354"/>
    </row>
    <row r="249" spans="6:12" ht="12.75" customHeight="1">
      <c r="F249" s="354"/>
      <c r="G249" s="354"/>
      <c r="H249" s="354"/>
      <c r="I249" s="354"/>
      <c r="J249" s="354"/>
      <c r="K249" s="354"/>
      <c r="L249" s="354"/>
    </row>
    <row r="250" spans="6:12" ht="12.75" customHeight="1">
      <c r="F250" s="354"/>
      <c r="G250" s="354"/>
      <c r="H250" s="354"/>
      <c r="I250" s="354"/>
      <c r="J250" s="354"/>
      <c r="K250" s="354"/>
      <c r="L250" s="354"/>
    </row>
    <row r="251" spans="6:12" ht="12.75" customHeight="1">
      <c r="F251" s="354"/>
      <c r="G251" s="354"/>
      <c r="H251" s="354"/>
      <c r="I251" s="354"/>
      <c r="J251" s="354"/>
      <c r="K251" s="354"/>
      <c r="L251" s="354"/>
    </row>
    <row r="252" spans="6:12" ht="12.75" customHeight="1">
      <c r="F252" s="354"/>
      <c r="G252" s="354"/>
      <c r="H252" s="354"/>
      <c r="I252" s="354"/>
      <c r="J252" s="354"/>
      <c r="K252" s="354"/>
      <c r="L252" s="354"/>
    </row>
    <row r="253" spans="6:12" ht="12.75" customHeight="1">
      <c r="F253" s="354"/>
      <c r="G253" s="354"/>
      <c r="H253" s="354"/>
      <c r="I253" s="354"/>
      <c r="J253" s="354"/>
      <c r="K253" s="354"/>
      <c r="L253" s="354"/>
    </row>
    <row r="254" spans="6:12" ht="12.75" customHeight="1">
      <c r="F254" s="354"/>
      <c r="G254" s="354"/>
      <c r="H254" s="354"/>
      <c r="I254" s="354"/>
      <c r="J254" s="354"/>
      <c r="K254" s="354"/>
      <c r="L254" s="354"/>
    </row>
    <row r="255" spans="6:12" ht="12.75" customHeight="1">
      <c r="F255" s="354"/>
      <c r="G255" s="354"/>
      <c r="H255" s="354"/>
      <c r="I255" s="354"/>
      <c r="J255" s="354"/>
      <c r="K255" s="354"/>
      <c r="L255" s="354"/>
    </row>
    <row r="256" spans="6:12" ht="12.75" customHeight="1">
      <c r="F256" s="354"/>
      <c r="G256" s="354"/>
      <c r="H256" s="354"/>
      <c r="I256" s="354"/>
      <c r="J256" s="354"/>
      <c r="K256" s="354"/>
      <c r="L256" s="354"/>
    </row>
    <row r="257" spans="6:12" ht="12.75" customHeight="1">
      <c r="F257" s="354"/>
      <c r="G257" s="354"/>
      <c r="H257" s="354"/>
      <c r="I257" s="354"/>
      <c r="J257" s="354"/>
      <c r="K257" s="354"/>
      <c r="L257" s="354"/>
    </row>
    <row r="258" spans="6:12" ht="12.75" customHeight="1">
      <c r="F258" s="354"/>
      <c r="G258" s="354"/>
      <c r="H258" s="354"/>
      <c r="I258" s="354"/>
      <c r="J258" s="354"/>
      <c r="K258" s="354"/>
      <c r="L258" s="354"/>
    </row>
    <row r="259" spans="6:12" ht="12.75" customHeight="1">
      <c r="F259" s="354"/>
      <c r="G259" s="354"/>
      <c r="H259" s="354"/>
      <c r="I259" s="354"/>
      <c r="J259" s="354"/>
      <c r="K259" s="354"/>
      <c r="L259" s="354"/>
    </row>
    <row r="260" spans="6:12" ht="12.75" customHeight="1">
      <c r="F260" s="354"/>
      <c r="G260" s="354"/>
      <c r="H260" s="354"/>
      <c r="I260" s="354"/>
      <c r="J260" s="354"/>
      <c r="K260" s="354"/>
      <c r="L260" s="354"/>
    </row>
    <row r="261" spans="6:12" ht="12.75" customHeight="1">
      <c r="F261" s="354"/>
      <c r="G261" s="354"/>
      <c r="H261" s="354"/>
      <c r="I261" s="354"/>
      <c r="J261" s="354"/>
      <c r="K261" s="354"/>
      <c r="L261" s="354"/>
    </row>
    <row r="262" spans="6:12" ht="12.75" customHeight="1">
      <c r="F262" s="354"/>
      <c r="G262" s="354"/>
      <c r="H262" s="354"/>
      <c r="I262" s="354"/>
      <c r="J262" s="354"/>
      <c r="K262" s="354"/>
      <c r="L262" s="354"/>
    </row>
    <row r="263" spans="6:12" ht="12.75" customHeight="1">
      <c r="F263" s="354"/>
      <c r="G263" s="354"/>
      <c r="H263" s="354"/>
      <c r="I263" s="354"/>
      <c r="J263" s="354"/>
      <c r="K263" s="354"/>
      <c r="L263" s="354"/>
    </row>
    <row r="264" spans="6:12" ht="12.75" customHeight="1">
      <c r="F264" s="354"/>
      <c r="G264" s="354"/>
      <c r="H264" s="354"/>
      <c r="I264" s="354"/>
      <c r="J264" s="354"/>
      <c r="K264" s="354"/>
      <c r="L264" s="354"/>
    </row>
    <row r="265" spans="6:12" ht="12.75" customHeight="1">
      <c r="F265" s="354"/>
      <c r="G265" s="354"/>
      <c r="H265" s="354"/>
      <c r="I265" s="354"/>
      <c r="J265" s="354"/>
      <c r="K265" s="354"/>
      <c r="L265" s="354"/>
    </row>
    <row r="266" spans="6:12" ht="12.75" customHeight="1">
      <c r="F266" s="354"/>
      <c r="G266" s="354"/>
      <c r="H266" s="354"/>
      <c r="I266" s="354"/>
      <c r="J266" s="354"/>
      <c r="K266" s="354"/>
      <c r="L266" s="354"/>
    </row>
    <row r="267" spans="6:12" ht="12.75" customHeight="1">
      <c r="F267" s="354"/>
      <c r="G267" s="354"/>
      <c r="H267" s="354"/>
      <c r="I267" s="354"/>
      <c r="J267" s="354"/>
      <c r="K267" s="354"/>
      <c r="L267" s="354"/>
    </row>
    <row r="268" spans="6:12" ht="12.75" customHeight="1">
      <c r="F268" s="354"/>
      <c r="G268" s="354"/>
      <c r="H268" s="354"/>
      <c r="I268" s="354"/>
      <c r="J268" s="354"/>
      <c r="K268" s="354"/>
      <c r="L268" s="354"/>
    </row>
    <row r="269" spans="6:12" ht="12.75" customHeight="1">
      <c r="F269" s="354"/>
      <c r="G269" s="354"/>
      <c r="H269" s="354"/>
      <c r="I269" s="354"/>
      <c r="J269" s="354"/>
      <c r="K269" s="354"/>
      <c r="L269" s="354"/>
    </row>
    <row r="270" spans="6:12" ht="12.75" customHeight="1">
      <c r="F270" s="354"/>
      <c r="G270" s="354"/>
      <c r="H270" s="354"/>
      <c r="I270" s="354"/>
      <c r="J270" s="354"/>
      <c r="K270" s="354"/>
      <c r="L270" s="354"/>
    </row>
    <row r="271" spans="6:12" ht="12.75" customHeight="1"/>
    <row r="272" spans="6:1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91" spans="35:39" ht="15">
      <c r="AI291" s="245" t="s">
        <v>522</v>
      </c>
      <c r="AJ291" s="245" t="s">
        <v>523</v>
      </c>
      <c r="AK291" s="246" t="s">
        <v>414</v>
      </c>
      <c r="AL291" s="246" t="s">
        <v>524</v>
      </c>
      <c r="AM291" s="246" t="s">
        <v>525</v>
      </c>
    </row>
    <row r="292" spans="35:39">
      <c r="AI292" s="247"/>
      <c r="AJ292" s="248" t="s">
        <v>526</v>
      </c>
      <c r="AK292" s="247"/>
      <c r="AL292" s="247"/>
      <c r="AM292" s="247"/>
    </row>
    <row r="293" spans="35:39">
      <c r="AI293" s="247"/>
      <c r="AJ293" s="248" t="s">
        <v>623</v>
      </c>
      <c r="AK293" s="247"/>
      <c r="AL293" s="247"/>
      <c r="AM293" s="247"/>
    </row>
    <row r="294" spans="35:39">
      <c r="AI294" s="247" t="str">
        <f>INDEX($AJ:$AM,ROW(),Language)</f>
        <v>Remark</v>
      </c>
      <c r="AJ294" s="247" t="s">
        <v>624</v>
      </c>
      <c r="AK294" s="249" t="s">
        <v>625</v>
      </c>
      <c r="AL294" s="249" t="s">
        <v>626</v>
      </c>
      <c r="AM294" s="249" t="s">
        <v>627</v>
      </c>
    </row>
    <row r="295" spans="35:39">
      <c r="AI295" s="247"/>
      <c r="AJ295" s="248" t="s">
        <v>784</v>
      </c>
      <c r="AK295" s="247"/>
      <c r="AL295" s="247"/>
      <c r="AM295" s="247"/>
    </row>
    <row r="296" spans="35:39">
      <c r="AI296" s="247"/>
      <c r="AJ296" s="248" t="s">
        <v>879</v>
      </c>
      <c r="AK296" s="247"/>
      <c r="AL296" s="247"/>
      <c r="AM296" s="247"/>
    </row>
    <row r="297" spans="35:39">
      <c r="AI297" s="247" t="str">
        <f>INDEX($AJ:$AM,ROW(),Language)</f>
        <v>Roof</v>
      </c>
      <c r="AJ297" s="474" t="s">
        <v>1513</v>
      </c>
      <c r="AK297" s="247" t="s">
        <v>126</v>
      </c>
      <c r="AL297" s="247"/>
      <c r="AM297" s="247" t="s">
        <v>2111</v>
      </c>
    </row>
    <row r="298" spans="35:39">
      <c r="AI298" s="247" t="str">
        <f>INDEX($AJ:$AM,ROW(),Language)</f>
        <v>Date</v>
      </c>
      <c r="AJ298" s="247" t="s">
        <v>885</v>
      </c>
      <c r="AK298" s="247" t="s">
        <v>886</v>
      </c>
      <c r="AL298" s="247" t="s">
        <v>886</v>
      </c>
      <c r="AM298" s="247" t="s">
        <v>887</v>
      </c>
    </row>
    <row r="299" spans="35:39">
      <c r="AI299" s="247" t="str">
        <f>INDEX($AJ:$AM,ROW(),Language)</f>
        <v>Diameter</v>
      </c>
      <c r="AJ299" s="247" t="s">
        <v>330</v>
      </c>
      <c r="AK299" s="247" t="s">
        <v>331</v>
      </c>
      <c r="AL299" s="247" t="s">
        <v>332</v>
      </c>
      <c r="AM299" s="247" t="s">
        <v>917</v>
      </c>
    </row>
    <row r="300" spans="35:39">
      <c r="AI300" s="247"/>
      <c r="AJ300" s="248" t="s">
        <v>904</v>
      </c>
      <c r="AK300" s="247"/>
      <c r="AL300" s="247"/>
      <c r="AM300" s="247"/>
    </row>
    <row r="301" spans="35:39">
      <c r="AI301" s="247"/>
      <c r="AJ301" s="474"/>
      <c r="AK301" s="247"/>
      <c r="AL301" s="247"/>
      <c r="AM301" s="247"/>
    </row>
    <row r="302" spans="35:39">
      <c r="AI302" s="247" t="str">
        <f>INDEX($AJ:$AM,ROW(),Language)</f>
        <v>Emissivity</v>
      </c>
      <c r="AJ302" s="247" t="s">
        <v>333</v>
      </c>
      <c r="AK302" s="247" t="s">
        <v>334</v>
      </c>
      <c r="AL302" s="247" t="s">
        <v>335</v>
      </c>
      <c r="AM302" s="247" t="s">
        <v>336</v>
      </c>
    </row>
    <row r="303" spans="35:39">
      <c r="AI303" s="247"/>
      <c r="AJ303" s="248" t="s">
        <v>933</v>
      </c>
      <c r="AK303" s="247"/>
      <c r="AL303" s="247"/>
      <c r="AM303" s="247"/>
    </row>
    <row r="304" spans="35:39">
      <c r="AI304" s="247"/>
      <c r="AJ304" s="248" t="s">
        <v>1200</v>
      </c>
      <c r="AK304" s="247"/>
      <c r="AL304" s="247"/>
      <c r="AM304" s="247"/>
    </row>
    <row r="305" spans="35:39">
      <c r="AI305" s="247" t="str">
        <f>INDEX($AJ:$AM,ROW(),Language)</f>
        <v>Gas duct</v>
      </c>
      <c r="AJ305" s="474" t="s">
        <v>1510</v>
      </c>
      <c r="AK305" s="247" t="s">
        <v>1511</v>
      </c>
      <c r="AL305" s="477" t="s">
        <v>2123</v>
      </c>
      <c r="AM305" s="476" t="s">
        <v>2110</v>
      </c>
    </row>
    <row r="306" spans="35:39">
      <c r="AI306" s="247" t="str">
        <f>INDEX($AJ:$AM,ROW(),Language)</f>
        <v>Total heat loss</v>
      </c>
      <c r="AJ306" s="247" t="s">
        <v>337</v>
      </c>
      <c r="AK306" s="247" t="s">
        <v>338</v>
      </c>
      <c r="AL306" s="249" t="s">
        <v>339</v>
      </c>
      <c r="AM306" s="249" t="s">
        <v>340</v>
      </c>
    </row>
    <row r="307" spans="35:39" ht="25.5">
      <c r="AI307" s="247" t="str">
        <f>INDEX($AJ:$AM,ROW(),Language)</f>
        <v>Diameter choosen for calculation of acon_forced</v>
      </c>
      <c r="AJ307" s="249" t="s">
        <v>341</v>
      </c>
      <c r="AK307" s="249" t="s">
        <v>342</v>
      </c>
      <c r="AL307" s="249" t="s">
        <v>362</v>
      </c>
      <c r="AM307" s="249" t="s">
        <v>363</v>
      </c>
    </row>
    <row r="308" spans="35:39">
      <c r="AI308" s="247"/>
      <c r="AJ308" s="248" t="s">
        <v>1271</v>
      </c>
      <c r="AK308" s="247"/>
      <c r="AL308" s="247"/>
      <c r="AM308" s="247"/>
    </row>
    <row r="309" spans="35:39">
      <c r="AI309" s="247" t="str">
        <f>INDEX($AJ:$AM,ROW(),Language)</f>
        <v>Altitude</v>
      </c>
      <c r="AJ309" s="247" t="s">
        <v>1272</v>
      </c>
      <c r="AK309" s="247" t="s">
        <v>1273</v>
      </c>
      <c r="AL309" s="247" t="s">
        <v>1273</v>
      </c>
      <c r="AM309" s="249" t="s">
        <v>1274</v>
      </c>
    </row>
    <row r="310" spans="35:39">
      <c r="AI310" s="247"/>
      <c r="AJ310" s="248" t="s">
        <v>1315</v>
      </c>
      <c r="AK310" s="247"/>
      <c r="AL310" s="247"/>
      <c r="AM310" s="247"/>
    </row>
    <row r="311" spans="35:39">
      <c r="AI311" s="247"/>
      <c r="AJ311" s="248" t="s">
        <v>1323</v>
      </c>
      <c r="AK311" s="247"/>
      <c r="AL311" s="247"/>
      <c r="AM311" s="247"/>
    </row>
    <row r="312" spans="35:39">
      <c r="AI312" s="247"/>
      <c r="AJ312" s="248" t="s">
        <v>514</v>
      </c>
      <c r="AK312" s="247"/>
      <c r="AL312" s="247"/>
      <c r="AM312" s="247"/>
    </row>
    <row r="313" spans="35:39">
      <c r="AI313" s="247" t="str">
        <f>INDEX($AJ:$AM,ROW(),Language)</f>
        <v>Calciner</v>
      </c>
      <c r="AJ313" s="474" t="s">
        <v>1423</v>
      </c>
      <c r="AK313" s="247" t="s">
        <v>1424</v>
      </c>
      <c r="AL313" s="476" t="s">
        <v>1425</v>
      </c>
      <c r="AM313" s="476" t="s">
        <v>1426</v>
      </c>
    </row>
    <row r="314" spans="35:39">
      <c r="AI314" s="247" t="str">
        <f>INDEX($AJ:$AM,ROW(),Language)</f>
        <v>Clinker production rate</v>
      </c>
      <c r="AJ314" s="247" t="s">
        <v>1483</v>
      </c>
      <c r="AK314" s="247" t="s">
        <v>1484</v>
      </c>
      <c r="AL314" s="247" t="s">
        <v>1485</v>
      </c>
      <c r="AM314" s="247" t="s">
        <v>1486</v>
      </c>
    </row>
    <row r="315" spans="35:39">
      <c r="AI315" s="247" t="str">
        <f>INDEX($AJ:$AM,ROW(),Language)</f>
        <v>Cone</v>
      </c>
      <c r="AJ315" s="247" t="s">
        <v>1508</v>
      </c>
      <c r="AK315" s="247" t="s">
        <v>326</v>
      </c>
      <c r="AL315" s="476" t="s">
        <v>2122</v>
      </c>
      <c r="AM315" s="476" t="s">
        <v>2109</v>
      </c>
    </row>
    <row r="316" spans="35:39">
      <c r="AI316" s="247"/>
      <c r="AJ316" s="248" t="s">
        <v>1533</v>
      </c>
      <c r="AK316" s="247"/>
      <c r="AL316" s="247"/>
      <c r="AM316" s="247"/>
    </row>
    <row r="317" spans="35:39">
      <c r="AI317" s="247" t="str">
        <f>INDEX($AJ:$AM,ROW(),Language)</f>
        <v>Length</v>
      </c>
      <c r="AJ317" s="247" t="s">
        <v>364</v>
      </c>
      <c r="AK317" s="247" t="s">
        <v>365</v>
      </c>
      <c r="AL317" s="247" t="s">
        <v>366</v>
      </c>
      <c r="AM317" s="247" t="s">
        <v>367</v>
      </c>
    </row>
    <row r="318" spans="35:39">
      <c r="AI318" s="247" t="str">
        <f>INDEX($AJ:$AM,ROW(),Language)</f>
        <v>Kiln length</v>
      </c>
      <c r="AJ318" s="247" t="s">
        <v>1534</v>
      </c>
      <c r="AK318" s="247" t="s">
        <v>1535</v>
      </c>
      <c r="AL318" s="247" t="s">
        <v>1536</v>
      </c>
      <c r="AM318" s="247" t="s">
        <v>1537</v>
      </c>
    </row>
    <row r="319" spans="35:39">
      <c r="AI319" s="247" t="str">
        <f>INDEX($AJ:$AM,ROW(),Language)</f>
        <v>Air density</v>
      </c>
      <c r="AJ319" s="247" t="s">
        <v>1566</v>
      </c>
      <c r="AK319" s="247" t="s">
        <v>1567</v>
      </c>
      <c r="AL319" s="247" t="s">
        <v>1568</v>
      </c>
      <c r="AM319" s="247" t="s">
        <v>1569</v>
      </c>
    </row>
    <row r="320" spans="35:39">
      <c r="AI320" s="247"/>
      <c r="AJ320" s="248" t="s">
        <v>1570</v>
      </c>
      <c r="AK320" s="247"/>
      <c r="AL320" s="247"/>
      <c r="AM320" s="247"/>
    </row>
    <row r="321" spans="35:39">
      <c r="AI321" s="247" t="str">
        <f>INDEX($AJ:$AM,ROW(),Language)</f>
        <v>Material duct</v>
      </c>
      <c r="AJ321" s="474" t="s">
        <v>1512</v>
      </c>
      <c r="AK321" s="247" t="s">
        <v>125</v>
      </c>
      <c r="AL321" s="476" t="s">
        <v>2121</v>
      </c>
      <c r="AM321" s="476" t="s">
        <v>2108</v>
      </c>
    </row>
    <row r="322" spans="35:39">
      <c r="AI322" s="247"/>
      <c r="AJ322" s="248" t="s">
        <v>1604</v>
      </c>
      <c r="AK322" s="247"/>
      <c r="AL322" s="247"/>
      <c r="AM322" s="247"/>
    </row>
    <row r="323" spans="35:39">
      <c r="AI323" s="247"/>
      <c r="AJ323" s="248" t="s">
        <v>1622</v>
      </c>
      <c r="AK323" s="247"/>
      <c r="AL323" s="247"/>
      <c r="AM323" s="247"/>
    </row>
    <row r="324" spans="35:39">
      <c r="AI324" s="247" t="str">
        <f t="shared" ref="AI324:AI330" si="39">INDEX($AJ:$AM,ROW(),Language)</f>
        <v>Surface</v>
      </c>
      <c r="AJ324" s="247" t="s">
        <v>368</v>
      </c>
      <c r="AK324" s="247" t="s">
        <v>369</v>
      </c>
      <c r="AL324" s="247" t="s">
        <v>369</v>
      </c>
      <c r="AM324" s="249" t="s">
        <v>370</v>
      </c>
    </row>
    <row r="325" spans="35:39">
      <c r="AI325" s="247" t="str">
        <f t="shared" si="39"/>
        <v>Kiln diameter burning zone</v>
      </c>
      <c r="AJ325" s="247" t="s">
        <v>371</v>
      </c>
      <c r="AK325" s="247" t="s">
        <v>372</v>
      </c>
      <c r="AL325" s="247" t="s">
        <v>373</v>
      </c>
      <c r="AM325" s="249" t="s">
        <v>374</v>
      </c>
    </row>
    <row r="326" spans="35:39">
      <c r="AI326" s="247" t="str">
        <f t="shared" si="39"/>
        <v>Kiln Shell 1/2</v>
      </c>
      <c r="AJ326" s="247" t="s">
        <v>375</v>
      </c>
      <c r="AK326" s="247" t="s">
        <v>376</v>
      </c>
      <c r="AL326" s="247" t="s">
        <v>377</v>
      </c>
      <c r="AM326" s="247" t="s">
        <v>378</v>
      </c>
    </row>
    <row r="327" spans="35:39">
      <c r="AI327" s="247" t="str">
        <f t="shared" si="39"/>
        <v>Kiln Shell 2/2</v>
      </c>
      <c r="AJ327" s="247" t="s">
        <v>379</v>
      </c>
      <c r="AK327" s="247" t="s">
        <v>380</v>
      </c>
      <c r="AL327" s="247" t="s">
        <v>381</v>
      </c>
      <c r="AM327" s="247" t="s">
        <v>382</v>
      </c>
    </row>
    <row r="328" spans="35:39" ht="38.25">
      <c r="AI328" s="247" t="str">
        <f t="shared" si="39"/>
        <v>HEAT LOSSES OF KILN SHELL RADIATION AND CONVECTION</v>
      </c>
      <c r="AJ328" s="247" t="s">
        <v>383</v>
      </c>
      <c r="AK328" s="247" t="s">
        <v>384</v>
      </c>
      <c r="AL328" s="247" t="s">
        <v>385</v>
      </c>
      <c r="AM328" s="247" t="s">
        <v>386</v>
      </c>
    </row>
    <row r="329" spans="35:39">
      <c r="AI329" s="247" t="str">
        <f t="shared" si="39"/>
        <v>Kiln shell surface</v>
      </c>
      <c r="AJ329" s="247" t="s">
        <v>1686</v>
      </c>
      <c r="AK329" s="247" t="s">
        <v>1687</v>
      </c>
      <c r="AL329" s="247" t="s">
        <v>1688</v>
      </c>
      <c r="AM329" s="249" t="s">
        <v>1689</v>
      </c>
    </row>
    <row r="330" spans="35:39">
      <c r="AI330" s="247" t="str">
        <f t="shared" si="39"/>
        <v>Kiln shell segment</v>
      </c>
      <c r="AJ330" s="247" t="s">
        <v>388</v>
      </c>
      <c r="AK330" s="247" t="s">
        <v>389</v>
      </c>
      <c r="AL330" s="247" t="s">
        <v>390</v>
      </c>
      <c r="AM330" s="247" t="s">
        <v>391</v>
      </c>
    </row>
    <row r="331" spans="35:39">
      <c r="AI331" s="247"/>
      <c r="AJ331" s="248" t="s">
        <v>1706</v>
      </c>
      <c r="AK331" s="247"/>
      <c r="AL331" s="247"/>
      <c r="AM331" s="247"/>
    </row>
    <row r="332" spans="35:39">
      <c r="AI332" s="247" t="str">
        <f>INDEX($AJ:$AM,ROW(),Language)</f>
        <v>Position</v>
      </c>
      <c r="AJ332" s="247" t="s">
        <v>1707</v>
      </c>
      <c r="AK332" s="247" t="s">
        <v>1707</v>
      </c>
      <c r="AL332" s="247" t="s">
        <v>1707</v>
      </c>
      <c r="AM332" s="247" t="s">
        <v>1708</v>
      </c>
    </row>
    <row r="333" spans="35:39">
      <c r="AI333" s="247"/>
      <c r="AJ333" s="248" t="s">
        <v>1755</v>
      </c>
      <c r="AK333" s="247"/>
      <c r="AL333" s="247"/>
      <c r="AM333" s="247"/>
    </row>
    <row r="334" spans="35:39">
      <c r="AI334" s="247"/>
      <c r="AJ334" s="248" t="s">
        <v>1762</v>
      </c>
      <c r="AK334" s="247"/>
      <c r="AL334" s="247"/>
      <c r="AM334" s="247"/>
    </row>
    <row r="335" spans="35:39">
      <c r="AI335" s="247" t="str">
        <f>INDEX($AJ:$AM,ROW(),Language)</f>
        <v>Square shaped</v>
      </c>
      <c r="AJ335" s="474" t="s">
        <v>1514</v>
      </c>
      <c r="AK335" s="247" t="s">
        <v>1515</v>
      </c>
      <c r="AL335" s="476" t="s">
        <v>2115</v>
      </c>
      <c r="AM335" s="476" t="s">
        <v>2107</v>
      </c>
    </row>
    <row r="336" spans="35:39">
      <c r="AI336" s="247"/>
      <c r="AJ336" s="248" t="s">
        <v>512</v>
      </c>
      <c r="AK336" s="247"/>
      <c r="AL336" s="247"/>
      <c r="AM336" s="247"/>
    </row>
    <row r="337" spans="35:39">
      <c r="AI337" s="247"/>
      <c r="AJ337" s="248" t="s">
        <v>1805</v>
      </c>
      <c r="AK337" s="247"/>
      <c r="AL337" s="247"/>
      <c r="AM337" s="247"/>
    </row>
    <row r="338" spans="35:39">
      <c r="AI338" s="247" t="str">
        <f>INDEX($AJ:$AM,ROW(),Language)</f>
        <v>velocity</v>
      </c>
      <c r="AJ338" s="247" t="s">
        <v>392</v>
      </c>
      <c r="AK338" s="247" t="s">
        <v>393</v>
      </c>
      <c r="AL338" s="247" t="s">
        <v>394</v>
      </c>
      <c r="AM338" s="249" t="s">
        <v>395</v>
      </c>
    </row>
    <row r="339" spans="35:39">
      <c r="AI339" s="247"/>
      <c r="AJ339" s="248" t="s">
        <v>1840</v>
      </c>
      <c r="AK339" s="247"/>
      <c r="AL339" s="247"/>
      <c r="AM339" s="247"/>
    </row>
    <row r="340" spans="35:39">
      <c r="AI340" s="247" t="str">
        <f>INDEX($AJ:$AM,ROW(),Language)</f>
        <v>Specific heat loss</v>
      </c>
      <c r="AJ340" s="247" t="s">
        <v>396</v>
      </c>
      <c r="AK340" s="247" t="s">
        <v>397</v>
      </c>
      <c r="AL340" s="247" t="s">
        <v>398</v>
      </c>
      <c r="AM340" s="247" t="s">
        <v>399</v>
      </c>
    </row>
    <row r="341" spans="35:39">
      <c r="AI341" s="247"/>
      <c r="AJ341" s="248" t="s">
        <v>1863</v>
      </c>
      <c r="AK341" s="247"/>
      <c r="AL341" s="247"/>
      <c r="AM341" s="247"/>
    </row>
    <row r="342" spans="35:39" ht="25.5">
      <c r="AI342" s="247" t="str">
        <f>INDEX($AJ:$AM,ROW(),Language)</f>
        <v>Radiation &amp; Convection Losses</v>
      </c>
      <c r="AJ342" s="247" t="s">
        <v>400</v>
      </c>
      <c r="AK342" s="247" t="s">
        <v>401</v>
      </c>
      <c r="AL342" s="249" t="s">
        <v>402</v>
      </c>
      <c r="AM342" s="249" t="s">
        <v>2100</v>
      </c>
    </row>
    <row r="343" spans="35:39" ht="25.5">
      <c r="AI343" s="247" t="str">
        <f>INDEX($AJ:$AM,ROW(),Language)</f>
        <v>Radiation &amp; Convection of Preheater, Precalciner</v>
      </c>
      <c r="AJ343" s="249" t="s">
        <v>132</v>
      </c>
      <c r="AK343" s="249" t="s">
        <v>133</v>
      </c>
      <c r="AL343" s="477" t="s">
        <v>2116</v>
      </c>
      <c r="AM343" s="249" t="s">
        <v>2106</v>
      </c>
    </row>
    <row r="344" spans="35:39">
      <c r="AI344" s="247"/>
      <c r="AJ344" s="248" t="s">
        <v>489</v>
      </c>
      <c r="AK344" s="247"/>
      <c r="AL344" s="247"/>
      <c r="AM344" s="247"/>
    </row>
    <row r="345" spans="35:39">
      <c r="AI345" s="247" t="str">
        <f t="shared" ref="AI345:AI351" si="40">INDEX($AJ:$AM,ROW(),Language)</f>
        <v>t/d</v>
      </c>
      <c r="AJ345" s="247" t="s">
        <v>1940</v>
      </c>
      <c r="AK345" s="247" t="s">
        <v>1941</v>
      </c>
      <c r="AL345" s="247" t="s">
        <v>1942</v>
      </c>
      <c r="AM345" s="247" t="s">
        <v>1941</v>
      </c>
    </row>
    <row r="346" spans="35:39">
      <c r="AI346" s="247" t="str">
        <f t="shared" si="40"/>
        <v>Temperature</v>
      </c>
      <c r="AJ346" s="247" t="s">
        <v>1953</v>
      </c>
      <c r="AK346" s="247" t="s">
        <v>1954</v>
      </c>
      <c r="AL346" s="247" t="s">
        <v>1957</v>
      </c>
      <c r="AM346" s="247" t="s">
        <v>1958</v>
      </c>
    </row>
    <row r="347" spans="35:39">
      <c r="AI347" s="247" t="str">
        <f t="shared" si="40"/>
        <v>total</v>
      </c>
      <c r="AJ347" s="247" t="s">
        <v>404</v>
      </c>
      <c r="AK347" s="247" t="s">
        <v>404</v>
      </c>
      <c r="AL347" s="247" t="s">
        <v>404</v>
      </c>
      <c r="AM347" s="247" t="s">
        <v>404</v>
      </c>
    </row>
    <row r="348" spans="35:39">
      <c r="AI348" s="247" t="str">
        <f t="shared" si="40"/>
        <v>Transition chamber</v>
      </c>
      <c r="AJ348" s="478" t="s">
        <v>2126</v>
      </c>
      <c r="AK348" s="253" t="s">
        <v>127</v>
      </c>
      <c r="AL348" s="476" t="s">
        <v>2117</v>
      </c>
      <c r="AM348" s="477" t="s">
        <v>2105</v>
      </c>
    </row>
    <row r="349" spans="35:39">
      <c r="AI349" s="247" t="str">
        <f t="shared" si="40"/>
        <v>Drop out chamber</v>
      </c>
      <c r="AJ349" s="479" t="s">
        <v>2127</v>
      </c>
      <c r="AK349" s="253" t="s">
        <v>327</v>
      </c>
      <c r="AL349" s="477" t="s">
        <v>2118</v>
      </c>
      <c r="AM349" s="477" t="s">
        <v>2112</v>
      </c>
    </row>
    <row r="350" spans="35:39">
      <c r="AI350" s="247" t="str">
        <f t="shared" si="40"/>
        <v>Connection to kiln hood</v>
      </c>
      <c r="AJ350" s="478" t="s">
        <v>2125</v>
      </c>
      <c r="AK350" s="253" t="s">
        <v>328</v>
      </c>
      <c r="AL350" s="476" t="s">
        <v>2119</v>
      </c>
      <c r="AM350" s="477" t="s">
        <v>2104</v>
      </c>
    </row>
    <row r="351" spans="35:39">
      <c r="AI351" s="247" t="str">
        <f t="shared" si="40"/>
        <v>Kiln hood</v>
      </c>
      <c r="AJ351" s="478" t="s">
        <v>2124</v>
      </c>
      <c r="AK351" s="253" t="s">
        <v>329</v>
      </c>
      <c r="AL351" s="476" t="s">
        <v>2120</v>
      </c>
      <c r="AM351" s="476" t="s">
        <v>2101</v>
      </c>
    </row>
    <row r="352" spans="35:39">
      <c r="AI352" s="247"/>
      <c r="AJ352" s="248" t="s">
        <v>2009</v>
      </c>
      <c r="AK352" s="247"/>
      <c r="AL352" s="247"/>
      <c r="AM352" s="247"/>
    </row>
    <row r="353" spans="35:39">
      <c r="AI353" s="247" t="str">
        <f>INDEX($AJ:$AM,ROW(),Language)</f>
        <v>Ambient pressure</v>
      </c>
      <c r="AJ353" s="247" t="s">
        <v>405</v>
      </c>
      <c r="AK353" s="247" t="s">
        <v>406</v>
      </c>
      <c r="AL353" s="247" t="s">
        <v>407</v>
      </c>
      <c r="AM353" s="249" t="s">
        <v>408</v>
      </c>
    </row>
    <row r="354" spans="35:39">
      <c r="AI354" s="247" t="str">
        <f>INDEX($AJ:$AM,ROW(),Language)</f>
        <v>Ambient temperature</v>
      </c>
      <c r="AJ354" s="247" t="s">
        <v>2028</v>
      </c>
      <c r="AK354" s="247" t="s">
        <v>2029</v>
      </c>
      <c r="AL354" s="247" t="s">
        <v>2030</v>
      </c>
      <c r="AM354" s="247" t="s">
        <v>2031</v>
      </c>
    </row>
    <row r="355" spans="35:39">
      <c r="AI355" s="247"/>
      <c r="AJ355" s="248" t="s">
        <v>2048</v>
      </c>
      <c r="AK355" s="247"/>
      <c r="AL355" s="247"/>
      <c r="AM355" s="247"/>
    </row>
    <row r="356" spans="35:39">
      <c r="AI356" s="247"/>
      <c r="AJ356" s="248" t="s">
        <v>2142</v>
      </c>
      <c r="AK356" s="247"/>
      <c r="AL356" s="247"/>
      <c r="AM356" s="247"/>
    </row>
    <row r="357" spans="35:39">
      <c r="AI357" s="247" t="str">
        <f>INDEX($AJ:$AM,ROW(),Language)</f>
        <v>Plant</v>
      </c>
      <c r="AJ357" s="247" t="s">
        <v>184</v>
      </c>
      <c r="AK357" s="247" t="s">
        <v>185</v>
      </c>
      <c r="AL357" s="247" t="s">
        <v>186</v>
      </c>
      <c r="AM357" s="247" t="s">
        <v>187</v>
      </c>
    </row>
    <row r="358" spans="35:39">
      <c r="AI358" s="247" t="str">
        <f>INDEX($AJ:$AM,ROW(),Language)</f>
        <v>Wind</v>
      </c>
      <c r="AJ358" s="247" t="s">
        <v>409</v>
      </c>
      <c r="AK358" s="247" t="s">
        <v>410</v>
      </c>
      <c r="AL358" s="247" t="s">
        <v>1252</v>
      </c>
      <c r="AM358" s="247" t="s">
        <v>1253</v>
      </c>
    </row>
    <row r="359" spans="35:39">
      <c r="AI359" s="247"/>
      <c r="AJ359" s="248" t="s">
        <v>188</v>
      </c>
      <c r="AK359" s="247"/>
      <c r="AL359" s="247"/>
      <c r="AM359" s="247"/>
    </row>
    <row r="360" spans="35:39">
      <c r="AI360" s="247"/>
      <c r="AJ360" s="248" t="s">
        <v>189</v>
      </c>
      <c r="AK360" s="247"/>
      <c r="AL360" s="247"/>
      <c r="AM360" s="247"/>
    </row>
    <row r="361" spans="35:39">
      <c r="AI361" s="247"/>
      <c r="AJ361" s="248" t="s">
        <v>190</v>
      </c>
      <c r="AK361" s="247"/>
      <c r="AL361" s="247"/>
      <c r="AM361" s="247"/>
    </row>
    <row r="362" spans="35:39">
      <c r="AI362" s="247" t="str">
        <f>INDEX($AJ:$AM,ROW(),Language)</f>
        <v>Cyclone</v>
      </c>
      <c r="AJ362" s="247" t="s">
        <v>116</v>
      </c>
      <c r="AK362" s="247" t="s">
        <v>117</v>
      </c>
      <c r="AL362" s="476" t="s">
        <v>117</v>
      </c>
      <c r="AM362" s="247" t="s">
        <v>118</v>
      </c>
    </row>
    <row r="363" spans="35:39">
      <c r="AI363" s="247" t="str">
        <f>INDEX($AJ:$AM,ROW(),Language)</f>
        <v>cyclones</v>
      </c>
      <c r="AJ363" s="247" t="s">
        <v>119</v>
      </c>
      <c r="AK363" s="249" t="s">
        <v>120</v>
      </c>
      <c r="AL363" s="476" t="s">
        <v>120</v>
      </c>
      <c r="AM363" s="247" t="s">
        <v>121</v>
      </c>
    </row>
    <row r="364" spans="35:39">
      <c r="AI364" s="247" t="str">
        <f>INDEX($AJ:$AM,ROW(),Language)</f>
        <v>Summary</v>
      </c>
      <c r="AJ364" s="247" t="s">
        <v>129</v>
      </c>
      <c r="AK364" s="247" t="s">
        <v>131</v>
      </c>
      <c r="AL364" s="477" t="s">
        <v>2113</v>
      </c>
      <c r="AM364" s="476" t="s">
        <v>2102</v>
      </c>
    </row>
    <row r="365" spans="35:39">
      <c r="AI365" s="247" t="str">
        <f>INDEX($AJ:$AM,ROW(),Language)</f>
        <v>Cylindrical part</v>
      </c>
      <c r="AJ365" s="247" t="s">
        <v>1507</v>
      </c>
      <c r="AK365" s="247" t="s">
        <v>124</v>
      </c>
      <c r="AL365" s="477" t="s">
        <v>2114</v>
      </c>
      <c r="AM365" s="476" t="s">
        <v>2103</v>
      </c>
    </row>
    <row r="366" spans="35:39">
      <c r="AI366" s="247"/>
      <c r="AJ366" s="247"/>
      <c r="AK366" s="247"/>
      <c r="AL366" s="247"/>
      <c r="AM366" s="247"/>
    </row>
    <row r="367" spans="35:39">
      <c r="AI367" s="247"/>
      <c r="AJ367" s="247"/>
      <c r="AK367" s="247"/>
      <c r="AL367" s="247"/>
      <c r="AM367" s="247"/>
    </row>
    <row r="368" spans="35:39">
      <c r="AI368" s="247"/>
      <c r="AJ368" s="247"/>
      <c r="AK368" s="247"/>
      <c r="AL368" s="247"/>
      <c r="AM368" s="247"/>
    </row>
    <row r="369" spans="35:39">
      <c r="AI369" s="247"/>
      <c r="AJ369" s="247"/>
      <c r="AK369" s="247"/>
      <c r="AL369" s="247"/>
      <c r="AM369" s="247"/>
    </row>
  </sheetData>
  <phoneticPr fontId="34" type="noConversion"/>
  <printOptions horizontalCentered="1"/>
  <pageMargins left="0.98425196850393704" right="0.51181102362204722" top="0.51181102362204722" bottom="0.51181102362204722" header="0.51181102362204722" footer="0.51181102362204722"/>
  <pageSetup paperSize="9" scale="85" fitToHeight="3" orientation="portrait" r:id="rId1"/>
  <headerFooter alignWithMargins="0"/>
  <rowBreaks count="2" manualBreakCount="2">
    <brk id="89" max="12" man="1"/>
    <brk id="138" max="1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4" r:id="rId4" name="Drop Down 4">
              <controlPr defaultSize="0" autoFill="0" autoLine="0" autoPict="0">
                <anchor moveWithCells="1">
                  <from>
                    <xdr:col>4</xdr:col>
                    <xdr:colOff>314325</xdr:colOff>
                    <xdr:row>12</xdr:row>
                    <xdr:rowOff>133350</xdr:rowOff>
                  </from>
                  <to>
                    <xdr:col>5</xdr:col>
                    <xdr:colOff>561975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7"/>
  <sheetViews>
    <sheetView workbookViewId="0"/>
  </sheetViews>
  <sheetFormatPr defaultRowHeight="12.75"/>
  <cols>
    <col min="1" max="4" width="9.33203125" style="1314"/>
    <col min="5" max="5" width="16.6640625" style="1314" bestFit="1" customWidth="1"/>
    <col min="6" max="6" width="11" style="1314" customWidth="1"/>
    <col min="7" max="7" width="11.83203125" style="1314" customWidth="1"/>
    <col min="8" max="260" width="9.33203125" style="1314"/>
    <col min="261" max="261" width="16.6640625" style="1314" bestFit="1" customWidth="1"/>
    <col min="262" max="262" width="11" style="1314" customWidth="1"/>
    <col min="263" max="263" width="11.83203125" style="1314" customWidth="1"/>
    <col min="264" max="516" width="9.33203125" style="1314"/>
    <col min="517" max="517" width="16.6640625" style="1314" bestFit="1" customWidth="1"/>
    <col min="518" max="518" width="11" style="1314" customWidth="1"/>
    <col min="519" max="519" width="11.83203125" style="1314" customWidth="1"/>
    <col min="520" max="772" width="9.33203125" style="1314"/>
    <col min="773" max="773" width="16.6640625" style="1314" bestFit="1" customWidth="1"/>
    <col min="774" max="774" width="11" style="1314" customWidth="1"/>
    <col min="775" max="775" width="11.83203125" style="1314" customWidth="1"/>
    <col min="776" max="1028" width="9.33203125" style="1314"/>
    <col min="1029" max="1029" width="16.6640625" style="1314" bestFit="1" customWidth="1"/>
    <col min="1030" max="1030" width="11" style="1314" customWidth="1"/>
    <col min="1031" max="1031" width="11.83203125" style="1314" customWidth="1"/>
    <col min="1032" max="1284" width="9.33203125" style="1314"/>
    <col min="1285" max="1285" width="16.6640625" style="1314" bestFit="1" customWidth="1"/>
    <col min="1286" max="1286" width="11" style="1314" customWidth="1"/>
    <col min="1287" max="1287" width="11.83203125" style="1314" customWidth="1"/>
    <col min="1288" max="1540" width="9.33203125" style="1314"/>
    <col min="1541" max="1541" width="16.6640625" style="1314" bestFit="1" customWidth="1"/>
    <col min="1542" max="1542" width="11" style="1314" customWidth="1"/>
    <col min="1543" max="1543" width="11.83203125" style="1314" customWidth="1"/>
    <col min="1544" max="1796" width="9.33203125" style="1314"/>
    <col min="1797" max="1797" width="16.6640625" style="1314" bestFit="1" customWidth="1"/>
    <col min="1798" max="1798" width="11" style="1314" customWidth="1"/>
    <col min="1799" max="1799" width="11.83203125" style="1314" customWidth="1"/>
    <col min="1800" max="2052" width="9.33203125" style="1314"/>
    <col min="2053" max="2053" width="16.6640625" style="1314" bestFit="1" customWidth="1"/>
    <col min="2054" max="2054" width="11" style="1314" customWidth="1"/>
    <col min="2055" max="2055" width="11.83203125" style="1314" customWidth="1"/>
    <col min="2056" max="2308" width="9.33203125" style="1314"/>
    <col min="2309" max="2309" width="16.6640625" style="1314" bestFit="1" customWidth="1"/>
    <col min="2310" max="2310" width="11" style="1314" customWidth="1"/>
    <col min="2311" max="2311" width="11.83203125" style="1314" customWidth="1"/>
    <col min="2312" max="2564" width="9.33203125" style="1314"/>
    <col min="2565" max="2565" width="16.6640625" style="1314" bestFit="1" customWidth="1"/>
    <col min="2566" max="2566" width="11" style="1314" customWidth="1"/>
    <col min="2567" max="2567" width="11.83203125" style="1314" customWidth="1"/>
    <col min="2568" max="2820" width="9.33203125" style="1314"/>
    <col min="2821" max="2821" width="16.6640625" style="1314" bestFit="1" customWidth="1"/>
    <col min="2822" max="2822" width="11" style="1314" customWidth="1"/>
    <col min="2823" max="2823" width="11.83203125" style="1314" customWidth="1"/>
    <col min="2824" max="3076" width="9.33203125" style="1314"/>
    <col min="3077" max="3077" width="16.6640625" style="1314" bestFit="1" customWidth="1"/>
    <col min="3078" max="3078" width="11" style="1314" customWidth="1"/>
    <col min="3079" max="3079" width="11.83203125" style="1314" customWidth="1"/>
    <col min="3080" max="3332" width="9.33203125" style="1314"/>
    <col min="3333" max="3333" width="16.6640625" style="1314" bestFit="1" customWidth="1"/>
    <col min="3334" max="3334" width="11" style="1314" customWidth="1"/>
    <col min="3335" max="3335" width="11.83203125" style="1314" customWidth="1"/>
    <col min="3336" max="3588" width="9.33203125" style="1314"/>
    <col min="3589" max="3589" width="16.6640625" style="1314" bestFit="1" customWidth="1"/>
    <col min="3590" max="3590" width="11" style="1314" customWidth="1"/>
    <col min="3591" max="3591" width="11.83203125" style="1314" customWidth="1"/>
    <col min="3592" max="3844" width="9.33203125" style="1314"/>
    <col min="3845" max="3845" width="16.6640625" style="1314" bestFit="1" customWidth="1"/>
    <col min="3846" max="3846" width="11" style="1314" customWidth="1"/>
    <col min="3847" max="3847" width="11.83203125" style="1314" customWidth="1"/>
    <col min="3848" max="4100" width="9.33203125" style="1314"/>
    <col min="4101" max="4101" width="16.6640625" style="1314" bestFit="1" customWidth="1"/>
    <col min="4102" max="4102" width="11" style="1314" customWidth="1"/>
    <col min="4103" max="4103" width="11.83203125" style="1314" customWidth="1"/>
    <col min="4104" max="4356" width="9.33203125" style="1314"/>
    <col min="4357" max="4357" width="16.6640625" style="1314" bestFit="1" customWidth="1"/>
    <col min="4358" max="4358" width="11" style="1314" customWidth="1"/>
    <col min="4359" max="4359" width="11.83203125" style="1314" customWidth="1"/>
    <col min="4360" max="4612" width="9.33203125" style="1314"/>
    <col min="4613" max="4613" width="16.6640625" style="1314" bestFit="1" customWidth="1"/>
    <col min="4614" max="4614" width="11" style="1314" customWidth="1"/>
    <col min="4615" max="4615" width="11.83203125" style="1314" customWidth="1"/>
    <col min="4616" max="4868" width="9.33203125" style="1314"/>
    <col min="4869" max="4869" width="16.6640625" style="1314" bestFit="1" customWidth="1"/>
    <col min="4870" max="4870" width="11" style="1314" customWidth="1"/>
    <col min="4871" max="4871" width="11.83203125" style="1314" customWidth="1"/>
    <col min="4872" max="5124" width="9.33203125" style="1314"/>
    <col min="5125" max="5125" width="16.6640625" style="1314" bestFit="1" customWidth="1"/>
    <col min="5126" max="5126" width="11" style="1314" customWidth="1"/>
    <col min="5127" max="5127" width="11.83203125" style="1314" customWidth="1"/>
    <col min="5128" max="5380" width="9.33203125" style="1314"/>
    <col min="5381" max="5381" width="16.6640625" style="1314" bestFit="1" customWidth="1"/>
    <col min="5382" max="5382" width="11" style="1314" customWidth="1"/>
    <col min="5383" max="5383" width="11.83203125" style="1314" customWidth="1"/>
    <col min="5384" max="5636" width="9.33203125" style="1314"/>
    <col min="5637" max="5637" width="16.6640625" style="1314" bestFit="1" customWidth="1"/>
    <col min="5638" max="5638" width="11" style="1314" customWidth="1"/>
    <col min="5639" max="5639" width="11.83203125" style="1314" customWidth="1"/>
    <col min="5640" max="5892" width="9.33203125" style="1314"/>
    <col min="5893" max="5893" width="16.6640625" style="1314" bestFit="1" customWidth="1"/>
    <col min="5894" max="5894" width="11" style="1314" customWidth="1"/>
    <col min="5895" max="5895" width="11.83203125" style="1314" customWidth="1"/>
    <col min="5896" max="6148" width="9.33203125" style="1314"/>
    <col min="6149" max="6149" width="16.6640625" style="1314" bestFit="1" customWidth="1"/>
    <col min="6150" max="6150" width="11" style="1314" customWidth="1"/>
    <col min="6151" max="6151" width="11.83203125" style="1314" customWidth="1"/>
    <col min="6152" max="6404" width="9.33203125" style="1314"/>
    <col min="6405" max="6405" width="16.6640625" style="1314" bestFit="1" customWidth="1"/>
    <col min="6406" max="6406" width="11" style="1314" customWidth="1"/>
    <col min="6407" max="6407" width="11.83203125" style="1314" customWidth="1"/>
    <col min="6408" max="6660" width="9.33203125" style="1314"/>
    <col min="6661" max="6661" width="16.6640625" style="1314" bestFit="1" customWidth="1"/>
    <col min="6662" max="6662" width="11" style="1314" customWidth="1"/>
    <col min="6663" max="6663" width="11.83203125" style="1314" customWidth="1"/>
    <col min="6664" max="6916" width="9.33203125" style="1314"/>
    <col min="6917" max="6917" width="16.6640625" style="1314" bestFit="1" customWidth="1"/>
    <col min="6918" max="6918" width="11" style="1314" customWidth="1"/>
    <col min="6919" max="6919" width="11.83203125" style="1314" customWidth="1"/>
    <col min="6920" max="7172" width="9.33203125" style="1314"/>
    <col min="7173" max="7173" width="16.6640625" style="1314" bestFit="1" customWidth="1"/>
    <col min="7174" max="7174" width="11" style="1314" customWidth="1"/>
    <col min="7175" max="7175" width="11.83203125" style="1314" customWidth="1"/>
    <col min="7176" max="7428" width="9.33203125" style="1314"/>
    <col min="7429" max="7429" width="16.6640625" style="1314" bestFit="1" customWidth="1"/>
    <col min="7430" max="7430" width="11" style="1314" customWidth="1"/>
    <col min="7431" max="7431" width="11.83203125" style="1314" customWidth="1"/>
    <col min="7432" max="7684" width="9.33203125" style="1314"/>
    <col min="7685" max="7685" width="16.6640625" style="1314" bestFit="1" customWidth="1"/>
    <col min="7686" max="7686" width="11" style="1314" customWidth="1"/>
    <col min="7687" max="7687" width="11.83203125" style="1314" customWidth="1"/>
    <col min="7688" max="7940" width="9.33203125" style="1314"/>
    <col min="7941" max="7941" width="16.6640625" style="1314" bestFit="1" customWidth="1"/>
    <col min="7942" max="7942" width="11" style="1314" customWidth="1"/>
    <col min="7943" max="7943" width="11.83203125" style="1314" customWidth="1"/>
    <col min="7944" max="8196" width="9.33203125" style="1314"/>
    <col min="8197" max="8197" width="16.6640625" style="1314" bestFit="1" customWidth="1"/>
    <col min="8198" max="8198" width="11" style="1314" customWidth="1"/>
    <col min="8199" max="8199" width="11.83203125" style="1314" customWidth="1"/>
    <col min="8200" max="8452" width="9.33203125" style="1314"/>
    <col min="8453" max="8453" width="16.6640625" style="1314" bestFit="1" customWidth="1"/>
    <col min="8454" max="8454" width="11" style="1314" customWidth="1"/>
    <col min="8455" max="8455" width="11.83203125" style="1314" customWidth="1"/>
    <col min="8456" max="8708" width="9.33203125" style="1314"/>
    <col min="8709" max="8709" width="16.6640625" style="1314" bestFit="1" customWidth="1"/>
    <col min="8710" max="8710" width="11" style="1314" customWidth="1"/>
    <col min="8711" max="8711" width="11.83203125" style="1314" customWidth="1"/>
    <col min="8712" max="8964" width="9.33203125" style="1314"/>
    <col min="8965" max="8965" width="16.6640625" style="1314" bestFit="1" customWidth="1"/>
    <col min="8966" max="8966" width="11" style="1314" customWidth="1"/>
    <col min="8967" max="8967" width="11.83203125" style="1314" customWidth="1"/>
    <col min="8968" max="9220" width="9.33203125" style="1314"/>
    <col min="9221" max="9221" width="16.6640625" style="1314" bestFit="1" customWidth="1"/>
    <col min="9222" max="9222" width="11" style="1314" customWidth="1"/>
    <col min="9223" max="9223" width="11.83203125" style="1314" customWidth="1"/>
    <col min="9224" max="9476" width="9.33203125" style="1314"/>
    <col min="9477" max="9477" width="16.6640625" style="1314" bestFit="1" customWidth="1"/>
    <col min="9478" max="9478" width="11" style="1314" customWidth="1"/>
    <col min="9479" max="9479" width="11.83203125" style="1314" customWidth="1"/>
    <col min="9480" max="9732" width="9.33203125" style="1314"/>
    <col min="9733" max="9733" width="16.6640625" style="1314" bestFit="1" customWidth="1"/>
    <col min="9734" max="9734" width="11" style="1314" customWidth="1"/>
    <col min="9735" max="9735" width="11.83203125" style="1314" customWidth="1"/>
    <col min="9736" max="9988" width="9.33203125" style="1314"/>
    <col min="9989" max="9989" width="16.6640625" style="1314" bestFit="1" customWidth="1"/>
    <col min="9990" max="9990" width="11" style="1314" customWidth="1"/>
    <col min="9991" max="9991" width="11.83203125" style="1314" customWidth="1"/>
    <col min="9992" max="10244" width="9.33203125" style="1314"/>
    <col min="10245" max="10245" width="16.6640625" style="1314" bestFit="1" customWidth="1"/>
    <col min="10246" max="10246" width="11" style="1314" customWidth="1"/>
    <col min="10247" max="10247" width="11.83203125" style="1314" customWidth="1"/>
    <col min="10248" max="10500" width="9.33203125" style="1314"/>
    <col min="10501" max="10501" width="16.6640625" style="1314" bestFit="1" customWidth="1"/>
    <col min="10502" max="10502" width="11" style="1314" customWidth="1"/>
    <col min="10503" max="10503" width="11.83203125" style="1314" customWidth="1"/>
    <col min="10504" max="10756" width="9.33203125" style="1314"/>
    <col min="10757" max="10757" width="16.6640625" style="1314" bestFit="1" customWidth="1"/>
    <col min="10758" max="10758" width="11" style="1314" customWidth="1"/>
    <col min="10759" max="10759" width="11.83203125" style="1314" customWidth="1"/>
    <col min="10760" max="11012" width="9.33203125" style="1314"/>
    <col min="11013" max="11013" width="16.6640625" style="1314" bestFit="1" customWidth="1"/>
    <col min="11014" max="11014" width="11" style="1314" customWidth="1"/>
    <col min="11015" max="11015" width="11.83203125" style="1314" customWidth="1"/>
    <col min="11016" max="11268" width="9.33203125" style="1314"/>
    <col min="11269" max="11269" width="16.6640625" style="1314" bestFit="1" customWidth="1"/>
    <col min="11270" max="11270" width="11" style="1314" customWidth="1"/>
    <col min="11271" max="11271" width="11.83203125" style="1314" customWidth="1"/>
    <col min="11272" max="11524" width="9.33203125" style="1314"/>
    <col min="11525" max="11525" width="16.6640625" style="1314" bestFit="1" customWidth="1"/>
    <col min="11526" max="11526" width="11" style="1314" customWidth="1"/>
    <col min="11527" max="11527" width="11.83203125" style="1314" customWidth="1"/>
    <col min="11528" max="11780" width="9.33203125" style="1314"/>
    <col min="11781" max="11781" width="16.6640625" style="1314" bestFit="1" customWidth="1"/>
    <col min="11782" max="11782" width="11" style="1314" customWidth="1"/>
    <col min="11783" max="11783" width="11.83203125" style="1314" customWidth="1"/>
    <col min="11784" max="12036" width="9.33203125" style="1314"/>
    <col min="12037" max="12037" width="16.6640625" style="1314" bestFit="1" customWidth="1"/>
    <col min="12038" max="12038" width="11" style="1314" customWidth="1"/>
    <col min="12039" max="12039" width="11.83203125" style="1314" customWidth="1"/>
    <col min="12040" max="12292" width="9.33203125" style="1314"/>
    <col min="12293" max="12293" width="16.6640625" style="1314" bestFit="1" customWidth="1"/>
    <col min="12294" max="12294" width="11" style="1314" customWidth="1"/>
    <col min="12295" max="12295" width="11.83203125" style="1314" customWidth="1"/>
    <col min="12296" max="12548" width="9.33203125" style="1314"/>
    <col min="12549" max="12549" width="16.6640625" style="1314" bestFit="1" customWidth="1"/>
    <col min="12550" max="12550" width="11" style="1314" customWidth="1"/>
    <col min="12551" max="12551" width="11.83203125" style="1314" customWidth="1"/>
    <col min="12552" max="12804" width="9.33203125" style="1314"/>
    <col min="12805" max="12805" width="16.6640625" style="1314" bestFit="1" customWidth="1"/>
    <col min="12806" max="12806" width="11" style="1314" customWidth="1"/>
    <col min="12807" max="12807" width="11.83203125" style="1314" customWidth="1"/>
    <col min="12808" max="13060" width="9.33203125" style="1314"/>
    <col min="13061" max="13061" width="16.6640625" style="1314" bestFit="1" customWidth="1"/>
    <col min="13062" max="13062" width="11" style="1314" customWidth="1"/>
    <col min="13063" max="13063" width="11.83203125" style="1314" customWidth="1"/>
    <col min="13064" max="13316" width="9.33203125" style="1314"/>
    <col min="13317" max="13317" width="16.6640625" style="1314" bestFit="1" customWidth="1"/>
    <col min="13318" max="13318" width="11" style="1314" customWidth="1"/>
    <col min="13319" max="13319" width="11.83203125" style="1314" customWidth="1"/>
    <col min="13320" max="13572" width="9.33203125" style="1314"/>
    <col min="13573" max="13573" width="16.6640625" style="1314" bestFit="1" customWidth="1"/>
    <col min="13574" max="13574" width="11" style="1314" customWidth="1"/>
    <col min="13575" max="13575" width="11.83203125" style="1314" customWidth="1"/>
    <col min="13576" max="13828" width="9.33203125" style="1314"/>
    <col min="13829" max="13829" width="16.6640625" style="1314" bestFit="1" customWidth="1"/>
    <col min="13830" max="13830" width="11" style="1314" customWidth="1"/>
    <col min="13831" max="13831" width="11.83203125" style="1314" customWidth="1"/>
    <col min="13832" max="14084" width="9.33203125" style="1314"/>
    <col min="14085" max="14085" width="16.6640625" style="1314" bestFit="1" customWidth="1"/>
    <col min="14086" max="14086" width="11" style="1314" customWidth="1"/>
    <col min="14087" max="14087" width="11.83203125" style="1314" customWidth="1"/>
    <col min="14088" max="14340" width="9.33203125" style="1314"/>
    <col min="14341" max="14341" width="16.6640625" style="1314" bestFit="1" customWidth="1"/>
    <col min="14342" max="14342" width="11" style="1314" customWidth="1"/>
    <col min="14343" max="14343" width="11.83203125" style="1314" customWidth="1"/>
    <col min="14344" max="14596" width="9.33203125" style="1314"/>
    <col min="14597" max="14597" width="16.6640625" style="1314" bestFit="1" customWidth="1"/>
    <col min="14598" max="14598" width="11" style="1314" customWidth="1"/>
    <col min="14599" max="14599" width="11.83203125" style="1314" customWidth="1"/>
    <col min="14600" max="14852" width="9.33203125" style="1314"/>
    <col min="14853" max="14853" width="16.6640625" style="1314" bestFit="1" customWidth="1"/>
    <col min="14854" max="14854" width="11" style="1314" customWidth="1"/>
    <col min="14855" max="14855" width="11.83203125" style="1314" customWidth="1"/>
    <col min="14856" max="15108" width="9.33203125" style="1314"/>
    <col min="15109" max="15109" width="16.6640625" style="1314" bestFit="1" customWidth="1"/>
    <col min="15110" max="15110" width="11" style="1314" customWidth="1"/>
    <col min="15111" max="15111" width="11.83203125" style="1314" customWidth="1"/>
    <col min="15112" max="15364" width="9.33203125" style="1314"/>
    <col min="15365" max="15365" width="16.6640625" style="1314" bestFit="1" customWidth="1"/>
    <col min="15366" max="15366" width="11" style="1314" customWidth="1"/>
    <col min="15367" max="15367" width="11.83203125" style="1314" customWidth="1"/>
    <col min="15368" max="15620" width="9.33203125" style="1314"/>
    <col min="15621" max="15621" width="16.6640625" style="1314" bestFit="1" customWidth="1"/>
    <col min="15622" max="15622" width="11" style="1314" customWidth="1"/>
    <col min="15623" max="15623" width="11.83203125" style="1314" customWidth="1"/>
    <col min="15624" max="15876" width="9.33203125" style="1314"/>
    <col min="15877" max="15877" width="16.6640625" style="1314" bestFit="1" customWidth="1"/>
    <col min="15878" max="15878" width="11" style="1314" customWidth="1"/>
    <col min="15879" max="15879" width="11.83203125" style="1314" customWidth="1"/>
    <col min="15880" max="16132" width="9.33203125" style="1314"/>
    <col min="16133" max="16133" width="16.6640625" style="1314" bestFit="1" customWidth="1"/>
    <col min="16134" max="16134" width="11" style="1314" customWidth="1"/>
    <col min="16135" max="16135" width="11.83203125" style="1314" customWidth="1"/>
    <col min="16136" max="16384" width="9.33203125" style="1314"/>
  </cols>
  <sheetData>
    <row r="3" spans="2:9">
      <c r="B3" s="1313" t="s">
        <v>2259</v>
      </c>
      <c r="C3" s="1313"/>
      <c r="D3" s="1313" t="s">
        <v>200</v>
      </c>
      <c r="E3" s="1313" t="s">
        <v>2260</v>
      </c>
      <c r="F3" s="1313" t="s">
        <v>2261</v>
      </c>
      <c r="G3" s="1313" t="s">
        <v>2262</v>
      </c>
      <c r="H3" s="1313"/>
      <c r="I3" s="1313"/>
    </row>
    <row r="4" spans="2:9">
      <c r="B4" s="1313">
        <v>1</v>
      </c>
      <c r="C4" s="1313"/>
      <c r="D4" s="1315">
        <v>0.29166666666666669</v>
      </c>
      <c r="E4" s="1313">
        <v>153.5</v>
      </c>
      <c r="F4" s="1313">
        <v>19.899999999999999</v>
      </c>
      <c r="G4" s="1316">
        <v>295</v>
      </c>
      <c r="H4" s="1313"/>
      <c r="I4" s="1313"/>
    </row>
    <row r="5" spans="2:9">
      <c r="B5" s="1313">
        <v>2</v>
      </c>
      <c r="C5" s="1313"/>
      <c r="D5" s="1315">
        <v>0.33333333333333337</v>
      </c>
      <c r="E5" s="1313">
        <v>175.8</v>
      </c>
      <c r="F5" s="1313">
        <v>19.899999999999999</v>
      </c>
      <c r="G5" s="1316">
        <v>311.3</v>
      </c>
      <c r="H5" s="1313"/>
      <c r="I5" s="1313"/>
    </row>
    <row r="6" spans="2:9">
      <c r="B6" s="1313">
        <v>3</v>
      </c>
      <c r="C6" s="1313"/>
      <c r="D6" s="1315">
        <v>0.37500000000000006</v>
      </c>
      <c r="E6" s="1313">
        <v>147.4</v>
      </c>
      <c r="F6" s="1313">
        <v>21.9</v>
      </c>
      <c r="G6" s="1316">
        <v>280</v>
      </c>
      <c r="H6" s="1313"/>
      <c r="I6" s="1313"/>
    </row>
    <row r="7" spans="2:9">
      <c r="B7" s="1313">
        <v>4</v>
      </c>
      <c r="C7" s="1313"/>
      <c r="D7" s="1315">
        <v>0.41666666666666674</v>
      </c>
      <c r="E7" s="1313">
        <v>178.4</v>
      </c>
      <c r="F7" s="1313">
        <v>22.9</v>
      </c>
      <c r="G7" s="1316">
        <v>303.39999999999998</v>
      </c>
      <c r="H7" s="1313"/>
      <c r="I7" s="1313"/>
    </row>
    <row r="8" spans="2:9">
      <c r="B8" s="1313">
        <v>5</v>
      </c>
      <c r="C8" s="1313"/>
      <c r="D8" s="1315">
        <v>0.45833333333333343</v>
      </c>
      <c r="E8" s="1313">
        <v>156.9</v>
      </c>
      <c r="F8" s="1313">
        <v>23.3</v>
      </c>
      <c r="G8" s="1316">
        <v>280.89999999999998</v>
      </c>
      <c r="H8" s="1313"/>
      <c r="I8" s="1313"/>
    </row>
    <row r="9" spans="2:9">
      <c r="B9" s="1313">
        <v>6</v>
      </c>
      <c r="C9" s="1313"/>
      <c r="D9" s="1315">
        <v>0.50000000000000011</v>
      </c>
      <c r="E9" s="1313">
        <v>157.30000000000001</v>
      </c>
      <c r="F9" s="1313">
        <v>23.5</v>
      </c>
      <c r="G9" s="1316">
        <v>295.10000000000002</v>
      </c>
      <c r="H9" s="1313"/>
      <c r="I9" s="1313"/>
    </row>
    <row r="10" spans="2:9">
      <c r="B10" s="1313">
        <v>7</v>
      </c>
      <c r="C10" s="1313"/>
      <c r="D10" s="1315">
        <v>0.54166666666666674</v>
      </c>
      <c r="E10" s="1313">
        <v>576.20000000000005</v>
      </c>
      <c r="F10" s="1313">
        <v>23.6</v>
      </c>
      <c r="G10" s="1316">
        <v>327</v>
      </c>
      <c r="H10" s="1313"/>
      <c r="I10" s="1313"/>
    </row>
    <row r="11" spans="2:9">
      <c r="B11" s="1313">
        <v>8</v>
      </c>
      <c r="C11" s="1313"/>
      <c r="D11" s="1315">
        <v>0.58333333333333337</v>
      </c>
      <c r="E11" s="1313">
        <v>170.9</v>
      </c>
      <c r="F11" s="1313">
        <v>21.5</v>
      </c>
      <c r="G11" s="1316">
        <v>324</v>
      </c>
      <c r="H11" s="1313"/>
      <c r="I11" s="1313"/>
    </row>
    <row r="12" spans="2:9">
      <c r="B12" s="1313">
        <v>9</v>
      </c>
      <c r="C12" s="1313"/>
      <c r="D12" s="1315">
        <v>0.625</v>
      </c>
      <c r="E12" s="1313">
        <v>146.19999999999999</v>
      </c>
      <c r="F12" s="1313">
        <v>21.6</v>
      </c>
      <c r="G12" s="1316">
        <v>275</v>
      </c>
      <c r="H12" s="1313"/>
      <c r="I12" s="1313"/>
    </row>
    <row r="13" spans="2:9">
      <c r="B13" s="1313">
        <v>10</v>
      </c>
      <c r="C13" s="1313"/>
      <c r="D13" s="1315">
        <v>0.66666666666666663</v>
      </c>
      <c r="E13" s="1313">
        <v>168.8</v>
      </c>
      <c r="F13" s="1313">
        <v>21.5</v>
      </c>
      <c r="G13" s="1316">
        <v>305.7</v>
      </c>
      <c r="H13" s="1313"/>
      <c r="I13" s="1313"/>
    </row>
    <row r="14" spans="2:9">
      <c r="B14" s="1313">
        <v>11</v>
      </c>
      <c r="C14" s="1313"/>
      <c r="D14" s="1315">
        <v>0.70833333333333326</v>
      </c>
      <c r="E14" s="1313">
        <v>171.2</v>
      </c>
      <c r="F14" s="1313">
        <v>20.2</v>
      </c>
      <c r="G14" s="1316">
        <v>303.60000000000002</v>
      </c>
      <c r="H14" s="1313"/>
      <c r="I14" s="1313"/>
    </row>
    <row r="15" spans="2:9">
      <c r="B15" s="1313">
        <v>12</v>
      </c>
      <c r="C15" s="1313"/>
      <c r="D15" s="1315">
        <v>0.74999999999999989</v>
      </c>
      <c r="E15" s="1313">
        <v>174.4</v>
      </c>
      <c r="F15" s="1313">
        <v>20.8</v>
      </c>
      <c r="G15" s="1316">
        <v>308.60000000000002</v>
      </c>
      <c r="H15" s="1313"/>
      <c r="I15" s="1313"/>
    </row>
    <row r="16" spans="2:9">
      <c r="B16" s="1313">
        <v>13</v>
      </c>
      <c r="C16" s="1313"/>
      <c r="D16" s="1315">
        <v>0.79166666666666652</v>
      </c>
      <c r="E16" s="1313">
        <v>170.9</v>
      </c>
      <c r="F16" s="1313">
        <v>19.399999999999999</v>
      </c>
      <c r="G16" s="1316">
        <v>304.3</v>
      </c>
      <c r="H16" s="1313"/>
      <c r="I16" s="1313"/>
    </row>
    <row r="17" spans="2:9">
      <c r="B17" s="1313">
        <v>14</v>
      </c>
      <c r="C17" s="1313"/>
      <c r="D17" s="1315">
        <v>0.83333333333333315</v>
      </c>
      <c r="E17" s="1313">
        <v>648.20000000000005</v>
      </c>
      <c r="F17" s="1313">
        <v>20.7</v>
      </c>
      <c r="G17" s="1316">
        <v>348</v>
      </c>
      <c r="H17" s="1313"/>
      <c r="I17" s="1313"/>
    </row>
    <row r="18" spans="2:9">
      <c r="B18" s="1313">
        <v>15</v>
      </c>
      <c r="C18" s="1313"/>
      <c r="D18" s="1315">
        <v>0.87499999999999978</v>
      </c>
      <c r="E18" s="1313">
        <v>170.3</v>
      </c>
      <c r="F18" s="1313">
        <v>19.399999999999999</v>
      </c>
      <c r="G18" s="1316">
        <v>305.5</v>
      </c>
      <c r="H18" s="1313"/>
      <c r="I18" s="1313"/>
    </row>
    <row r="19" spans="2:9">
      <c r="B19" s="1313">
        <v>16</v>
      </c>
      <c r="C19" s="1313"/>
      <c r="D19" s="1315">
        <v>0.91666666666666641</v>
      </c>
      <c r="E19" s="1313">
        <v>150.19999999999999</v>
      </c>
      <c r="F19" s="1313">
        <v>18.5</v>
      </c>
      <c r="G19" s="1316">
        <v>280.39999999999998</v>
      </c>
      <c r="H19" s="1313"/>
      <c r="I19" s="1313"/>
    </row>
    <row r="20" spans="2:9">
      <c r="B20" s="1313">
        <v>17</v>
      </c>
      <c r="C20" s="1313"/>
      <c r="D20" s="1315">
        <v>0.95833333333333304</v>
      </c>
      <c r="E20" s="1313">
        <v>143.80000000000001</v>
      </c>
      <c r="F20" s="1313">
        <v>19</v>
      </c>
      <c r="G20" s="1316">
        <v>288</v>
      </c>
      <c r="H20" s="1313"/>
      <c r="I20" s="1313"/>
    </row>
    <row r="21" spans="2:9">
      <c r="B21" s="1313">
        <v>18</v>
      </c>
      <c r="C21" s="1313"/>
      <c r="D21" s="1315">
        <v>0.99999999999999967</v>
      </c>
      <c r="E21" s="1313">
        <v>162.9</v>
      </c>
      <c r="F21" s="1313">
        <v>19.8</v>
      </c>
      <c r="G21" s="1316">
        <v>298.39999999999998</v>
      </c>
      <c r="H21" s="1313"/>
      <c r="I21" s="1313"/>
    </row>
    <row r="22" spans="2:9">
      <c r="B22" s="1313">
        <v>19</v>
      </c>
      <c r="C22" s="1313"/>
      <c r="D22" s="1315">
        <v>1.0416666666666663</v>
      </c>
      <c r="E22" s="1313">
        <v>151.1</v>
      </c>
      <c r="F22" s="1313">
        <v>19</v>
      </c>
      <c r="G22" s="1316">
        <v>292</v>
      </c>
      <c r="H22" s="1313"/>
      <c r="I22" s="1313"/>
    </row>
    <row r="23" spans="2:9">
      <c r="B23" s="1313">
        <v>20</v>
      </c>
      <c r="C23" s="1313"/>
      <c r="D23" s="1315">
        <v>1.083333333333333</v>
      </c>
      <c r="E23" s="1313">
        <v>157.1</v>
      </c>
      <c r="F23" s="1313">
        <v>19</v>
      </c>
      <c r="G23" s="1316">
        <v>295</v>
      </c>
      <c r="H23" s="1313"/>
      <c r="I23" s="1313"/>
    </row>
    <row r="24" spans="2:9">
      <c r="B24" s="1313">
        <v>21</v>
      </c>
      <c r="C24" s="1313"/>
      <c r="D24" s="1315">
        <v>1.1249999999999998</v>
      </c>
      <c r="E24" s="1313">
        <v>545.79999999999995</v>
      </c>
      <c r="F24" s="1313">
        <v>18.3</v>
      </c>
      <c r="G24" s="1316">
        <v>297</v>
      </c>
      <c r="H24" s="1313"/>
      <c r="I24" s="1313"/>
    </row>
    <row r="25" spans="2:9">
      <c r="B25" s="1313">
        <v>22</v>
      </c>
      <c r="C25" s="1313"/>
      <c r="D25" s="1315">
        <v>1.1666666666666665</v>
      </c>
      <c r="E25" s="1313">
        <v>157.4</v>
      </c>
      <c r="F25" s="1313">
        <v>18.399999999999999</v>
      </c>
      <c r="G25" s="1316">
        <v>294</v>
      </c>
      <c r="H25" s="1313"/>
      <c r="I25" s="1313"/>
    </row>
    <row r="26" spans="2:9">
      <c r="B26" s="1313">
        <v>23</v>
      </c>
      <c r="C26" s="1313"/>
      <c r="D26" s="1315">
        <v>1.2083333333333333</v>
      </c>
      <c r="E26" s="1313">
        <v>153.6</v>
      </c>
      <c r="F26" s="1313">
        <v>19.399999999999999</v>
      </c>
      <c r="G26" s="1316">
        <v>289</v>
      </c>
      <c r="H26" s="1313"/>
      <c r="I26" s="1313"/>
    </row>
    <row r="27" spans="2:9">
      <c r="B27" s="1313">
        <v>24</v>
      </c>
      <c r="C27" s="1313"/>
      <c r="D27" s="1315">
        <v>1.25</v>
      </c>
      <c r="E27" s="1313">
        <v>159.6</v>
      </c>
      <c r="F27" s="1313">
        <v>19</v>
      </c>
      <c r="G27" s="1316">
        <v>296</v>
      </c>
      <c r="H27" s="1313"/>
      <c r="I27" s="1313"/>
    </row>
    <row r="28" spans="2:9">
      <c r="B28" s="1313"/>
      <c r="C28" s="1313"/>
      <c r="D28" s="1315"/>
      <c r="E28" s="1313"/>
      <c r="F28" s="1313"/>
      <c r="G28" s="1313"/>
      <c r="H28" s="1313"/>
      <c r="I28" s="1313"/>
    </row>
    <row r="29" spans="2:9" ht="13.5" thickBot="1">
      <c r="B29" s="1313"/>
      <c r="C29" s="1313"/>
      <c r="D29" s="1313"/>
      <c r="E29" s="1313"/>
      <c r="F29" s="1313"/>
      <c r="G29" s="1313"/>
      <c r="H29" s="1313"/>
      <c r="I29" s="1313"/>
    </row>
    <row r="30" spans="2:9" ht="13.5" thickBot="1">
      <c r="B30" s="1317" t="s">
        <v>2263</v>
      </c>
      <c r="C30" s="1313"/>
      <c r="D30" s="1313"/>
      <c r="E30" s="1318">
        <f>AVERAGE(E4:E27)</f>
        <v>214.49583333333339</v>
      </c>
      <c r="F30" s="1318">
        <f>AVERAGE(F4:F27)</f>
        <v>20.437499999999996</v>
      </c>
      <c r="G30" s="1319">
        <f>AVERAGE(G4:G27)</f>
        <v>299.88333333333327</v>
      </c>
      <c r="H30" s="1313"/>
      <c r="I30" s="1313"/>
    </row>
    <row r="31" spans="2:9">
      <c r="B31" s="1313"/>
      <c r="C31" s="1313"/>
      <c r="D31" s="1313"/>
      <c r="E31" s="1313"/>
      <c r="F31" s="1313"/>
      <c r="G31" s="1313"/>
      <c r="H31" s="1313"/>
      <c r="I31" s="1313"/>
    </row>
    <row r="32" spans="2:9">
      <c r="B32" s="1313"/>
      <c r="C32" s="1313"/>
      <c r="D32" s="1313"/>
      <c r="E32" s="1313"/>
      <c r="F32" s="1313"/>
      <c r="G32" s="1313"/>
      <c r="H32" s="1313"/>
      <c r="I32" s="1313"/>
    </row>
    <row r="33" spans="2:9">
      <c r="B33" s="1313"/>
      <c r="C33" s="1313"/>
      <c r="D33" s="1313"/>
      <c r="E33" s="1313"/>
      <c r="F33" s="1313"/>
      <c r="G33" s="1313"/>
      <c r="H33" s="1313"/>
      <c r="I33" s="1313"/>
    </row>
    <row r="34" spans="2:9">
      <c r="B34" s="1313"/>
      <c r="C34" s="1313"/>
      <c r="D34" s="1313"/>
      <c r="E34" s="1313"/>
      <c r="F34" s="1313"/>
      <c r="G34" s="1313"/>
      <c r="H34" s="1313"/>
      <c r="I34" s="1313"/>
    </row>
    <row r="35" spans="2:9">
      <c r="B35" s="1313"/>
      <c r="C35" s="1313"/>
      <c r="D35" s="1313"/>
      <c r="E35" s="1313"/>
      <c r="F35" s="1313"/>
      <c r="G35" s="1313"/>
      <c r="H35" s="1313"/>
      <c r="I35" s="1313"/>
    </row>
    <row r="36" spans="2:9">
      <c r="B36" s="1313"/>
      <c r="C36" s="1313"/>
      <c r="D36" s="1313"/>
      <c r="E36" s="1313"/>
      <c r="F36" s="1313"/>
      <c r="G36" s="1313"/>
      <c r="H36" s="1313"/>
      <c r="I36" s="1313"/>
    </row>
    <row r="37" spans="2:9">
      <c r="B37" s="1313"/>
      <c r="C37" s="1313"/>
      <c r="D37" s="1313"/>
      <c r="E37" s="1313"/>
      <c r="F37" s="1313"/>
      <c r="G37" s="1313"/>
      <c r="H37" s="1313"/>
      <c r="I37" s="13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AM1001"/>
  <sheetViews>
    <sheetView topLeftCell="A19" zoomScaleNormal="100" workbookViewId="0">
      <selection activeCell="O59" sqref="O59"/>
    </sheetView>
  </sheetViews>
  <sheetFormatPr defaultRowHeight="12.75"/>
  <cols>
    <col min="1" max="1" width="3.83203125" style="253" customWidth="1"/>
    <col min="2" max="2" width="5.83203125" style="253" customWidth="1"/>
    <col min="3" max="3" width="5.6640625" style="253" customWidth="1"/>
    <col min="4" max="4" width="10.5" style="253" customWidth="1"/>
    <col min="5" max="5" width="12.6640625" style="253" customWidth="1"/>
    <col min="6" max="7" width="10.5" style="253" customWidth="1"/>
    <col min="8" max="8" width="10.33203125" style="253" customWidth="1"/>
    <col min="9" max="9" width="13.6640625" style="253" customWidth="1"/>
    <col min="10" max="11" width="10.33203125" style="253" customWidth="1"/>
    <col min="12" max="12" width="10.6640625" style="253" customWidth="1"/>
    <col min="13" max="13" width="3.83203125" style="253" customWidth="1"/>
    <col min="14" max="21" width="10.83203125" style="253" customWidth="1"/>
    <col min="22" max="26" width="10.5" style="253" customWidth="1"/>
    <col min="27" max="27" width="10.33203125" style="253" customWidth="1"/>
    <col min="28" max="28" width="11.33203125" style="253" bestFit="1" customWidth="1"/>
    <col min="29" max="29" width="9.33203125" style="253"/>
    <col min="30" max="30" width="9.5" style="253" bestFit="1" customWidth="1"/>
    <col min="31" max="31" width="11.5" style="253" bestFit="1" customWidth="1"/>
    <col min="32" max="32" width="17.1640625" style="253" bestFit="1" customWidth="1"/>
    <col min="33" max="34" width="9.33203125" style="253"/>
    <col min="35" max="39" width="35.83203125" style="253" customWidth="1"/>
    <col min="40" max="16384" width="9.33203125" style="253"/>
  </cols>
  <sheetData>
    <row r="2" spans="2:25" ht="12.75" customHeight="1"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2:25" ht="12.75" customHeight="1"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</row>
    <row r="4" spans="2:25" ht="12.75" customHeight="1"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W4" s="4" t="s">
        <v>412</v>
      </c>
      <c r="X4" s="1"/>
      <c r="Y4" s="363" t="s">
        <v>413</v>
      </c>
    </row>
    <row r="5" spans="2:25" ht="12.75" customHeight="1">
      <c r="B5" s="371"/>
      <c r="C5" s="371"/>
      <c r="D5" s="370"/>
      <c r="E5" s="372"/>
      <c r="F5" s="370"/>
      <c r="G5" s="370"/>
      <c r="H5" s="370"/>
      <c r="I5" s="370"/>
      <c r="J5" s="370"/>
      <c r="K5" s="370"/>
      <c r="L5" s="370"/>
      <c r="W5"/>
      <c r="X5"/>
      <c r="Y5" t="s">
        <v>414</v>
      </c>
    </row>
    <row r="6" spans="2:25" ht="12.75" customHeight="1">
      <c r="B6" s="373"/>
      <c r="C6" s="373"/>
      <c r="D6" s="372"/>
      <c r="E6" s="372"/>
      <c r="F6" s="370"/>
      <c r="G6" s="370"/>
      <c r="H6" s="370"/>
      <c r="I6" s="370"/>
      <c r="J6" s="370"/>
      <c r="K6" s="370"/>
      <c r="L6" s="370"/>
      <c r="W6"/>
      <c r="X6" s="1"/>
      <c r="Y6" s="252" t="s">
        <v>415</v>
      </c>
    </row>
    <row r="7" spans="2:25" ht="18" customHeight="1">
      <c r="B7" s="370"/>
      <c r="C7" s="370"/>
      <c r="D7" s="589" t="s">
        <v>647</v>
      </c>
      <c r="E7" s="370"/>
      <c r="F7" s="370"/>
      <c r="G7" s="370"/>
      <c r="H7" s="370"/>
      <c r="I7" s="370"/>
      <c r="J7" s="370"/>
      <c r="K7" s="370"/>
      <c r="L7" s="370"/>
      <c r="W7"/>
      <c r="X7" s="1"/>
      <c r="Y7" s="252" t="s">
        <v>416</v>
      </c>
    </row>
    <row r="8" spans="2:25" ht="18" customHeight="1">
      <c r="B8" s="370"/>
      <c r="C8" s="370"/>
      <c r="D8" s="521" t="s">
        <v>646</v>
      </c>
      <c r="E8" s="370"/>
      <c r="F8" s="370"/>
      <c r="G8" s="370"/>
      <c r="H8" s="370"/>
      <c r="I8" s="370"/>
      <c r="J8" s="370"/>
      <c r="K8" s="370"/>
      <c r="L8" s="370"/>
      <c r="W8"/>
      <c r="X8" s="1"/>
      <c r="Y8" s="1"/>
    </row>
    <row r="9" spans="2:25" ht="12.75" customHeight="1">
      <c r="B9" s="370"/>
      <c r="C9" s="370"/>
      <c r="D9" s="372" t="s">
        <v>1375</v>
      </c>
      <c r="E9" s="372"/>
      <c r="F9" s="370"/>
      <c r="G9" s="370"/>
      <c r="H9" s="370"/>
      <c r="I9" s="370"/>
      <c r="J9" s="370"/>
      <c r="K9" s="370"/>
      <c r="L9" s="370"/>
      <c r="O9" s="641" t="s">
        <v>1509</v>
      </c>
      <c r="P9" s="491"/>
      <c r="Q9" s="644"/>
      <c r="W9" s="4" t="s">
        <v>418</v>
      </c>
      <c r="X9" s="1"/>
      <c r="Y9" s="6">
        <v>2</v>
      </c>
    </row>
    <row r="10" spans="2:25" ht="12.75" customHeight="1">
      <c r="B10" s="370"/>
      <c r="C10" s="370"/>
      <c r="D10" s="372"/>
      <c r="E10" s="372"/>
      <c r="F10" s="370"/>
      <c r="G10" s="370"/>
      <c r="H10" s="370"/>
      <c r="I10" s="370"/>
      <c r="J10" s="370"/>
      <c r="K10" s="370"/>
      <c r="L10" s="370"/>
      <c r="O10" s="642">
        <v>38595</v>
      </c>
      <c r="P10" s="618" t="s">
        <v>955</v>
      </c>
      <c r="Q10" s="491" t="s">
        <v>1509</v>
      </c>
      <c r="W10" s="4"/>
      <c r="X10" s="1"/>
      <c r="Y10" s="6"/>
    </row>
    <row r="11" spans="2:25" ht="12.75" customHeight="1">
      <c r="B11" s="370"/>
      <c r="C11" s="370"/>
      <c r="D11" s="1133"/>
      <c r="E11" s="365" t="s">
        <v>417</v>
      </c>
      <c r="F11" s="370"/>
      <c r="G11" s="370"/>
      <c r="H11" s="370"/>
      <c r="I11" s="370"/>
      <c r="J11" s="370"/>
      <c r="K11" s="370"/>
      <c r="L11" s="370"/>
      <c r="O11" s="642">
        <v>39827</v>
      </c>
      <c r="P11" s="808" t="s">
        <v>1955</v>
      </c>
      <c r="Q11" s="642" t="s">
        <v>698</v>
      </c>
      <c r="R11" s="642"/>
      <c r="S11" s="642"/>
      <c r="T11" s="642"/>
    </row>
    <row r="12" spans="2:25" ht="12.75" customHeight="1">
      <c r="B12" s="370"/>
      <c r="C12" s="370"/>
      <c r="D12" s="2"/>
      <c r="E12" s="369" t="s">
        <v>1133</v>
      </c>
      <c r="F12" s="370"/>
      <c r="G12" s="370"/>
      <c r="H12" s="370"/>
      <c r="I12" s="370"/>
      <c r="J12" s="370"/>
      <c r="K12" s="370"/>
      <c r="L12" s="370"/>
      <c r="O12" s="642">
        <v>41100</v>
      </c>
      <c r="P12" s="808" t="s">
        <v>1955</v>
      </c>
      <c r="Q12" s="642" t="s">
        <v>2191</v>
      </c>
    </row>
    <row r="13" spans="2:25" ht="12.75" customHeight="1"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O13" s="642">
        <v>41106</v>
      </c>
      <c r="P13" s="808" t="s">
        <v>1955</v>
      </c>
      <c r="Q13" s="796" t="s">
        <v>2250</v>
      </c>
      <c r="R13" s="642"/>
    </row>
    <row r="14" spans="2:25" ht="12.75" customHeight="1">
      <c r="B14" s="370"/>
      <c r="C14" s="370"/>
      <c r="D14" s="364" t="s">
        <v>420</v>
      </c>
      <c r="E14" s="370"/>
      <c r="F14" s="370"/>
      <c r="G14" s="370"/>
      <c r="H14" s="370"/>
      <c r="I14" s="370"/>
      <c r="J14" s="370"/>
      <c r="K14" s="370"/>
      <c r="L14" s="370"/>
      <c r="W14" s="475"/>
      <c r="Y14" s="353"/>
    </row>
    <row r="15" spans="2:25" ht="12.75" customHeight="1"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W15" s="475"/>
    </row>
    <row r="16" spans="2:25" ht="12.75" customHeight="1">
      <c r="B16" s="374"/>
      <c r="C16" s="372"/>
      <c r="D16" s="370"/>
      <c r="E16" s="370"/>
      <c r="F16" s="370"/>
      <c r="G16" s="370"/>
      <c r="H16" s="370"/>
      <c r="I16" s="370"/>
      <c r="J16" s="370"/>
      <c r="K16" s="370"/>
      <c r="L16" s="488"/>
    </row>
    <row r="19" spans="2:28" ht="15.75">
      <c r="B19" s="1113" t="s">
        <v>1374</v>
      </c>
      <c r="C19" s="1113"/>
      <c r="D19" s="1113"/>
      <c r="E19" s="1113"/>
      <c r="F19" s="1113"/>
      <c r="G19" s="1113"/>
      <c r="H19" s="1113"/>
      <c r="I19" s="1113"/>
      <c r="J19" s="1113"/>
      <c r="K19" s="1113"/>
      <c r="L19" s="1113"/>
    </row>
    <row r="20" spans="2:28" s="254" customFormat="1"/>
    <row r="21" spans="2:28">
      <c r="B21" s="255" t="str">
        <f>'R&amp;C Planetary Cooler'!$AI$236</f>
        <v>Plant</v>
      </c>
      <c r="C21" s="255"/>
      <c r="D21" s="256"/>
      <c r="E21" s="1146"/>
      <c r="F21" s="1122"/>
      <c r="G21" s="256"/>
      <c r="H21" s="254" t="str">
        <f>'R&amp;C Planetary Cooler'!$AI$197</f>
        <v>Altitude</v>
      </c>
      <c r="I21" s="254"/>
      <c r="J21" s="254"/>
      <c r="K21" s="1123"/>
      <c r="L21" s="254" t="s">
        <v>422</v>
      </c>
    </row>
    <row r="22" spans="2:28">
      <c r="B22" s="253" t="s">
        <v>886</v>
      </c>
      <c r="F22" s="1125"/>
      <c r="H22" s="255" t="str">
        <f>'R&amp;C Planetary Cooler'!$AI$233</f>
        <v>Ambient temperature</v>
      </c>
      <c r="I22" s="254"/>
      <c r="J22" s="254"/>
      <c r="K22" s="1124"/>
      <c r="L22" s="254" t="s">
        <v>425</v>
      </c>
      <c r="N22" s="257"/>
      <c r="O22" s="257"/>
      <c r="P22" s="257"/>
      <c r="Q22" s="257"/>
      <c r="R22" s="257"/>
      <c r="S22" s="257"/>
      <c r="T22" s="257"/>
      <c r="U22" s="257"/>
      <c r="V22" s="257"/>
    </row>
    <row r="23" spans="2:28">
      <c r="B23" s="255" t="str">
        <f>'R&amp;C Planetary Cooler'!$AI$210</f>
        <v>Cooler diameter</v>
      </c>
      <c r="C23" s="255"/>
      <c r="D23" s="254"/>
      <c r="E23" s="254"/>
      <c r="F23" s="1123"/>
      <c r="G23" s="254" t="s">
        <v>422</v>
      </c>
      <c r="H23" s="255" t="str">
        <f>'R&amp;C Planetary Cooler'!$AI$232</f>
        <v>Ambient pressure</v>
      </c>
      <c r="I23" s="254"/>
      <c r="J23" s="254"/>
      <c r="K23" s="620" t="str">
        <f>IF(ALTITUDE="","",1.03323*((288-6.5*ALTITUDE/1000)/288)^5.255*980.665)</f>
        <v/>
      </c>
      <c r="L23" s="254" t="s">
        <v>424</v>
      </c>
      <c r="N23" s="257"/>
      <c r="O23" s="257"/>
      <c r="P23" s="257"/>
      <c r="Q23" s="257"/>
      <c r="R23" s="257"/>
      <c r="S23" s="257"/>
      <c r="T23" s="257"/>
      <c r="U23" s="257"/>
      <c r="V23" s="257"/>
      <c r="Y23" s="258"/>
    </row>
    <row r="24" spans="2:28">
      <c r="B24" s="254" t="str">
        <f>'R&amp;C Planetary Cooler'!$AI$204</f>
        <v>Cooler length</v>
      </c>
      <c r="C24" s="254"/>
      <c r="D24" s="254"/>
      <c r="E24" s="254"/>
      <c r="F24" s="1123"/>
      <c r="G24" s="254" t="s">
        <v>422</v>
      </c>
      <c r="H24" s="255" t="str">
        <f>'R&amp;C Planetary Cooler'!$AI$205</f>
        <v>Air density</v>
      </c>
      <c r="I24" s="254"/>
      <c r="J24" s="254"/>
      <c r="K24" s="621" t="str">
        <f>IF(TAMB="","",1.293*PAMB/1013*273.16/(TAMB+273.16))</f>
        <v/>
      </c>
      <c r="L24" s="259" t="s">
        <v>308</v>
      </c>
    </row>
    <row r="25" spans="2:28">
      <c r="B25" s="255" t="str">
        <f>'R&amp;C Planetary Cooler'!$AI$201</f>
        <v>Clinker production rate</v>
      </c>
      <c r="C25" s="254"/>
      <c r="D25" s="254"/>
      <c r="E25" s="254"/>
      <c r="F25" s="1126"/>
      <c r="G25" s="254" t="str">
        <f>'R&amp;C Planetary Cooler'!$AI$228</f>
        <v>t/d</v>
      </c>
      <c r="H25" s="254"/>
      <c r="I25" s="254"/>
      <c r="J25" s="254"/>
      <c r="K25" s="254"/>
      <c r="L25" s="254"/>
    </row>
    <row r="26" spans="2:28">
      <c r="B26" s="254" t="str">
        <f>'R&amp;C Planetary Cooler'!$AI$214</f>
        <v>Cooler shell surface (simplified)</v>
      </c>
      <c r="C26" s="254"/>
      <c r="D26" s="254"/>
      <c r="E26" s="254"/>
      <c r="F26" s="619" t="str">
        <f>IF(SUM(F42:F70)=0,"",SUM(F42:F70))</f>
        <v/>
      </c>
      <c r="G26" s="254" t="s">
        <v>309</v>
      </c>
      <c r="H26" s="254"/>
      <c r="I26" s="254"/>
      <c r="J26" s="254"/>
      <c r="K26" s="254"/>
      <c r="L26" s="254"/>
    </row>
    <row r="27" spans="2:28" ht="13.5" thickBot="1">
      <c r="B27" s="254"/>
      <c r="C27" s="254"/>
      <c r="D27" s="254"/>
      <c r="E27" s="254"/>
      <c r="F27" s="260"/>
      <c r="G27" s="254"/>
      <c r="H27" s="254"/>
      <c r="I27" s="254"/>
      <c r="J27" s="254"/>
      <c r="K27" s="254"/>
      <c r="L27" s="254"/>
    </row>
    <row r="28" spans="2:28" ht="13.5" thickBot="1">
      <c r="B28" s="254" t="str">
        <f>'R&amp;C Planetary Cooler'!$AI$195</f>
        <v>Total heat loss</v>
      </c>
      <c r="C28" s="254"/>
      <c r="D28" s="254"/>
      <c r="E28" s="254"/>
      <c r="F28" s="1121">
        <f>IF(ISERR(SUM(K42:K70)),"",SUM(K42:K70)*1.6)</f>
        <v>0</v>
      </c>
      <c r="G28" s="465" t="s">
        <v>1376</v>
      </c>
      <c r="H28" s="254"/>
      <c r="I28" s="254"/>
      <c r="J28" s="254"/>
      <c r="K28" s="254"/>
      <c r="L28" s="254"/>
    </row>
    <row r="29" spans="2:28" ht="13.5" thickBot="1">
      <c r="B29" s="254" t="s">
        <v>1377</v>
      </c>
      <c r="C29" s="254"/>
      <c r="D29" s="254"/>
      <c r="F29" s="1145" t="str">
        <f>IF(ISERR(24*QTOT*3.6/M_CLI),"",24*QTOT*3.6/M_CLI)</f>
        <v/>
      </c>
      <c r="G29" s="358" t="s">
        <v>509</v>
      </c>
      <c r="H29" s="254"/>
      <c r="I29" s="254"/>
      <c r="J29" s="254"/>
      <c r="K29" s="254"/>
      <c r="L29" s="254"/>
    </row>
    <row r="30" spans="2:28">
      <c r="B30" s="254" t="s">
        <v>1377</v>
      </c>
      <c r="C30" s="254"/>
      <c r="D30" s="254"/>
      <c r="E30" s="254"/>
      <c r="F30" s="741" t="str">
        <f>IF(QRADKLN="","",QRADKLN/4.1868)</f>
        <v/>
      </c>
      <c r="G30" s="253" t="s">
        <v>666</v>
      </c>
    </row>
    <row r="31" spans="2:28">
      <c r="C31" s="254"/>
      <c r="D31" s="254"/>
      <c r="E31" s="254"/>
      <c r="F31" s="260"/>
      <c r="G31" s="254"/>
      <c r="H31" s="254"/>
      <c r="I31" s="254"/>
      <c r="J31" s="254"/>
      <c r="K31" s="254"/>
      <c r="L31" s="254"/>
      <c r="X31" s="362" t="s">
        <v>310</v>
      </c>
      <c r="AA31" s="263" t="s">
        <v>311</v>
      </c>
      <c r="AB31" s="263" t="s">
        <v>312</v>
      </c>
    </row>
    <row r="32" spans="2:28">
      <c r="B32" s="261" t="str">
        <f>'R&amp;C Planetary Cooler'!$AI$186</f>
        <v>Remark</v>
      </c>
      <c r="C32" s="254"/>
      <c r="D32" s="254"/>
      <c r="E32" s="254"/>
      <c r="F32" s="260"/>
      <c r="G32" s="254"/>
      <c r="H32" s="254"/>
      <c r="I32" s="254"/>
      <c r="J32" s="254"/>
      <c r="K32" s="254"/>
      <c r="L32" s="254"/>
      <c r="X32" s="362"/>
      <c r="AA32" s="263"/>
      <c r="AB32" s="263"/>
    </row>
    <row r="33" spans="2:35">
      <c r="B33" s="1301" t="s">
        <v>2244</v>
      </c>
      <c r="C33" s="1135"/>
      <c r="D33" s="1135"/>
      <c r="E33" s="1135"/>
      <c r="F33" s="1135"/>
      <c r="G33" s="1135"/>
      <c r="H33" s="1135"/>
      <c r="I33" s="1135"/>
      <c r="J33" s="1135"/>
      <c r="K33" s="1135"/>
      <c r="L33" s="1135"/>
      <c r="AD33"/>
      <c r="AE33" s="262"/>
      <c r="AF33" s="262"/>
    </row>
    <row r="34" spans="2:35">
      <c r="B34" s="1301" t="s">
        <v>2245</v>
      </c>
      <c r="C34" s="1135"/>
      <c r="D34" s="1135"/>
      <c r="E34" s="1135"/>
      <c r="F34" s="1147"/>
      <c r="G34" s="1135"/>
      <c r="H34" s="1135"/>
      <c r="I34" s="1135"/>
      <c r="J34" s="1135"/>
      <c r="K34" s="1135"/>
      <c r="L34" s="1135"/>
      <c r="Z34" s="253">
        <v>0</v>
      </c>
      <c r="AA34" s="265">
        <v>2.4539999999999999E-2</v>
      </c>
      <c r="AB34" s="265">
        <v>1.7099999999999999E-5</v>
      </c>
      <c r="AD34"/>
      <c r="AE34"/>
      <c r="AF34"/>
    </row>
    <row r="35" spans="2:35">
      <c r="B35" s="1134"/>
      <c r="C35" s="1135"/>
      <c r="D35" s="1135"/>
      <c r="E35" s="1135"/>
      <c r="F35" s="1147"/>
      <c r="G35" s="1135"/>
      <c r="H35" s="1135"/>
      <c r="I35" s="1135"/>
      <c r="J35" s="1135"/>
      <c r="K35" s="1135"/>
      <c r="L35" s="1135"/>
      <c r="Z35" s="253">
        <v>450</v>
      </c>
      <c r="AA35" s="265">
        <v>5.5640000000000002E-2</v>
      </c>
      <c r="AB35" s="265">
        <v>3.4E-5</v>
      </c>
      <c r="AD35"/>
      <c r="AE35"/>
      <c r="AF35"/>
    </row>
    <row r="36" spans="2:35">
      <c r="B36" s="254"/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AD36"/>
      <c r="AE36"/>
      <c r="AF36"/>
      <c r="AG36"/>
      <c r="AH36"/>
      <c r="AI36"/>
    </row>
    <row r="37" spans="2:35">
      <c r="B37" s="570" t="str">
        <f>'R&amp;C Planetary Cooler'!$AI$215</f>
        <v>Envelope around cooler</v>
      </c>
      <c r="C37" s="571"/>
      <c r="D37" s="571"/>
      <c r="E37" s="571"/>
      <c r="F37" s="572"/>
      <c r="G37" s="573" t="s">
        <v>325</v>
      </c>
      <c r="H37" s="573" t="str">
        <f>'R&amp;C Planetary Cooler'!$AI$192</f>
        <v>Emissivity</v>
      </c>
      <c r="I37" s="574" t="str">
        <f>'R&amp;C Planetary Cooler'!$AI$237</f>
        <v>Wind</v>
      </c>
      <c r="J37" s="575" t="s">
        <v>313</v>
      </c>
      <c r="K37" s="573" t="s">
        <v>314</v>
      </c>
      <c r="L37" s="573"/>
      <c r="X37" s="263" t="s">
        <v>315</v>
      </c>
      <c r="Y37" s="264" t="s">
        <v>316</v>
      </c>
      <c r="Z37" s="351" t="s">
        <v>313</v>
      </c>
      <c r="AA37" s="351" t="s">
        <v>313</v>
      </c>
      <c r="AB37" s="351" t="s">
        <v>313</v>
      </c>
      <c r="AG37"/>
      <c r="AH37"/>
      <c r="AI37"/>
    </row>
    <row r="38" spans="2:35">
      <c r="B38" s="780" t="s">
        <v>825</v>
      </c>
      <c r="C38" s="578" t="s">
        <v>826</v>
      </c>
      <c r="D38" s="578" t="str">
        <f>'R&amp;C Planetary Cooler'!$AI$203</f>
        <v>Length</v>
      </c>
      <c r="E38" s="579" t="str">
        <f>'R&amp;C Planetary Cooler'!$AI$190</f>
        <v>Diameter</v>
      </c>
      <c r="F38" s="579" t="str">
        <f>'R&amp;C Planetary Cooler'!$AI$209</f>
        <v>Surface</v>
      </c>
      <c r="G38" s="581"/>
      <c r="H38" s="580" t="s">
        <v>317</v>
      </c>
      <c r="I38" s="581" t="str">
        <f>'R&amp;C Planetary Cooler'!$AI$222</f>
        <v>velocity</v>
      </c>
      <c r="J38" s="581" t="str">
        <f>'R&amp;C Planetary Cooler'!$AI$230</f>
        <v>total</v>
      </c>
      <c r="K38" s="478"/>
      <c r="L38" s="582" t="str">
        <f>'R&amp;C Planetary Cooler'!$AI$186</f>
        <v>Remark</v>
      </c>
      <c r="X38" s="263"/>
      <c r="Y38" s="263"/>
      <c r="Z38" s="263" t="s">
        <v>318</v>
      </c>
      <c r="AA38" s="263" t="s">
        <v>319</v>
      </c>
      <c r="AB38" s="263" t="s">
        <v>320</v>
      </c>
      <c r="AD38" s="263" t="s">
        <v>321</v>
      </c>
      <c r="AE38" s="263" t="s">
        <v>311</v>
      </c>
      <c r="AF38" s="263" t="s">
        <v>312</v>
      </c>
      <c r="AG38"/>
      <c r="AH38"/>
      <c r="AI38"/>
    </row>
    <row r="39" spans="2:35">
      <c r="B39" s="583" t="s">
        <v>469</v>
      </c>
      <c r="C39" s="583" t="s">
        <v>470</v>
      </c>
      <c r="D39" s="583" t="s">
        <v>470</v>
      </c>
      <c r="E39" s="584" t="s">
        <v>470</v>
      </c>
      <c r="F39" s="584" t="s">
        <v>471</v>
      </c>
      <c r="G39" s="585" t="s">
        <v>473</v>
      </c>
      <c r="H39" s="586" t="s">
        <v>469</v>
      </c>
      <c r="I39" s="587" t="s">
        <v>472</v>
      </c>
      <c r="J39" s="585" t="s">
        <v>322</v>
      </c>
      <c r="K39" s="588" t="s">
        <v>323</v>
      </c>
      <c r="L39" s="588"/>
      <c r="X39" s="263" t="s">
        <v>473</v>
      </c>
      <c r="Y39" s="263" t="s">
        <v>324</v>
      </c>
      <c r="Z39" s="263" t="s">
        <v>322</v>
      </c>
      <c r="AA39" s="263" t="s">
        <v>322</v>
      </c>
      <c r="AB39" s="263" t="s">
        <v>322</v>
      </c>
      <c r="AG39"/>
      <c r="AH39"/>
      <c r="AI39"/>
    </row>
    <row r="40" spans="2:35">
      <c r="B40" s="266"/>
      <c r="C40" s="267"/>
      <c r="D40" s="254"/>
      <c r="E40" s="266"/>
      <c r="F40" s="268"/>
      <c r="G40" s="268"/>
      <c r="H40" s="269"/>
      <c r="I40" s="269"/>
      <c r="J40" s="268"/>
      <c r="K40" s="270"/>
      <c r="L40" s="269"/>
      <c r="AG40"/>
      <c r="AH40"/>
      <c r="AI40"/>
    </row>
    <row r="41" spans="2:35">
      <c r="B41" s="489"/>
      <c r="C41" s="489"/>
      <c r="D41" s="254"/>
      <c r="E41" s="270"/>
      <c r="F41" s="267"/>
      <c r="G41" s="490"/>
      <c r="H41" s="269"/>
      <c r="I41" s="269"/>
      <c r="J41" s="267"/>
      <c r="K41" s="270"/>
      <c r="L41" s="269"/>
      <c r="AG41"/>
      <c r="AH41"/>
      <c r="AI41"/>
    </row>
    <row r="42" spans="2:35">
      <c r="B42" s="271">
        <v>1</v>
      </c>
      <c r="C42" s="1127"/>
      <c r="D42" s="1127"/>
      <c r="E42" s="1129"/>
      <c r="F42" s="273" t="str">
        <f t="shared" ref="F42" si="0">IF(D42="","",PI()*D42*E42)</f>
        <v/>
      </c>
      <c r="G42" s="1127"/>
      <c r="H42" s="1131"/>
      <c r="I42" s="1131"/>
      <c r="J42" s="273" t="str">
        <f>IF(F42="","",Z42+SQRT(AA42^2+AB42^2))</f>
        <v/>
      </c>
      <c r="K42" s="274" t="str">
        <f t="shared" ref="K42" si="1">IF(F42="","",J42*F42*(G42-$K$22)/1000)</f>
        <v/>
      </c>
      <c r="L42" s="272"/>
      <c r="X42" s="275">
        <f t="shared" ref="X42:X54" si="2">G42-$K$22</f>
        <v>0</v>
      </c>
      <c r="Y42" s="275">
        <f t="shared" ref="Y42:Y54" si="3">(G42+$K$22)/2+273.16</f>
        <v>273.16000000000003</v>
      </c>
      <c r="Z42" s="276">
        <f t="shared" ref="Z42:Z54" si="4">5.67*H42*0.04*(Y42/100)^3*(1+0.25*(X42/Y42)^2)</f>
        <v>0</v>
      </c>
      <c r="AA42" s="277" t="e">
        <f t="shared" ref="AA42:AA54" si="5">1.4*($K$24*$K$24*(TAMB+273.16)/Y42*X42)^(1/3)</f>
        <v>#VALUE!</v>
      </c>
      <c r="AB42" s="277" t="e">
        <f t="shared" ref="AB42:AB54" si="6">0.00672*AE42*(AD42*I42/AF42)^0.905*E42^-0.095</f>
        <v>#VALUE!</v>
      </c>
      <c r="AD42" s="278" t="e">
        <f t="shared" ref="AD42:AD54" si="7">$K$24*(TAMB+273.16)/Y42</f>
        <v>#VALUE!</v>
      </c>
      <c r="AE42" s="265">
        <f t="shared" ref="AE42:AE54" si="8">$AA$34+($AA$35-$AA$34)/($Z$35-$Z$34)*(Y42-273.16)</f>
        <v>2.4539999999999999E-2</v>
      </c>
      <c r="AF42" s="253">
        <f t="shared" ref="AF42:AF54" si="9">$AB$34+($AB$35-$AB$34)/($Z$35-$Z$34)*(Y42-273.16)</f>
        <v>1.7099999999999999E-5</v>
      </c>
    </row>
    <row r="43" spans="2:35">
      <c r="B43" s="279">
        <v>2</v>
      </c>
      <c r="C43" s="1127"/>
      <c r="D43" s="1127"/>
      <c r="E43" s="1129"/>
      <c r="F43" s="273" t="str">
        <f t="shared" ref="F43:F70" si="10">IF(D43="","",PI()*D43*E43)</f>
        <v/>
      </c>
      <c r="G43" s="1127"/>
      <c r="H43" s="1131"/>
      <c r="I43" s="1131"/>
      <c r="J43" s="273" t="str">
        <f t="shared" ref="J43:J70" si="11">IF(F43="","",Z43+SQRT(AA43^2+AB43^2))</f>
        <v/>
      </c>
      <c r="K43" s="274" t="str">
        <f t="shared" ref="K43:K70" si="12">IF(F43="","",J43*F43*(G43-$K$22)/1000)</f>
        <v/>
      </c>
      <c r="L43" s="272"/>
      <c r="X43" s="275">
        <f t="shared" si="2"/>
        <v>0</v>
      </c>
      <c r="Y43" s="275">
        <f t="shared" si="3"/>
        <v>273.16000000000003</v>
      </c>
      <c r="Z43" s="276">
        <f t="shared" si="4"/>
        <v>0</v>
      </c>
      <c r="AA43" s="277" t="e">
        <f t="shared" si="5"/>
        <v>#VALUE!</v>
      </c>
      <c r="AB43" s="277" t="e">
        <f t="shared" si="6"/>
        <v>#VALUE!</v>
      </c>
      <c r="AD43" s="278" t="e">
        <f t="shared" si="7"/>
        <v>#VALUE!</v>
      </c>
      <c r="AE43" s="265">
        <f t="shared" si="8"/>
        <v>2.4539999999999999E-2</v>
      </c>
      <c r="AF43" s="253">
        <f t="shared" si="9"/>
        <v>1.7099999999999999E-5</v>
      </c>
    </row>
    <row r="44" spans="2:35">
      <c r="B44" s="279">
        <v>3</v>
      </c>
      <c r="C44" s="1127"/>
      <c r="D44" s="1127"/>
      <c r="E44" s="1129"/>
      <c r="F44" s="273" t="str">
        <f t="shared" si="10"/>
        <v/>
      </c>
      <c r="G44" s="1127"/>
      <c r="H44" s="1131"/>
      <c r="I44" s="1131"/>
      <c r="J44" s="273" t="str">
        <f t="shared" si="11"/>
        <v/>
      </c>
      <c r="K44" s="274" t="str">
        <f t="shared" si="12"/>
        <v/>
      </c>
      <c r="L44" s="272"/>
      <c r="X44" s="275">
        <f t="shared" si="2"/>
        <v>0</v>
      </c>
      <c r="Y44" s="275">
        <f t="shared" si="3"/>
        <v>273.16000000000003</v>
      </c>
      <c r="Z44" s="276">
        <f t="shared" si="4"/>
        <v>0</v>
      </c>
      <c r="AA44" s="277" t="e">
        <f t="shared" si="5"/>
        <v>#VALUE!</v>
      </c>
      <c r="AB44" s="277" t="e">
        <f t="shared" si="6"/>
        <v>#VALUE!</v>
      </c>
      <c r="AD44" s="278" t="e">
        <f t="shared" si="7"/>
        <v>#VALUE!</v>
      </c>
      <c r="AE44" s="265">
        <f t="shared" si="8"/>
        <v>2.4539999999999999E-2</v>
      </c>
      <c r="AF44" s="253">
        <f t="shared" si="9"/>
        <v>1.7099999999999999E-5</v>
      </c>
    </row>
    <row r="45" spans="2:35">
      <c r="B45" s="279">
        <v>4</v>
      </c>
      <c r="C45" s="1127"/>
      <c r="D45" s="1127"/>
      <c r="E45" s="1129"/>
      <c r="F45" s="273" t="str">
        <f t="shared" si="10"/>
        <v/>
      </c>
      <c r="G45" s="1127"/>
      <c r="H45" s="1131"/>
      <c r="I45" s="1131"/>
      <c r="J45" s="273" t="str">
        <f t="shared" si="11"/>
        <v/>
      </c>
      <c r="K45" s="274" t="str">
        <f t="shared" si="12"/>
        <v/>
      </c>
      <c r="L45" s="272"/>
      <c r="X45" s="275">
        <f t="shared" si="2"/>
        <v>0</v>
      </c>
      <c r="Y45" s="275">
        <f t="shared" si="3"/>
        <v>273.16000000000003</v>
      </c>
      <c r="Z45" s="276">
        <f t="shared" si="4"/>
        <v>0</v>
      </c>
      <c r="AA45" s="277" t="e">
        <f t="shared" si="5"/>
        <v>#VALUE!</v>
      </c>
      <c r="AB45" s="277" t="e">
        <f t="shared" si="6"/>
        <v>#VALUE!</v>
      </c>
      <c r="AD45" s="278" t="e">
        <f t="shared" si="7"/>
        <v>#VALUE!</v>
      </c>
      <c r="AE45" s="265">
        <f t="shared" si="8"/>
        <v>2.4539999999999999E-2</v>
      </c>
      <c r="AF45" s="253">
        <f t="shared" si="9"/>
        <v>1.7099999999999999E-5</v>
      </c>
    </row>
    <row r="46" spans="2:35">
      <c r="B46" s="279">
        <v>5</v>
      </c>
      <c r="C46" s="1127"/>
      <c r="D46" s="1127"/>
      <c r="E46" s="1129"/>
      <c r="F46" s="273" t="str">
        <f t="shared" si="10"/>
        <v/>
      </c>
      <c r="G46" s="1127"/>
      <c r="H46" s="1131"/>
      <c r="I46" s="1131"/>
      <c r="J46" s="273" t="str">
        <f t="shared" si="11"/>
        <v/>
      </c>
      <c r="K46" s="274" t="str">
        <f t="shared" si="12"/>
        <v/>
      </c>
      <c r="L46" s="272"/>
      <c r="X46" s="275">
        <f t="shared" si="2"/>
        <v>0</v>
      </c>
      <c r="Y46" s="275">
        <f t="shared" si="3"/>
        <v>273.16000000000003</v>
      </c>
      <c r="Z46" s="276">
        <f t="shared" si="4"/>
        <v>0</v>
      </c>
      <c r="AA46" s="277" t="e">
        <f t="shared" si="5"/>
        <v>#VALUE!</v>
      </c>
      <c r="AB46" s="277" t="e">
        <f t="shared" si="6"/>
        <v>#VALUE!</v>
      </c>
      <c r="AD46" s="278" t="e">
        <f t="shared" si="7"/>
        <v>#VALUE!</v>
      </c>
      <c r="AE46" s="265">
        <f t="shared" si="8"/>
        <v>2.4539999999999999E-2</v>
      </c>
      <c r="AF46" s="253">
        <f t="shared" si="9"/>
        <v>1.7099999999999999E-5</v>
      </c>
    </row>
    <row r="47" spans="2:35">
      <c r="B47" s="279">
        <v>6</v>
      </c>
      <c r="C47" s="1127"/>
      <c r="D47" s="1127"/>
      <c r="E47" s="1129"/>
      <c r="F47" s="273" t="str">
        <f t="shared" si="10"/>
        <v/>
      </c>
      <c r="G47" s="1127"/>
      <c r="H47" s="1131"/>
      <c r="I47" s="1131"/>
      <c r="J47" s="273" t="str">
        <f t="shared" si="11"/>
        <v/>
      </c>
      <c r="K47" s="274" t="str">
        <f t="shared" si="12"/>
        <v/>
      </c>
      <c r="L47" s="272"/>
      <c r="X47" s="275">
        <f t="shared" si="2"/>
        <v>0</v>
      </c>
      <c r="Y47" s="275">
        <f t="shared" si="3"/>
        <v>273.16000000000003</v>
      </c>
      <c r="Z47" s="276">
        <f t="shared" si="4"/>
        <v>0</v>
      </c>
      <c r="AA47" s="277" t="e">
        <f t="shared" si="5"/>
        <v>#VALUE!</v>
      </c>
      <c r="AB47" s="277" t="e">
        <f t="shared" si="6"/>
        <v>#VALUE!</v>
      </c>
      <c r="AD47" s="278" t="e">
        <f t="shared" si="7"/>
        <v>#VALUE!</v>
      </c>
      <c r="AE47" s="265">
        <f t="shared" si="8"/>
        <v>2.4539999999999999E-2</v>
      </c>
      <c r="AF47" s="253">
        <f t="shared" si="9"/>
        <v>1.7099999999999999E-5</v>
      </c>
    </row>
    <row r="48" spans="2:35">
      <c r="B48" s="279">
        <v>7</v>
      </c>
      <c r="C48" s="1127"/>
      <c r="D48" s="1127"/>
      <c r="E48" s="1129"/>
      <c r="F48" s="273" t="str">
        <f t="shared" si="10"/>
        <v/>
      </c>
      <c r="G48" s="1127"/>
      <c r="H48" s="1131"/>
      <c r="I48" s="1131"/>
      <c r="J48" s="273" t="str">
        <f t="shared" si="11"/>
        <v/>
      </c>
      <c r="K48" s="274" t="str">
        <f t="shared" si="12"/>
        <v/>
      </c>
      <c r="L48" s="280"/>
      <c r="X48" s="275">
        <f t="shared" si="2"/>
        <v>0</v>
      </c>
      <c r="Y48" s="275">
        <f t="shared" si="3"/>
        <v>273.16000000000003</v>
      </c>
      <c r="Z48" s="276">
        <f t="shared" si="4"/>
        <v>0</v>
      </c>
      <c r="AA48" s="277" t="e">
        <f t="shared" si="5"/>
        <v>#VALUE!</v>
      </c>
      <c r="AB48" s="277" t="e">
        <f t="shared" si="6"/>
        <v>#VALUE!</v>
      </c>
      <c r="AD48" s="278" t="e">
        <f t="shared" si="7"/>
        <v>#VALUE!</v>
      </c>
      <c r="AE48" s="265">
        <f t="shared" si="8"/>
        <v>2.4539999999999999E-2</v>
      </c>
      <c r="AF48" s="253">
        <f t="shared" si="9"/>
        <v>1.7099999999999999E-5</v>
      </c>
    </row>
    <row r="49" spans="2:32">
      <c r="B49" s="279">
        <v>8</v>
      </c>
      <c r="C49" s="1127"/>
      <c r="D49" s="1127"/>
      <c r="E49" s="1129"/>
      <c r="F49" s="273" t="str">
        <f t="shared" si="10"/>
        <v/>
      </c>
      <c r="G49" s="1127"/>
      <c r="H49" s="1131"/>
      <c r="I49" s="1131"/>
      <c r="J49" s="273" t="str">
        <f t="shared" si="11"/>
        <v/>
      </c>
      <c r="K49" s="274" t="str">
        <f t="shared" si="12"/>
        <v/>
      </c>
      <c r="L49" s="272"/>
      <c r="X49" s="275">
        <f t="shared" si="2"/>
        <v>0</v>
      </c>
      <c r="Y49" s="275">
        <f t="shared" si="3"/>
        <v>273.16000000000003</v>
      </c>
      <c r="Z49" s="276">
        <f t="shared" si="4"/>
        <v>0</v>
      </c>
      <c r="AA49" s="277" t="e">
        <f t="shared" si="5"/>
        <v>#VALUE!</v>
      </c>
      <c r="AB49" s="277" t="e">
        <f t="shared" si="6"/>
        <v>#VALUE!</v>
      </c>
      <c r="AD49" s="278" t="e">
        <f t="shared" si="7"/>
        <v>#VALUE!</v>
      </c>
      <c r="AE49" s="265">
        <f t="shared" si="8"/>
        <v>2.4539999999999999E-2</v>
      </c>
      <c r="AF49" s="253">
        <f t="shared" si="9"/>
        <v>1.7099999999999999E-5</v>
      </c>
    </row>
    <row r="50" spans="2:32">
      <c r="B50" s="279">
        <v>9</v>
      </c>
      <c r="C50" s="1127"/>
      <c r="D50" s="1127"/>
      <c r="E50" s="1129"/>
      <c r="F50" s="273" t="str">
        <f t="shared" si="10"/>
        <v/>
      </c>
      <c r="G50" s="1127"/>
      <c r="H50" s="1131"/>
      <c r="I50" s="1131"/>
      <c r="J50" s="273" t="str">
        <f t="shared" si="11"/>
        <v/>
      </c>
      <c r="K50" s="274" t="str">
        <f t="shared" si="12"/>
        <v/>
      </c>
      <c r="L50" s="272"/>
      <c r="X50" s="275">
        <f t="shared" si="2"/>
        <v>0</v>
      </c>
      <c r="Y50" s="275">
        <f t="shared" si="3"/>
        <v>273.16000000000003</v>
      </c>
      <c r="Z50" s="276">
        <f t="shared" si="4"/>
        <v>0</v>
      </c>
      <c r="AA50" s="277" t="e">
        <f t="shared" si="5"/>
        <v>#VALUE!</v>
      </c>
      <c r="AB50" s="277" t="e">
        <f t="shared" si="6"/>
        <v>#VALUE!</v>
      </c>
      <c r="AD50" s="278" t="e">
        <f t="shared" si="7"/>
        <v>#VALUE!</v>
      </c>
      <c r="AE50" s="265">
        <f t="shared" si="8"/>
        <v>2.4539999999999999E-2</v>
      </c>
      <c r="AF50" s="253">
        <f t="shared" si="9"/>
        <v>1.7099999999999999E-5</v>
      </c>
    </row>
    <row r="51" spans="2:32">
      <c r="B51" s="279">
        <v>10</v>
      </c>
      <c r="C51" s="1127"/>
      <c r="D51" s="1127"/>
      <c r="E51" s="1129"/>
      <c r="F51" s="273" t="str">
        <f t="shared" si="10"/>
        <v/>
      </c>
      <c r="G51" s="1127"/>
      <c r="H51" s="1131"/>
      <c r="I51" s="1131"/>
      <c r="J51" s="273" t="str">
        <f t="shared" si="11"/>
        <v/>
      </c>
      <c r="K51" s="274" t="str">
        <f t="shared" si="12"/>
        <v/>
      </c>
      <c r="L51" s="272"/>
      <c r="X51" s="275">
        <f t="shared" si="2"/>
        <v>0</v>
      </c>
      <c r="Y51" s="275">
        <f t="shared" si="3"/>
        <v>273.16000000000003</v>
      </c>
      <c r="Z51" s="276">
        <f t="shared" si="4"/>
        <v>0</v>
      </c>
      <c r="AA51" s="277" t="e">
        <f t="shared" si="5"/>
        <v>#VALUE!</v>
      </c>
      <c r="AB51" s="277" t="e">
        <f t="shared" si="6"/>
        <v>#VALUE!</v>
      </c>
      <c r="AD51" s="278" t="e">
        <f t="shared" si="7"/>
        <v>#VALUE!</v>
      </c>
      <c r="AE51" s="265">
        <f t="shared" si="8"/>
        <v>2.4539999999999999E-2</v>
      </c>
      <c r="AF51" s="253">
        <f t="shared" si="9"/>
        <v>1.7099999999999999E-5</v>
      </c>
    </row>
    <row r="52" spans="2:32">
      <c r="B52" s="279">
        <v>11</v>
      </c>
      <c r="C52" s="1127"/>
      <c r="D52" s="1127"/>
      <c r="E52" s="1129"/>
      <c r="F52" s="273" t="str">
        <f t="shared" si="10"/>
        <v/>
      </c>
      <c r="G52" s="1127"/>
      <c r="H52" s="1131"/>
      <c r="I52" s="1131"/>
      <c r="J52" s="273" t="str">
        <f t="shared" si="11"/>
        <v/>
      </c>
      <c r="K52" s="274" t="str">
        <f t="shared" si="12"/>
        <v/>
      </c>
      <c r="L52" s="272"/>
      <c r="X52" s="275">
        <f t="shared" si="2"/>
        <v>0</v>
      </c>
      <c r="Y52" s="275">
        <f t="shared" si="3"/>
        <v>273.16000000000003</v>
      </c>
      <c r="Z52" s="276">
        <f t="shared" si="4"/>
        <v>0</v>
      </c>
      <c r="AA52" s="277" t="e">
        <f t="shared" si="5"/>
        <v>#VALUE!</v>
      </c>
      <c r="AB52" s="277" t="e">
        <f t="shared" si="6"/>
        <v>#VALUE!</v>
      </c>
      <c r="AD52" s="278" t="e">
        <f t="shared" si="7"/>
        <v>#VALUE!</v>
      </c>
      <c r="AE52" s="265">
        <f t="shared" si="8"/>
        <v>2.4539999999999999E-2</v>
      </c>
      <c r="AF52" s="253">
        <f t="shared" si="9"/>
        <v>1.7099999999999999E-5</v>
      </c>
    </row>
    <row r="53" spans="2:32">
      <c r="B53" s="279">
        <v>12</v>
      </c>
      <c r="C53" s="1127"/>
      <c r="D53" s="1127"/>
      <c r="E53" s="1129"/>
      <c r="F53" s="273" t="str">
        <f t="shared" si="10"/>
        <v/>
      </c>
      <c r="G53" s="1127"/>
      <c r="H53" s="1131"/>
      <c r="I53" s="1131"/>
      <c r="J53" s="273" t="str">
        <f t="shared" si="11"/>
        <v/>
      </c>
      <c r="K53" s="274" t="str">
        <f t="shared" si="12"/>
        <v/>
      </c>
      <c r="L53" s="272"/>
      <c r="X53" s="275">
        <f t="shared" si="2"/>
        <v>0</v>
      </c>
      <c r="Y53" s="275">
        <f t="shared" si="3"/>
        <v>273.16000000000003</v>
      </c>
      <c r="Z53" s="276">
        <f t="shared" si="4"/>
        <v>0</v>
      </c>
      <c r="AA53" s="277" t="e">
        <f t="shared" si="5"/>
        <v>#VALUE!</v>
      </c>
      <c r="AB53" s="277" t="e">
        <f t="shared" si="6"/>
        <v>#VALUE!</v>
      </c>
      <c r="AD53" s="278" t="e">
        <f t="shared" si="7"/>
        <v>#VALUE!</v>
      </c>
      <c r="AE53" s="265">
        <f t="shared" si="8"/>
        <v>2.4539999999999999E-2</v>
      </c>
      <c r="AF53" s="253">
        <f t="shared" si="9"/>
        <v>1.7099999999999999E-5</v>
      </c>
    </row>
    <row r="54" spans="2:32">
      <c r="B54" s="279">
        <v>13</v>
      </c>
      <c r="C54" s="1127"/>
      <c r="D54" s="1127"/>
      <c r="E54" s="1129"/>
      <c r="F54" s="273" t="str">
        <f t="shared" si="10"/>
        <v/>
      </c>
      <c r="G54" s="1127"/>
      <c r="H54" s="1131"/>
      <c r="I54" s="1131"/>
      <c r="J54" s="273" t="str">
        <f t="shared" si="11"/>
        <v/>
      </c>
      <c r="K54" s="274" t="str">
        <f t="shared" si="12"/>
        <v/>
      </c>
      <c r="L54" s="272"/>
      <c r="X54" s="275">
        <f t="shared" si="2"/>
        <v>0</v>
      </c>
      <c r="Y54" s="275">
        <f t="shared" si="3"/>
        <v>273.16000000000003</v>
      </c>
      <c r="Z54" s="276">
        <f t="shared" si="4"/>
        <v>0</v>
      </c>
      <c r="AA54" s="277" t="e">
        <f t="shared" si="5"/>
        <v>#VALUE!</v>
      </c>
      <c r="AB54" s="277" t="e">
        <f t="shared" si="6"/>
        <v>#VALUE!</v>
      </c>
      <c r="AD54" s="278" t="e">
        <f t="shared" si="7"/>
        <v>#VALUE!</v>
      </c>
      <c r="AE54" s="265">
        <f t="shared" si="8"/>
        <v>2.4539999999999999E-2</v>
      </c>
      <c r="AF54" s="253">
        <f t="shared" si="9"/>
        <v>1.7099999999999999E-5</v>
      </c>
    </row>
    <row r="55" spans="2:32">
      <c r="B55" s="279">
        <v>14</v>
      </c>
      <c r="C55" s="1127"/>
      <c r="D55" s="1127"/>
      <c r="E55" s="1129"/>
      <c r="F55" s="273" t="str">
        <f t="shared" si="10"/>
        <v/>
      </c>
      <c r="G55" s="1127"/>
      <c r="H55" s="1131"/>
      <c r="I55" s="1131"/>
      <c r="J55" s="273" t="str">
        <f t="shared" si="11"/>
        <v/>
      </c>
      <c r="K55" s="274" t="str">
        <f t="shared" si="12"/>
        <v/>
      </c>
      <c r="L55" s="272"/>
      <c r="X55" s="275">
        <f t="shared" ref="X55:X70" si="13">G55-$K$22</f>
        <v>0</v>
      </c>
      <c r="Y55" s="275">
        <f t="shared" ref="Y55:Y70" si="14">(G55+$K$22)/2+273.16</f>
        <v>273.16000000000003</v>
      </c>
      <c r="Z55" s="276">
        <f t="shared" ref="Z55:Z70" si="15">5.67*H55*0.04*(Y55/100)^3*(1+0.25*(X55/Y55)^2)</f>
        <v>0</v>
      </c>
      <c r="AA55" s="277" t="e">
        <f t="shared" ref="AA55:AA70" si="16">1.4*($K$24*$K$24*(TAMB+273.16)/Y55*X55)^(1/3)</f>
        <v>#VALUE!</v>
      </c>
      <c r="AB55" s="277" t="e">
        <f t="shared" ref="AB55:AB70" si="17">0.00672*AE55*(AD55*I55/AF55)^0.905*E55^-0.095</f>
        <v>#VALUE!</v>
      </c>
      <c r="AD55" s="278" t="e">
        <f t="shared" ref="AD55:AD70" si="18">$K$24*(TAMB+273.16)/Y55</f>
        <v>#VALUE!</v>
      </c>
      <c r="AE55" s="265">
        <f t="shared" ref="AE55:AE70" si="19">$AA$34+($AA$35-$AA$34)/($Z$35-$Z$34)*(Y55-273.16)</f>
        <v>2.4539999999999999E-2</v>
      </c>
      <c r="AF55" s="253">
        <f t="shared" ref="AF55:AF70" si="20">$AB$34+($AB$35-$AB$34)/($Z$35-$Z$34)*(Y55-273.16)</f>
        <v>1.7099999999999999E-5</v>
      </c>
    </row>
    <row r="56" spans="2:32">
      <c r="B56" s="279">
        <v>15</v>
      </c>
      <c r="C56" s="1127"/>
      <c r="D56" s="1127"/>
      <c r="E56" s="1129"/>
      <c r="F56" s="273" t="str">
        <f t="shared" si="10"/>
        <v/>
      </c>
      <c r="G56" s="1127"/>
      <c r="H56" s="1131"/>
      <c r="I56" s="1131"/>
      <c r="J56" s="273" t="str">
        <f t="shared" si="11"/>
        <v/>
      </c>
      <c r="K56" s="274" t="str">
        <f t="shared" si="12"/>
        <v/>
      </c>
      <c r="L56" s="272"/>
      <c r="X56" s="275">
        <f t="shared" si="13"/>
        <v>0</v>
      </c>
      <c r="Y56" s="275">
        <f t="shared" si="14"/>
        <v>273.16000000000003</v>
      </c>
      <c r="Z56" s="276">
        <f t="shared" si="15"/>
        <v>0</v>
      </c>
      <c r="AA56" s="277" t="e">
        <f t="shared" si="16"/>
        <v>#VALUE!</v>
      </c>
      <c r="AB56" s="277" t="e">
        <f t="shared" si="17"/>
        <v>#VALUE!</v>
      </c>
      <c r="AD56" s="278" t="e">
        <f t="shared" si="18"/>
        <v>#VALUE!</v>
      </c>
      <c r="AE56" s="265">
        <f t="shared" si="19"/>
        <v>2.4539999999999999E-2</v>
      </c>
      <c r="AF56" s="253">
        <f t="shared" si="20"/>
        <v>1.7099999999999999E-5</v>
      </c>
    </row>
    <row r="57" spans="2:32">
      <c r="B57" s="279">
        <v>16</v>
      </c>
      <c r="C57" s="1127"/>
      <c r="D57" s="1127"/>
      <c r="E57" s="1129"/>
      <c r="F57" s="273" t="str">
        <f t="shared" si="10"/>
        <v/>
      </c>
      <c r="G57" s="1127"/>
      <c r="H57" s="1131"/>
      <c r="I57" s="1131"/>
      <c r="J57" s="273" t="str">
        <f t="shared" si="11"/>
        <v/>
      </c>
      <c r="K57" s="274" t="str">
        <f t="shared" si="12"/>
        <v/>
      </c>
      <c r="L57" s="272"/>
      <c r="X57" s="275">
        <f t="shared" si="13"/>
        <v>0</v>
      </c>
      <c r="Y57" s="275">
        <f t="shared" si="14"/>
        <v>273.16000000000003</v>
      </c>
      <c r="Z57" s="276">
        <f t="shared" si="15"/>
        <v>0</v>
      </c>
      <c r="AA57" s="277" t="e">
        <f t="shared" si="16"/>
        <v>#VALUE!</v>
      </c>
      <c r="AB57" s="277" t="e">
        <f t="shared" si="17"/>
        <v>#VALUE!</v>
      </c>
      <c r="AD57" s="278" t="e">
        <f t="shared" si="18"/>
        <v>#VALUE!</v>
      </c>
      <c r="AE57" s="265">
        <f t="shared" si="19"/>
        <v>2.4539999999999999E-2</v>
      </c>
      <c r="AF57" s="253">
        <f t="shared" si="20"/>
        <v>1.7099999999999999E-5</v>
      </c>
    </row>
    <row r="58" spans="2:32">
      <c r="B58" s="279">
        <v>17</v>
      </c>
      <c r="C58" s="1127"/>
      <c r="D58" s="1127"/>
      <c r="E58" s="1129"/>
      <c r="F58" s="273" t="str">
        <f t="shared" si="10"/>
        <v/>
      </c>
      <c r="G58" s="1127"/>
      <c r="H58" s="1131"/>
      <c r="I58" s="1131"/>
      <c r="J58" s="273" t="str">
        <f t="shared" si="11"/>
        <v/>
      </c>
      <c r="K58" s="274" t="str">
        <f t="shared" si="12"/>
        <v/>
      </c>
      <c r="L58" s="272"/>
      <c r="X58" s="275">
        <f t="shared" si="13"/>
        <v>0</v>
      </c>
      <c r="Y58" s="275">
        <f t="shared" si="14"/>
        <v>273.16000000000003</v>
      </c>
      <c r="Z58" s="276">
        <f t="shared" si="15"/>
        <v>0</v>
      </c>
      <c r="AA58" s="277" t="e">
        <f t="shared" si="16"/>
        <v>#VALUE!</v>
      </c>
      <c r="AB58" s="277" t="e">
        <f t="shared" si="17"/>
        <v>#VALUE!</v>
      </c>
      <c r="AD58" s="278" t="e">
        <f t="shared" si="18"/>
        <v>#VALUE!</v>
      </c>
      <c r="AE58" s="265">
        <f t="shared" si="19"/>
        <v>2.4539999999999999E-2</v>
      </c>
      <c r="AF58" s="253">
        <f t="shared" si="20"/>
        <v>1.7099999999999999E-5</v>
      </c>
    </row>
    <row r="59" spans="2:32">
      <c r="B59" s="279">
        <v>18</v>
      </c>
      <c r="C59" s="1127"/>
      <c r="D59" s="1127"/>
      <c r="E59" s="1129"/>
      <c r="F59" s="273" t="str">
        <f t="shared" si="10"/>
        <v/>
      </c>
      <c r="G59" s="1127"/>
      <c r="H59" s="1131"/>
      <c r="I59" s="1131"/>
      <c r="J59" s="273" t="str">
        <f t="shared" si="11"/>
        <v/>
      </c>
      <c r="K59" s="274" t="str">
        <f t="shared" si="12"/>
        <v/>
      </c>
      <c r="L59" s="272"/>
      <c r="X59" s="275">
        <f t="shared" si="13"/>
        <v>0</v>
      </c>
      <c r="Y59" s="275">
        <f t="shared" si="14"/>
        <v>273.16000000000003</v>
      </c>
      <c r="Z59" s="276">
        <f t="shared" si="15"/>
        <v>0</v>
      </c>
      <c r="AA59" s="277" t="e">
        <f t="shared" si="16"/>
        <v>#VALUE!</v>
      </c>
      <c r="AB59" s="277" t="e">
        <f t="shared" si="17"/>
        <v>#VALUE!</v>
      </c>
      <c r="AD59" s="278" t="e">
        <f t="shared" si="18"/>
        <v>#VALUE!</v>
      </c>
      <c r="AE59" s="265">
        <f t="shared" si="19"/>
        <v>2.4539999999999999E-2</v>
      </c>
      <c r="AF59" s="253">
        <f t="shared" si="20"/>
        <v>1.7099999999999999E-5</v>
      </c>
    </row>
    <row r="60" spans="2:32">
      <c r="B60" s="279">
        <v>19</v>
      </c>
      <c r="C60" s="1127"/>
      <c r="D60" s="1127"/>
      <c r="E60" s="1129"/>
      <c r="F60" s="273" t="str">
        <f t="shared" si="10"/>
        <v/>
      </c>
      <c r="G60" s="1127"/>
      <c r="H60" s="1131"/>
      <c r="I60" s="1131"/>
      <c r="J60" s="273" t="str">
        <f t="shared" si="11"/>
        <v/>
      </c>
      <c r="K60" s="274" t="str">
        <f t="shared" si="12"/>
        <v/>
      </c>
      <c r="L60" s="272"/>
      <c r="X60" s="275">
        <f t="shared" si="13"/>
        <v>0</v>
      </c>
      <c r="Y60" s="275">
        <f t="shared" si="14"/>
        <v>273.16000000000003</v>
      </c>
      <c r="Z60" s="276">
        <f t="shared" si="15"/>
        <v>0</v>
      </c>
      <c r="AA60" s="277" t="e">
        <f t="shared" si="16"/>
        <v>#VALUE!</v>
      </c>
      <c r="AB60" s="277" t="e">
        <f t="shared" si="17"/>
        <v>#VALUE!</v>
      </c>
      <c r="AD60" s="278" t="e">
        <f t="shared" si="18"/>
        <v>#VALUE!</v>
      </c>
      <c r="AE60" s="265">
        <f t="shared" si="19"/>
        <v>2.4539999999999999E-2</v>
      </c>
      <c r="AF60" s="253">
        <f t="shared" si="20"/>
        <v>1.7099999999999999E-5</v>
      </c>
    </row>
    <row r="61" spans="2:32">
      <c r="B61" s="279">
        <v>20</v>
      </c>
      <c r="C61" s="1127"/>
      <c r="D61" s="1127"/>
      <c r="E61" s="1129"/>
      <c r="F61" s="273" t="str">
        <f t="shared" si="10"/>
        <v/>
      </c>
      <c r="G61" s="1127"/>
      <c r="H61" s="1131"/>
      <c r="I61" s="1131"/>
      <c r="J61" s="273" t="str">
        <f t="shared" si="11"/>
        <v/>
      </c>
      <c r="K61" s="274" t="str">
        <f t="shared" si="12"/>
        <v/>
      </c>
      <c r="L61" s="272"/>
      <c r="X61" s="275">
        <f t="shared" si="13"/>
        <v>0</v>
      </c>
      <c r="Y61" s="275">
        <f t="shared" si="14"/>
        <v>273.16000000000003</v>
      </c>
      <c r="Z61" s="276">
        <f t="shared" si="15"/>
        <v>0</v>
      </c>
      <c r="AA61" s="277" t="e">
        <f t="shared" si="16"/>
        <v>#VALUE!</v>
      </c>
      <c r="AB61" s="277" t="e">
        <f t="shared" si="17"/>
        <v>#VALUE!</v>
      </c>
      <c r="AD61" s="278" t="e">
        <f t="shared" si="18"/>
        <v>#VALUE!</v>
      </c>
      <c r="AE61" s="265">
        <f t="shared" si="19"/>
        <v>2.4539999999999999E-2</v>
      </c>
      <c r="AF61" s="253">
        <f t="shared" si="20"/>
        <v>1.7099999999999999E-5</v>
      </c>
    </row>
    <row r="62" spans="2:32">
      <c r="B62" s="279">
        <v>21</v>
      </c>
      <c r="C62" s="1127"/>
      <c r="D62" s="1127"/>
      <c r="E62" s="1129"/>
      <c r="F62" s="273" t="str">
        <f t="shared" si="10"/>
        <v/>
      </c>
      <c r="G62" s="1127"/>
      <c r="H62" s="1131"/>
      <c r="I62" s="1131"/>
      <c r="J62" s="273" t="str">
        <f t="shared" si="11"/>
        <v/>
      </c>
      <c r="K62" s="274" t="str">
        <f t="shared" si="12"/>
        <v/>
      </c>
      <c r="L62" s="272"/>
      <c r="X62" s="275">
        <f t="shared" si="13"/>
        <v>0</v>
      </c>
      <c r="Y62" s="275">
        <f t="shared" si="14"/>
        <v>273.16000000000003</v>
      </c>
      <c r="Z62" s="276">
        <f t="shared" si="15"/>
        <v>0</v>
      </c>
      <c r="AA62" s="277" t="e">
        <f t="shared" si="16"/>
        <v>#VALUE!</v>
      </c>
      <c r="AB62" s="277" t="e">
        <f t="shared" si="17"/>
        <v>#VALUE!</v>
      </c>
      <c r="AD62" s="278" t="e">
        <f t="shared" si="18"/>
        <v>#VALUE!</v>
      </c>
      <c r="AE62" s="265">
        <f t="shared" si="19"/>
        <v>2.4539999999999999E-2</v>
      </c>
      <c r="AF62" s="253">
        <f t="shared" si="20"/>
        <v>1.7099999999999999E-5</v>
      </c>
    </row>
    <row r="63" spans="2:32">
      <c r="B63" s="279">
        <v>22</v>
      </c>
      <c r="C63" s="1127"/>
      <c r="D63" s="1127"/>
      <c r="E63" s="1129"/>
      <c r="F63" s="273" t="str">
        <f t="shared" si="10"/>
        <v/>
      </c>
      <c r="G63" s="1127"/>
      <c r="H63" s="1131"/>
      <c r="I63" s="1131"/>
      <c r="J63" s="273" t="str">
        <f t="shared" si="11"/>
        <v/>
      </c>
      <c r="K63" s="274" t="str">
        <f t="shared" si="12"/>
        <v/>
      </c>
      <c r="L63" s="272"/>
      <c r="X63" s="275">
        <f t="shared" si="13"/>
        <v>0</v>
      </c>
      <c r="Y63" s="275">
        <f t="shared" si="14"/>
        <v>273.16000000000003</v>
      </c>
      <c r="Z63" s="276">
        <f t="shared" si="15"/>
        <v>0</v>
      </c>
      <c r="AA63" s="277" t="e">
        <f t="shared" si="16"/>
        <v>#VALUE!</v>
      </c>
      <c r="AB63" s="277" t="e">
        <f t="shared" si="17"/>
        <v>#VALUE!</v>
      </c>
      <c r="AD63" s="278" t="e">
        <f t="shared" si="18"/>
        <v>#VALUE!</v>
      </c>
      <c r="AE63" s="265">
        <f t="shared" si="19"/>
        <v>2.4539999999999999E-2</v>
      </c>
      <c r="AF63" s="253">
        <f t="shared" si="20"/>
        <v>1.7099999999999999E-5</v>
      </c>
    </row>
    <row r="64" spans="2:32">
      <c r="B64" s="279">
        <v>23</v>
      </c>
      <c r="C64" s="1127"/>
      <c r="D64" s="1127"/>
      <c r="E64" s="1129"/>
      <c r="F64" s="273" t="str">
        <f t="shared" si="10"/>
        <v/>
      </c>
      <c r="G64" s="1127"/>
      <c r="H64" s="1131"/>
      <c r="I64" s="1131"/>
      <c r="J64" s="273" t="str">
        <f t="shared" si="11"/>
        <v/>
      </c>
      <c r="K64" s="274" t="str">
        <f t="shared" si="12"/>
        <v/>
      </c>
      <c r="L64" s="272"/>
      <c r="X64" s="275">
        <f t="shared" si="13"/>
        <v>0</v>
      </c>
      <c r="Y64" s="275">
        <f t="shared" si="14"/>
        <v>273.16000000000003</v>
      </c>
      <c r="Z64" s="276">
        <f t="shared" si="15"/>
        <v>0</v>
      </c>
      <c r="AA64" s="277" t="e">
        <f t="shared" si="16"/>
        <v>#VALUE!</v>
      </c>
      <c r="AB64" s="277" t="e">
        <f t="shared" si="17"/>
        <v>#VALUE!</v>
      </c>
      <c r="AD64" s="278" t="e">
        <f t="shared" si="18"/>
        <v>#VALUE!</v>
      </c>
      <c r="AE64" s="265">
        <f t="shared" si="19"/>
        <v>2.4539999999999999E-2</v>
      </c>
      <c r="AF64" s="253">
        <f t="shared" si="20"/>
        <v>1.7099999999999999E-5</v>
      </c>
    </row>
    <row r="65" spans="2:32">
      <c r="B65" s="279">
        <v>24</v>
      </c>
      <c r="C65" s="1127"/>
      <c r="D65" s="1127"/>
      <c r="E65" s="1129"/>
      <c r="F65" s="273" t="str">
        <f t="shared" si="10"/>
        <v/>
      </c>
      <c r="G65" s="1127"/>
      <c r="H65" s="1131"/>
      <c r="I65" s="1131"/>
      <c r="J65" s="273" t="str">
        <f t="shared" si="11"/>
        <v/>
      </c>
      <c r="K65" s="274" t="str">
        <f t="shared" si="12"/>
        <v/>
      </c>
      <c r="L65" s="272"/>
      <c r="X65" s="275">
        <f t="shared" si="13"/>
        <v>0</v>
      </c>
      <c r="Y65" s="275">
        <f t="shared" si="14"/>
        <v>273.16000000000003</v>
      </c>
      <c r="Z65" s="276">
        <f t="shared" si="15"/>
        <v>0</v>
      </c>
      <c r="AA65" s="277" t="e">
        <f t="shared" si="16"/>
        <v>#VALUE!</v>
      </c>
      <c r="AB65" s="277" t="e">
        <f t="shared" si="17"/>
        <v>#VALUE!</v>
      </c>
      <c r="AD65" s="278" t="e">
        <f t="shared" si="18"/>
        <v>#VALUE!</v>
      </c>
      <c r="AE65" s="265">
        <f t="shared" si="19"/>
        <v>2.4539999999999999E-2</v>
      </c>
      <c r="AF65" s="253">
        <f t="shared" si="20"/>
        <v>1.7099999999999999E-5</v>
      </c>
    </row>
    <row r="66" spans="2:32">
      <c r="B66" s="279">
        <v>25</v>
      </c>
      <c r="C66" s="1127"/>
      <c r="D66" s="1127"/>
      <c r="E66" s="1129"/>
      <c r="F66" s="273" t="str">
        <f t="shared" si="10"/>
        <v/>
      </c>
      <c r="G66" s="1127"/>
      <c r="H66" s="1131"/>
      <c r="I66" s="1131"/>
      <c r="J66" s="273" t="str">
        <f t="shared" si="11"/>
        <v/>
      </c>
      <c r="K66" s="274" t="str">
        <f t="shared" si="12"/>
        <v/>
      </c>
      <c r="L66" s="272"/>
      <c r="X66" s="275">
        <f t="shared" si="13"/>
        <v>0</v>
      </c>
      <c r="Y66" s="275">
        <f t="shared" si="14"/>
        <v>273.16000000000003</v>
      </c>
      <c r="Z66" s="276">
        <f t="shared" si="15"/>
        <v>0</v>
      </c>
      <c r="AA66" s="277" t="e">
        <f t="shared" si="16"/>
        <v>#VALUE!</v>
      </c>
      <c r="AB66" s="277" t="e">
        <f t="shared" si="17"/>
        <v>#VALUE!</v>
      </c>
      <c r="AD66" s="278" t="e">
        <f t="shared" si="18"/>
        <v>#VALUE!</v>
      </c>
      <c r="AE66" s="265">
        <f t="shared" si="19"/>
        <v>2.4539999999999999E-2</v>
      </c>
      <c r="AF66" s="253">
        <f t="shared" si="20"/>
        <v>1.7099999999999999E-5</v>
      </c>
    </row>
    <row r="67" spans="2:32">
      <c r="B67" s="279">
        <v>26</v>
      </c>
      <c r="C67" s="1127"/>
      <c r="D67" s="1127"/>
      <c r="E67" s="1129"/>
      <c r="F67" s="273" t="str">
        <f t="shared" si="10"/>
        <v/>
      </c>
      <c r="G67" s="1127"/>
      <c r="H67" s="1131"/>
      <c r="I67" s="1131"/>
      <c r="J67" s="273" t="str">
        <f t="shared" si="11"/>
        <v/>
      </c>
      <c r="K67" s="274" t="str">
        <f t="shared" si="12"/>
        <v/>
      </c>
      <c r="L67" s="272"/>
      <c r="X67" s="275">
        <f t="shared" si="13"/>
        <v>0</v>
      </c>
      <c r="Y67" s="275">
        <f t="shared" si="14"/>
        <v>273.16000000000003</v>
      </c>
      <c r="Z67" s="276">
        <f t="shared" si="15"/>
        <v>0</v>
      </c>
      <c r="AA67" s="277" t="e">
        <f t="shared" si="16"/>
        <v>#VALUE!</v>
      </c>
      <c r="AB67" s="277" t="e">
        <f t="shared" si="17"/>
        <v>#VALUE!</v>
      </c>
      <c r="AD67" s="278" t="e">
        <f t="shared" si="18"/>
        <v>#VALUE!</v>
      </c>
      <c r="AE67" s="265">
        <f t="shared" si="19"/>
        <v>2.4539999999999999E-2</v>
      </c>
      <c r="AF67" s="253">
        <f t="shared" si="20"/>
        <v>1.7099999999999999E-5</v>
      </c>
    </row>
    <row r="68" spans="2:32">
      <c r="B68" s="279">
        <v>27</v>
      </c>
      <c r="C68" s="1127"/>
      <c r="D68" s="1127"/>
      <c r="E68" s="1129"/>
      <c r="F68" s="273" t="str">
        <f t="shared" si="10"/>
        <v/>
      </c>
      <c r="G68" s="1127"/>
      <c r="H68" s="1131"/>
      <c r="I68" s="1131"/>
      <c r="J68" s="273" t="str">
        <f t="shared" si="11"/>
        <v/>
      </c>
      <c r="K68" s="274" t="str">
        <f t="shared" si="12"/>
        <v/>
      </c>
      <c r="L68" s="272"/>
      <c r="X68" s="275">
        <f t="shared" si="13"/>
        <v>0</v>
      </c>
      <c r="Y68" s="275">
        <f t="shared" si="14"/>
        <v>273.16000000000003</v>
      </c>
      <c r="Z68" s="276">
        <f t="shared" si="15"/>
        <v>0</v>
      </c>
      <c r="AA68" s="277" t="e">
        <f t="shared" si="16"/>
        <v>#VALUE!</v>
      </c>
      <c r="AB68" s="277" t="e">
        <f t="shared" si="17"/>
        <v>#VALUE!</v>
      </c>
      <c r="AD68" s="278" t="e">
        <f t="shared" si="18"/>
        <v>#VALUE!</v>
      </c>
      <c r="AE68" s="265">
        <f t="shared" si="19"/>
        <v>2.4539999999999999E-2</v>
      </c>
      <c r="AF68" s="253">
        <f t="shared" si="20"/>
        <v>1.7099999999999999E-5</v>
      </c>
    </row>
    <row r="69" spans="2:32">
      <c r="B69" s="279">
        <v>28</v>
      </c>
      <c r="C69" s="1127"/>
      <c r="D69" s="1127"/>
      <c r="E69" s="1129"/>
      <c r="F69" s="273" t="str">
        <f t="shared" si="10"/>
        <v/>
      </c>
      <c r="G69" s="1127"/>
      <c r="H69" s="1131"/>
      <c r="I69" s="1131"/>
      <c r="J69" s="273" t="str">
        <f t="shared" si="11"/>
        <v/>
      </c>
      <c r="K69" s="274" t="str">
        <f t="shared" si="12"/>
        <v/>
      </c>
      <c r="L69" s="272"/>
      <c r="X69" s="275">
        <f t="shared" si="13"/>
        <v>0</v>
      </c>
      <c r="Y69" s="275">
        <f t="shared" si="14"/>
        <v>273.16000000000003</v>
      </c>
      <c r="Z69" s="276">
        <f t="shared" si="15"/>
        <v>0</v>
      </c>
      <c r="AA69" s="277" t="e">
        <f t="shared" si="16"/>
        <v>#VALUE!</v>
      </c>
      <c r="AB69" s="277" t="e">
        <f t="shared" si="17"/>
        <v>#VALUE!</v>
      </c>
      <c r="AD69" s="278" t="e">
        <f t="shared" si="18"/>
        <v>#VALUE!</v>
      </c>
      <c r="AE69" s="265">
        <f t="shared" si="19"/>
        <v>2.4539999999999999E-2</v>
      </c>
      <c r="AF69" s="253">
        <f t="shared" si="20"/>
        <v>1.7099999999999999E-5</v>
      </c>
    </row>
    <row r="70" spans="2:32">
      <c r="B70" s="279">
        <v>29</v>
      </c>
      <c r="C70" s="1127"/>
      <c r="D70" s="1127"/>
      <c r="E70" s="1129"/>
      <c r="F70" s="273" t="str">
        <f t="shared" si="10"/>
        <v/>
      </c>
      <c r="G70" s="1127"/>
      <c r="H70" s="1131"/>
      <c r="I70" s="1131"/>
      <c r="J70" s="273" t="str">
        <f t="shared" si="11"/>
        <v/>
      </c>
      <c r="K70" s="274" t="str">
        <f t="shared" si="12"/>
        <v/>
      </c>
      <c r="L70" s="272"/>
      <c r="X70" s="275">
        <f t="shared" si="13"/>
        <v>0</v>
      </c>
      <c r="Y70" s="275">
        <f t="shared" si="14"/>
        <v>273.16000000000003</v>
      </c>
      <c r="Z70" s="276">
        <f t="shared" si="15"/>
        <v>0</v>
      </c>
      <c r="AA70" s="277" t="e">
        <f t="shared" si="16"/>
        <v>#VALUE!</v>
      </c>
      <c r="AB70" s="277" t="e">
        <f t="shared" si="17"/>
        <v>#VALUE!</v>
      </c>
      <c r="AD70" s="278" t="e">
        <f t="shared" si="18"/>
        <v>#VALUE!</v>
      </c>
      <c r="AE70" s="265">
        <f t="shared" si="19"/>
        <v>2.4539999999999999E-2</v>
      </c>
      <c r="AF70" s="253">
        <f t="shared" si="20"/>
        <v>1.7099999999999999E-5</v>
      </c>
    </row>
    <row r="71" spans="2:32">
      <c r="B71" s="281"/>
      <c r="C71" s="625"/>
      <c r="D71" s="282"/>
      <c r="E71" s="623"/>
      <c r="F71" s="283"/>
      <c r="G71" s="625"/>
      <c r="H71" s="624"/>
      <c r="I71" s="624"/>
      <c r="J71" s="284"/>
      <c r="K71" s="285"/>
      <c r="L71" s="282"/>
      <c r="X71" s="275"/>
      <c r="Y71" s="275"/>
      <c r="Z71" s="276"/>
      <c r="AA71" s="277"/>
      <c r="AB71" s="277"/>
      <c r="AD71" s="278"/>
      <c r="AE71" s="265"/>
    </row>
    <row r="72" spans="2:32" ht="12.75" customHeight="1">
      <c r="B72" s="286"/>
      <c r="C72" s="287"/>
      <c r="D72" s="254"/>
      <c r="E72" s="288"/>
      <c r="F72" s="288"/>
      <c r="G72" s="288"/>
      <c r="H72" s="254"/>
      <c r="I72" s="254"/>
      <c r="J72" s="288"/>
      <c r="L72" s="289"/>
      <c r="X72" s="275"/>
      <c r="Y72" s="275"/>
      <c r="Z72" s="276"/>
      <c r="AA72" s="277"/>
      <c r="AB72" s="277"/>
      <c r="AD72" s="278"/>
      <c r="AE72" s="265"/>
    </row>
    <row r="73" spans="2:32" ht="12.75" customHeight="1">
      <c r="C73" s="287"/>
      <c r="D73" s="254"/>
      <c r="E73" s="287"/>
      <c r="F73" s="287"/>
      <c r="G73" s="287"/>
      <c r="H73" s="254"/>
      <c r="I73" s="254"/>
      <c r="J73" s="287"/>
      <c r="X73" s="275"/>
      <c r="Y73" s="275"/>
      <c r="Z73" s="276"/>
      <c r="AA73" s="277"/>
      <c r="AB73" s="277"/>
      <c r="AD73" s="278"/>
      <c r="AE73" s="265"/>
    </row>
    <row r="74" spans="2:32" ht="12.75" customHeight="1">
      <c r="B74" s="290"/>
      <c r="C74" s="287"/>
      <c r="D74" s="350"/>
      <c r="E74" s="481"/>
      <c r="G74" s="291"/>
      <c r="H74" s="292"/>
      <c r="I74" s="254"/>
      <c r="J74" s="287"/>
      <c r="X74" s="275"/>
      <c r="Y74" s="275"/>
      <c r="Z74" s="276"/>
      <c r="AA74" s="277"/>
      <c r="AB74" s="277"/>
      <c r="AD74" s="278"/>
      <c r="AE74" s="265"/>
    </row>
    <row r="75" spans="2:32" ht="12.75" customHeight="1">
      <c r="B75" s="290"/>
      <c r="C75" s="349"/>
      <c r="D75" s="591"/>
      <c r="E75" s="287"/>
      <c r="F75" s="481"/>
      <c r="G75" s="293"/>
      <c r="H75" s="292"/>
      <c r="I75" s="254"/>
      <c r="J75" s="294"/>
      <c r="K75" s="262"/>
      <c r="L75" s="262"/>
      <c r="X75" s="275"/>
      <c r="Y75" s="275"/>
      <c r="Z75" s="276"/>
      <c r="AA75" s="277"/>
      <c r="AB75" s="277"/>
      <c r="AD75" s="278"/>
      <c r="AE75" s="265"/>
    </row>
    <row r="76" spans="2:32" ht="12.75" customHeight="1">
      <c r="X76" s="275"/>
      <c r="Y76" s="275"/>
      <c r="Z76" s="276"/>
      <c r="AA76" s="277"/>
      <c r="AB76" s="277"/>
      <c r="AD76" s="278"/>
      <c r="AE76" s="265"/>
    </row>
    <row r="77" spans="2:32" ht="12.75" customHeight="1">
      <c r="F77"/>
      <c r="X77" s="275"/>
      <c r="Y77" s="275"/>
      <c r="Z77" s="276"/>
      <c r="AA77" s="277"/>
      <c r="AB77" s="277"/>
      <c r="AD77" s="278"/>
      <c r="AE77" s="265"/>
    </row>
    <row r="78" spans="2:32" ht="12.75" customHeight="1">
      <c r="X78" s="275"/>
      <c r="Y78" s="275"/>
      <c r="Z78" s="276"/>
      <c r="AA78" s="277"/>
      <c r="AB78" s="277"/>
      <c r="AD78" s="278"/>
      <c r="AE78" s="265"/>
    </row>
    <row r="79" spans="2:32" ht="12.75" customHeight="1">
      <c r="X79" s="275"/>
      <c r="Y79" s="275"/>
      <c r="Z79" s="276"/>
      <c r="AA79" s="277"/>
      <c r="AB79" s="277"/>
      <c r="AD79" s="278"/>
      <c r="AE79" s="265"/>
    </row>
    <row r="80" spans="2:32" ht="12.75" customHeight="1">
      <c r="X80" s="275"/>
      <c r="Y80" s="275"/>
      <c r="Z80" s="276"/>
      <c r="AA80" s="277"/>
      <c r="AB80" s="277"/>
      <c r="AD80" s="278"/>
      <c r="AE80" s="265"/>
    </row>
    <row r="81" spans="24:31" ht="12.75" customHeight="1">
      <c r="X81" s="275"/>
      <c r="Y81" s="275"/>
      <c r="Z81" s="276"/>
      <c r="AA81" s="277"/>
      <c r="AB81" s="277"/>
      <c r="AD81" s="278"/>
      <c r="AE81" s="265"/>
    </row>
    <row r="82" spans="24:31" ht="12.75" customHeight="1">
      <c r="X82" s="275"/>
      <c r="Y82" s="275"/>
      <c r="Z82" s="276"/>
      <c r="AA82" s="277"/>
      <c r="AB82" s="277"/>
      <c r="AD82" s="278"/>
      <c r="AE82" s="265"/>
    </row>
    <row r="83" spans="24:31" ht="12.75" customHeight="1">
      <c r="X83" s="275"/>
      <c r="Y83" s="275"/>
      <c r="Z83" s="276"/>
      <c r="AA83" s="277"/>
      <c r="AB83" s="277"/>
      <c r="AD83" s="278"/>
      <c r="AE83" s="265"/>
    </row>
    <row r="84" spans="24:31" ht="12.75" customHeight="1">
      <c r="X84" s="275"/>
      <c r="Y84" s="275"/>
      <c r="Z84" s="276"/>
      <c r="AA84" s="277"/>
      <c r="AB84" s="277"/>
      <c r="AD84" s="278"/>
      <c r="AE84" s="265"/>
    </row>
    <row r="85" spans="24:31" ht="12.75" customHeight="1">
      <c r="X85" s="275"/>
      <c r="Y85" s="275"/>
      <c r="Z85" s="276"/>
      <c r="AA85" s="277"/>
      <c r="AB85" s="277"/>
      <c r="AD85" s="278"/>
      <c r="AE85" s="265"/>
    </row>
    <row r="86" spans="24:31" ht="12.75" customHeight="1">
      <c r="X86" s="275"/>
      <c r="Y86" s="275"/>
      <c r="Z86" s="276"/>
      <c r="AA86" s="277"/>
      <c r="AB86" s="277"/>
      <c r="AD86" s="278"/>
      <c r="AE86" s="265"/>
    </row>
    <row r="87" spans="24:31" ht="12.75" customHeight="1">
      <c r="X87" s="275"/>
      <c r="Y87" s="275"/>
      <c r="Z87" s="276"/>
      <c r="AA87" s="277"/>
      <c r="AB87" s="277"/>
      <c r="AD87" s="278"/>
      <c r="AE87" s="265"/>
    </row>
    <row r="88" spans="24:31" ht="12.75" customHeight="1">
      <c r="X88" s="275"/>
      <c r="Y88" s="275"/>
      <c r="Z88" s="276"/>
      <c r="AA88" s="277"/>
      <c r="AB88" s="277"/>
      <c r="AD88" s="278"/>
      <c r="AE88" s="265"/>
    </row>
    <row r="89" spans="24:31" ht="12.75" customHeight="1">
      <c r="X89" s="275"/>
      <c r="Y89" s="275"/>
      <c r="Z89" s="276"/>
      <c r="AA89" s="277"/>
      <c r="AB89" s="277"/>
      <c r="AD89" s="278"/>
      <c r="AE89" s="265"/>
    </row>
    <row r="90" spans="24:31" ht="12.75" customHeight="1">
      <c r="X90" s="275"/>
      <c r="Y90" s="275"/>
      <c r="Z90" s="276"/>
      <c r="AA90" s="277"/>
      <c r="AB90" s="277"/>
      <c r="AD90" s="278"/>
      <c r="AE90" s="265"/>
    </row>
    <row r="91" spans="24:31" ht="12.75" customHeight="1">
      <c r="X91" s="275"/>
      <c r="Y91" s="275"/>
      <c r="Z91" s="276"/>
      <c r="AA91" s="277"/>
      <c r="AB91" s="277"/>
      <c r="AD91" s="278"/>
      <c r="AE91" s="265"/>
    </row>
    <row r="92" spans="24:31" ht="12.75" customHeight="1">
      <c r="X92" s="275"/>
      <c r="Y92" s="275"/>
      <c r="Z92" s="276"/>
      <c r="AA92" s="277"/>
      <c r="AB92" s="277"/>
      <c r="AD92" s="278"/>
      <c r="AE92" s="265"/>
    </row>
    <row r="93" spans="24:31" ht="12.75" customHeight="1">
      <c r="X93" s="275"/>
      <c r="Y93" s="275"/>
      <c r="Z93" s="276"/>
      <c r="AA93" s="277"/>
      <c r="AB93" s="277"/>
      <c r="AD93" s="278"/>
      <c r="AE93" s="265"/>
    </row>
    <row r="94" spans="24:31" ht="12.75" customHeight="1">
      <c r="X94" s="275"/>
      <c r="Y94" s="275"/>
      <c r="Z94" s="276"/>
      <c r="AA94" s="277"/>
      <c r="AB94" s="277"/>
      <c r="AD94" s="278"/>
      <c r="AE94" s="265"/>
    </row>
    <row r="95" spans="24:31" ht="12.75" customHeight="1">
      <c r="X95" s="275"/>
      <c r="Y95" s="275"/>
      <c r="Z95" s="276"/>
      <c r="AA95" s="277"/>
      <c r="AB95" s="277"/>
      <c r="AD95" s="278"/>
      <c r="AE95" s="265"/>
    </row>
    <row r="96" spans="24:31" ht="12.75" customHeight="1">
      <c r="X96" s="275"/>
      <c r="Y96" s="275"/>
      <c r="Z96" s="276"/>
      <c r="AA96" s="277"/>
      <c r="AB96" s="277"/>
      <c r="AD96" s="278"/>
      <c r="AE96" s="265"/>
    </row>
    <row r="97" spans="24:31" ht="12.75" customHeight="1">
      <c r="X97" s="275"/>
      <c r="Y97" s="275"/>
      <c r="Z97" s="276"/>
      <c r="AA97" s="277"/>
      <c r="AB97" s="277"/>
      <c r="AD97" s="278"/>
      <c r="AE97" s="265"/>
    </row>
    <row r="98" spans="24:31" ht="12.75" customHeight="1">
      <c r="X98" s="275"/>
      <c r="Y98" s="275"/>
      <c r="Z98" s="276"/>
      <c r="AA98" s="277"/>
      <c r="AB98" s="277"/>
      <c r="AD98" s="278"/>
      <c r="AE98" s="265"/>
    </row>
    <row r="99" spans="24:31" ht="12.75" customHeight="1">
      <c r="X99" s="275"/>
      <c r="Y99" s="275"/>
      <c r="Z99" s="276"/>
      <c r="AA99" s="277"/>
      <c r="AB99" s="277"/>
      <c r="AD99" s="278"/>
      <c r="AE99" s="265"/>
    </row>
    <row r="100" spans="24:31" ht="12.75" customHeight="1">
      <c r="X100" s="275"/>
      <c r="Y100" s="275"/>
      <c r="Z100" s="276"/>
      <c r="AA100" s="277"/>
      <c r="AB100" s="277"/>
      <c r="AD100" s="278"/>
      <c r="AE100" s="265"/>
    </row>
    <row r="101" spans="24:31" ht="12.75" customHeight="1">
      <c r="X101" s="275"/>
      <c r="Y101" s="275"/>
      <c r="Z101" s="276"/>
      <c r="AA101" s="277"/>
      <c r="AB101" s="277"/>
      <c r="AD101" s="278"/>
      <c r="AE101" s="265"/>
    </row>
    <row r="102" spans="24:31" ht="12.75" customHeight="1">
      <c r="X102" s="275"/>
      <c r="Y102" s="275"/>
      <c r="Z102" s="276"/>
      <c r="AA102" s="277"/>
      <c r="AB102" s="277"/>
      <c r="AD102" s="278"/>
      <c r="AE102" s="265"/>
    </row>
    <row r="103" spans="24:31" ht="12.75" customHeight="1">
      <c r="X103" s="275"/>
      <c r="Y103" s="275"/>
      <c r="Z103" s="276"/>
      <c r="AA103" s="277"/>
      <c r="AB103" s="277"/>
      <c r="AD103" s="278"/>
      <c r="AE103" s="265"/>
    </row>
    <row r="104" spans="24:31" ht="12.75" customHeight="1">
      <c r="X104" s="275"/>
      <c r="Y104" s="275"/>
      <c r="Z104" s="276"/>
      <c r="AA104" s="277"/>
      <c r="AB104" s="277"/>
      <c r="AD104" s="278"/>
      <c r="AE104" s="265"/>
    </row>
    <row r="105" spans="24:31" ht="12.75" customHeight="1">
      <c r="X105" s="275"/>
      <c r="Y105" s="275"/>
      <c r="Z105" s="276"/>
      <c r="AA105" s="277"/>
      <c r="AB105" s="277"/>
      <c r="AD105" s="278"/>
      <c r="AE105" s="265"/>
    </row>
    <row r="106" spans="24:31" ht="12.75" customHeight="1">
      <c r="X106" s="275"/>
      <c r="Y106" s="275"/>
      <c r="Z106" s="276"/>
      <c r="AA106" s="277"/>
      <c r="AB106" s="277"/>
      <c r="AD106" s="278"/>
      <c r="AE106" s="265"/>
    </row>
    <row r="107" spans="24:31" ht="12.75" customHeight="1">
      <c r="X107" s="275"/>
      <c r="Y107" s="275"/>
      <c r="Z107" s="276"/>
      <c r="AA107" s="277"/>
      <c r="AB107" s="277"/>
      <c r="AD107" s="278"/>
      <c r="AE107" s="265"/>
    </row>
    <row r="108" spans="24:31" ht="12.75" customHeight="1">
      <c r="X108" s="275"/>
      <c r="Y108" s="275"/>
      <c r="Z108" s="276"/>
      <c r="AA108" s="277"/>
      <c r="AB108" s="277"/>
      <c r="AD108" s="278"/>
      <c r="AE108" s="265"/>
    </row>
    <row r="109" spans="24:31" ht="12.75" customHeight="1">
      <c r="X109" s="275"/>
      <c r="Y109" s="275"/>
      <c r="Z109" s="276"/>
      <c r="AA109" s="277"/>
      <c r="AB109" s="277"/>
      <c r="AD109" s="278"/>
      <c r="AE109" s="265"/>
    </row>
    <row r="110" spans="24:31" ht="12.75" customHeight="1">
      <c r="X110" s="275"/>
      <c r="Y110" s="275"/>
      <c r="Z110" s="276"/>
      <c r="AA110" s="277"/>
      <c r="AB110" s="277"/>
      <c r="AD110" s="278"/>
      <c r="AE110" s="265"/>
    </row>
    <row r="111" spans="24:31" ht="12.75" customHeight="1">
      <c r="X111" s="275"/>
      <c r="Y111" s="275"/>
      <c r="Z111" s="276"/>
      <c r="AA111" s="277"/>
      <c r="AB111" s="277"/>
      <c r="AD111" s="278"/>
      <c r="AE111" s="265"/>
    </row>
    <row r="112" spans="24:31" ht="12.75" customHeight="1">
      <c r="X112" s="275"/>
      <c r="Y112" s="275"/>
      <c r="Z112" s="276"/>
      <c r="AA112" s="277"/>
      <c r="AB112" s="277"/>
      <c r="AD112" s="278"/>
      <c r="AE112" s="265"/>
    </row>
    <row r="113" spans="24:31" ht="12.75" customHeight="1">
      <c r="X113" s="275"/>
      <c r="Y113" s="275"/>
      <c r="Z113" s="276"/>
      <c r="AA113" s="277"/>
      <c r="AB113" s="277"/>
      <c r="AD113" s="278"/>
      <c r="AE113" s="265"/>
    </row>
    <row r="114" spans="24:31" ht="12.75" customHeight="1">
      <c r="X114" s="275"/>
      <c r="Y114" s="275"/>
      <c r="Z114" s="276"/>
      <c r="AA114" s="277"/>
      <c r="AB114" s="277"/>
      <c r="AD114" s="278"/>
      <c r="AE114" s="265"/>
    </row>
    <row r="115" spans="24:31" ht="12.75" customHeight="1">
      <c r="X115" s="275"/>
      <c r="Y115" s="275"/>
      <c r="Z115" s="276"/>
      <c r="AA115" s="277"/>
      <c r="AB115" s="277"/>
      <c r="AD115" s="278"/>
      <c r="AE115" s="265"/>
    </row>
    <row r="116" spans="24:31" ht="12.75" customHeight="1">
      <c r="X116" s="275"/>
      <c r="Y116" s="275"/>
      <c r="Z116" s="276"/>
      <c r="AA116" s="277"/>
      <c r="AB116" s="277"/>
      <c r="AD116" s="278"/>
      <c r="AE116" s="265"/>
    </row>
    <row r="117" spans="24:31" ht="12.75" customHeight="1">
      <c r="X117" s="275"/>
      <c r="Y117" s="275"/>
      <c r="Z117" s="276"/>
      <c r="AA117" s="277"/>
      <c r="AB117" s="277"/>
      <c r="AD117" s="278"/>
      <c r="AE117" s="265"/>
    </row>
    <row r="118" spans="24:31" ht="12.75" customHeight="1">
      <c r="X118" s="275"/>
      <c r="Y118" s="275"/>
      <c r="Z118" s="276"/>
      <c r="AA118" s="277"/>
      <c r="AB118" s="277"/>
      <c r="AD118" s="278"/>
      <c r="AE118" s="265"/>
    </row>
    <row r="119" spans="24:31" ht="12.75" customHeight="1">
      <c r="X119" s="275"/>
      <c r="Y119" s="275"/>
      <c r="Z119" s="276"/>
      <c r="AA119" s="277"/>
      <c r="AB119" s="277"/>
      <c r="AD119" s="278"/>
      <c r="AE119" s="265"/>
    </row>
    <row r="120" spans="24:31" ht="12.75" customHeight="1">
      <c r="X120" s="275"/>
      <c r="Y120" s="275"/>
      <c r="Z120" s="276"/>
      <c r="AA120" s="277"/>
      <c r="AB120" s="277"/>
      <c r="AD120" s="278"/>
      <c r="AE120" s="265"/>
    </row>
    <row r="121" spans="24:31" ht="12.75" customHeight="1">
      <c r="X121" s="275"/>
      <c r="Y121" s="275"/>
      <c r="Z121" s="276"/>
      <c r="AA121" s="277"/>
      <c r="AB121" s="277"/>
      <c r="AD121" s="278"/>
      <c r="AE121" s="265"/>
    </row>
    <row r="122" spans="24:31" ht="12.75" customHeight="1">
      <c r="X122" s="275"/>
      <c r="Y122" s="275"/>
      <c r="Z122" s="276"/>
      <c r="AA122" s="277"/>
      <c r="AB122" s="277"/>
      <c r="AD122" s="278"/>
      <c r="AE122" s="265"/>
    </row>
    <row r="123" spans="24:31" ht="12.75" customHeight="1">
      <c r="X123" s="275"/>
      <c r="Y123" s="275"/>
      <c r="Z123" s="276"/>
      <c r="AA123" s="277"/>
      <c r="AB123" s="277"/>
      <c r="AD123" s="278"/>
      <c r="AE123" s="265"/>
    </row>
    <row r="124" spans="24:31" ht="12.75" customHeight="1">
      <c r="X124" s="275"/>
      <c r="Y124" s="275"/>
      <c r="Z124" s="276"/>
      <c r="AA124" s="277"/>
      <c r="AB124" s="277"/>
      <c r="AD124" s="278"/>
      <c r="AE124" s="265"/>
    </row>
    <row r="125" spans="24:31" ht="12.75" customHeight="1">
      <c r="X125" s="275"/>
      <c r="Y125" s="275"/>
      <c r="Z125" s="276"/>
      <c r="AA125" s="277"/>
      <c r="AB125" s="277"/>
      <c r="AD125" s="278"/>
      <c r="AE125" s="265"/>
    </row>
    <row r="126" spans="24:31" ht="12.75" customHeight="1">
      <c r="X126" s="275"/>
      <c r="Y126" s="275"/>
      <c r="Z126" s="276"/>
      <c r="AA126" s="277"/>
      <c r="AB126" s="277"/>
      <c r="AD126" s="278"/>
      <c r="AE126" s="265"/>
    </row>
    <row r="127" spans="24:31" ht="12.75" customHeight="1">
      <c r="X127" s="275"/>
      <c r="Y127" s="275"/>
      <c r="Z127" s="276"/>
      <c r="AA127" s="277"/>
      <c r="AB127" s="277"/>
      <c r="AD127" s="278"/>
      <c r="AE127" s="265"/>
    </row>
    <row r="128" spans="24:31" ht="12.75" customHeight="1">
      <c r="X128" s="275"/>
      <c r="Y128" s="275"/>
      <c r="Z128" s="276"/>
      <c r="AA128" s="277"/>
      <c r="AB128" s="277"/>
      <c r="AD128" s="278"/>
      <c r="AE128" s="265"/>
    </row>
    <row r="129" spans="24:31" ht="12.75" customHeight="1">
      <c r="X129" s="275"/>
      <c r="Y129" s="275"/>
      <c r="Z129" s="276"/>
      <c r="AA129" s="277"/>
      <c r="AB129" s="277"/>
      <c r="AD129" s="278"/>
      <c r="AE129" s="265"/>
    </row>
    <row r="130" spans="24:31" ht="12.75" customHeight="1">
      <c r="X130" s="275"/>
      <c r="Y130" s="275"/>
      <c r="Z130" s="276"/>
      <c r="AA130" s="277"/>
      <c r="AB130" s="277"/>
      <c r="AD130" s="278"/>
      <c r="AE130" s="265"/>
    </row>
    <row r="131" spans="24:31" ht="12.75" customHeight="1">
      <c r="X131" s="275"/>
      <c r="Y131" s="275"/>
      <c r="Z131" s="276"/>
      <c r="AA131" s="277"/>
      <c r="AB131" s="277"/>
      <c r="AD131" s="278"/>
      <c r="AE131" s="265"/>
    </row>
    <row r="132" spans="24:31" ht="12.75" customHeight="1">
      <c r="X132" s="275"/>
      <c r="Y132" s="275"/>
      <c r="Z132" s="276"/>
      <c r="AA132" s="277"/>
      <c r="AB132" s="277"/>
      <c r="AD132" s="278"/>
      <c r="AE132" s="265"/>
    </row>
    <row r="133" spans="24:31" ht="12.75" customHeight="1">
      <c r="X133" s="275"/>
      <c r="Y133" s="275"/>
      <c r="Z133" s="276"/>
      <c r="AA133" s="277"/>
      <c r="AB133" s="277"/>
      <c r="AD133" s="278"/>
      <c r="AE133" s="265"/>
    </row>
    <row r="134" spans="24:31" ht="12.75" customHeight="1">
      <c r="X134" s="275"/>
      <c r="Y134" s="275"/>
      <c r="Z134" s="276"/>
      <c r="AA134" s="277"/>
      <c r="AB134" s="277"/>
      <c r="AD134" s="278"/>
      <c r="AE134" s="265"/>
    </row>
    <row r="135" spans="24:31" ht="12.75" customHeight="1">
      <c r="X135" s="275"/>
      <c r="Y135" s="275"/>
      <c r="Z135" s="276"/>
      <c r="AA135" s="277"/>
      <c r="AB135" s="277"/>
      <c r="AD135" s="278"/>
      <c r="AE135" s="265"/>
    </row>
    <row r="136" spans="24:31" ht="12.75" customHeight="1">
      <c r="X136" s="275"/>
      <c r="Y136" s="275"/>
      <c r="Z136" s="276"/>
      <c r="AA136" s="277"/>
      <c r="AB136" s="277"/>
      <c r="AD136" s="278"/>
      <c r="AE136" s="265"/>
    </row>
    <row r="137" spans="24:31" ht="12.75" customHeight="1">
      <c r="X137" s="275"/>
      <c r="Y137" s="275"/>
      <c r="Z137" s="276"/>
      <c r="AA137" s="277"/>
      <c r="AB137" s="277"/>
      <c r="AD137" s="278"/>
      <c r="AE137" s="265"/>
    </row>
    <row r="138" spans="24:31" ht="12.75" customHeight="1">
      <c r="X138" s="275"/>
      <c r="Y138" s="275"/>
      <c r="Z138" s="276"/>
      <c r="AA138" s="277"/>
      <c r="AB138" s="277"/>
      <c r="AD138" s="278"/>
      <c r="AE138" s="265"/>
    </row>
    <row r="139" spans="24:31" ht="12.75" customHeight="1">
      <c r="X139" s="275"/>
      <c r="Y139" s="275"/>
      <c r="Z139" s="276"/>
      <c r="AA139" s="277"/>
      <c r="AB139" s="277"/>
      <c r="AD139" s="278"/>
      <c r="AE139" s="265"/>
    </row>
    <row r="140" spans="24:31" ht="12.75" customHeight="1">
      <c r="X140" s="275"/>
      <c r="Y140" s="275"/>
      <c r="Z140" s="276"/>
      <c r="AA140" s="277"/>
      <c r="AB140" s="277"/>
      <c r="AD140" s="278"/>
      <c r="AE140" s="265"/>
    </row>
    <row r="141" spans="24:31" ht="12.75" customHeight="1">
      <c r="X141" s="275"/>
      <c r="Y141" s="275"/>
      <c r="Z141" s="276"/>
      <c r="AA141" s="277"/>
      <c r="AB141" s="277"/>
      <c r="AD141" s="278"/>
      <c r="AE141" s="265"/>
    </row>
    <row r="142" spans="24:31" ht="12.75" customHeight="1">
      <c r="X142" s="275"/>
      <c r="Y142" s="275"/>
      <c r="Z142" s="276"/>
      <c r="AA142" s="277"/>
      <c r="AB142" s="277"/>
      <c r="AD142" s="278"/>
      <c r="AE142" s="265"/>
    </row>
    <row r="143" spans="24:31" ht="12.75" customHeight="1">
      <c r="X143" s="275"/>
      <c r="Y143" s="275"/>
      <c r="Z143" s="276"/>
      <c r="AA143" s="277"/>
      <c r="AB143" s="277"/>
      <c r="AD143" s="278"/>
      <c r="AE143" s="265"/>
    </row>
    <row r="144" spans="24:31" ht="12.75" customHeight="1">
      <c r="X144" s="275"/>
      <c r="Y144" s="275"/>
      <c r="Z144" s="276"/>
      <c r="AA144" s="277"/>
      <c r="AB144" s="277"/>
      <c r="AD144" s="278"/>
      <c r="AE144" s="265"/>
    </row>
    <row r="145" spans="24:31" ht="12.75" customHeight="1">
      <c r="X145" s="275"/>
      <c r="Y145" s="275"/>
      <c r="Z145" s="276"/>
      <c r="AA145" s="277"/>
      <c r="AB145" s="277"/>
      <c r="AD145" s="278"/>
      <c r="AE145" s="265"/>
    </row>
    <row r="146" spans="24:31" ht="12.75" customHeight="1">
      <c r="X146" s="275"/>
      <c r="Y146" s="275"/>
      <c r="Z146" s="276"/>
      <c r="AA146" s="277"/>
      <c r="AB146" s="277"/>
      <c r="AD146" s="278"/>
      <c r="AE146" s="265"/>
    </row>
    <row r="147" spans="24:31" ht="12.75" customHeight="1">
      <c r="X147" s="275"/>
      <c r="Y147" s="275"/>
      <c r="Z147" s="276"/>
      <c r="AA147" s="277"/>
      <c r="AB147" s="277"/>
      <c r="AD147" s="278"/>
      <c r="AE147" s="265"/>
    </row>
    <row r="148" spans="24:31" ht="12.75" customHeight="1">
      <c r="X148" s="275"/>
      <c r="Y148" s="275"/>
      <c r="Z148" s="276"/>
      <c r="AA148" s="277"/>
      <c r="AB148" s="277"/>
      <c r="AD148" s="278"/>
      <c r="AE148" s="265"/>
    </row>
    <row r="149" spans="24:31" ht="12.75" customHeight="1">
      <c r="X149" s="275"/>
      <c r="Y149" s="275"/>
      <c r="Z149" s="276"/>
      <c r="AA149" s="277"/>
      <c r="AB149" s="277"/>
      <c r="AD149" s="278"/>
      <c r="AE149" s="265"/>
    </row>
    <row r="150" spans="24:31" ht="12.75" customHeight="1">
      <c r="X150" s="275"/>
      <c r="Y150" s="275"/>
      <c r="Z150" s="276"/>
      <c r="AA150" s="277"/>
      <c r="AB150" s="277"/>
      <c r="AD150" s="278"/>
      <c r="AE150" s="265"/>
    </row>
    <row r="151" spans="24:31" ht="12.75" customHeight="1">
      <c r="X151" s="275"/>
      <c r="Y151" s="275"/>
      <c r="Z151" s="276"/>
      <c r="AA151" s="277"/>
      <c r="AB151" s="277"/>
      <c r="AD151" s="278"/>
      <c r="AE151" s="265"/>
    </row>
    <row r="152" spans="24:31" ht="12.75" customHeight="1">
      <c r="X152" s="275"/>
      <c r="Y152" s="275"/>
      <c r="Z152" s="276"/>
      <c r="AA152" s="277"/>
      <c r="AB152" s="277"/>
      <c r="AD152" s="278"/>
      <c r="AE152" s="265"/>
    </row>
    <row r="153" spans="24:31" ht="12.75" customHeight="1">
      <c r="X153" s="275"/>
      <c r="Y153" s="275"/>
      <c r="Z153" s="276"/>
      <c r="AA153" s="277"/>
      <c r="AB153" s="277"/>
      <c r="AD153" s="278"/>
      <c r="AE153" s="265"/>
    </row>
    <row r="154" spans="24:31" ht="12.75" customHeight="1">
      <c r="X154" s="275"/>
      <c r="Y154" s="275"/>
      <c r="Z154" s="276"/>
      <c r="AA154" s="277"/>
      <c r="AB154" s="277"/>
      <c r="AD154" s="278"/>
      <c r="AE154" s="265"/>
    </row>
    <row r="155" spans="24:31" ht="12.75" customHeight="1">
      <c r="X155" s="275"/>
      <c r="Y155" s="275"/>
      <c r="Z155" s="276"/>
      <c r="AA155" s="277"/>
      <c r="AB155" s="277"/>
      <c r="AD155" s="278"/>
      <c r="AE155" s="265"/>
    </row>
    <row r="156" spans="24:31" ht="12.75" customHeight="1">
      <c r="X156" s="275"/>
      <c r="Y156" s="275"/>
      <c r="Z156" s="276"/>
      <c r="AA156" s="277"/>
      <c r="AB156" s="277"/>
      <c r="AD156" s="278"/>
      <c r="AE156" s="265"/>
    </row>
    <row r="157" spans="24:31" ht="12.75" customHeight="1">
      <c r="X157" s="275"/>
      <c r="Y157" s="275"/>
      <c r="Z157" s="276"/>
      <c r="AA157" s="277"/>
      <c r="AB157" s="277"/>
      <c r="AD157" s="278"/>
      <c r="AE157" s="265"/>
    </row>
    <row r="158" spans="24:31" ht="12.75" customHeight="1">
      <c r="X158" s="275"/>
      <c r="Y158" s="275"/>
      <c r="Z158" s="276"/>
      <c r="AA158" s="277"/>
      <c r="AB158" s="277"/>
      <c r="AD158" s="278"/>
      <c r="AE158" s="265"/>
    </row>
    <row r="159" spans="24:31" ht="12.75" customHeight="1">
      <c r="X159" s="275"/>
      <c r="Y159" s="275"/>
      <c r="Z159" s="276"/>
      <c r="AA159" s="277"/>
      <c r="AB159" s="277"/>
      <c r="AD159" s="278"/>
      <c r="AE159" s="265"/>
    </row>
    <row r="160" spans="24:31" ht="12.75" customHeight="1">
      <c r="X160" s="275"/>
      <c r="Y160" s="275"/>
      <c r="Z160" s="276"/>
      <c r="AA160" s="277"/>
      <c r="AB160" s="277"/>
      <c r="AD160" s="278"/>
      <c r="AE160" s="265"/>
    </row>
    <row r="161" spans="24:31" ht="12.75" customHeight="1">
      <c r="X161" s="275"/>
      <c r="Y161" s="275"/>
      <c r="Z161" s="276"/>
      <c r="AA161" s="277"/>
      <c r="AB161" s="277"/>
      <c r="AD161" s="278"/>
      <c r="AE161" s="265"/>
    </row>
    <row r="162" spans="24:31" ht="12.75" customHeight="1">
      <c r="X162" s="275"/>
      <c r="Y162" s="275"/>
      <c r="Z162" s="276"/>
      <c r="AA162" s="277"/>
      <c r="AB162" s="277"/>
      <c r="AD162" s="278"/>
      <c r="AE162" s="265"/>
    </row>
    <row r="163" spans="24:31" ht="12.75" customHeight="1">
      <c r="X163" s="275"/>
      <c r="Y163" s="275"/>
      <c r="Z163" s="276"/>
      <c r="AA163" s="277"/>
      <c r="AB163" s="277"/>
      <c r="AD163" s="278"/>
      <c r="AE163" s="265"/>
    </row>
    <row r="164" spans="24:31" ht="12.75" customHeight="1">
      <c r="X164" s="275"/>
      <c r="Y164" s="275"/>
      <c r="Z164" s="276"/>
      <c r="AA164" s="277"/>
      <c r="AB164" s="277"/>
      <c r="AD164" s="278"/>
      <c r="AE164" s="265"/>
    </row>
    <row r="165" spans="24:31" ht="12.75" customHeight="1">
      <c r="X165" s="275"/>
      <c r="Y165" s="275"/>
      <c r="Z165" s="276"/>
      <c r="AA165" s="277"/>
      <c r="AB165" s="277"/>
      <c r="AD165" s="278"/>
      <c r="AE165" s="265"/>
    </row>
    <row r="166" spans="24:31" ht="12.75" customHeight="1">
      <c r="X166" s="275"/>
      <c r="Y166" s="275"/>
      <c r="Z166" s="276"/>
      <c r="AA166" s="277"/>
      <c r="AB166" s="277"/>
      <c r="AD166" s="278"/>
      <c r="AE166" s="265"/>
    </row>
    <row r="167" spans="24:31" ht="12.75" customHeight="1">
      <c r="X167" s="275"/>
      <c r="Y167" s="275"/>
      <c r="Z167" s="276"/>
      <c r="AA167" s="277"/>
      <c r="AB167" s="277"/>
      <c r="AD167" s="278"/>
      <c r="AE167" s="265"/>
    </row>
    <row r="168" spans="24:31" ht="12.75" customHeight="1">
      <c r="X168" s="275"/>
      <c r="Y168" s="275"/>
      <c r="Z168" s="276"/>
      <c r="AA168" s="277"/>
      <c r="AB168" s="277"/>
      <c r="AD168" s="278"/>
      <c r="AE168" s="265"/>
    </row>
    <row r="169" spans="24:31" ht="12.75" customHeight="1">
      <c r="X169" s="275"/>
      <c r="Y169" s="275"/>
      <c r="Z169" s="276"/>
      <c r="AA169" s="277"/>
      <c r="AB169" s="277"/>
      <c r="AD169" s="278"/>
      <c r="AE169" s="265"/>
    </row>
    <row r="170" spans="24:31" ht="12.75" customHeight="1">
      <c r="X170" s="275"/>
      <c r="Y170" s="275"/>
      <c r="Z170" s="276"/>
      <c r="AA170" s="277"/>
      <c r="AB170" s="277"/>
      <c r="AD170" s="278"/>
      <c r="AE170" s="265"/>
    </row>
    <row r="171" spans="24:31" ht="12.75" customHeight="1">
      <c r="X171" s="275"/>
      <c r="Y171" s="275"/>
      <c r="Z171" s="276"/>
      <c r="AA171" s="277"/>
      <c r="AB171" s="277"/>
      <c r="AD171" s="278"/>
      <c r="AE171" s="265"/>
    </row>
    <row r="172" spans="24:31" ht="12.75" customHeight="1">
      <c r="X172" s="275"/>
      <c r="Y172" s="275"/>
      <c r="Z172" s="276"/>
      <c r="AA172" s="277"/>
      <c r="AB172" s="277"/>
      <c r="AD172" s="278"/>
      <c r="AE172" s="265"/>
    </row>
    <row r="173" spans="24:31" ht="12.75" customHeight="1">
      <c r="X173" s="275"/>
      <c r="Y173" s="275"/>
      <c r="Z173" s="276"/>
      <c r="AA173" s="277"/>
      <c r="AB173" s="277"/>
      <c r="AD173" s="278"/>
      <c r="AE173" s="265"/>
    </row>
    <row r="174" spans="24:31" ht="12.75" customHeight="1">
      <c r="X174" s="275"/>
      <c r="Y174" s="275"/>
      <c r="Z174" s="276"/>
      <c r="AA174" s="277"/>
      <c r="AB174" s="277"/>
      <c r="AD174" s="278"/>
      <c r="AE174" s="265"/>
    </row>
    <row r="175" spans="24:31" ht="12.75" customHeight="1">
      <c r="X175" s="275"/>
      <c r="Y175" s="275"/>
      <c r="Z175" s="276"/>
      <c r="AA175" s="277"/>
      <c r="AB175" s="277"/>
      <c r="AD175" s="278"/>
      <c r="AE175" s="265"/>
    </row>
    <row r="176" spans="24:31" ht="12.75" customHeight="1">
      <c r="X176" s="275"/>
      <c r="Y176" s="275"/>
      <c r="Z176" s="276"/>
      <c r="AA176" s="277"/>
      <c r="AB176" s="277"/>
      <c r="AD176" s="278"/>
      <c r="AE176" s="265"/>
    </row>
    <row r="177" spans="24:39" ht="12.75" customHeight="1">
      <c r="X177" s="275"/>
      <c r="Y177" s="275"/>
      <c r="Z177" s="276"/>
      <c r="AA177" s="277"/>
      <c r="AB177" s="277"/>
      <c r="AD177" s="278"/>
      <c r="AE177" s="265"/>
    </row>
    <row r="178" spans="24:39" ht="12.75" customHeight="1">
      <c r="X178" s="275"/>
      <c r="Y178" s="275"/>
      <c r="Z178" s="276"/>
      <c r="AA178" s="277"/>
      <c r="AB178" s="277"/>
      <c r="AD178" s="278"/>
      <c r="AE178" s="265"/>
    </row>
    <row r="179" spans="24:39" ht="12.75" customHeight="1">
      <c r="X179" s="275"/>
      <c r="Y179" s="275"/>
      <c r="Z179" s="276"/>
      <c r="AA179" s="277"/>
      <c r="AB179" s="277"/>
      <c r="AD179" s="278"/>
      <c r="AE179" s="265"/>
    </row>
    <row r="180" spans="24:39" ht="12.75" customHeight="1">
      <c r="X180" s="275"/>
      <c r="Y180" s="275"/>
      <c r="Z180" s="276"/>
      <c r="AA180" s="277"/>
      <c r="AB180" s="277"/>
      <c r="AD180" s="278"/>
      <c r="AE180" s="265"/>
    </row>
    <row r="181" spans="24:39" ht="12.75" customHeight="1">
      <c r="X181" s="275"/>
      <c r="Y181" s="275"/>
      <c r="Z181" s="276"/>
      <c r="AA181" s="277"/>
      <c r="AB181" s="277"/>
      <c r="AD181" s="278"/>
      <c r="AE181" s="265"/>
    </row>
    <row r="182" spans="24:39" ht="12.75" customHeight="1">
      <c r="X182" s="275"/>
      <c r="Y182" s="275"/>
      <c r="Z182" s="276"/>
      <c r="AA182" s="277"/>
      <c r="AB182" s="277"/>
      <c r="AD182" s="278"/>
      <c r="AE182" s="265"/>
    </row>
    <row r="183" spans="24:39" ht="12.75" customHeight="1">
      <c r="X183" s="275"/>
      <c r="Y183" s="275"/>
      <c r="Z183" s="276"/>
      <c r="AA183" s="277"/>
      <c r="AB183" s="277"/>
      <c r="AD183" s="278"/>
      <c r="AE183" s="265"/>
      <c r="AI183" s="245" t="s">
        <v>522</v>
      </c>
      <c r="AJ183" s="245" t="s">
        <v>523</v>
      </c>
      <c r="AK183" s="246" t="s">
        <v>414</v>
      </c>
      <c r="AL183" s="246" t="s">
        <v>524</v>
      </c>
      <c r="AM183" s="246" t="s">
        <v>525</v>
      </c>
    </row>
    <row r="184" spans="24:39" ht="12.75" customHeight="1">
      <c r="X184" s="275"/>
      <c r="Y184" s="275"/>
      <c r="Z184" s="276"/>
      <c r="AA184" s="277"/>
      <c r="AB184" s="277"/>
      <c r="AD184" s="278"/>
      <c r="AE184" s="265"/>
      <c r="AI184" s="247"/>
      <c r="AJ184" s="248" t="s">
        <v>526</v>
      </c>
      <c r="AK184" s="247"/>
      <c r="AL184" s="247"/>
      <c r="AM184" s="247"/>
    </row>
    <row r="185" spans="24:39" ht="12.75" customHeight="1">
      <c r="X185" s="275"/>
      <c r="Y185" s="275"/>
      <c r="Z185" s="276"/>
      <c r="AA185" s="277"/>
      <c r="AB185" s="277"/>
      <c r="AD185" s="278"/>
      <c r="AE185" s="265"/>
      <c r="AI185" s="247"/>
      <c r="AJ185" s="248" t="s">
        <v>623</v>
      </c>
      <c r="AK185" s="247"/>
      <c r="AL185" s="247"/>
      <c r="AM185" s="247"/>
    </row>
    <row r="186" spans="24:39" ht="12.75" customHeight="1">
      <c r="X186" s="275"/>
      <c r="Y186" s="275"/>
      <c r="Z186" s="276"/>
      <c r="AA186" s="277"/>
      <c r="AB186" s="277"/>
      <c r="AD186" s="278"/>
      <c r="AE186" s="265"/>
      <c r="AI186" s="247" t="str">
        <f>INDEX($AJ:$AM,ROW(),Language)</f>
        <v>Remark</v>
      </c>
      <c r="AJ186" s="247" t="s">
        <v>624</v>
      </c>
      <c r="AK186" s="249" t="s">
        <v>625</v>
      </c>
      <c r="AL186" s="249" t="s">
        <v>626</v>
      </c>
      <c r="AM186" s="249" t="s">
        <v>627</v>
      </c>
    </row>
    <row r="187" spans="24:39" ht="12.75" customHeight="1">
      <c r="X187" s="275"/>
      <c r="Y187" s="275"/>
      <c r="Z187" s="276"/>
      <c r="AA187" s="277"/>
      <c r="AB187" s="277"/>
      <c r="AD187" s="278"/>
      <c r="AE187" s="265"/>
      <c r="AI187" s="247"/>
      <c r="AJ187" s="248" t="s">
        <v>784</v>
      </c>
      <c r="AK187" s="247"/>
      <c r="AL187" s="247"/>
      <c r="AM187" s="247"/>
    </row>
    <row r="188" spans="24:39" ht="12.75" customHeight="1">
      <c r="X188" s="275"/>
      <c r="Y188" s="275"/>
      <c r="Z188" s="276"/>
      <c r="AA188" s="277"/>
      <c r="AB188" s="277"/>
      <c r="AD188" s="278"/>
      <c r="AE188" s="265"/>
      <c r="AI188" s="247"/>
      <c r="AJ188" s="248" t="s">
        <v>879</v>
      </c>
      <c r="AK188" s="247"/>
      <c r="AL188" s="247"/>
      <c r="AM188" s="247"/>
    </row>
    <row r="189" spans="24:39" ht="12.75" customHeight="1">
      <c r="X189" s="275"/>
      <c r="Y189" s="275"/>
      <c r="Z189" s="276"/>
      <c r="AA189" s="277"/>
      <c r="AB189" s="277"/>
      <c r="AD189" s="278"/>
      <c r="AE189" s="265"/>
      <c r="AI189" s="247" t="str">
        <f>INDEX($AJ:$AM,ROW(),Language)</f>
        <v>Date</v>
      </c>
      <c r="AJ189" s="247" t="s">
        <v>885</v>
      </c>
      <c r="AK189" s="247" t="s">
        <v>886</v>
      </c>
      <c r="AL189" s="247" t="s">
        <v>886</v>
      </c>
      <c r="AM189" s="247" t="s">
        <v>887</v>
      </c>
    </row>
    <row r="190" spans="24:39" ht="12.75" customHeight="1">
      <c r="X190" s="275"/>
      <c r="Y190" s="275"/>
      <c r="Z190" s="276"/>
      <c r="AA190" s="277"/>
      <c r="AB190" s="277"/>
      <c r="AD190" s="278"/>
      <c r="AE190" s="265"/>
      <c r="AI190" s="247" t="str">
        <f>INDEX($AJ:$AM,ROW(),Language)</f>
        <v>Diameter</v>
      </c>
      <c r="AJ190" s="247" t="s">
        <v>330</v>
      </c>
      <c r="AK190" s="247" t="s">
        <v>331</v>
      </c>
      <c r="AL190" s="247" t="s">
        <v>332</v>
      </c>
      <c r="AM190" s="247" t="s">
        <v>917</v>
      </c>
    </row>
    <row r="191" spans="24:39" ht="12.75" customHeight="1">
      <c r="X191" s="275"/>
      <c r="Y191" s="275"/>
      <c r="Z191" s="276"/>
      <c r="AA191" s="277"/>
      <c r="AB191" s="277"/>
      <c r="AD191" s="278"/>
      <c r="AE191" s="265"/>
      <c r="AI191" s="247"/>
      <c r="AJ191" s="248" t="s">
        <v>904</v>
      </c>
      <c r="AK191" s="247"/>
      <c r="AL191" s="247"/>
      <c r="AM191" s="247"/>
    </row>
    <row r="192" spans="24:39" ht="12.75" customHeight="1">
      <c r="X192" s="275"/>
      <c r="Y192" s="275"/>
      <c r="Z192" s="276"/>
      <c r="AA192" s="277"/>
      <c r="AB192" s="277"/>
      <c r="AD192" s="278"/>
      <c r="AE192" s="265"/>
      <c r="AI192" s="247" t="str">
        <f>INDEX($AJ:$AM,ROW(),Language)</f>
        <v>Emissivity</v>
      </c>
      <c r="AJ192" s="247" t="s">
        <v>333</v>
      </c>
      <c r="AK192" s="247" t="s">
        <v>334</v>
      </c>
      <c r="AL192" s="247" t="s">
        <v>335</v>
      </c>
      <c r="AM192" s="247" t="s">
        <v>336</v>
      </c>
    </row>
    <row r="193" spans="35:39" ht="12.75" customHeight="1">
      <c r="AI193" s="247"/>
      <c r="AJ193" s="248" t="s">
        <v>933</v>
      </c>
      <c r="AK193" s="247"/>
      <c r="AL193" s="247"/>
      <c r="AM193" s="247"/>
    </row>
    <row r="194" spans="35:39" ht="12.75" customHeight="1">
      <c r="AI194" s="247"/>
      <c r="AJ194" s="248" t="s">
        <v>1200</v>
      </c>
      <c r="AK194" s="247"/>
      <c r="AL194" s="247"/>
      <c r="AM194" s="247"/>
    </row>
    <row r="195" spans="35:39" ht="12.75" customHeight="1">
      <c r="AI195" s="247" t="str">
        <f>INDEX($AJ:$AM,ROW(),Language)</f>
        <v>Total heat loss</v>
      </c>
      <c r="AJ195" s="247" t="s">
        <v>337</v>
      </c>
      <c r="AK195" s="247" t="s">
        <v>338</v>
      </c>
      <c r="AL195" s="247" t="s">
        <v>343</v>
      </c>
      <c r="AM195" s="249" t="s">
        <v>340</v>
      </c>
    </row>
    <row r="196" spans="35:39" ht="12.75" customHeight="1">
      <c r="AI196" s="247"/>
      <c r="AJ196" s="248" t="s">
        <v>1271</v>
      </c>
      <c r="AK196" s="247"/>
      <c r="AL196" s="247"/>
      <c r="AM196" s="247"/>
    </row>
    <row r="197" spans="35:39" ht="12.75" customHeight="1">
      <c r="AI197" s="247" t="str">
        <f>INDEX($AJ:$AM,ROW(),Language)</f>
        <v>Altitude</v>
      </c>
      <c r="AJ197" s="247" t="s">
        <v>1272</v>
      </c>
      <c r="AK197" s="247" t="s">
        <v>1273</v>
      </c>
      <c r="AL197" s="247" t="s">
        <v>1273</v>
      </c>
      <c r="AM197" s="249" t="s">
        <v>1274</v>
      </c>
    </row>
    <row r="198" spans="35:39" ht="12.75" customHeight="1">
      <c r="AI198" s="247"/>
      <c r="AJ198" s="248" t="s">
        <v>1315</v>
      </c>
      <c r="AK198" s="247"/>
      <c r="AL198" s="247"/>
      <c r="AM198" s="247"/>
    </row>
    <row r="199" spans="35:39" ht="12.75" customHeight="1">
      <c r="AI199" s="247"/>
      <c r="AJ199" s="248" t="s">
        <v>1323</v>
      </c>
      <c r="AK199" s="247"/>
      <c r="AL199" s="247"/>
      <c r="AM199" s="247"/>
    </row>
    <row r="200" spans="35:39" ht="12.75" customHeight="1">
      <c r="AI200" s="247"/>
      <c r="AJ200" s="248" t="s">
        <v>514</v>
      </c>
      <c r="AK200" s="247"/>
      <c r="AL200" s="247"/>
      <c r="AM200" s="247"/>
    </row>
    <row r="201" spans="35:39" ht="12.75" customHeight="1">
      <c r="AI201" s="247" t="str">
        <f>INDEX($AJ:$AM,ROW(),Language)</f>
        <v>Clinker production rate</v>
      </c>
      <c r="AJ201" s="247" t="s">
        <v>1483</v>
      </c>
      <c r="AK201" s="247" t="s">
        <v>1484</v>
      </c>
      <c r="AL201" s="247" t="s">
        <v>1485</v>
      </c>
      <c r="AM201" s="247" t="s">
        <v>1486</v>
      </c>
    </row>
    <row r="202" spans="35:39" ht="12.75" customHeight="1">
      <c r="AI202" s="247"/>
      <c r="AJ202" s="248" t="s">
        <v>1533</v>
      </c>
      <c r="AK202" s="247"/>
      <c r="AL202" s="247"/>
      <c r="AM202" s="247"/>
    </row>
    <row r="203" spans="35:39" ht="12.75" customHeight="1">
      <c r="AI203" s="247" t="str">
        <f>INDEX($AJ:$AM,ROW(),Language)</f>
        <v>Length</v>
      </c>
      <c r="AJ203" s="247" t="s">
        <v>364</v>
      </c>
      <c r="AK203" s="247" t="s">
        <v>365</v>
      </c>
      <c r="AL203" s="247" t="s">
        <v>366</v>
      </c>
      <c r="AM203" s="247" t="s">
        <v>367</v>
      </c>
    </row>
    <row r="204" spans="35:39" ht="12.75" customHeight="1">
      <c r="AI204" s="247" t="str">
        <f>INDEX($AJ:$AM,ROW(),Language)</f>
        <v>Cooler length</v>
      </c>
      <c r="AJ204" s="249" t="s">
        <v>344</v>
      </c>
      <c r="AK204" s="249" t="s">
        <v>345</v>
      </c>
      <c r="AL204" s="249" t="s">
        <v>346</v>
      </c>
      <c r="AM204" s="249" t="s">
        <v>347</v>
      </c>
    </row>
    <row r="205" spans="35:39" ht="12.75" customHeight="1">
      <c r="AI205" s="247" t="str">
        <f>INDEX($AJ:$AM,ROW(),Language)</f>
        <v>Air density</v>
      </c>
      <c r="AJ205" s="247" t="s">
        <v>1566</v>
      </c>
      <c r="AK205" s="247" t="s">
        <v>1567</v>
      </c>
      <c r="AL205" s="247" t="s">
        <v>1568</v>
      </c>
      <c r="AM205" s="247" t="s">
        <v>1569</v>
      </c>
    </row>
    <row r="206" spans="35:39" ht="12.75" customHeight="1">
      <c r="AI206" s="247"/>
      <c r="AJ206" s="248" t="s">
        <v>1570</v>
      </c>
      <c r="AK206" s="247"/>
      <c r="AL206" s="247"/>
      <c r="AM206" s="247"/>
    </row>
    <row r="207" spans="35:39" ht="12.75" customHeight="1">
      <c r="AI207" s="247"/>
      <c r="AJ207" s="248" t="s">
        <v>1604</v>
      </c>
      <c r="AK207" s="247"/>
      <c r="AL207" s="247"/>
      <c r="AM207" s="247"/>
    </row>
    <row r="208" spans="35:39" ht="12.75" customHeight="1">
      <c r="AI208" s="247"/>
      <c r="AJ208" s="248" t="s">
        <v>1622</v>
      </c>
      <c r="AK208" s="247"/>
      <c r="AL208" s="247"/>
      <c r="AM208" s="247"/>
    </row>
    <row r="209" spans="35:39" ht="12.75" customHeight="1">
      <c r="AI209" s="247" t="str">
        <f t="shared" ref="AI209:AI215" si="21">INDEX($AJ:$AM,ROW(),Language)</f>
        <v>Surface</v>
      </c>
      <c r="AJ209" s="247" t="s">
        <v>368</v>
      </c>
      <c r="AK209" s="247" t="s">
        <v>369</v>
      </c>
      <c r="AL209" s="247" t="s">
        <v>369</v>
      </c>
      <c r="AM209" s="249" t="s">
        <v>370</v>
      </c>
    </row>
    <row r="210" spans="35:39" ht="12.75" customHeight="1">
      <c r="AI210" s="247" t="str">
        <f t="shared" si="21"/>
        <v>Cooler diameter</v>
      </c>
      <c r="AJ210" s="247" t="s">
        <v>348</v>
      </c>
      <c r="AK210" s="247" t="s">
        <v>349</v>
      </c>
      <c r="AL210" s="249" t="s">
        <v>350</v>
      </c>
      <c r="AM210" s="249" t="s">
        <v>351</v>
      </c>
    </row>
    <row r="211" spans="35:39" ht="12.75" customHeight="1">
      <c r="AI211" s="247" t="str">
        <f t="shared" si="21"/>
        <v>Satellite Cooler</v>
      </c>
      <c r="AJ211" s="249" t="s">
        <v>352</v>
      </c>
      <c r="AK211" s="247" t="s">
        <v>556</v>
      </c>
      <c r="AL211" s="247" t="s">
        <v>353</v>
      </c>
      <c r="AM211" s="249" t="s">
        <v>354</v>
      </c>
    </row>
    <row r="212" spans="35:39" ht="12.75" customHeight="1">
      <c r="AI212" s="247" t="str">
        <f t="shared" si="21"/>
        <v>Kiln Shell 2/2</v>
      </c>
      <c r="AJ212" s="247" t="s">
        <v>379</v>
      </c>
      <c r="AK212" s="247" t="s">
        <v>380</v>
      </c>
      <c r="AL212" s="247" t="s">
        <v>381</v>
      </c>
      <c r="AM212" s="247" t="s">
        <v>382</v>
      </c>
    </row>
    <row r="213" spans="35:39" ht="12.75" customHeight="1">
      <c r="AI213" s="247" t="str">
        <f t="shared" si="21"/>
        <v>HEAT LOSSES OF COOLER SHELL RADIATION AND CONVECTION</v>
      </c>
      <c r="AJ213" s="249" t="s">
        <v>355</v>
      </c>
      <c r="AK213" s="249" t="s">
        <v>356</v>
      </c>
      <c r="AL213" s="249" t="s">
        <v>357</v>
      </c>
      <c r="AM213" s="249" t="s">
        <v>358</v>
      </c>
    </row>
    <row r="214" spans="35:39" ht="12.75" customHeight="1">
      <c r="AI214" s="247" t="str">
        <f t="shared" si="21"/>
        <v>Cooler shell surface (simplified)</v>
      </c>
      <c r="AJ214" s="249" t="s">
        <v>359</v>
      </c>
      <c r="AK214" s="249" t="s">
        <v>360</v>
      </c>
      <c r="AL214" s="249" t="s">
        <v>361</v>
      </c>
      <c r="AM214" s="247" t="s">
        <v>387</v>
      </c>
    </row>
    <row r="215" spans="35:39" ht="12.75" customHeight="1">
      <c r="AI215" s="247" t="str">
        <f t="shared" si="21"/>
        <v>Envelope around cooler</v>
      </c>
      <c r="AJ215" s="247" t="s">
        <v>2246</v>
      </c>
      <c r="AK215" s="249" t="s">
        <v>2247</v>
      </c>
      <c r="AL215" s="249" t="s">
        <v>2248</v>
      </c>
      <c r="AM215" s="249" t="s">
        <v>2249</v>
      </c>
    </row>
    <row r="216" spans="35:39" ht="12.75" customHeight="1">
      <c r="AI216" s="247"/>
      <c r="AJ216" s="248" t="s">
        <v>1706</v>
      </c>
      <c r="AK216" s="247"/>
      <c r="AL216" s="247"/>
      <c r="AM216" s="247"/>
    </row>
    <row r="217" spans="35:39" ht="12.75" customHeight="1">
      <c r="AI217" s="247" t="str">
        <f>INDEX($AJ:$AM,ROW(),Language)</f>
        <v>Position</v>
      </c>
      <c r="AJ217" s="247" t="s">
        <v>1707</v>
      </c>
      <c r="AK217" s="247" t="s">
        <v>1707</v>
      </c>
      <c r="AL217" s="247" t="s">
        <v>1707</v>
      </c>
      <c r="AM217" s="247" t="s">
        <v>1708</v>
      </c>
    </row>
    <row r="218" spans="35:39" ht="12.75" customHeight="1">
      <c r="AI218" s="247"/>
      <c r="AJ218" s="248" t="s">
        <v>1755</v>
      </c>
      <c r="AK218" s="247"/>
      <c r="AL218" s="247"/>
      <c r="AM218" s="247"/>
    </row>
    <row r="219" spans="35:39" ht="12.75" customHeight="1">
      <c r="AI219" s="247"/>
      <c r="AJ219" s="248" t="s">
        <v>1762</v>
      </c>
      <c r="AK219" s="247"/>
      <c r="AL219" s="247"/>
      <c r="AM219" s="247"/>
    </row>
    <row r="220" spans="35:39" ht="12.75" customHeight="1">
      <c r="AI220" s="247"/>
      <c r="AJ220" s="248" t="s">
        <v>512</v>
      </c>
      <c r="AK220" s="247"/>
      <c r="AL220" s="247"/>
      <c r="AM220" s="247"/>
    </row>
    <row r="221" spans="35:39" ht="12.75" customHeight="1">
      <c r="AI221" s="247"/>
      <c r="AJ221" s="248" t="s">
        <v>1805</v>
      </c>
      <c r="AK221" s="247"/>
      <c r="AL221" s="247"/>
      <c r="AM221" s="247"/>
    </row>
    <row r="222" spans="35:39" ht="12.75" customHeight="1">
      <c r="AI222" s="247" t="str">
        <f>INDEX($AJ:$AM,ROW(),Language)</f>
        <v>velocity</v>
      </c>
      <c r="AJ222" s="247" t="s">
        <v>392</v>
      </c>
      <c r="AK222" s="247" t="s">
        <v>393</v>
      </c>
      <c r="AL222" s="247" t="s">
        <v>394</v>
      </c>
      <c r="AM222" s="249" t="s">
        <v>395</v>
      </c>
    </row>
    <row r="223" spans="35:39" ht="12.75" customHeight="1">
      <c r="AI223" s="247"/>
      <c r="AJ223" s="248" t="s">
        <v>1840</v>
      </c>
      <c r="AK223" s="247"/>
      <c r="AL223" s="247"/>
      <c r="AM223" s="247"/>
    </row>
    <row r="224" spans="35:39" ht="12.75" customHeight="1">
      <c r="AI224" s="247" t="str">
        <f>INDEX($AJ:$AM,ROW(),Language)</f>
        <v>Specific heat loss</v>
      </c>
      <c r="AJ224" s="247" t="s">
        <v>396</v>
      </c>
      <c r="AK224" s="247" t="s">
        <v>397</v>
      </c>
      <c r="AL224" s="247" t="s">
        <v>398</v>
      </c>
      <c r="AM224" s="247" t="s">
        <v>399</v>
      </c>
    </row>
    <row r="225" spans="35:39" ht="12.75" customHeight="1">
      <c r="AI225" s="247"/>
      <c r="AJ225" s="248" t="s">
        <v>1863</v>
      </c>
      <c r="AK225" s="247"/>
      <c r="AL225" s="247"/>
      <c r="AM225" s="247"/>
    </row>
    <row r="226" spans="35:39" ht="12.75" customHeight="1">
      <c r="AI226" s="247" t="str">
        <f>INDEX($AJ:$AM,ROW(),Language)</f>
        <v>Radiation &amp; Convection Losses</v>
      </c>
      <c r="AJ226" s="247" t="s">
        <v>400</v>
      </c>
      <c r="AK226" s="247" t="s">
        <v>401</v>
      </c>
      <c r="AL226" s="247" t="s">
        <v>402</v>
      </c>
      <c r="AM226" s="247" t="s">
        <v>403</v>
      </c>
    </row>
    <row r="227" spans="35:39" ht="12.75" customHeight="1">
      <c r="AI227" s="247"/>
      <c r="AJ227" s="248" t="s">
        <v>489</v>
      </c>
      <c r="AK227" s="247"/>
      <c r="AL227" s="247"/>
      <c r="AM227" s="247"/>
    </row>
    <row r="228" spans="35:39" ht="12.75" customHeight="1">
      <c r="AI228" s="247" t="str">
        <f>INDEX($AJ:$AM,ROW(),Language)</f>
        <v>t/d</v>
      </c>
      <c r="AJ228" s="247" t="s">
        <v>1940</v>
      </c>
      <c r="AK228" s="247" t="s">
        <v>1941</v>
      </c>
      <c r="AL228" s="247" t="s">
        <v>1942</v>
      </c>
      <c r="AM228" s="247" t="s">
        <v>1941</v>
      </c>
    </row>
    <row r="229" spans="35:39" ht="12.75" customHeight="1">
      <c r="AI229" s="247" t="str">
        <f>INDEX($AJ:$AM,ROW(),Language)</f>
        <v>Temperature</v>
      </c>
      <c r="AJ229" s="247" t="s">
        <v>1953</v>
      </c>
      <c r="AK229" s="247" t="s">
        <v>1954</v>
      </c>
      <c r="AL229" s="247" t="s">
        <v>1957</v>
      </c>
      <c r="AM229" s="247" t="s">
        <v>1958</v>
      </c>
    </row>
    <row r="230" spans="35:39" ht="12.75" customHeight="1">
      <c r="AI230" s="247" t="str">
        <f>INDEX($AJ:$AM,ROW(),Language)</f>
        <v>total</v>
      </c>
      <c r="AJ230" s="247" t="s">
        <v>404</v>
      </c>
      <c r="AK230" s="247" t="s">
        <v>404</v>
      </c>
      <c r="AL230" s="247" t="s">
        <v>404</v>
      </c>
      <c r="AM230" s="247" t="s">
        <v>404</v>
      </c>
    </row>
    <row r="231" spans="35:39" ht="12.75" customHeight="1">
      <c r="AI231" s="247"/>
      <c r="AJ231" s="248" t="s">
        <v>2009</v>
      </c>
      <c r="AK231" s="247"/>
      <c r="AL231" s="247"/>
      <c r="AM231" s="247"/>
    </row>
    <row r="232" spans="35:39" ht="12.75" customHeight="1">
      <c r="AI232" s="247" t="str">
        <f>INDEX($AJ:$AM,ROW(),Language)</f>
        <v>Ambient pressure</v>
      </c>
      <c r="AJ232" s="247" t="s">
        <v>405</v>
      </c>
      <c r="AK232" s="247" t="s">
        <v>406</v>
      </c>
      <c r="AL232" s="247" t="s">
        <v>407</v>
      </c>
      <c r="AM232" s="249" t="s">
        <v>408</v>
      </c>
    </row>
    <row r="233" spans="35:39" ht="12.75" customHeight="1">
      <c r="AI233" s="247" t="str">
        <f>INDEX($AJ:$AM,ROW(),Language)</f>
        <v>Ambient temperature</v>
      </c>
      <c r="AJ233" s="247" t="s">
        <v>2028</v>
      </c>
      <c r="AK233" s="247" t="s">
        <v>2029</v>
      </c>
      <c r="AL233" s="247" t="s">
        <v>2030</v>
      </c>
      <c r="AM233" s="247" t="s">
        <v>2031</v>
      </c>
    </row>
    <row r="234" spans="35:39" ht="12.75" customHeight="1">
      <c r="AI234" s="247"/>
      <c r="AJ234" s="248" t="s">
        <v>2048</v>
      </c>
      <c r="AK234" s="247"/>
      <c r="AL234" s="247"/>
      <c r="AM234" s="247"/>
    </row>
    <row r="235" spans="35:39" ht="12.75" customHeight="1">
      <c r="AI235" s="247"/>
      <c r="AJ235" s="248" t="s">
        <v>2142</v>
      </c>
      <c r="AK235" s="247"/>
      <c r="AL235" s="247"/>
      <c r="AM235" s="247"/>
    </row>
    <row r="236" spans="35:39" ht="12.75" customHeight="1">
      <c r="AI236" s="247" t="str">
        <f>INDEX($AJ:$AM,ROW(),Language)</f>
        <v>Plant</v>
      </c>
      <c r="AJ236" s="247" t="s">
        <v>184</v>
      </c>
      <c r="AK236" s="247" t="s">
        <v>185</v>
      </c>
      <c r="AL236" s="247" t="s">
        <v>186</v>
      </c>
      <c r="AM236" s="247" t="s">
        <v>187</v>
      </c>
    </row>
    <row r="237" spans="35:39" ht="12.75" customHeight="1">
      <c r="AI237" s="247" t="str">
        <f>INDEX($AJ:$AM,ROW(),Language)</f>
        <v>Wind</v>
      </c>
      <c r="AJ237" s="247" t="s">
        <v>409</v>
      </c>
      <c r="AK237" s="247" t="s">
        <v>410</v>
      </c>
      <c r="AL237" s="247" t="s">
        <v>1252</v>
      </c>
      <c r="AM237" s="247" t="s">
        <v>1253</v>
      </c>
    </row>
    <row r="238" spans="35:39" ht="12.75" customHeight="1">
      <c r="AI238" s="247"/>
      <c r="AJ238" s="248" t="s">
        <v>188</v>
      </c>
      <c r="AK238" s="247"/>
      <c r="AL238" s="247"/>
      <c r="AM238" s="247"/>
    </row>
    <row r="239" spans="35:39" ht="12.75" customHeight="1">
      <c r="AI239" s="247"/>
      <c r="AJ239" s="248" t="s">
        <v>189</v>
      </c>
      <c r="AK239" s="247"/>
      <c r="AL239" s="247"/>
      <c r="AM239" s="247"/>
    </row>
    <row r="240" spans="35:39" ht="12.75" customHeight="1">
      <c r="AI240" s="247"/>
      <c r="AJ240" s="248" t="s">
        <v>190</v>
      </c>
      <c r="AK240" s="247"/>
      <c r="AL240" s="247"/>
      <c r="AM240" s="247"/>
    </row>
    <row r="241" spans="35:39" ht="12.75" customHeight="1">
      <c r="AI241" s="247"/>
      <c r="AJ241" s="247"/>
      <c r="AK241" s="247"/>
      <c r="AL241" s="247"/>
      <c r="AM241" s="247"/>
    </row>
    <row r="242" spans="35:39" ht="12.75" customHeight="1">
      <c r="AI242" s="247"/>
      <c r="AJ242" s="247"/>
      <c r="AK242" s="247"/>
      <c r="AL242" s="247"/>
      <c r="AM242" s="247"/>
    </row>
    <row r="243" spans="35:39" ht="12.75" customHeight="1">
      <c r="AI243" s="247"/>
      <c r="AJ243" s="247"/>
      <c r="AK243" s="247"/>
      <c r="AL243" s="247"/>
      <c r="AM243" s="247"/>
    </row>
    <row r="244" spans="35:39" ht="12.75" customHeight="1">
      <c r="AI244" s="247"/>
      <c r="AJ244" s="247"/>
      <c r="AK244" s="247"/>
      <c r="AL244" s="247"/>
      <c r="AM244" s="247"/>
    </row>
    <row r="245" spans="35:39" ht="12.75" customHeight="1">
      <c r="AI245" s="247"/>
      <c r="AJ245" s="247"/>
      <c r="AK245" s="247"/>
      <c r="AL245" s="247"/>
      <c r="AM245" s="247"/>
    </row>
    <row r="246" spans="35:39" ht="12.75" customHeight="1">
      <c r="AI246" s="247"/>
      <c r="AJ246" s="247"/>
      <c r="AK246" s="247"/>
      <c r="AL246" s="247"/>
      <c r="AM246" s="247"/>
    </row>
    <row r="247" spans="35:39" ht="12.75" customHeight="1">
      <c r="AI247" s="247"/>
      <c r="AJ247" s="247"/>
      <c r="AK247" s="247"/>
      <c r="AL247" s="247"/>
      <c r="AM247" s="247"/>
    </row>
    <row r="248" spans="35:39" ht="12.75" customHeight="1">
      <c r="AI248" s="247"/>
      <c r="AJ248" s="247"/>
      <c r="AK248" s="247"/>
      <c r="AL248" s="247"/>
      <c r="AM248" s="247"/>
    </row>
    <row r="249" spans="35:39" ht="12.75" customHeight="1"/>
    <row r="250" spans="35:39" ht="12.75" customHeight="1"/>
    <row r="251" spans="35:39" ht="12.75" customHeight="1"/>
    <row r="252" spans="35:39" ht="12.75" customHeight="1"/>
    <row r="253" spans="35:39" ht="12.75" customHeight="1"/>
    <row r="254" spans="35:39" ht="12.75" customHeight="1"/>
    <row r="255" spans="35:39" ht="12.75" customHeight="1"/>
    <row r="256" spans="35:39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honeticPr fontId="0" type="noConversion"/>
  <printOptions horizontalCentered="1"/>
  <pageMargins left="0.98425196850393704" right="0.51181102362204722" top="0.51181102362204722" bottom="0.51181102362204722" header="0.51181102362204722" footer="0.51181102362204722"/>
  <pageSetup paperSize="9" scale="85" orientation="portrait" horizontalDpi="4294967292" verticalDpi="4294967292" r:id="rId1"/>
  <headerFooter alignWithMargins="0"/>
  <colBreaks count="1" manualBreakCount="1">
    <brk id="13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0" r:id="rId4" name="Drop Down 10">
              <controlPr defaultSize="0" autoFill="0" autoLine="0" autoPict="0">
                <anchor moveWithCells="1">
                  <from>
                    <xdr:col>4</xdr:col>
                    <xdr:colOff>314325</xdr:colOff>
                    <xdr:row>12</xdr:row>
                    <xdr:rowOff>133350</xdr:rowOff>
                  </from>
                  <to>
                    <xdr:col>5</xdr:col>
                    <xdr:colOff>561975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460</vt:i4>
      </vt:variant>
    </vt:vector>
  </HeadingPairs>
  <TitlesOfParts>
    <vt:vector size="467" baseType="lpstr">
      <vt:lpstr>HBL</vt:lpstr>
      <vt:lpstr>Visualization</vt:lpstr>
      <vt:lpstr>R&amp;C Kiln</vt:lpstr>
      <vt:lpstr>R&amp;C Preheater</vt:lpstr>
      <vt:lpstr>R&amp;C Tertiary Air Duct</vt:lpstr>
      <vt:lpstr>clinker temp</vt:lpstr>
      <vt:lpstr>R&amp;C Planetary Cooler</vt:lpstr>
      <vt:lpstr>ABSHUM</vt:lpstr>
      <vt:lpstr>AIRBAL_ERROR</vt:lpstr>
      <vt:lpstr>Al2O3</vt:lpstr>
      <vt:lpstr>Alk</vt:lpstr>
      <vt:lpstr>HBL!ALTITUDE</vt:lpstr>
      <vt:lpstr>'R&amp;C Kiln'!ALTITUDE</vt:lpstr>
      <vt:lpstr>'R&amp;C Planetary Cooler'!ALTITUDE</vt:lpstr>
      <vt:lpstr>'R&amp;C Preheater'!ALTITUDE</vt:lpstr>
      <vt:lpstr>'R&amp;C Tertiary Air Duct'!ALTITUDE</vt:lpstr>
      <vt:lpstr>Amin_FUEL1</vt:lpstr>
      <vt:lpstr>Amin_FUEL2</vt:lpstr>
      <vt:lpstr>Amin_FUEL3</vt:lpstr>
      <vt:lpstr>Amin_FUEL4</vt:lpstr>
      <vt:lpstr>Amin_FUEL5</vt:lpstr>
      <vt:lpstr>Amin_FUEL6</vt:lpstr>
      <vt:lpstr>'R&amp;C Kiln'!ATOT</vt:lpstr>
      <vt:lpstr>'R&amp;C Planetary Cooler'!ATOT</vt:lpstr>
      <vt:lpstr>'R&amp;C Tertiary Air Duct'!ATOT</vt:lpstr>
      <vt:lpstr>BYPASS_PERCENT</vt:lpstr>
      <vt:lpstr>BYPRAD</vt:lpstr>
      <vt:lpstr>CALCINATION</vt:lpstr>
      <vt:lpstr>CaO</vt:lpstr>
      <vt:lpstr>CaO_BYPASS</vt:lpstr>
      <vt:lpstr>CaO_DUSTFILTER</vt:lpstr>
      <vt:lpstr>CaOnc_BYPASS</vt:lpstr>
      <vt:lpstr>CaOnc_DUSTSMOKE</vt:lpstr>
      <vt:lpstr>CL</vt:lpstr>
      <vt:lpstr>Cl_BYPASS</vt:lpstr>
      <vt:lpstr>Cl_HOTMEAL</vt:lpstr>
      <vt:lpstr>CLI_DUST</vt:lpstr>
      <vt:lpstr>CLI_FACTOR</vt:lpstr>
      <vt:lpstr>CO_BYPASSEXTRAC</vt:lpstr>
      <vt:lpstr>CO_EXHAUST</vt:lpstr>
      <vt:lpstr>CO_EXHAUSTCALCINER</vt:lpstr>
      <vt:lpstr>CO_KILNINLET</vt:lpstr>
      <vt:lpstr>CODE</vt:lpstr>
      <vt:lpstr>Cooler</vt:lpstr>
      <vt:lpstr>COOLHBL_ERROR</vt:lpstr>
      <vt:lpstr>CP_BYDUSTEXTRAC</vt:lpstr>
      <vt:lpstr>CP_BYDUSTQUENCH</vt:lpstr>
      <vt:lpstr>CP_BYPASSEXTRAC</vt:lpstr>
      <vt:lpstr>CP_BYPASSQUENCH</vt:lpstr>
      <vt:lpstr>CP_CLI</vt:lpstr>
      <vt:lpstr>CP_CLIDUST</vt:lpstr>
      <vt:lpstr>CP_CLIHOT</vt:lpstr>
      <vt:lpstr>CP_DUSTEXHAUST</vt:lpstr>
      <vt:lpstr>CP_EXHAUST</vt:lpstr>
      <vt:lpstr>CP_EXHAUSTCALCINER</vt:lpstr>
      <vt:lpstr>CP_EXHAUSTCALCINERman</vt:lpstr>
      <vt:lpstr>CP_EXHAUSTman</vt:lpstr>
      <vt:lpstr>CP_FALSEAIR</vt:lpstr>
      <vt:lpstr>CP_H2OCOOLER</vt:lpstr>
      <vt:lpstr>CP_H2Ovap</vt:lpstr>
      <vt:lpstr>CP_H2OvapTA</vt:lpstr>
      <vt:lpstr>CP_MEALDRY</vt:lpstr>
      <vt:lpstr>CP_MIDDLE</vt:lpstr>
      <vt:lpstr>CP_PRIMAIR</vt:lpstr>
      <vt:lpstr>CP_PRIMAIRCAL</vt:lpstr>
      <vt:lpstr>CP_SECONDAIR</vt:lpstr>
      <vt:lpstr>CP_TERTAIR</vt:lpstr>
      <vt:lpstr>CP_WASTE</vt:lpstr>
      <vt:lpstr>CP_WATER</vt:lpstr>
      <vt:lpstr>CPH2O_PRIMAIR</vt:lpstr>
      <vt:lpstr>CPH2O_PRIMAIRCAL</vt:lpstr>
      <vt:lpstr>'R&amp;C Kiln'!DATE</vt:lpstr>
      <vt:lpstr>'R&amp;C Planetary Cooler'!DATE</vt:lpstr>
      <vt:lpstr>'R&amp;C Preheater'!DATE</vt:lpstr>
      <vt:lpstr>'R&amp;C Tertiary Air Duct'!DATE</vt:lpstr>
      <vt:lpstr>'R&amp;C Kiln'!DATE01</vt:lpstr>
      <vt:lpstr>'R&amp;C Tertiary Air Duct'!DATE01</vt:lpstr>
      <vt:lpstr>DATE1</vt:lpstr>
      <vt:lpstr>DATE2</vt:lpstr>
      <vt:lpstr>HBL!DIAMETER</vt:lpstr>
      <vt:lpstr>'R&amp;C Kiln'!DIAMETER</vt:lpstr>
      <vt:lpstr>'R&amp;C Planetary Cooler'!DIAMETER</vt:lpstr>
      <vt:lpstr>'R&amp;C Preheater'!DIAMETER</vt:lpstr>
      <vt:lpstr>'R&amp;C Tertiary Air Duct'!DIAMETER</vt:lpstr>
      <vt:lpstr>DUSTBYPASS_CORR</vt:lpstr>
      <vt:lpstr>DUSTBYPASS_R2</vt:lpstr>
      <vt:lpstr>DUSTBYPASS_T2</vt:lpstr>
      <vt:lpstr>DUSTFILTER_CORR</vt:lpstr>
      <vt:lpstr>DUSTFILTER_R1</vt:lpstr>
      <vt:lpstr>DUSTFILTER_R2</vt:lpstr>
      <vt:lpstr>DUSTFILTER_T2</vt:lpstr>
      <vt:lpstr>'R&amp;C Kiln'!ETA1_K</vt:lpstr>
      <vt:lpstr>'R&amp;C Planetary Cooler'!ETA1_P</vt:lpstr>
      <vt:lpstr>'R&amp;C Preheater'!ETA1_PH</vt:lpstr>
      <vt:lpstr>ETA1_PH</vt:lpstr>
      <vt:lpstr>'R&amp;C Tertiary Air Duct'!ETA1_TA</vt:lpstr>
      <vt:lpstr>'R&amp;C Kiln'!ETA2_K</vt:lpstr>
      <vt:lpstr>'R&amp;C Planetary Cooler'!ETA2_P</vt:lpstr>
      <vt:lpstr>'R&amp;C Preheater'!ETA2_PH</vt:lpstr>
      <vt:lpstr>'R&amp;C Tertiary Air Duct'!ETA2_TA</vt:lpstr>
      <vt:lpstr>Fe2O3</vt:lpstr>
      <vt:lpstr>FEED_CALCINER</vt:lpstr>
      <vt:lpstr>FEED_R2</vt:lpstr>
      <vt:lpstr>FEED_T2</vt:lpstr>
      <vt:lpstr>FUEL1</vt:lpstr>
      <vt:lpstr>FUEL2</vt:lpstr>
      <vt:lpstr>FUEL3</vt:lpstr>
      <vt:lpstr>FUEL4</vt:lpstr>
      <vt:lpstr>FUEL5</vt:lpstr>
      <vt:lpstr>FUEL6</vt:lpstr>
      <vt:lpstr>FUELBZ1_R2</vt:lpstr>
      <vt:lpstr>FUELBZ2_R2</vt:lpstr>
      <vt:lpstr>FUELBZ3_R2</vt:lpstr>
      <vt:lpstr>FUELBZ4_R2</vt:lpstr>
      <vt:lpstr>FUELBZ5_R2</vt:lpstr>
      <vt:lpstr>FUELBZ6_R2</vt:lpstr>
      <vt:lpstr>FUELCZ1_R2</vt:lpstr>
      <vt:lpstr>FUELCZ2_R2</vt:lpstr>
      <vt:lpstr>FUELCZ3_R2</vt:lpstr>
      <vt:lpstr>FUELCZ4_R2</vt:lpstr>
      <vt:lpstr>FUELCZ5_R2</vt:lpstr>
      <vt:lpstr>FUELCZ6_R2</vt:lpstr>
      <vt:lpstr>FUELSF1_R2</vt:lpstr>
      <vt:lpstr>FUELSF2_R2</vt:lpstr>
      <vt:lpstr>FUELSF3_R2</vt:lpstr>
      <vt:lpstr>FUELSF4_R2</vt:lpstr>
      <vt:lpstr>FUELSF5_R2</vt:lpstr>
      <vt:lpstr>FUELSF6_R2</vt:lpstr>
      <vt:lpstr>H2O_BYPASS</vt:lpstr>
      <vt:lpstr>H2O_DRYCOAL</vt:lpstr>
      <vt:lpstr>H2O_DRYCOALCAL</vt:lpstr>
      <vt:lpstr>H2O_DUSTFILTER</vt:lpstr>
      <vt:lpstr>H2O_FEED</vt:lpstr>
      <vt:lpstr>H2O_FUEL1</vt:lpstr>
      <vt:lpstr>H2O_FUEL2</vt:lpstr>
      <vt:lpstr>H2O_FUEL3</vt:lpstr>
      <vt:lpstr>H2O_FUEL4</vt:lpstr>
      <vt:lpstr>H2O_FUEL5</vt:lpstr>
      <vt:lpstr>H2O_FUEL6</vt:lpstr>
      <vt:lpstr>H2O_PREHEATER</vt:lpstr>
      <vt:lpstr>H2O_RAWCOAL</vt:lpstr>
      <vt:lpstr>H2O_RAWCOALCAL</vt:lpstr>
      <vt:lpstr>H2O_Vmin1</vt:lpstr>
      <vt:lpstr>H2O_Vmin2</vt:lpstr>
      <vt:lpstr>H2O_Vmin3</vt:lpstr>
      <vt:lpstr>H2O_Vmin4</vt:lpstr>
      <vt:lpstr>H2O_Vmin5</vt:lpstr>
      <vt:lpstr>H2O_Vmin6</vt:lpstr>
      <vt:lpstr>H2OCOOLER_R1</vt:lpstr>
      <vt:lpstr>H2OCOOLER_R2</vt:lpstr>
      <vt:lpstr>H2OCOOLER_T2</vt:lpstr>
      <vt:lpstr>H2OVAPOR_COALMILL</vt:lpstr>
      <vt:lpstr>H2OVAPOR_COALMILLCAL</vt:lpstr>
      <vt:lpstr>K</vt:lpstr>
      <vt:lpstr>K2O_BYPASS</vt:lpstr>
      <vt:lpstr>K2O_CLINKER</vt:lpstr>
      <vt:lpstr>K2O_FEED</vt:lpstr>
      <vt:lpstr>K2O_HOTMEAL</vt:lpstr>
      <vt:lpstr>K2O_KILNDUST</vt:lpstr>
      <vt:lpstr>KILN_NO</vt:lpstr>
      <vt:lpstr>KILNHBL_ERROR</vt:lpstr>
      <vt:lpstr>'R&amp;C Kiln'!LAMBDA1</vt:lpstr>
      <vt:lpstr>'R&amp;C Planetary Cooler'!LAMBDA1</vt:lpstr>
      <vt:lpstr>'R&amp;C Preheater'!LAMBDA1</vt:lpstr>
      <vt:lpstr>'R&amp;C Tertiary Air Duct'!LAMBDA1</vt:lpstr>
      <vt:lpstr>'R&amp;C Kiln'!LAMBDA2</vt:lpstr>
      <vt:lpstr>'R&amp;C Planetary Cooler'!LAMBDA2</vt:lpstr>
      <vt:lpstr>'R&amp;C Preheater'!LAMBDA2</vt:lpstr>
      <vt:lpstr>'R&amp;C Tertiary Air Duct'!LAMBDA2</vt:lpstr>
      <vt:lpstr>HBL!Language</vt:lpstr>
      <vt:lpstr>'R&amp;C Kiln'!Language</vt:lpstr>
      <vt:lpstr>'R&amp;C Planetary Cooler'!Language</vt:lpstr>
      <vt:lpstr>'R&amp;C Preheater'!Language</vt:lpstr>
      <vt:lpstr>'R&amp;C Tertiary Air Duct'!Language</vt:lpstr>
      <vt:lpstr>HBL!LENGTH</vt:lpstr>
      <vt:lpstr>'R&amp;C Kiln'!LENGTH</vt:lpstr>
      <vt:lpstr>'R&amp;C Planetary Cooler'!LENGTH</vt:lpstr>
      <vt:lpstr>'R&amp;C Tertiary Air Duct'!LENGTH</vt:lpstr>
      <vt:lpstr>LHV_CO</vt:lpstr>
      <vt:lpstr>LHV_FUEL1</vt:lpstr>
      <vt:lpstr>LHV_FUEL2</vt:lpstr>
      <vt:lpstr>LHV_FUEL3</vt:lpstr>
      <vt:lpstr>LHV_FUEL4</vt:lpstr>
      <vt:lpstr>LHV_FUEL5</vt:lpstr>
      <vt:lpstr>LHV_FUEL6</vt:lpstr>
      <vt:lpstr>LHV_ORGMATTER</vt:lpstr>
      <vt:lpstr>LHV_PYRITE</vt:lpstr>
      <vt:lpstr>LOI_BYPASS</vt:lpstr>
      <vt:lpstr>LOI_CLI</vt:lpstr>
      <vt:lpstr>LOI_DUSTFILTER</vt:lpstr>
      <vt:lpstr>LOI_FEED</vt:lpstr>
      <vt:lpstr>M_BYPASS</vt:lpstr>
      <vt:lpstr>HBL!M_CLI</vt:lpstr>
      <vt:lpstr>'R&amp;C Kiln'!M_CLI</vt:lpstr>
      <vt:lpstr>'R&amp;C Planetary Cooler'!M_CLI</vt:lpstr>
      <vt:lpstr>'R&amp;C Preheater'!M_CLI</vt:lpstr>
      <vt:lpstr>'R&amp;C Tertiary Air Duct'!M_CLI</vt:lpstr>
      <vt:lpstr>'R&amp;C Kiln'!M_CLI2</vt:lpstr>
      <vt:lpstr>'R&amp;C Preheater'!M_CLI2</vt:lpstr>
      <vt:lpstr>'R&amp;C Tertiary Air Duct'!M_CLI2</vt:lpstr>
      <vt:lpstr>M_CLIDUST</vt:lpstr>
      <vt:lpstr>M_COALMILL</vt:lpstr>
      <vt:lpstr>M_COALMILLCAL</vt:lpstr>
      <vt:lpstr>M_DUSTFILTER</vt:lpstr>
      <vt:lpstr>M_FEED</vt:lpstr>
      <vt:lpstr>M_FUEL1</vt:lpstr>
      <vt:lpstr>M_FUEL2</vt:lpstr>
      <vt:lpstr>M_FUEL3</vt:lpstr>
      <vt:lpstr>M_FUEL4</vt:lpstr>
      <vt:lpstr>M_FUEL5</vt:lpstr>
      <vt:lpstr>M_FUEL6</vt:lpstr>
      <vt:lpstr>M_H2OCOOLER</vt:lpstr>
      <vt:lpstr>M_H2OFEED</vt:lpstr>
      <vt:lpstr>M_H2OFUEL</vt:lpstr>
      <vt:lpstr>M_H2OFUELCAL</vt:lpstr>
      <vt:lpstr>MASBAL_ERROR</vt:lpstr>
      <vt:lpstr>MBZ_FUEL1</vt:lpstr>
      <vt:lpstr>MBZ_FUEL2</vt:lpstr>
      <vt:lpstr>MBZ_FUEL3</vt:lpstr>
      <vt:lpstr>MBZ_FUEL4</vt:lpstr>
      <vt:lpstr>MBZ_FUEL5</vt:lpstr>
      <vt:lpstr>MBZ_FUEL6</vt:lpstr>
      <vt:lpstr>MCZ_FUEL1</vt:lpstr>
      <vt:lpstr>MCZ_FUEL2</vt:lpstr>
      <vt:lpstr>MCZ_FUEL3</vt:lpstr>
      <vt:lpstr>MCZ_FUEL4</vt:lpstr>
      <vt:lpstr>MCZ_FUEL5</vt:lpstr>
      <vt:lpstr>MCZ_FUEL6</vt:lpstr>
      <vt:lpstr>MgO</vt:lpstr>
      <vt:lpstr>MSF_FUEL1</vt:lpstr>
      <vt:lpstr>MSF_FUEL2</vt:lpstr>
      <vt:lpstr>MSF_FUEL3</vt:lpstr>
      <vt:lpstr>MSF_FUEL4</vt:lpstr>
      <vt:lpstr>MSF_FUEL5</vt:lpstr>
      <vt:lpstr>MSF_FUEL6</vt:lpstr>
      <vt:lpstr>Na</vt:lpstr>
      <vt:lpstr>Na2O_BYPASS</vt:lpstr>
      <vt:lpstr>Na2O_CLINKER</vt:lpstr>
      <vt:lpstr>Na2O_FEED</vt:lpstr>
      <vt:lpstr>Na2O_HOTMEAL</vt:lpstr>
      <vt:lpstr>Na2O_KILNDUST</vt:lpstr>
      <vt:lpstr>NOx_EXHAUST</vt:lpstr>
      <vt:lpstr>NOx_KILNINLET</vt:lpstr>
      <vt:lpstr>O2_BYPASSEXTRAC</vt:lpstr>
      <vt:lpstr>O2_BYPASSQUENCH</vt:lpstr>
      <vt:lpstr>O2_EXHAUST</vt:lpstr>
      <vt:lpstr>O2_EXHAUSTCALCINER</vt:lpstr>
      <vt:lpstr>O2_KILNINLET</vt:lpstr>
      <vt:lpstr>O2_PRECALEXIT</vt:lpstr>
      <vt:lpstr>O2_STACK</vt:lpstr>
      <vt:lpstr>ORG_MATTER</vt:lpstr>
      <vt:lpstr>P_mechconsidered</vt:lpstr>
      <vt:lpstr>'R&amp;C Kiln'!P_START</vt:lpstr>
      <vt:lpstr>'R&amp;C Planetary Cooler'!P_START</vt:lpstr>
      <vt:lpstr>'R&amp;C Tertiary Air Duct'!P_START</vt:lpstr>
      <vt:lpstr>HBL!PAMB</vt:lpstr>
      <vt:lpstr>'R&amp;C Kiln'!PAMB</vt:lpstr>
      <vt:lpstr>'R&amp;C Planetary Cooler'!PAMB</vt:lpstr>
      <vt:lpstr>'R&amp;C Preheater'!PAMB</vt:lpstr>
      <vt:lpstr>'R&amp;C Tertiary Air Duct'!PAMB</vt:lpstr>
      <vt:lpstr>HBL!PLANT_NAME</vt:lpstr>
      <vt:lpstr>'R&amp;C Kiln'!PLANT_NAME</vt:lpstr>
      <vt:lpstr>'R&amp;C Planetary Cooler'!PLANT_NAME</vt:lpstr>
      <vt:lpstr>'R&amp;C Preheater'!PLANT_NAME</vt:lpstr>
      <vt:lpstr>'R&amp;C Tertiary Air Duct'!PLANT_NAME</vt:lpstr>
      <vt:lpstr>'R&amp;C Kiln'!PLANT_NAME1</vt:lpstr>
      <vt:lpstr>'R&amp;C Preheater'!PLANT_NAME1</vt:lpstr>
      <vt:lpstr>'R&amp;C Tertiary Air Duct'!PLANT_NAME1</vt:lpstr>
      <vt:lpstr>PRECAL</vt:lpstr>
      <vt:lpstr>HBL!Print_Area</vt:lpstr>
      <vt:lpstr>Visualization!Print_Area</vt:lpstr>
      <vt:lpstr>PYRITE</vt:lpstr>
      <vt:lpstr>Q_BZ</vt:lpstr>
      <vt:lpstr>Q_CONDALK</vt:lpstr>
      <vt:lpstr>Q_CZ</vt:lpstr>
      <vt:lpstr>Q_FUEL</vt:lpstr>
      <vt:lpstr>Q_FUELALT</vt:lpstr>
      <vt:lpstr>Q_FUELCON</vt:lpstr>
      <vt:lpstr>Q_ORGMATTER</vt:lpstr>
      <vt:lpstr>Q_SF</vt:lpstr>
      <vt:lpstr>QIN_OTHER</vt:lpstr>
      <vt:lpstr>QIN_OTHERCOOLER</vt:lpstr>
      <vt:lpstr>QOUT_CaOBYPASS</vt:lpstr>
      <vt:lpstr>QOUT_CLIFORM</vt:lpstr>
      <vt:lpstr>QOUT_CO</vt:lpstr>
      <vt:lpstr>QOUT_COBYPASS</vt:lpstr>
      <vt:lpstr>QOUT_COCALCINER</vt:lpstr>
      <vt:lpstr>QOUT_COOLRAD</vt:lpstr>
      <vt:lpstr>QOUT_H2OCOOLER</vt:lpstr>
      <vt:lpstr>QOUT_H2OFEED</vt:lpstr>
      <vt:lpstr>QOUT_H2OPREHEAT</vt:lpstr>
      <vt:lpstr>QOUT_KILNRAD</vt:lpstr>
      <vt:lpstr>QOUT_OTHER</vt:lpstr>
      <vt:lpstr>QOUT_OTHERCOOLER</vt:lpstr>
      <vt:lpstr>QOUT_PREHEATER</vt:lpstr>
      <vt:lpstr>QOUT_SULFUR_ALCALI</vt:lpstr>
      <vt:lpstr>QOUT_TERTIARYDUCT</vt:lpstr>
      <vt:lpstr>QP_BZ</vt:lpstr>
      <vt:lpstr>QP_CZ</vt:lpstr>
      <vt:lpstr>'R&amp;C Kiln'!QRADKLN</vt:lpstr>
      <vt:lpstr>'R&amp;C Planetary Cooler'!QRADKLN</vt:lpstr>
      <vt:lpstr>'R&amp;C Tertiary Air Duct'!QRADKLN</vt:lpstr>
      <vt:lpstr>'R&amp;C Kiln'!QTOT</vt:lpstr>
      <vt:lpstr>'R&amp;C Planetary Cooler'!QTOT</vt:lpstr>
      <vt:lpstr>'R&amp;C Tertiary Air Duct'!QTOT</vt:lpstr>
      <vt:lpstr>RELHUM</vt:lpstr>
      <vt:lpstr>'R&amp;C Kiln'!RHO_AMB</vt:lpstr>
      <vt:lpstr>'R&amp;C Planetary Cooler'!RHO_AMB</vt:lpstr>
      <vt:lpstr>'R&amp;C Preheater'!RHO_AMB</vt:lpstr>
      <vt:lpstr>'R&amp;C Tertiary Air Duct'!RHO_AMB</vt:lpstr>
      <vt:lpstr>S</vt:lpstr>
      <vt:lpstr>SECFIRING</vt:lpstr>
      <vt:lpstr>SHIN_CLIHOT</vt:lpstr>
      <vt:lpstr>SHIN_COOLAIR</vt:lpstr>
      <vt:lpstr>SHIN_FALSEAIR</vt:lpstr>
      <vt:lpstr>SHIN_FEED</vt:lpstr>
      <vt:lpstr>SHIN_FEEDWATER</vt:lpstr>
      <vt:lpstr>SHIN_FUEL</vt:lpstr>
      <vt:lpstr>SHIN_FUELALT</vt:lpstr>
      <vt:lpstr>SHIN_FUELCON</vt:lpstr>
      <vt:lpstr>SHIN_H2OCOOLER</vt:lpstr>
      <vt:lpstr>SHIN_H2OPREHEAT</vt:lpstr>
      <vt:lpstr>SHIN_MEALDRY</vt:lpstr>
      <vt:lpstr>SHIN_PRIMAIR</vt:lpstr>
      <vt:lpstr>SHOUT_BYPASSDUST</vt:lpstr>
      <vt:lpstr>SHOUT_BYPASSGAS</vt:lpstr>
      <vt:lpstr>SHOUT_CLINKER</vt:lpstr>
      <vt:lpstr>SHOUT_DUST</vt:lpstr>
      <vt:lpstr>SHOUT_DUSTCALCINER</vt:lpstr>
      <vt:lpstr>SHOUT_EXHAUST</vt:lpstr>
      <vt:lpstr>SHOUT_EXHAUSTCALCINER</vt:lpstr>
      <vt:lpstr>SHOUT_H2OCOOLER</vt:lpstr>
      <vt:lpstr>SHOUT_MIDDLE</vt:lpstr>
      <vt:lpstr>SHOUT_SECONDAIR</vt:lpstr>
      <vt:lpstr>SHOUT_TERTAIR</vt:lpstr>
      <vt:lpstr>SHOUT_WASTE</vt:lpstr>
      <vt:lpstr>SHOUT_WASTEandH2O</vt:lpstr>
      <vt:lpstr>SiO2_CLI</vt:lpstr>
      <vt:lpstr>SO2_STACK</vt:lpstr>
      <vt:lpstr>SO3_BYPASS</vt:lpstr>
      <vt:lpstr>SO3_CLINKER</vt:lpstr>
      <vt:lpstr>SO3_FEED</vt:lpstr>
      <vt:lpstr>SO3_HOTMEAL</vt:lpstr>
      <vt:lpstr>SO3_KILNDUST</vt:lpstr>
      <vt:lpstr>T_BYPASSEXTRAC</vt:lpstr>
      <vt:lpstr>T_BYPASSQUENCH</vt:lpstr>
      <vt:lpstr>T_CENTRALAIR</vt:lpstr>
      <vt:lpstr>T_CLI</vt:lpstr>
      <vt:lpstr>T_CLIHOT</vt:lpstr>
      <vt:lpstr>T_EXHAUST</vt:lpstr>
      <vt:lpstr>T_EXHAUSTCALCINER</vt:lpstr>
      <vt:lpstr>T_FAN1</vt:lpstr>
      <vt:lpstr>T_FAN10</vt:lpstr>
      <vt:lpstr>T_FAN11</vt:lpstr>
      <vt:lpstr>T_FAN12</vt:lpstr>
      <vt:lpstr>T_FAN13</vt:lpstr>
      <vt:lpstr>T_FAN2</vt:lpstr>
      <vt:lpstr>T_FAN3</vt:lpstr>
      <vt:lpstr>T_FAN4</vt:lpstr>
      <vt:lpstr>T_FAN5</vt:lpstr>
      <vt:lpstr>T_FAN6</vt:lpstr>
      <vt:lpstr>T_FAN7</vt:lpstr>
      <vt:lpstr>T_FAN8</vt:lpstr>
      <vt:lpstr>T_FAN9</vt:lpstr>
      <vt:lpstr>T_FEED</vt:lpstr>
      <vt:lpstr>T_H2OCOOLER</vt:lpstr>
      <vt:lpstr>T_MIDDLE</vt:lpstr>
      <vt:lpstr>T_PRIMAIR</vt:lpstr>
      <vt:lpstr>T_PRIMAIRJET</vt:lpstr>
      <vt:lpstr>T_PRIMAIRPRECAL</vt:lpstr>
      <vt:lpstr>T_PRIMAIRSWIRL</vt:lpstr>
      <vt:lpstr>T_PRIMAIRTRANS</vt:lpstr>
      <vt:lpstr>T_QUENCHAIR</vt:lpstr>
      <vt:lpstr>T_SECONDAIR</vt:lpstr>
      <vt:lpstr>'R&amp;C Kiln'!T_START</vt:lpstr>
      <vt:lpstr>'R&amp;C Planetary Cooler'!T_START</vt:lpstr>
      <vt:lpstr>'R&amp;C Tertiary Air Duct'!T_START</vt:lpstr>
      <vt:lpstr>T_TERTAIR</vt:lpstr>
      <vt:lpstr>T_WASTE</vt:lpstr>
      <vt:lpstr>HBL!TAMB</vt:lpstr>
      <vt:lpstr>'R&amp;C Kiln'!TAMB</vt:lpstr>
      <vt:lpstr>'R&amp;C Planetary Cooler'!TAMB</vt:lpstr>
      <vt:lpstr>'R&amp;C Preheater'!TAMB</vt:lpstr>
      <vt:lpstr>'R&amp;C Tertiary Air Duct'!TAMB</vt:lpstr>
      <vt:lpstr>Text_hbl</vt:lpstr>
      <vt:lpstr>'R&amp;C Kiln'!text_rc</vt:lpstr>
      <vt:lpstr>'R&amp;C Planetary Cooler'!text_rc</vt:lpstr>
      <vt:lpstr>'R&amp;C Preheater'!text_rc</vt:lpstr>
      <vt:lpstr>'R&amp;C Tertiary Air Duct'!text_rc</vt:lpstr>
      <vt:lpstr>TIME</vt:lpstr>
      <vt:lpstr>TIME1</vt:lpstr>
      <vt:lpstr>TIME2</vt:lpstr>
      <vt:lpstr>V_PRECALAIR</vt:lpstr>
      <vt:lpstr>Vmin_FUEL1</vt:lpstr>
      <vt:lpstr>Vmin_FUEL2</vt:lpstr>
      <vt:lpstr>Vmin_FUEL3</vt:lpstr>
      <vt:lpstr>Vmin_FUEL4</vt:lpstr>
      <vt:lpstr>Vmin_FUEL5</vt:lpstr>
      <vt:lpstr>Vmin_FUEL6</vt:lpstr>
      <vt:lpstr>VN_AminBZ</vt:lpstr>
      <vt:lpstr>VN_AminCZ</vt:lpstr>
      <vt:lpstr>VN_BYPASS</vt:lpstr>
      <vt:lpstr>VN_BYPASSBALANCE</vt:lpstr>
      <vt:lpstr>VN_BYPASSO2</vt:lpstr>
      <vt:lpstr>VN_BZTRANSAIR</vt:lpstr>
      <vt:lpstr>VN_CENTRALAIR</vt:lpstr>
      <vt:lpstr>VN_COEXHAUST</vt:lpstr>
      <vt:lpstr>VN_COEXHAUSTCALCINER</vt:lpstr>
      <vt:lpstr>VN_COMBUSTION</vt:lpstr>
      <vt:lpstr>VN_COOLAIR</vt:lpstr>
      <vt:lpstr>VN_EXCESS</vt:lpstr>
      <vt:lpstr>VN_EXCESSINLET</vt:lpstr>
      <vt:lpstr>VN_EXHAUSTCOMBCO2</vt:lpstr>
      <vt:lpstr>VN_EXHAUSTCOMBCO2CALCINER</vt:lpstr>
      <vt:lpstr>VN_EXHAUSTDRY</vt:lpstr>
      <vt:lpstr>VN_EXHAUSTDRYCALCINER</vt:lpstr>
      <vt:lpstr>VN_EXHAUSTWET</vt:lpstr>
      <vt:lpstr>VN_EXHAUSTWETCALCINER</vt:lpstr>
      <vt:lpstr>VN_FALSECOOLER</vt:lpstr>
      <vt:lpstr>VN_FALSEKILNHOOD</vt:lpstr>
      <vt:lpstr>VN_FAN1</vt:lpstr>
      <vt:lpstr>VN_FAN10</vt:lpstr>
      <vt:lpstr>VN_FAN11</vt:lpstr>
      <vt:lpstr>VN_FAN12</vt:lpstr>
      <vt:lpstr>VN_FAN13</vt:lpstr>
      <vt:lpstr>VN_FAN2</vt:lpstr>
      <vt:lpstr>VN_FAN3</vt:lpstr>
      <vt:lpstr>VN_FAN4</vt:lpstr>
      <vt:lpstr>VN_FAN5</vt:lpstr>
      <vt:lpstr>VN_FAN6</vt:lpstr>
      <vt:lpstr>VN_FAN7</vt:lpstr>
      <vt:lpstr>VN_FAN8</vt:lpstr>
      <vt:lpstr>VN_FAN9</vt:lpstr>
      <vt:lpstr>VN_H2OAIR</vt:lpstr>
      <vt:lpstr>VN_H2OCOOLER</vt:lpstr>
      <vt:lpstr>VN_H2OFEED</vt:lpstr>
      <vt:lpstr>VN_H2OFUEL</vt:lpstr>
      <vt:lpstr>VN_JETAIR</vt:lpstr>
      <vt:lpstr>VN_MIDDLE</vt:lpstr>
      <vt:lpstr>VN_PRIMAIR</vt:lpstr>
      <vt:lpstr>VN_PRIMAIRCAL</vt:lpstr>
      <vt:lpstr>VN_PRIMCOMB</vt:lpstr>
      <vt:lpstr>VN_PRIMCOMBCAL</vt:lpstr>
      <vt:lpstr>VN_PRIMDIRECT</vt:lpstr>
      <vt:lpstr>VN_PRIMDIRECTCAL</vt:lpstr>
      <vt:lpstr>VN_PRIMINDIRECTCAL</vt:lpstr>
      <vt:lpstr>VN_QUENCHAIR</vt:lpstr>
      <vt:lpstr>VN_RAWMEAL</vt:lpstr>
      <vt:lpstr>VN_SECONDAIR</vt:lpstr>
      <vt:lpstr>VN_SWIRLAIR</vt:lpstr>
      <vt:lpstr>VN_TERTAIR</vt:lpstr>
      <vt:lpstr>VN_WASTE</vt:lpstr>
      <vt:lpstr>VN_WASTECALC</vt:lpstr>
      <vt:lpstr>VNCO_BYPASS</vt:lpstr>
      <vt:lpstr>VNSP_COOLAIR</vt:lpstr>
      <vt:lpstr>VNSP_EXCESSINLET</vt:lpstr>
      <vt:lpstr>VNSP_EXHAUSTDRY</vt:lpstr>
      <vt:lpstr>VNSP_EXHAUSTWET</vt:lpstr>
      <vt:lpstr>VNSP_EXHAUSTWETCALCINER</vt:lpstr>
      <vt:lpstr>VNSP_FALSECOOLER</vt:lpstr>
      <vt:lpstr>VNSP_INLET</vt:lpstr>
      <vt:lpstr>VNSP_MIDDLE</vt:lpstr>
      <vt:lpstr>VNSP_OUTLETSEAL</vt:lpstr>
      <vt:lpstr>VNSP_PRIMCOMB</vt:lpstr>
      <vt:lpstr>VNSP_SECONDAIR</vt:lpstr>
      <vt:lpstr>VNSP_TERTAIR</vt:lpstr>
      <vt:lpstr>VNSP_WASTE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Engmann</dc:creator>
  <cp:lastModifiedBy>Rupinder Phougat</cp:lastModifiedBy>
  <cp:lastPrinted>2012-07-13T08:08:41Z</cp:lastPrinted>
  <dcterms:created xsi:type="dcterms:W3CDTF">1999-05-10T09:35:43Z</dcterms:created>
  <dcterms:modified xsi:type="dcterms:W3CDTF">2012-11-05T15:01:49Z</dcterms:modified>
</cp:coreProperties>
</file>