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585" yWindow="-15" windowWidth="9630" windowHeight="11640" firstSheet="1" activeTab="1"/>
  </bookViews>
  <sheets>
    <sheet name="Template" sheetId="2" state="hidden" r:id="rId1"/>
    <sheet name="General" sheetId="1" r:id="rId2"/>
    <sheet name="T,P, O2" sheetId="4" r:id="rId3"/>
    <sheet name="Geometry" sheetId="7" r:id="rId4"/>
    <sheet name="Calculations" sheetId="5" r:id="rId5"/>
    <sheet name="Evaluation" sheetId="6" r:id="rId6"/>
    <sheet name="Sheet1" sheetId="3" state="hidden" r:id="rId7"/>
  </sheets>
  <definedNames>
    <definedName name="pamb" localSheetId="3">Geometry!#REF!</definedName>
    <definedName name="pamb">'T,P, O2'!$AC$106</definedName>
    <definedName name="_xlnm.Print_Area" localSheetId="4">Calculations!$A$1:$Q$167</definedName>
    <definedName name="_xlnm.Print_Area" localSheetId="5">Evaluation!$A$1:$O$189</definedName>
    <definedName name="_xlnm.Print_Area" localSheetId="3">Geometry!$B$3:$AA$73</definedName>
    <definedName name="_xlnm.Print_Area" localSheetId="6">Sheet1!$A$1:$M$2</definedName>
    <definedName name="_xlnm.Print_Area" localSheetId="2">'T,P, O2'!$B$4:$AL$80</definedName>
    <definedName name="_xlnm.Print_Area" localSheetId="0">Template!$A$1:$I$41</definedName>
    <definedName name="_xlnm.Print_Titles" localSheetId="4">Calculations!$1:$3</definedName>
    <definedName name="_xlnm.Print_Titles" localSheetId="5">Evaluation!$1:$5</definedName>
    <definedName name="_xlnm.Print_Titles" localSheetId="3">Geometry!$1:$1</definedName>
    <definedName name="_xlnm.Print_Titles" localSheetId="2">'T,P, O2'!$1:$1</definedName>
    <definedName name="_xlnm.Print_Titles" localSheetId="0">Template!$1:$1</definedName>
  </definedNames>
  <calcPr calcId="145621" iterate="1" iterateDelta="0.01"/>
</workbook>
</file>

<file path=xl/calcChain.xml><?xml version="1.0" encoding="utf-8"?>
<calcChain xmlns="http://schemas.openxmlformats.org/spreadsheetml/2006/main">
  <c r="G56" i="5" l="1"/>
  <c r="G29" i="5" l="1"/>
  <c r="H29" i="5"/>
  <c r="I29" i="5"/>
  <c r="J29" i="5"/>
  <c r="K29" i="5"/>
  <c r="J48" i="5" l="1"/>
  <c r="J99" i="5"/>
  <c r="J155" i="5"/>
  <c r="X30" i="6" l="1"/>
  <c r="Y30" i="6"/>
  <c r="Z30" i="6" s="1"/>
  <c r="Z31" i="6"/>
  <c r="Y31" i="6"/>
  <c r="X31" i="6"/>
  <c r="W31" i="6"/>
  <c r="V31" i="6"/>
  <c r="W30" i="6"/>
  <c r="V30" i="6"/>
  <c r="U31" i="6"/>
  <c r="U30" i="6"/>
  <c r="D59" i="1" l="1"/>
  <c r="F69" i="1" l="1"/>
  <c r="AE48" i="4"/>
  <c r="I30" i="6"/>
  <c r="I30" i="5" l="1"/>
  <c r="G33" i="5" l="1"/>
  <c r="G28" i="5"/>
  <c r="BD93" i="4" l="1"/>
  <c r="AW93" i="4"/>
  <c r="AQ109" i="4"/>
  <c r="AP93" i="4"/>
  <c r="AZ125" i="4"/>
  <c r="BG125" i="4"/>
  <c r="AS125" i="4"/>
  <c r="G73" i="5"/>
  <c r="BF88" i="4"/>
  <c r="E82" i="1"/>
  <c r="BF91" i="4" s="1"/>
  <c r="AY91" i="4" l="1"/>
  <c r="AR91" i="4"/>
  <c r="X113" i="6"/>
  <c r="X114" i="6" s="1"/>
  <c r="X115" i="6" s="1"/>
  <c r="X116" i="6" s="1"/>
  <c r="F170" i="6"/>
  <c r="O131" i="6"/>
  <c r="V75" i="6"/>
  <c r="U65" i="6"/>
  <c r="BB145" i="4"/>
  <c r="BC145" i="4"/>
  <c r="BB146" i="4"/>
  <c r="BC146" i="4"/>
  <c r="BA146" i="4"/>
  <c r="BA145" i="4"/>
  <c r="AX145" i="4"/>
  <c r="AY145" i="4"/>
  <c r="AX146" i="4"/>
  <c r="AY146" i="4"/>
  <c r="AW146" i="4"/>
  <c r="AW145" i="4"/>
  <c r="AT145" i="4"/>
  <c r="AU145" i="4"/>
  <c r="AT146" i="4"/>
  <c r="AU146" i="4"/>
  <c r="AS146" i="4"/>
  <c r="AS145" i="4"/>
  <c r="AP146" i="4"/>
  <c r="AQ146" i="4"/>
  <c r="AO146" i="4"/>
  <c r="AP145" i="4"/>
  <c r="AQ145" i="4"/>
  <c r="AO145" i="4"/>
  <c r="J95" i="5"/>
  <c r="AD113" i="6"/>
  <c r="AC113" i="6"/>
  <c r="T113" i="6"/>
  <c r="S113" i="6"/>
  <c r="N6" i="4"/>
  <c r="J44" i="5"/>
  <c r="BE90" i="4"/>
  <c r="L5" i="4"/>
  <c r="AQ89" i="4"/>
  <c r="O93" i="6"/>
  <c r="E62" i="1"/>
  <c r="L63" i="1" s="1"/>
  <c r="J63" i="1" s="1"/>
  <c r="I63" i="1" s="1"/>
  <c r="E63" i="1"/>
  <c r="L81" i="1" s="1"/>
  <c r="J81" i="1" s="1"/>
  <c r="I81" i="1" s="1"/>
  <c r="O56" i="6"/>
  <c r="E79" i="1"/>
  <c r="E78" i="1"/>
  <c r="I10" i="5" s="1"/>
  <c r="AQ90" i="4"/>
  <c r="E11" i="5"/>
  <c r="E118" i="5" s="1"/>
  <c r="E13" i="5"/>
  <c r="E117" i="5"/>
  <c r="E22" i="5"/>
  <c r="F22" i="5" s="1"/>
  <c r="F23" i="5" s="1"/>
  <c r="M22" i="5"/>
  <c r="T66" i="6" s="1"/>
  <c r="M73" i="5"/>
  <c r="U66" i="6" s="1"/>
  <c r="M130" i="5"/>
  <c r="V66" i="6" s="1"/>
  <c r="N22" i="5"/>
  <c r="E12" i="5"/>
  <c r="N20" i="5"/>
  <c r="N28" i="5"/>
  <c r="N29" i="5" s="1"/>
  <c r="P128" i="5"/>
  <c r="G107" i="6" s="1"/>
  <c r="O128" i="5"/>
  <c r="G99" i="6" s="1"/>
  <c r="N128" i="5"/>
  <c r="M128" i="5"/>
  <c r="G100" i="6" s="1"/>
  <c r="O130" i="5"/>
  <c r="N130" i="5"/>
  <c r="N73" i="5"/>
  <c r="N71" i="5"/>
  <c r="M71" i="5"/>
  <c r="G63" i="6" s="1"/>
  <c r="N79" i="5"/>
  <c r="M20" i="5"/>
  <c r="G23" i="6" s="1"/>
  <c r="C4" i="4"/>
  <c r="AO50" i="4"/>
  <c r="AP50" i="4"/>
  <c r="AP51" i="4"/>
  <c r="AO51" i="4"/>
  <c r="AT51" i="4"/>
  <c r="AP52" i="4"/>
  <c r="AO52" i="4"/>
  <c r="AT52" i="4" s="1"/>
  <c r="K130" i="5"/>
  <c r="T4" i="4"/>
  <c r="J130" i="5"/>
  <c r="L103" i="6" s="1"/>
  <c r="C5" i="4"/>
  <c r="G51" i="1"/>
  <c r="G50" i="1"/>
  <c r="C62" i="1"/>
  <c r="B5" i="4"/>
  <c r="O22" i="5"/>
  <c r="L22" i="6" s="1"/>
  <c r="BF89" i="4"/>
  <c r="BD89" i="4" s="1"/>
  <c r="AR109" i="4"/>
  <c r="AY109" i="4" s="1"/>
  <c r="AX90" i="4"/>
  <c r="AX91" i="4" s="1"/>
  <c r="AR72" i="4"/>
  <c r="AR88" i="4"/>
  <c r="AP88" i="4" s="1"/>
  <c r="AY88" i="4"/>
  <c r="AW88" i="4" s="1"/>
  <c r="AY89" i="4"/>
  <c r="AW89" i="4" s="1"/>
  <c r="BD88" i="4"/>
  <c r="I62" i="4"/>
  <c r="M62" i="4"/>
  <c r="L69" i="5"/>
  <c r="L68" i="5"/>
  <c r="E55" i="5"/>
  <c r="F55" i="5"/>
  <c r="M16" i="5"/>
  <c r="M55" i="5" s="1"/>
  <c r="M67" i="5" s="1"/>
  <c r="M88" i="5" s="1"/>
  <c r="M106" i="5" s="1"/>
  <c r="N37" i="5"/>
  <c r="N55" i="5"/>
  <c r="O37" i="5"/>
  <c r="O55" i="5"/>
  <c r="AP15" i="4"/>
  <c r="AO15" i="4"/>
  <c r="AO24" i="4" s="1"/>
  <c r="AO35" i="4" s="1"/>
  <c r="AP16" i="4"/>
  <c r="AP25" i="4" s="1"/>
  <c r="AP36" i="4" s="1"/>
  <c r="AO16" i="4"/>
  <c r="AO25" i="4" s="1"/>
  <c r="AP17" i="4"/>
  <c r="AP26" i="4" s="1"/>
  <c r="AP37" i="4" s="1"/>
  <c r="AO17" i="4"/>
  <c r="AO26" i="4"/>
  <c r="AP27" i="4"/>
  <c r="AP38" i="4"/>
  <c r="AO27" i="4"/>
  <c r="AO38" i="4"/>
  <c r="AP28" i="4"/>
  <c r="AP39" i="4"/>
  <c r="AO28" i="4"/>
  <c r="AP29" i="4"/>
  <c r="AP40" i="4" s="1"/>
  <c r="AO29" i="4"/>
  <c r="AO40" i="4" s="1"/>
  <c r="AP41" i="4"/>
  <c r="AO41" i="4"/>
  <c r="AP42" i="4"/>
  <c r="AO42" i="4"/>
  <c r="AP43" i="4"/>
  <c r="AO43" i="4"/>
  <c r="AT43" i="4" s="1"/>
  <c r="D22" i="5"/>
  <c r="D20" i="5"/>
  <c r="G32" i="6" s="1"/>
  <c r="D17" i="5"/>
  <c r="C31" i="6" s="1"/>
  <c r="E20" i="5"/>
  <c r="G31" i="6" s="1"/>
  <c r="E17" i="5"/>
  <c r="C30" i="6" s="1"/>
  <c r="F20" i="5"/>
  <c r="G30" i="6" s="1"/>
  <c r="F17" i="5"/>
  <c r="G22" i="5"/>
  <c r="T65" i="6" s="1"/>
  <c r="G20" i="5"/>
  <c r="G29" i="6" s="1"/>
  <c r="G17" i="5"/>
  <c r="C29" i="6" s="1"/>
  <c r="H22" i="5"/>
  <c r="L28" i="6" s="1"/>
  <c r="H20" i="5"/>
  <c r="G28" i="6" s="1"/>
  <c r="H17" i="5"/>
  <c r="C28" i="6" s="1"/>
  <c r="L42" i="6" s="1"/>
  <c r="I22" i="5"/>
  <c r="L27" i="6" s="1"/>
  <c r="I20" i="5"/>
  <c r="G27" i="6" s="1"/>
  <c r="I17" i="5"/>
  <c r="C27" i="6" s="1"/>
  <c r="L41" i="6" s="1"/>
  <c r="J22" i="5"/>
  <c r="L26" i="6" s="1"/>
  <c r="J20" i="5"/>
  <c r="G26" i="6" s="1"/>
  <c r="J17" i="5"/>
  <c r="C26" i="6" s="1"/>
  <c r="L40" i="6" s="1"/>
  <c r="K22" i="5"/>
  <c r="K20" i="5"/>
  <c r="K17" i="5"/>
  <c r="M17" i="5"/>
  <c r="C23" i="6" s="1"/>
  <c r="O20" i="5"/>
  <c r="G22" i="6" s="1"/>
  <c r="P20" i="5"/>
  <c r="P17" i="5"/>
  <c r="C32" i="6" s="1"/>
  <c r="L22" i="5"/>
  <c r="M23" i="5" s="1"/>
  <c r="L20" i="5"/>
  <c r="L17" i="5"/>
  <c r="T67" i="4"/>
  <c r="X67" i="4"/>
  <c r="M85" i="1"/>
  <c r="M86" i="1" s="1"/>
  <c r="D77" i="1" s="1"/>
  <c r="E162" i="5"/>
  <c r="F145" i="5"/>
  <c r="E145" i="5"/>
  <c r="G130" i="5"/>
  <c r="V65" i="6" s="1"/>
  <c r="G128" i="5"/>
  <c r="G129" i="5" s="1"/>
  <c r="G125" i="5"/>
  <c r="C106" i="6" s="1"/>
  <c r="L118" i="6" s="1"/>
  <c r="E136" i="5"/>
  <c r="E137" i="5" s="1"/>
  <c r="F136" i="5"/>
  <c r="F137" i="5" s="1"/>
  <c r="E119" i="5"/>
  <c r="O73" i="5"/>
  <c r="L62" i="6" s="1"/>
  <c r="AO72" i="4"/>
  <c r="AU72" i="4"/>
  <c r="J30" i="5"/>
  <c r="J27" i="5"/>
  <c r="O3" i="7"/>
  <c r="F3" i="7"/>
  <c r="U4" i="4"/>
  <c r="AO78" i="4"/>
  <c r="AU82" i="4"/>
  <c r="AU81" i="4"/>
  <c r="AE62" i="4"/>
  <c r="G136" i="5"/>
  <c r="G137" i="5" s="1"/>
  <c r="G135" i="5"/>
  <c r="AR15" i="4"/>
  <c r="AR24" i="4" s="1"/>
  <c r="AR35" i="4" s="1"/>
  <c r="AR16" i="4"/>
  <c r="AR25" i="4" s="1"/>
  <c r="AR36" i="4" s="1"/>
  <c r="AR17" i="4"/>
  <c r="AR26" i="4" s="1"/>
  <c r="AR37" i="4" s="1"/>
  <c r="AJ28" i="6"/>
  <c r="AJ27" i="6"/>
  <c r="AJ26" i="6"/>
  <c r="AJ25" i="6"/>
  <c r="AJ23" i="6"/>
  <c r="AJ22" i="6"/>
  <c r="AI22" i="6"/>
  <c r="AJ112" i="6"/>
  <c r="AD112" i="6"/>
  <c r="AC112" i="6"/>
  <c r="T112" i="6"/>
  <c r="S112" i="6"/>
  <c r="W112" i="6" s="1"/>
  <c r="W113" i="6" s="1"/>
  <c r="W114" i="6" s="1"/>
  <c r="W115" i="6" s="1"/>
  <c r="W116" i="6" s="1"/>
  <c r="K125" i="5"/>
  <c r="K126" i="5"/>
  <c r="J125" i="5"/>
  <c r="C103" i="6" s="1"/>
  <c r="L115" i="6" s="1"/>
  <c r="J126" i="5"/>
  <c r="M115" i="6" s="1"/>
  <c r="I125" i="5"/>
  <c r="C104" i="6" s="1"/>
  <c r="L116" i="6" s="1"/>
  <c r="I126" i="5"/>
  <c r="M116" i="6" s="1"/>
  <c r="H125" i="5"/>
  <c r="C105" i="6" s="1"/>
  <c r="L117" i="6" s="1"/>
  <c r="H126" i="5"/>
  <c r="M117" i="6" s="1"/>
  <c r="G126" i="5"/>
  <c r="M118" i="6" s="1"/>
  <c r="L125" i="5"/>
  <c r="L126" i="5"/>
  <c r="H130" i="5"/>
  <c r="L105" i="6" s="1"/>
  <c r="H128" i="5"/>
  <c r="G105" i="6" s="1"/>
  <c r="I130" i="5"/>
  <c r="I128" i="5"/>
  <c r="G104" i="6" s="1"/>
  <c r="J128" i="5"/>
  <c r="G103" i="6" s="1"/>
  <c r="K128" i="5"/>
  <c r="G102" i="6" s="1"/>
  <c r="L130" i="5"/>
  <c r="L128" i="5"/>
  <c r="AI23" i="6"/>
  <c r="AK23" i="6"/>
  <c r="AK24" i="6"/>
  <c r="AK25" i="6"/>
  <c r="AI26" i="6"/>
  <c r="AK26" i="6"/>
  <c r="AI27" i="6"/>
  <c r="AK27" i="6"/>
  <c r="AI28" i="6"/>
  <c r="AK28" i="6"/>
  <c r="AK22" i="6"/>
  <c r="AK96" i="6"/>
  <c r="AC106" i="6"/>
  <c r="AD106" i="6"/>
  <c r="AC105" i="6"/>
  <c r="AD105" i="6"/>
  <c r="AC104" i="6"/>
  <c r="AD104" i="6"/>
  <c r="L64" i="1"/>
  <c r="J64" i="1" s="1"/>
  <c r="I64" i="1" s="1"/>
  <c r="AC101" i="6"/>
  <c r="AD101" i="6"/>
  <c r="A100" i="6"/>
  <c r="F100" i="6" s="1"/>
  <c r="AC100" i="6"/>
  <c r="AD100" i="6"/>
  <c r="A99" i="6"/>
  <c r="F99" i="6" s="1"/>
  <c r="AC99" i="6"/>
  <c r="AD99" i="6"/>
  <c r="L71" i="5"/>
  <c r="K71" i="5"/>
  <c r="J71" i="5"/>
  <c r="G66" i="6" s="1"/>
  <c r="I71" i="5"/>
  <c r="G67" i="6" s="1"/>
  <c r="H71" i="5"/>
  <c r="G68" i="6" s="1"/>
  <c r="G71" i="5"/>
  <c r="G69" i="6" s="1"/>
  <c r="P125" i="5"/>
  <c r="C107" i="6" s="1"/>
  <c r="M125" i="5"/>
  <c r="C100" i="6" s="1"/>
  <c r="U100" i="6"/>
  <c r="Z100" i="6"/>
  <c r="X100" i="6"/>
  <c r="V99" i="6"/>
  <c r="W99" i="6"/>
  <c r="X99" i="6"/>
  <c r="Y99" i="6"/>
  <c r="Z99" i="6"/>
  <c r="V100" i="6"/>
  <c r="Y100" i="6"/>
  <c r="U99" i="6"/>
  <c r="F108" i="6"/>
  <c r="F107" i="6"/>
  <c r="D107" i="6"/>
  <c r="AG108" i="6"/>
  <c r="AB107" i="6"/>
  <c r="AG107" i="6" s="1"/>
  <c r="K73" i="5"/>
  <c r="J73" i="5"/>
  <c r="L66" i="6" s="1"/>
  <c r="AQ15" i="4"/>
  <c r="AQ24" i="4" s="1"/>
  <c r="AQ35" i="4" s="1"/>
  <c r="AQ16" i="4"/>
  <c r="AQ25" i="4" s="1"/>
  <c r="AQ36" i="4" s="1"/>
  <c r="AQ41" i="4"/>
  <c r="AQ17" i="4"/>
  <c r="AQ26" i="4"/>
  <c r="AQ37" i="4" s="1"/>
  <c r="AR41" i="4"/>
  <c r="L73" i="5"/>
  <c r="G68" i="5"/>
  <c r="C69" i="6" s="1"/>
  <c r="L80" i="6" s="1"/>
  <c r="H68" i="5"/>
  <c r="C68" i="6" s="1"/>
  <c r="L79" i="6" s="1"/>
  <c r="I68" i="5"/>
  <c r="C67" i="6" s="1"/>
  <c r="L78" i="6" s="1"/>
  <c r="J68" i="5"/>
  <c r="C66" i="6" s="1"/>
  <c r="L77" i="6" s="1"/>
  <c r="K68" i="5"/>
  <c r="M124" i="5"/>
  <c r="M145" i="5" s="1"/>
  <c r="H135" i="5"/>
  <c r="H139" i="5" s="1"/>
  <c r="I135" i="5"/>
  <c r="J135" i="5"/>
  <c r="J142" i="5" s="1"/>
  <c r="K135" i="5"/>
  <c r="L135" i="5"/>
  <c r="H136" i="5"/>
  <c r="H137" i="5" s="1"/>
  <c r="I136" i="5"/>
  <c r="J136" i="5"/>
  <c r="K136" i="5"/>
  <c r="L136" i="5"/>
  <c r="N136" i="5"/>
  <c r="N137" i="5" s="1"/>
  <c r="O137" i="5"/>
  <c r="P136" i="5"/>
  <c r="P137" i="5" s="1"/>
  <c r="M137" i="5"/>
  <c r="G138" i="5"/>
  <c r="G139" i="5" s="1"/>
  <c r="H138" i="5"/>
  <c r="I138" i="5"/>
  <c r="I139" i="5" s="1"/>
  <c r="J138" i="5"/>
  <c r="K138" i="5"/>
  <c r="L138" i="5"/>
  <c r="G140" i="5"/>
  <c r="H140" i="5"/>
  <c r="I140" i="5"/>
  <c r="J140" i="5"/>
  <c r="K140" i="5"/>
  <c r="L140" i="5"/>
  <c r="G141" i="5"/>
  <c r="G142" i="5" s="1"/>
  <c r="H141" i="5"/>
  <c r="I141" i="5"/>
  <c r="I142" i="5" s="1"/>
  <c r="J141" i="5"/>
  <c r="K141" i="5"/>
  <c r="L141" i="5"/>
  <c r="I73" i="5"/>
  <c r="L67" i="6" s="1"/>
  <c r="I79" i="5"/>
  <c r="I78" i="5"/>
  <c r="I83" i="5" s="1"/>
  <c r="J79" i="5"/>
  <c r="J78" i="5"/>
  <c r="J83" i="5" s="1"/>
  <c r="G79" i="5"/>
  <c r="G78" i="5"/>
  <c r="G83" i="5" s="1"/>
  <c r="H73" i="5"/>
  <c r="H74" i="5" s="1"/>
  <c r="N68" i="6" s="1"/>
  <c r="H79" i="5"/>
  <c r="H78" i="5"/>
  <c r="H83" i="5" s="1"/>
  <c r="I23" i="6"/>
  <c r="I63" i="6" s="1"/>
  <c r="K69" i="5"/>
  <c r="M80" i="6"/>
  <c r="H69" i="5"/>
  <c r="M79" i="6" s="1"/>
  <c r="I69" i="5"/>
  <c r="M78" i="6" s="1"/>
  <c r="J69" i="5"/>
  <c r="M77" i="6" s="1"/>
  <c r="A63" i="6"/>
  <c r="K63" i="6" s="1"/>
  <c r="M68" i="5"/>
  <c r="A62" i="6"/>
  <c r="K62" i="6" s="1"/>
  <c r="N62" i="6"/>
  <c r="K78" i="5"/>
  <c r="K83" i="5" s="1"/>
  <c r="L78" i="5"/>
  <c r="L83" i="5" s="1"/>
  <c r="G84" i="5"/>
  <c r="H84" i="5"/>
  <c r="I84" i="5"/>
  <c r="J84" i="5"/>
  <c r="K84" i="5"/>
  <c r="L84" i="5"/>
  <c r="K79" i="5"/>
  <c r="L79" i="5"/>
  <c r="L69" i="6"/>
  <c r="M79" i="5"/>
  <c r="M80" i="5" s="1"/>
  <c r="N80" i="5"/>
  <c r="I28" i="6"/>
  <c r="I68" i="6" s="1"/>
  <c r="I27" i="6"/>
  <c r="I67" i="6" s="1"/>
  <c r="I22" i="6"/>
  <c r="I62" i="6" s="1"/>
  <c r="G30" i="5"/>
  <c r="G27" i="5"/>
  <c r="H30" i="5"/>
  <c r="H27" i="5"/>
  <c r="I27" i="5"/>
  <c r="I32" i="5" s="1"/>
  <c r="O69" i="6"/>
  <c r="K27" i="5"/>
  <c r="K32" i="5" s="1"/>
  <c r="L27" i="5"/>
  <c r="L32" i="5" s="1"/>
  <c r="K33" i="5"/>
  <c r="L33" i="5"/>
  <c r="K18" i="5"/>
  <c r="L18" i="5"/>
  <c r="I12" i="6"/>
  <c r="I13" i="6"/>
  <c r="I14" i="6"/>
  <c r="I11" i="6"/>
  <c r="I10" i="6"/>
  <c r="I9" i="6"/>
  <c r="J28" i="5"/>
  <c r="K28" i="5"/>
  <c r="L28" i="5"/>
  <c r="K30" i="5"/>
  <c r="L30" i="5"/>
  <c r="I29" i="6"/>
  <c r="I31" i="6"/>
  <c r="K23" i="6"/>
  <c r="R23" i="6" s="1"/>
  <c r="F31" i="6"/>
  <c r="K30" i="6" s="1"/>
  <c r="R30" i="6" s="1"/>
  <c r="AB30" i="6" s="1"/>
  <c r="AG30" i="6" s="1"/>
  <c r="F32" i="6"/>
  <c r="K31" i="6" s="1"/>
  <c r="R31" i="6" s="1"/>
  <c r="K22" i="6"/>
  <c r="R22" i="6" s="1"/>
  <c r="AB32" i="6"/>
  <c r="AH31" i="6"/>
  <c r="AG31" i="6"/>
  <c r="N10" i="6"/>
  <c r="M10" i="6"/>
  <c r="L10" i="6"/>
  <c r="N11" i="6"/>
  <c r="M11" i="6"/>
  <c r="L11" i="6"/>
  <c r="L12" i="6"/>
  <c r="P28" i="5"/>
  <c r="P29" i="5" s="1"/>
  <c r="J18" i="5"/>
  <c r="M40" i="6" s="1"/>
  <c r="I18" i="5"/>
  <c r="M41" i="6" s="1"/>
  <c r="H18" i="5"/>
  <c r="M42" i="6" s="1"/>
  <c r="G18" i="5"/>
  <c r="M43" i="6" s="1"/>
  <c r="F23" i="6"/>
  <c r="F22" i="6"/>
  <c r="E29" i="5"/>
  <c r="F29" i="5"/>
  <c r="H28" i="5"/>
  <c r="I28" i="5"/>
  <c r="H33" i="5"/>
  <c r="I33" i="5"/>
  <c r="J33" i="5"/>
  <c r="D28" i="5"/>
  <c r="D29" i="5" s="1"/>
  <c r="K12" i="6"/>
  <c r="K10" i="6"/>
  <c r="M142" i="5"/>
  <c r="L81" i="5"/>
  <c r="K81" i="5"/>
  <c r="K82" i="5" s="1"/>
  <c r="J81" i="5"/>
  <c r="I81" i="5"/>
  <c r="H81" i="5"/>
  <c r="G81" i="5"/>
  <c r="G82" i="5" s="1"/>
  <c r="B4" i="7"/>
  <c r="I4" i="7"/>
  <c r="AN50" i="4"/>
  <c r="AN51" i="4"/>
  <c r="AN52" i="4"/>
  <c r="AQ51" i="4"/>
  <c r="AQ52" i="4"/>
  <c r="AR51" i="4"/>
  <c r="AR52" i="4"/>
  <c r="AS51" i="4"/>
  <c r="AS52" i="4"/>
  <c r="AQ50" i="4"/>
  <c r="AR50" i="4"/>
  <c r="AS50" i="4"/>
  <c r="AN42" i="4"/>
  <c r="AN43" i="4"/>
  <c r="AQ42" i="4"/>
  <c r="AQ43" i="4"/>
  <c r="AR42" i="4"/>
  <c r="AR43" i="4"/>
  <c r="AS42" i="4"/>
  <c r="AS43" i="4"/>
  <c r="AS41" i="4"/>
  <c r="AN41" i="4"/>
  <c r="AS15" i="4"/>
  <c r="AS24" i="4" s="1"/>
  <c r="AS35" i="4" s="1"/>
  <c r="AS16" i="4"/>
  <c r="AS25" i="4" s="1"/>
  <c r="AS36" i="4" s="1"/>
  <c r="AS17" i="4"/>
  <c r="AS26" i="4" s="1"/>
  <c r="AS37" i="4" s="1"/>
  <c r="AQ27" i="4"/>
  <c r="AQ38" i="4" s="1"/>
  <c r="AR27" i="4"/>
  <c r="AR38" i="4" s="1"/>
  <c r="AS27" i="4"/>
  <c r="AS38" i="4" s="1"/>
  <c r="AQ28" i="4"/>
  <c r="AQ39" i="4"/>
  <c r="AR28" i="4"/>
  <c r="AR39" i="4"/>
  <c r="AS28" i="4"/>
  <c r="AS39" i="4"/>
  <c r="AQ29" i="4"/>
  <c r="AQ40" i="4"/>
  <c r="AR29" i="4"/>
  <c r="AR40" i="4"/>
  <c r="AS29" i="4"/>
  <c r="AS40" i="4"/>
  <c r="AN16" i="4"/>
  <c r="AN25" i="4"/>
  <c r="AN36" i="4" s="1"/>
  <c r="AN17" i="4"/>
  <c r="AN26" i="4" s="1"/>
  <c r="AN37" i="4" s="1"/>
  <c r="AN27" i="4"/>
  <c r="AN38" i="4" s="1"/>
  <c r="AN28" i="4"/>
  <c r="AN39" i="4" s="1"/>
  <c r="AN29" i="4"/>
  <c r="AN40" i="4" s="1"/>
  <c r="AN15" i="4"/>
  <c r="AN24" i="4" s="1"/>
  <c r="AN35" i="4" s="1"/>
  <c r="AK33" i="4"/>
  <c r="F162" i="5"/>
  <c r="P162" i="5"/>
  <c r="O145" i="5"/>
  <c r="O162" i="5"/>
  <c r="N145" i="5"/>
  <c r="N162" i="5"/>
  <c r="P145" i="5"/>
  <c r="M139" i="5"/>
  <c r="P134" i="5"/>
  <c r="O134" i="5"/>
  <c r="N134" i="5"/>
  <c r="O80" i="5"/>
  <c r="P55" i="5"/>
  <c r="O67" i="5"/>
  <c r="O77" i="5" s="1"/>
  <c r="N67" i="5"/>
  <c r="N77" i="5" s="1"/>
  <c r="N88" i="5"/>
  <c r="N106" i="5" s="1"/>
  <c r="O29" i="5"/>
  <c r="H5" i="4"/>
  <c r="C67" i="1"/>
  <c r="K63" i="1"/>
  <c r="K64" i="1"/>
  <c r="K65" i="1"/>
  <c r="K76" i="1"/>
  <c r="K77" i="1"/>
  <c r="K78" i="1"/>
  <c r="K79" i="1"/>
  <c r="K62" i="1"/>
  <c r="P37" i="5"/>
  <c r="O26" i="5"/>
  <c r="N26" i="5"/>
  <c r="P5" i="4"/>
  <c r="D55" i="5"/>
  <c r="F37" i="5"/>
  <c r="E37" i="5"/>
  <c r="D37" i="5"/>
  <c r="P26" i="5"/>
  <c r="F26" i="5"/>
  <c r="E26" i="5"/>
  <c r="D26" i="5"/>
  <c r="S1" i="6"/>
  <c r="G48" i="1"/>
  <c r="F48" i="1"/>
  <c r="E48" i="1"/>
  <c r="C49" i="1"/>
  <c r="C29" i="3"/>
  <c r="C16" i="3"/>
  <c r="D16" i="3" s="1"/>
  <c r="H16" i="3" s="1"/>
  <c r="F22" i="3"/>
  <c r="F16" i="3"/>
  <c r="K16" i="3" s="1"/>
  <c r="C59" i="3"/>
  <c r="C19" i="3" s="1"/>
  <c r="C52" i="3"/>
  <c r="C18" i="3" s="1"/>
  <c r="F17" i="3"/>
  <c r="F23" i="3"/>
  <c r="L15" i="3"/>
  <c r="L19" i="3"/>
  <c r="B57" i="3"/>
  <c r="B64" i="3"/>
  <c r="I29" i="3"/>
  <c r="D64" i="3"/>
  <c r="F29" i="3"/>
  <c r="E64" i="3"/>
  <c r="B56" i="3"/>
  <c r="B63" i="3"/>
  <c r="D63" i="3" s="1"/>
  <c r="E63" i="3" s="1"/>
  <c r="B55" i="3"/>
  <c r="B62" i="3"/>
  <c r="D62" i="3" s="1"/>
  <c r="E62" i="3" s="1"/>
  <c r="D39" i="3"/>
  <c r="B39" i="3"/>
  <c r="C39" i="3" s="1"/>
  <c r="D40" i="3"/>
  <c r="B40" i="3"/>
  <c r="C40" i="3" s="1"/>
  <c r="D41" i="3"/>
  <c r="B41" i="3"/>
  <c r="C41" i="3" s="1"/>
  <c r="B44" i="3" a="1"/>
  <c r="C46" i="3" s="1"/>
  <c r="D55" i="3"/>
  <c r="D57" i="3"/>
  <c r="D56" i="3"/>
  <c r="J16" i="3"/>
  <c r="C33" i="3"/>
  <c r="C34" i="3"/>
  <c r="C32" i="3"/>
  <c r="H40" i="3"/>
  <c r="F40" i="3"/>
  <c r="G40" i="3"/>
  <c r="G39" i="3"/>
  <c r="B34" i="3"/>
  <c r="D34" i="3" s="1"/>
  <c r="B33" i="3"/>
  <c r="D33" i="3" s="1"/>
  <c r="B32" i="3"/>
  <c r="K17" i="3"/>
  <c r="D32" i="3"/>
  <c r="G17" i="3"/>
  <c r="J17" i="3"/>
  <c r="E17" i="3"/>
  <c r="I17" i="3" s="1"/>
  <c r="D17" i="3"/>
  <c r="H17" i="3" s="1"/>
  <c r="I42" i="2"/>
  <c r="L18" i="3"/>
  <c r="L17" i="3"/>
  <c r="H44" i="3"/>
  <c r="L16" i="3"/>
  <c r="E56" i="3"/>
  <c r="E16" i="3"/>
  <c r="I16" i="3" s="1"/>
  <c r="AO39" i="4"/>
  <c r="AT39" i="4" s="1"/>
  <c r="AT28" i="4"/>
  <c r="AT38" i="4"/>
  <c r="J139" i="5"/>
  <c r="O107" i="6"/>
  <c r="AI100" i="6"/>
  <c r="AK100" i="6"/>
  <c r="AJ102" i="6"/>
  <c r="AI103" i="6"/>
  <c r="AK103" i="6"/>
  <c r="AJ104" i="6"/>
  <c r="AI105" i="6"/>
  <c r="AK105" i="6"/>
  <c r="AJ99" i="6"/>
  <c r="AT40" i="4"/>
  <c r="L79" i="1"/>
  <c r="J79" i="1" s="1"/>
  <c r="I79" i="1" s="1"/>
  <c r="E55" i="3"/>
  <c r="E32" i="3"/>
  <c r="F32" i="3" s="1"/>
  <c r="AI99" i="6"/>
  <c r="AJ105" i="6"/>
  <c r="AI104" i="6"/>
  <c r="AK102" i="6"/>
  <c r="AD103" i="6"/>
  <c r="AC103" i="6"/>
  <c r="I26" i="6"/>
  <c r="I66" i="6"/>
  <c r="AD102" i="6"/>
  <c r="AC102" i="6"/>
  <c r="AQ9" i="4"/>
  <c r="AQ11" i="4" s="1"/>
  <c r="D29" i="6"/>
  <c r="D69" i="6" s="1"/>
  <c r="L62" i="1"/>
  <c r="J62" i="1" s="1"/>
  <c r="I62" i="1" s="1"/>
  <c r="L67" i="1"/>
  <c r="J67" i="1" s="1"/>
  <c r="I67" i="1" s="1"/>
  <c r="L66" i="1"/>
  <c r="J66" i="1" s="1"/>
  <c r="I66" i="1" s="1"/>
  <c r="L65" i="1"/>
  <c r="J65" i="1" s="1"/>
  <c r="I65" i="1" s="1"/>
  <c r="F62" i="1"/>
  <c r="T100" i="6" s="1"/>
  <c r="AO36" i="4"/>
  <c r="AT27" i="4"/>
  <c r="J151" i="5"/>
  <c r="AT17" i="4"/>
  <c r="O71" i="5"/>
  <c r="D12" i="6"/>
  <c r="AK49" i="4" s="1"/>
  <c r="H85" i="5"/>
  <c r="G80" i="5"/>
  <c r="G31" i="5"/>
  <c r="G32" i="5"/>
  <c r="AO37" i="4"/>
  <c r="AT37" i="4" s="1"/>
  <c r="BF109" i="4"/>
  <c r="BD109" i="4" s="1"/>
  <c r="AW109" i="4"/>
  <c r="AP109" i="4"/>
  <c r="AT42" i="4" l="1"/>
  <c r="J31" i="5"/>
  <c r="AT36" i="4"/>
  <c r="AT15" i="4"/>
  <c r="J85" i="5"/>
  <c r="I82" i="5"/>
  <c r="J82" i="5"/>
  <c r="I34" i="5"/>
  <c r="G34" i="5"/>
  <c r="K80" i="5"/>
  <c r="I85" i="5"/>
  <c r="M72" i="5"/>
  <c r="H80" i="5"/>
  <c r="K137" i="5"/>
  <c r="I131" i="5"/>
  <c r="H31" i="6"/>
  <c r="K85" i="5"/>
  <c r="G85" i="5"/>
  <c r="L63" i="6"/>
  <c r="J80" i="5"/>
  <c r="L142" i="5"/>
  <c r="H142" i="5"/>
  <c r="L139" i="5"/>
  <c r="J137" i="5"/>
  <c r="K142" i="5"/>
  <c r="L78" i="1"/>
  <c r="J78" i="1" s="1"/>
  <c r="I78" i="1" s="1"/>
  <c r="P27" i="4" s="1"/>
  <c r="J16" i="5" s="1"/>
  <c r="J55" i="5" s="1"/>
  <c r="J67" i="5" s="1"/>
  <c r="J77" i="5" s="1"/>
  <c r="L76" i="1"/>
  <c r="J76" i="1" s="1"/>
  <c r="I76" i="1" s="1"/>
  <c r="Z9" i="4" s="1"/>
  <c r="A24" i="6" s="1"/>
  <c r="A64" i="6" s="1"/>
  <c r="AP24" i="4"/>
  <c r="AP35" i="4" s="1"/>
  <c r="AT35" i="4" s="1"/>
  <c r="T99" i="6"/>
  <c r="L29" i="5"/>
  <c r="K34" i="5"/>
  <c r="I80" i="5"/>
  <c r="L137" i="5"/>
  <c r="M74" i="5"/>
  <c r="H31" i="5"/>
  <c r="L80" i="5"/>
  <c r="I137" i="5"/>
  <c r="J34" i="5"/>
  <c r="L31" i="5"/>
  <c r="L34" i="5"/>
  <c r="M28" i="5"/>
  <c r="M29" i="5" s="1"/>
  <c r="Z29" i="6"/>
  <c r="Z106" i="6" s="1"/>
  <c r="V29" i="6"/>
  <c r="Y29" i="6"/>
  <c r="Y106" i="6" s="1"/>
  <c r="U29" i="6"/>
  <c r="X29" i="6"/>
  <c r="X106" i="6" s="1"/>
  <c r="W29" i="6"/>
  <c r="W106" i="6" s="1"/>
  <c r="S99" i="6"/>
  <c r="D99" i="6" s="1"/>
  <c r="L77" i="1"/>
  <c r="J77" i="1" s="1"/>
  <c r="I77" i="1" s="1"/>
  <c r="Z18" i="4" s="1"/>
  <c r="A25" i="6" s="1"/>
  <c r="K39" i="6" s="1"/>
  <c r="L80" i="1"/>
  <c r="J80" i="1" s="1"/>
  <c r="I80" i="1" s="1"/>
  <c r="Z45" i="4" s="1"/>
  <c r="A28" i="6" s="1"/>
  <c r="F42" i="6" s="1"/>
  <c r="A42" i="6" s="1"/>
  <c r="D42" i="6" s="1"/>
  <c r="D79" i="6" s="1"/>
  <c r="H29" i="6"/>
  <c r="H30" i="6"/>
  <c r="K100" i="6"/>
  <c r="R100" i="6" s="1"/>
  <c r="AB100" i="6" s="1"/>
  <c r="K131" i="5"/>
  <c r="N129" i="5"/>
  <c r="L23" i="6"/>
  <c r="N22" i="6" s="1"/>
  <c r="L100" i="6"/>
  <c r="M131" i="5"/>
  <c r="L30" i="6"/>
  <c r="K19" i="5"/>
  <c r="O88" i="5"/>
  <c r="O106" i="5" s="1"/>
  <c r="D45" i="3"/>
  <c r="C47" i="3"/>
  <c r="B46" i="3"/>
  <c r="D44" i="3"/>
  <c r="B45" i="3"/>
  <c r="AQ10" i="4"/>
  <c r="P41" i="5" s="1"/>
  <c r="E34" i="3"/>
  <c r="F34" i="3" s="1"/>
  <c r="C44" i="3"/>
  <c r="H46" i="3" s="1"/>
  <c r="B47" i="3"/>
  <c r="E57" i="3"/>
  <c r="D46" i="3"/>
  <c r="C45" i="3"/>
  <c r="B44" i="3"/>
  <c r="E33" i="3"/>
  <c r="F33" i="3" s="1"/>
  <c r="D47" i="3"/>
  <c r="AU148" i="4"/>
  <c r="AY148" i="4"/>
  <c r="F63" i="1"/>
  <c r="AH105" i="6" s="1"/>
  <c r="O105" i="6" s="1"/>
  <c r="J32" i="5"/>
  <c r="H32" i="5"/>
  <c r="K31" i="5"/>
  <c r="H82" i="5"/>
  <c r="K139" i="5"/>
  <c r="AT41" i="4"/>
  <c r="AS148" i="4"/>
  <c r="BA148" i="4"/>
  <c r="BA149" i="4" s="1"/>
  <c r="P129" i="5"/>
  <c r="L82" i="5"/>
  <c r="H34" i="5"/>
  <c r="I31" i="5"/>
  <c r="L85" i="5"/>
  <c r="AZ91" i="4"/>
  <c r="AX92" i="4"/>
  <c r="AX93" i="4" s="1"/>
  <c r="AZ93" i="4" s="1"/>
  <c r="AT50" i="4"/>
  <c r="AT53" i="4" s="1"/>
  <c r="AU51" i="4" s="1"/>
  <c r="O129" i="5"/>
  <c r="M37" i="5"/>
  <c r="J131" i="5"/>
  <c r="N103" i="6" s="1"/>
  <c r="M21" i="5"/>
  <c r="N21" i="5"/>
  <c r="N77" i="6"/>
  <c r="M162" i="5"/>
  <c r="N72" i="5"/>
  <c r="K99" i="6"/>
  <c r="R99" i="6" s="1"/>
  <c r="P131" i="5"/>
  <c r="O131" i="5"/>
  <c r="M99" i="6" s="1"/>
  <c r="AQ110" i="4"/>
  <c r="AQ115" i="4" s="1"/>
  <c r="AQ124" i="4" s="1"/>
  <c r="AQ129" i="4" s="1"/>
  <c r="AQ96" i="4"/>
  <c r="BC148" i="4"/>
  <c r="L99" i="6"/>
  <c r="AT26" i="4"/>
  <c r="M77" i="5"/>
  <c r="G106" i="6"/>
  <c r="H106" i="6" s="1"/>
  <c r="AT25" i="4"/>
  <c r="D9" i="4"/>
  <c r="D11" i="7" s="1"/>
  <c r="AZ90" i="4"/>
  <c r="K72" i="5"/>
  <c r="M129" i="5"/>
  <c r="L127" i="5"/>
  <c r="N117" i="6"/>
  <c r="N115" i="6"/>
  <c r="K127" i="5"/>
  <c r="I23" i="5"/>
  <c r="N27" i="6" s="1"/>
  <c r="G21" i="5"/>
  <c r="E23" i="5"/>
  <c r="N30" i="6" s="1"/>
  <c r="AR89" i="4"/>
  <c r="AP89" i="4" s="1"/>
  <c r="AS89" i="4" s="1"/>
  <c r="AQ148" i="4"/>
  <c r="AQ149" i="4" s="1"/>
  <c r="AP148" i="4"/>
  <c r="AT148" i="4"/>
  <c r="AW148" i="4"/>
  <c r="AX148" i="4"/>
  <c r="BB148" i="4"/>
  <c r="O21" i="5"/>
  <c r="G19" i="5"/>
  <c r="L129" i="5"/>
  <c r="H72" i="5"/>
  <c r="I72" i="5"/>
  <c r="I129" i="5"/>
  <c r="L31" i="6"/>
  <c r="BG90" i="4"/>
  <c r="BE91" i="4"/>
  <c r="K21" i="5"/>
  <c r="H23" i="5"/>
  <c r="N28" i="6" s="1"/>
  <c r="L29" i="6"/>
  <c r="J129" i="5"/>
  <c r="I21" i="5"/>
  <c r="G70" i="5"/>
  <c r="H131" i="5"/>
  <c r="J21" i="5"/>
  <c r="K129" i="5"/>
  <c r="H21" i="5"/>
  <c r="K74" i="5"/>
  <c r="G72" i="5"/>
  <c r="I70" i="5"/>
  <c r="G127" i="5"/>
  <c r="J72" i="5"/>
  <c r="H19" i="5"/>
  <c r="J19" i="5"/>
  <c r="K70" i="5"/>
  <c r="L74" i="5"/>
  <c r="H99" i="6"/>
  <c r="L21" i="5"/>
  <c r="G23" i="5"/>
  <c r="L70" i="5"/>
  <c r="N74" i="5"/>
  <c r="N23" i="5"/>
  <c r="AS90" i="4"/>
  <c r="AQ91" i="4"/>
  <c r="L19" i="5"/>
  <c r="H68" i="6"/>
  <c r="H67" i="6"/>
  <c r="N104" i="6"/>
  <c r="M104" i="6"/>
  <c r="N79" i="6"/>
  <c r="J23" i="5"/>
  <c r="N26" i="6" s="1"/>
  <c r="K23" i="5"/>
  <c r="H129" i="5"/>
  <c r="J127" i="5"/>
  <c r="H127" i="5"/>
  <c r="L104" i="6"/>
  <c r="M134" i="5"/>
  <c r="I127" i="5"/>
  <c r="O74" i="5"/>
  <c r="O23" i="5"/>
  <c r="J74" i="5"/>
  <c r="N66" i="6" s="1"/>
  <c r="L23" i="5"/>
  <c r="H70" i="5"/>
  <c r="M26" i="5"/>
  <c r="L68" i="6"/>
  <c r="I19" i="5"/>
  <c r="J70" i="5"/>
  <c r="L72" i="5"/>
  <c r="I74" i="5"/>
  <c r="N67" i="6" s="1"/>
  <c r="H104" i="6"/>
  <c r="F67" i="1"/>
  <c r="AX89" i="4" s="1"/>
  <c r="AX96" i="4" s="1"/>
  <c r="H102" i="6"/>
  <c r="F21" i="5"/>
  <c r="AS11" i="4"/>
  <c r="E115" i="5" s="1"/>
  <c r="D19" i="3"/>
  <c r="H19" i="3" s="1"/>
  <c r="E19" i="3"/>
  <c r="I19" i="3" s="1"/>
  <c r="F19" i="3"/>
  <c r="E18" i="3"/>
  <c r="I18" i="3" s="1"/>
  <c r="D18" i="3"/>
  <c r="H18" i="3" s="1"/>
  <c r="F18" i="3"/>
  <c r="AJ100" i="6"/>
  <c r="AK104" i="6"/>
  <c r="G16" i="3"/>
  <c r="AP149" i="4"/>
  <c r="AO148" i="4"/>
  <c r="AO149" i="4" s="1"/>
  <c r="AT16" i="4"/>
  <c r="AT29" i="4"/>
  <c r="D18" i="4"/>
  <c r="D20" i="7" s="1"/>
  <c r="N131" i="5"/>
  <c r="N80" i="6"/>
  <c r="AK101" i="6"/>
  <c r="H28" i="6"/>
  <c r="H22" i="6"/>
  <c r="N41" i="6"/>
  <c r="C63" i="6"/>
  <c r="H105" i="6"/>
  <c r="N78" i="6"/>
  <c r="H66" i="6"/>
  <c r="H103" i="6"/>
  <c r="N118" i="6"/>
  <c r="H27" i="6"/>
  <c r="H26" i="6"/>
  <c r="L43" i="6"/>
  <c r="N43" i="6" s="1"/>
  <c r="V106" i="6"/>
  <c r="G62" i="6"/>
  <c r="H62" i="6" s="1"/>
  <c r="O72" i="5"/>
  <c r="L106" i="6"/>
  <c r="U67" i="6"/>
  <c r="N116" i="6"/>
  <c r="N40" i="6"/>
  <c r="N42" i="6"/>
  <c r="V67" i="6"/>
  <c r="T67" i="6"/>
  <c r="W100" i="6"/>
  <c r="S100" i="6" s="1"/>
  <c r="D100" i="6" s="1"/>
  <c r="AU52" i="4"/>
  <c r="F62" i="6"/>
  <c r="D36" i="4"/>
  <c r="A104" i="6" s="1"/>
  <c r="F116" i="6" s="1"/>
  <c r="I116" i="6" s="1"/>
  <c r="D38" i="7"/>
  <c r="D56" i="7"/>
  <c r="D54" i="4"/>
  <c r="A106" i="6" s="1"/>
  <c r="D27" i="4"/>
  <c r="D29" i="7"/>
  <c r="J118" i="5"/>
  <c r="G148" i="5" s="1"/>
  <c r="H148" i="5" s="1"/>
  <c r="I148" i="5" s="1"/>
  <c r="J148" i="5" s="1"/>
  <c r="K148" i="5" s="1"/>
  <c r="L148" i="5" s="1"/>
  <c r="M148" i="5" s="1"/>
  <c r="N148" i="5" s="1"/>
  <c r="O148" i="5" s="1"/>
  <c r="H40" i="5"/>
  <c r="K91" i="5"/>
  <c r="I91" i="5"/>
  <c r="K40" i="5"/>
  <c r="G40" i="5"/>
  <c r="L40" i="5"/>
  <c r="G91" i="5"/>
  <c r="J40" i="5"/>
  <c r="J91" i="5"/>
  <c r="I40" i="5"/>
  <c r="D40" i="5"/>
  <c r="E40" i="5"/>
  <c r="F40" i="5"/>
  <c r="L91" i="5"/>
  <c r="H91" i="5"/>
  <c r="D47" i="7"/>
  <c r="D45" i="4"/>
  <c r="A105" i="6" s="1"/>
  <c r="A128" i="6" s="1"/>
  <c r="D128" i="6" s="1"/>
  <c r="Z36" i="4"/>
  <c r="A27" i="6" s="1"/>
  <c r="K27" i="6" s="1"/>
  <c r="R27" i="6" s="1"/>
  <c r="AB27" i="6" s="1"/>
  <c r="T38" i="7"/>
  <c r="I38" i="7"/>
  <c r="P36" i="4"/>
  <c r="I16" i="5" s="1"/>
  <c r="I26" i="5" s="1"/>
  <c r="P18" i="4"/>
  <c r="Z27" i="4"/>
  <c r="A26" i="6" s="1"/>
  <c r="K40" i="6" s="1"/>
  <c r="O40" i="6" s="1"/>
  <c r="O77" i="6" s="1"/>
  <c r="I29" i="7"/>
  <c r="T29" i="7"/>
  <c r="P54" i="4"/>
  <c r="G16" i="5" s="1"/>
  <c r="G26" i="5" s="1"/>
  <c r="T56" i="7"/>
  <c r="I56" i="7"/>
  <c r="Z54" i="4"/>
  <c r="A29" i="6" s="1"/>
  <c r="A69" i="6" s="1"/>
  <c r="AG22" i="6"/>
  <c r="AB22" i="6"/>
  <c r="AB23" i="6"/>
  <c r="AG23" i="6"/>
  <c r="I100" i="6"/>
  <c r="I99" i="6"/>
  <c r="AK99" i="6"/>
  <c r="AH99" i="6" s="1"/>
  <c r="O99" i="6" s="1"/>
  <c r="AJ103" i="6"/>
  <c r="F63" i="6"/>
  <c r="AT44" i="4" l="1"/>
  <c r="A80" i="6" s="1"/>
  <c r="T106" i="6"/>
  <c r="S106" i="6"/>
  <c r="D106" i="6" s="1"/>
  <c r="AY149" i="4"/>
  <c r="L155" i="5"/>
  <c r="K155" i="5"/>
  <c r="AX149" i="4"/>
  <c r="AT24" i="4"/>
  <c r="BC149" i="4"/>
  <c r="AW149" i="4"/>
  <c r="AS149" i="4"/>
  <c r="G124" i="5"/>
  <c r="N99" i="6"/>
  <c r="P9" i="4"/>
  <c r="L16" i="5" s="1"/>
  <c r="L37" i="5" s="1"/>
  <c r="T47" i="7"/>
  <c r="I47" i="7"/>
  <c r="A52" i="6"/>
  <c r="D52" i="6" s="1"/>
  <c r="D89" i="6" s="1"/>
  <c r="AG100" i="6"/>
  <c r="K124" i="5"/>
  <c r="K162" i="5" s="1"/>
  <c r="M103" i="6"/>
  <c r="L124" i="5"/>
  <c r="L145" i="5" s="1"/>
  <c r="K26" i="6"/>
  <c r="R26" i="6" s="1"/>
  <c r="AB26" i="6" s="1"/>
  <c r="N91" i="5"/>
  <c r="D9" i="6"/>
  <c r="AU35" i="4"/>
  <c r="AQ150" i="4"/>
  <c r="G150" i="5" s="1"/>
  <c r="H150" i="5" s="1"/>
  <c r="I150" i="5" s="1"/>
  <c r="J150" i="5" s="1"/>
  <c r="K150" i="5" s="1"/>
  <c r="L150" i="5" s="1"/>
  <c r="M150" i="5" s="1"/>
  <c r="N150" i="5" s="1"/>
  <c r="O150" i="5" s="1"/>
  <c r="AU149" i="4"/>
  <c r="BB149" i="4"/>
  <c r="AT149" i="4"/>
  <c r="AS10" i="4"/>
  <c r="E7" i="5" s="1"/>
  <c r="P45" i="4"/>
  <c r="H16" i="5" s="1"/>
  <c r="AH104" i="6"/>
  <c r="O104" i="6" s="1"/>
  <c r="AH103" i="6"/>
  <c r="O103" i="6" s="1"/>
  <c r="AH101" i="6"/>
  <c r="O101" i="6" s="1"/>
  <c r="F52" i="6"/>
  <c r="I52" i="6" s="1"/>
  <c r="I89" i="6" s="1"/>
  <c r="K41" i="6"/>
  <c r="O41" i="6" s="1"/>
  <c r="O78" i="6" s="1"/>
  <c r="AG27" i="6"/>
  <c r="G55" i="5"/>
  <c r="G67" i="5" s="1"/>
  <c r="G88" i="5" s="1"/>
  <c r="G106" i="5" s="1"/>
  <c r="F28" i="6"/>
  <c r="K38" i="6"/>
  <c r="O38" i="6" s="1"/>
  <c r="O75" i="6" s="1"/>
  <c r="O40" i="5"/>
  <c r="M40" i="5"/>
  <c r="O91" i="5"/>
  <c r="F104" i="6"/>
  <c r="I104" i="6" s="1"/>
  <c r="F40" i="6"/>
  <c r="A40" i="6" s="1"/>
  <c r="D40" i="6" s="1"/>
  <c r="D77" i="6" s="1"/>
  <c r="F24" i="6"/>
  <c r="G24" i="6" s="1"/>
  <c r="I24" i="6" s="1"/>
  <c r="I64" i="6" s="1"/>
  <c r="F54" i="6"/>
  <c r="I54" i="6" s="1"/>
  <c r="I91" i="6" s="1"/>
  <c r="I55" i="5"/>
  <c r="I67" i="5" s="1"/>
  <c r="I88" i="5" s="1"/>
  <c r="I106" i="5" s="1"/>
  <c r="A102" i="6"/>
  <c r="K102" i="6" s="1"/>
  <c r="M102" i="6" s="1"/>
  <c r="A101" i="6"/>
  <c r="C101" i="6" s="1"/>
  <c r="L113" i="6" s="1"/>
  <c r="F50" i="6"/>
  <c r="I50" i="6" s="1"/>
  <c r="I87" i="6" s="1"/>
  <c r="A51" i="6"/>
  <c r="D51" i="6" s="1"/>
  <c r="D88" i="6" s="1"/>
  <c r="F38" i="6"/>
  <c r="I38" i="6" s="1"/>
  <c r="I75" i="6" s="1"/>
  <c r="F51" i="6"/>
  <c r="I51" i="6" s="1"/>
  <c r="I88" i="6" s="1"/>
  <c r="A49" i="6"/>
  <c r="D49" i="6" s="1"/>
  <c r="D86" i="6" s="1"/>
  <c r="BE89" i="4"/>
  <c r="BG89" i="4" s="1"/>
  <c r="AZ89" i="4"/>
  <c r="M91" i="5"/>
  <c r="N40" i="5"/>
  <c r="C63" i="3"/>
  <c r="F63" i="3" s="1"/>
  <c r="C55" i="3"/>
  <c r="F55" i="3" s="1"/>
  <c r="C62" i="3"/>
  <c r="F62" i="3" s="1"/>
  <c r="C56" i="3"/>
  <c r="F56" i="3" s="1"/>
  <c r="H47" i="3"/>
  <c r="H50" i="3" s="1"/>
  <c r="I50" i="3" s="1"/>
  <c r="C64" i="3"/>
  <c r="F64" i="3" s="1"/>
  <c r="C57" i="3"/>
  <c r="F57" i="3" s="1"/>
  <c r="AH100" i="6"/>
  <c r="O100" i="6" s="1"/>
  <c r="J37" i="5"/>
  <c r="H124" i="5"/>
  <c r="H145" i="5" s="1"/>
  <c r="F128" i="6"/>
  <c r="I128" i="6" s="1"/>
  <c r="I42" i="6"/>
  <c r="I79" i="6" s="1"/>
  <c r="A65" i="6"/>
  <c r="F76" i="6" s="1"/>
  <c r="I124" i="5"/>
  <c r="AH24" i="6"/>
  <c r="O24" i="6" s="1"/>
  <c r="O64" i="6" s="1"/>
  <c r="AH26" i="6"/>
  <c r="O26" i="6" s="1"/>
  <c r="O66" i="6" s="1"/>
  <c r="AH102" i="6"/>
  <c r="O102" i="6" s="1"/>
  <c r="AH25" i="6"/>
  <c r="O25" i="6" s="1"/>
  <c r="O65" i="6" s="1"/>
  <c r="AH23" i="6"/>
  <c r="O23" i="6" s="1"/>
  <c r="O63" i="6" s="1"/>
  <c r="AH30" i="6"/>
  <c r="O30" i="6" s="1"/>
  <c r="D31" i="6"/>
  <c r="AH29" i="6"/>
  <c r="O29" i="6" s="1"/>
  <c r="AH27" i="6"/>
  <c r="O27" i="6" s="1"/>
  <c r="O67" i="6" s="1"/>
  <c r="AH106" i="6"/>
  <c r="O106" i="6" s="1"/>
  <c r="AH22" i="6"/>
  <c r="O22" i="6" s="1"/>
  <c r="O62" i="6" s="1"/>
  <c r="AH28" i="6"/>
  <c r="O28" i="6" s="1"/>
  <c r="O68" i="6" s="1"/>
  <c r="AY150" i="4"/>
  <c r="G37" i="5"/>
  <c r="BG91" i="4"/>
  <c r="BE92" i="4"/>
  <c r="BE93" i="4" s="1"/>
  <c r="BG93" i="4" s="1"/>
  <c r="AS91" i="4"/>
  <c r="AQ92" i="4"/>
  <c r="AQ93" i="4" s="1"/>
  <c r="AS93" i="4" s="1"/>
  <c r="AU50" i="4"/>
  <c r="AR53" i="4" s="1"/>
  <c r="J117" i="5" s="1"/>
  <c r="AQ58" i="4"/>
  <c r="E116" i="5" s="1"/>
  <c r="C24" i="6"/>
  <c r="L38" i="6" s="1"/>
  <c r="AG99" i="6"/>
  <c r="AB99" i="6"/>
  <c r="I11" i="7"/>
  <c r="T11" i="7" s="1"/>
  <c r="K105" i="6"/>
  <c r="R105" i="6" s="1"/>
  <c r="AB105" i="6" s="1"/>
  <c r="J26" i="5"/>
  <c r="I37" i="5"/>
  <c r="F105" i="6"/>
  <c r="I105" i="6" s="1"/>
  <c r="AX110" i="4"/>
  <c r="AX115" i="4" s="1"/>
  <c r="AX124" i="4" s="1"/>
  <c r="AX129" i="4" s="1"/>
  <c r="A50" i="6"/>
  <c r="D50" i="6" s="1"/>
  <c r="D87" i="6" s="1"/>
  <c r="F127" i="6"/>
  <c r="I127" i="6" s="1"/>
  <c r="K25" i="6"/>
  <c r="K29" i="6"/>
  <c r="R29" i="6" s="1"/>
  <c r="AG29" i="6" s="1"/>
  <c r="K104" i="6"/>
  <c r="R104" i="6" s="1"/>
  <c r="K116" i="6"/>
  <c r="O116" i="6" s="1"/>
  <c r="D10" i="6"/>
  <c r="AK34" i="4" s="1"/>
  <c r="V68" i="6"/>
  <c r="V69" i="6" s="1"/>
  <c r="N98" i="5"/>
  <c r="N105" i="6"/>
  <c r="M105" i="6"/>
  <c r="O98" i="5"/>
  <c r="K64" i="6"/>
  <c r="N64" i="6" s="1"/>
  <c r="A75" i="6"/>
  <c r="F75" i="6"/>
  <c r="F64" i="6"/>
  <c r="G64" i="6" s="1"/>
  <c r="C64" i="6"/>
  <c r="L75" i="6" s="1"/>
  <c r="F86" i="6"/>
  <c r="K75" i="6"/>
  <c r="M75" i="6" s="1"/>
  <c r="A86" i="6"/>
  <c r="F53" i="6"/>
  <c r="I53" i="6" s="1"/>
  <c r="I90" i="6" s="1"/>
  <c r="K42" i="6"/>
  <c r="O42" i="6" s="1"/>
  <c r="O79" i="6" s="1"/>
  <c r="F27" i="6"/>
  <c r="A67" i="6"/>
  <c r="F67" i="6" s="1"/>
  <c r="F41" i="6"/>
  <c r="I41" i="6" s="1"/>
  <c r="I78" i="6" s="1"/>
  <c r="F26" i="6"/>
  <c r="F49" i="6"/>
  <c r="I49" i="6" s="1"/>
  <c r="I86" i="6" s="1"/>
  <c r="K28" i="6"/>
  <c r="R28" i="6" s="1"/>
  <c r="AB28" i="6" s="1"/>
  <c r="A66" i="6"/>
  <c r="F88" i="6" s="1"/>
  <c r="K24" i="6"/>
  <c r="R24" i="6" s="1"/>
  <c r="AB24" i="6" s="1"/>
  <c r="A53" i="6"/>
  <c r="D53" i="6" s="1"/>
  <c r="D90" i="6" s="1"/>
  <c r="A68" i="6"/>
  <c r="K68" i="6" s="1"/>
  <c r="AT18" i="4"/>
  <c r="AU16" i="4" s="1"/>
  <c r="K18" i="3"/>
  <c r="J18" i="3"/>
  <c r="G18" i="3"/>
  <c r="J19" i="3"/>
  <c r="G19" i="3"/>
  <c r="K19" i="3"/>
  <c r="N152" i="5"/>
  <c r="O152" i="5" s="1"/>
  <c r="J119" i="5"/>
  <c r="J88" i="5"/>
  <c r="J106" i="5" s="1"/>
  <c r="AT30" i="4"/>
  <c r="D14" i="6"/>
  <c r="AO80" i="4" s="1"/>
  <c r="AS82" i="4" s="1"/>
  <c r="O39" i="6"/>
  <c r="O76" i="6" s="1"/>
  <c r="M39" i="6"/>
  <c r="K43" i="6"/>
  <c r="O43" i="6" s="1"/>
  <c r="O80" i="6" s="1"/>
  <c r="C25" i="6"/>
  <c r="L39" i="6" s="1"/>
  <c r="F25" i="6"/>
  <c r="G25" i="6" s="1"/>
  <c r="A117" i="6"/>
  <c r="D117" i="6" s="1"/>
  <c r="F117" i="6"/>
  <c r="I117" i="6" s="1"/>
  <c r="F29" i="6"/>
  <c r="F43" i="6"/>
  <c r="F39" i="6"/>
  <c r="A39" i="6" s="1"/>
  <c r="D39" i="6" s="1"/>
  <c r="D76" i="6" s="1"/>
  <c r="A54" i="6"/>
  <c r="D54" i="6" s="1"/>
  <c r="D91" i="6" s="1"/>
  <c r="K117" i="6"/>
  <c r="O117" i="6" s="1"/>
  <c r="AQ53" i="4"/>
  <c r="J116" i="5" s="1"/>
  <c r="AS53" i="4"/>
  <c r="I20" i="7"/>
  <c r="T20" i="7" s="1"/>
  <c r="K16" i="5"/>
  <c r="J124" i="5"/>
  <c r="A103" i="6"/>
  <c r="A127" i="6"/>
  <c r="D127" i="6" s="1"/>
  <c r="A116" i="6"/>
  <c r="D116" i="6" s="1"/>
  <c r="F91" i="6"/>
  <c r="F80" i="6"/>
  <c r="K69" i="6"/>
  <c r="A91" i="6"/>
  <c r="K80" i="6"/>
  <c r="F69" i="6"/>
  <c r="G145" i="5"/>
  <c r="G162" i="5"/>
  <c r="G134" i="5"/>
  <c r="F89" i="6"/>
  <c r="D118" i="6"/>
  <c r="K118" i="6"/>
  <c r="O118" i="6" s="1"/>
  <c r="F129" i="6"/>
  <c r="I129" i="6" s="1"/>
  <c r="F118" i="6"/>
  <c r="I118" i="6" s="1"/>
  <c r="A129" i="6"/>
  <c r="D129" i="6" s="1"/>
  <c r="K106" i="6"/>
  <c r="R106" i="6" s="1"/>
  <c r="F106" i="6"/>
  <c r="I106" i="6" s="1"/>
  <c r="AU37" i="4" l="1"/>
  <c r="BC150" i="4"/>
  <c r="D43" i="5" s="1"/>
  <c r="E43" i="5" s="1"/>
  <c r="AU41" i="4"/>
  <c r="D13" i="6"/>
  <c r="AK58" i="4" s="1"/>
  <c r="AU36" i="4"/>
  <c r="F11" i="6"/>
  <c r="F13" i="6"/>
  <c r="AU38" i="4"/>
  <c r="AU40" i="4"/>
  <c r="AU43" i="4"/>
  <c r="AU42" i="4"/>
  <c r="AQ57" i="4"/>
  <c r="E8" i="5" s="1"/>
  <c r="AU39" i="4"/>
  <c r="AQ59" i="4"/>
  <c r="A43" i="6"/>
  <c r="F12" i="6"/>
  <c r="L151" i="5"/>
  <c r="M151" i="5" s="1"/>
  <c r="N151" i="5" s="1"/>
  <c r="O151" i="5" s="1"/>
  <c r="K151" i="5"/>
  <c r="K48" i="5"/>
  <c r="K99" i="5"/>
  <c r="L162" i="5"/>
  <c r="F87" i="6"/>
  <c r="A87" i="6"/>
  <c r="K145" i="5"/>
  <c r="L48" i="5"/>
  <c r="L99" i="5"/>
  <c r="L26" i="5"/>
  <c r="L55" i="5"/>
  <c r="L67" i="5" s="1"/>
  <c r="L77" i="5" s="1"/>
  <c r="L134" i="5"/>
  <c r="K78" i="6"/>
  <c r="AG26" i="6"/>
  <c r="N47" i="5"/>
  <c r="AU150" i="4"/>
  <c r="A113" i="6"/>
  <c r="D113" i="6" s="1"/>
  <c r="A114" i="6"/>
  <c r="D114" i="6" s="1"/>
  <c r="K134" i="5"/>
  <c r="I40" i="6"/>
  <c r="I77" i="6" s="1"/>
  <c r="F125" i="6"/>
  <c r="I125" i="6" s="1"/>
  <c r="F114" i="6"/>
  <c r="I114" i="6" s="1"/>
  <c r="N96" i="5"/>
  <c r="O96" i="5" s="1"/>
  <c r="A76" i="6"/>
  <c r="K76" i="6"/>
  <c r="M76" i="6" s="1"/>
  <c r="D43" i="6"/>
  <c r="D80" i="6" s="1"/>
  <c r="N45" i="5"/>
  <c r="O45" i="5" s="1"/>
  <c r="G149" i="5"/>
  <c r="H149" i="5" s="1"/>
  <c r="I149" i="5" s="1"/>
  <c r="J149" i="5" s="1"/>
  <c r="O47" i="5"/>
  <c r="I11" i="5"/>
  <c r="O95" i="5" s="1"/>
  <c r="D41" i="5"/>
  <c r="E41" i="5" s="1"/>
  <c r="F41" i="5" s="1"/>
  <c r="G41" i="5" s="1"/>
  <c r="D8" i="6"/>
  <c r="K113" i="6"/>
  <c r="O113" i="6" s="1"/>
  <c r="G77" i="5"/>
  <c r="H37" i="5"/>
  <c r="H26" i="5"/>
  <c r="F113" i="6"/>
  <c r="I113" i="6" s="1"/>
  <c r="H55" i="5"/>
  <c r="H67" i="5" s="1"/>
  <c r="A124" i="6"/>
  <c r="D124" i="6" s="1"/>
  <c r="K101" i="6"/>
  <c r="R101" i="6" s="1"/>
  <c r="AB101" i="6" s="1"/>
  <c r="H23" i="6"/>
  <c r="F124" i="6"/>
  <c r="I124" i="6" s="1"/>
  <c r="F101" i="6"/>
  <c r="G101" i="6" s="1"/>
  <c r="H100" i="6" s="1"/>
  <c r="AG24" i="6"/>
  <c r="A89" i="6"/>
  <c r="F78" i="6"/>
  <c r="AG105" i="6"/>
  <c r="I77" i="5"/>
  <c r="M113" i="6"/>
  <c r="N113" i="6" s="1"/>
  <c r="A78" i="6"/>
  <c r="I39" i="6"/>
  <c r="I76" i="6" s="1"/>
  <c r="L24" i="6"/>
  <c r="M38" i="6"/>
  <c r="N38" i="6" s="1"/>
  <c r="K67" i="6"/>
  <c r="F90" i="6"/>
  <c r="BE96" i="4"/>
  <c r="C102" i="6"/>
  <c r="L114" i="6" s="1"/>
  <c r="K114" i="6"/>
  <c r="A125" i="6"/>
  <c r="D125" i="6" s="1"/>
  <c r="F102" i="6"/>
  <c r="I102" i="6" s="1"/>
  <c r="L102" i="6"/>
  <c r="H162" i="5"/>
  <c r="I43" i="6"/>
  <c r="I80" i="6" s="1"/>
  <c r="A38" i="6"/>
  <c r="D38" i="6" s="1"/>
  <c r="D75" i="6" s="1"/>
  <c r="BE110" i="4"/>
  <c r="BE115" i="4" s="1"/>
  <c r="BE124" i="4" s="1"/>
  <c r="BE129" i="4" s="1"/>
  <c r="D30" i="6"/>
  <c r="I145" i="5"/>
  <c r="I134" i="5"/>
  <c r="A41" i="6"/>
  <c r="D41" i="6" s="1"/>
  <c r="D78" i="6" s="1"/>
  <c r="H134" i="5"/>
  <c r="K66" i="6"/>
  <c r="I162" i="5"/>
  <c r="AB29" i="6"/>
  <c r="K65" i="6"/>
  <c r="C65" i="6"/>
  <c r="L76" i="6" s="1"/>
  <c r="F65" i="6"/>
  <c r="G65" i="6" s="1"/>
  <c r="H65" i="6" s="1"/>
  <c r="K95" i="5"/>
  <c r="K44" i="5"/>
  <c r="F43" i="5"/>
  <c r="AO79" i="4"/>
  <c r="AS81" i="4" s="1"/>
  <c r="AT81" i="4" s="1"/>
  <c r="AA62" i="4" s="1"/>
  <c r="Q62" i="4" s="1"/>
  <c r="H24" i="6"/>
  <c r="M147" i="5"/>
  <c r="H147" i="5"/>
  <c r="O147" i="5"/>
  <c r="J147" i="5"/>
  <c r="G147" i="5"/>
  <c r="I147" i="5"/>
  <c r="K147" i="5"/>
  <c r="N147" i="5"/>
  <c r="L147" i="5"/>
  <c r="N154" i="5"/>
  <c r="O154" i="5" s="1"/>
  <c r="U60" i="6"/>
  <c r="R102" i="6"/>
  <c r="AB102" i="6" s="1"/>
  <c r="H25" i="6"/>
  <c r="N24" i="6"/>
  <c r="N75" i="6"/>
  <c r="R25" i="6"/>
  <c r="L25" i="6"/>
  <c r="N25" i="6"/>
  <c r="L64" i="6"/>
  <c r="AR44" i="4"/>
  <c r="I9" i="5" s="1"/>
  <c r="H90" i="5" s="1"/>
  <c r="AB104" i="6"/>
  <c r="AG104" i="6"/>
  <c r="AG28" i="6"/>
  <c r="F79" i="6"/>
  <c r="A79" i="6"/>
  <c r="F68" i="6"/>
  <c r="K79" i="6"/>
  <c r="A90" i="6"/>
  <c r="F66" i="6"/>
  <c r="F77" i="6"/>
  <c r="A88" i="6"/>
  <c r="A77" i="6"/>
  <c r="K77" i="6"/>
  <c r="AS45" i="4"/>
  <c r="L12" i="5" s="1"/>
  <c r="AQ64" i="4"/>
  <c r="AU28" i="4"/>
  <c r="AU25" i="4"/>
  <c r="AU27" i="4"/>
  <c r="AU24" i="4"/>
  <c r="AU26" i="4"/>
  <c r="AU15" i="4"/>
  <c r="AU17" i="4"/>
  <c r="D11" i="6"/>
  <c r="AK40" i="4" s="1"/>
  <c r="AQ62" i="4"/>
  <c r="AQ44" i="4"/>
  <c r="I8" i="5" s="1"/>
  <c r="AT82" i="4"/>
  <c r="E62" i="4" s="1"/>
  <c r="P149" i="5"/>
  <c r="U59" i="6"/>
  <c r="U61" i="6" s="1"/>
  <c r="AU29" i="4"/>
  <c r="AS44" i="4"/>
  <c r="N102" i="6"/>
  <c r="I25" i="6"/>
  <c r="I65" i="6" s="1"/>
  <c r="N39" i="6"/>
  <c r="K146" i="5"/>
  <c r="G146" i="5"/>
  <c r="H146" i="5"/>
  <c r="O146" i="5"/>
  <c r="M146" i="5"/>
  <c r="I146" i="5"/>
  <c r="N146" i="5"/>
  <c r="J146" i="5"/>
  <c r="L146" i="5"/>
  <c r="P146" i="5"/>
  <c r="J120" i="5"/>
  <c r="F115" i="6"/>
  <c r="I115" i="6" s="1"/>
  <c r="F126" i="6"/>
  <c r="I126" i="6" s="1"/>
  <c r="F103" i="6"/>
  <c r="I103" i="6" s="1"/>
  <c r="A126" i="6"/>
  <c r="D126" i="6" s="1"/>
  <c r="A115" i="6"/>
  <c r="D115" i="6" s="1"/>
  <c r="K103" i="6"/>
  <c r="R103" i="6" s="1"/>
  <c r="K115" i="6"/>
  <c r="O115" i="6" s="1"/>
  <c r="K55" i="5"/>
  <c r="K67" i="5" s="1"/>
  <c r="K37" i="5"/>
  <c r="K26" i="5"/>
  <c r="J162" i="5"/>
  <c r="J145" i="5"/>
  <c r="J134" i="5"/>
  <c r="AB106" i="6"/>
  <c r="AG106" i="6"/>
  <c r="AQ63" i="4" l="1"/>
  <c r="H63" i="6"/>
  <c r="N101" i="6"/>
  <c r="M101" i="6"/>
  <c r="N95" i="5"/>
  <c r="L88" i="5"/>
  <c r="L106" i="5" s="1"/>
  <c r="G153" i="5"/>
  <c r="P148" i="5" s="1"/>
  <c r="P156" i="5" s="1"/>
  <c r="P157" i="5" s="1"/>
  <c r="P158" i="5" s="1"/>
  <c r="P163" i="5" s="1"/>
  <c r="N129" i="6" s="1"/>
  <c r="G43" i="5"/>
  <c r="H43" i="5" s="1"/>
  <c r="I43" i="5" s="1"/>
  <c r="J43" i="5" s="1"/>
  <c r="K43" i="5" s="1"/>
  <c r="L43" i="5" s="1"/>
  <c r="M43" i="5" s="1"/>
  <c r="N43" i="5" s="1"/>
  <c r="O43" i="5" s="1"/>
  <c r="I153" i="5"/>
  <c r="N76" i="6"/>
  <c r="M44" i="5"/>
  <c r="N44" i="5" s="1"/>
  <c r="O44" i="5" s="1"/>
  <c r="G92" i="5"/>
  <c r="H92" i="5" s="1"/>
  <c r="L44" i="5"/>
  <c r="M95" i="5"/>
  <c r="L95" i="5"/>
  <c r="H153" i="5"/>
  <c r="G94" i="5"/>
  <c r="H94" i="5" s="1"/>
  <c r="I94" i="5" s="1"/>
  <c r="J94" i="5" s="1"/>
  <c r="K94" i="5" s="1"/>
  <c r="L94" i="5" s="1"/>
  <c r="M94" i="5" s="1"/>
  <c r="N94" i="5" s="1"/>
  <c r="O94" i="5" s="1"/>
  <c r="AG101" i="6"/>
  <c r="H77" i="5"/>
  <c r="H88" i="5"/>
  <c r="H106" i="5" s="1"/>
  <c r="L101" i="6"/>
  <c r="N100" i="6" s="1"/>
  <c r="I101" i="6"/>
  <c r="H101" i="6"/>
  <c r="AG102" i="6"/>
  <c r="N23" i="6"/>
  <c r="O114" i="6"/>
  <c r="M114" i="6"/>
  <c r="N114" i="6" s="1"/>
  <c r="H64" i="6"/>
  <c r="H156" i="5"/>
  <c r="L65" i="6"/>
  <c r="N63" i="6" s="1"/>
  <c r="N65" i="6"/>
  <c r="AV81" i="4"/>
  <c r="U62" i="6"/>
  <c r="I39" i="5"/>
  <c r="L90" i="5"/>
  <c r="G156" i="5"/>
  <c r="G157" i="5" s="1"/>
  <c r="G158" i="5" s="1"/>
  <c r="G166" i="5" s="1"/>
  <c r="H118" i="6" s="1"/>
  <c r="M39" i="5"/>
  <c r="H39" i="5"/>
  <c r="N39" i="5"/>
  <c r="N90" i="5"/>
  <c r="G90" i="5"/>
  <c r="I90" i="5"/>
  <c r="K39" i="5"/>
  <c r="I156" i="5"/>
  <c r="I157" i="5" s="1"/>
  <c r="I158" i="5" s="1"/>
  <c r="I165" i="5" s="1"/>
  <c r="C127" i="6" s="1"/>
  <c r="M90" i="5"/>
  <c r="G39" i="5"/>
  <c r="J39" i="5"/>
  <c r="K90" i="5"/>
  <c r="L39" i="5"/>
  <c r="J90" i="5"/>
  <c r="O39" i="5"/>
  <c r="O90" i="5"/>
  <c r="AG25" i="6"/>
  <c r="AB25" i="6"/>
  <c r="AV82" i="4"/>
  <c r="K89" i="5"/>
  <c r="O89" i="5"/>
  <c r="I89" i="5"/>
  <c r="M38" i="5"/>
  <c r="K38" i="5"/>
  <c r="G89" i="5"/>
  <c r="G38" i="5"/>
  <c r="H89" i="5"/>
  <c r="I38" i="5"/>
  <c r="J89" i="5"/>
  <c r="J38" i="5"/>
  <c r="L38" i="5"/>
  <c r="H38" i="5"/>
  <c r="N38" i="5"/>
  <c r="O38" i="5"/>
  <c r="N89" i="5"/>
  <c r="M89" i="5"/>
  <c r="L89" i="5"/>
  <c r="AQ18" i="4"/>
  <c r="J8" i="5" s="1"/>
  <c r="AR18" i="4"/>
  <c r="J9" i="5" s="1"/>
  <c r="AS18" i="4"/>
  <c r="AQ30" i="4"/>
  <c r="K8" i="5" s="1"/>
  <c r="AR30" i="4"/>
  <c r="K9" i="5" s="1"/>
  <c r="AS30" i="4"/>
  <c r="E9" i="5"/>
  <c r="E10" i="5"/>
  <c r="P38" i="5" s="1"/>
  <c r="K88" i="5"/>
  <c r="K106" i="5" s="1"/>
  <c r="K77" i="5"/>
  <c r="AG103" i="6"/>
  <c r="AB103" i="6"/>
  <c r="H41" i="5"/>
  <c r="K149" i="5"/>
  <c r="J153" i="5"/>
  <c r="J156" i="5" l="1"/>
  <c r="J157" i="5" s="1"/>
  <c r="J158" i="5" s="1"/>
  <c r="J166" i="5" s="1"/>
  <c r="H115" i="6" s="1"/>
  <c r="H159" i="5"/>
  <c r="H157" i="5"/>
  <c r="H158" i="5" s="1"/>
  <c r="H165" i="5" s="1"/>
  <c r="C128" i="6" s="1"/>
  <c r="G164" i="5"/>
  <c r="H129" i="6" s="1"/>
  <c r="G163" i="5"/>
  <c r="C118" i="6" s="1"/>
  <c r="F167" i="5"/>
  <c r="N126" i="6" s="1"/>
  <c r="E163" i="5"/>
  <c r="N128" i="6" s="1"/>
  <c r="F165" i="5"/>
  <c r="N127" i="6" s="1"/>
  <c r="H163" i="5"/>
  <c r="C117" i="6" s="1"/>
  <c r="G165" i="5"/>
  <c r="C129" i="6" s="1"/>
  <c r="J163" i="5"/>
  <c r="C115" i="6" s="1"/>
  <c r="I166" i="5"/>
  <c r="H116" i="6" s="1"/>
  <c r="I159" i="5"/>
  <c r="I164" i="5"/>
  <c r="H127" i="6" s="1"/>
  <c r="D39" i="5"/>
  <c r="D46" i="5" s="1"/>
  <c r="E39" i="5"/>
  <c r="F39" i="5"/>
  <c r="E38" i="5"/>
  <c r="D38" i="5"/>
  <c r="F38" i="5"/>
  <c r="I41" i="5"/>
  <c r="I92" i="5"/>
  <c r="J165" i="5"/>
  <c r="C126" i="6" s="1"/>
  <c r="L149" i="5"/>
  <c r="K153" i="5"/>
  <c r="J159" i="5" l="1"/>
  <c r="K156" i="5"/>
  <c r="K157" i="5" s="1"/>
  <c r="K158" i="5" s="1"/>
  <c r="K164" i="5" s="1"/>
  <c r="H125" i="6" s="1"/>
  <c r="J164" i="5"/>
  <c r="H126" i="6" s="1"/>
  <c r="K163" i="5"/>
  <c r="C114" i="6" s="1"/>
  <c r="H166" i="5"/>
  <c r="H117" i="6" s="1"/>
  <c r="H164" i="5"/>
  <c r="H128" i="6" s="1"/>
  <c r="I163" i="5"/>
  <c r="C116" i="6" s="1"/>
  <c r="E46" i="5"/>
  <c r="F42" i="5" s="1"/>
  <c r="D49" i="5"/>
  <c r="D50" i="5" s="1"/>
  <c r="J92" i="5"/>
  <c r="J41" i="5"/>
  <c r="L163" i="5"/>
  <c r="C113" i="6" s="1"/>
  <c r="M149" i="5"/>
  <c r="M153" i="5" s="1"/>
  <c r="L153" i="5"/>
  <c r="K166" i="5" l="1"/>
  <c r="H114" i="6" s="1"/>
  <c r="K165" i="5"/>
  <c r="C125" i="6" s="1"/>
  <c r="K159" i="5"/>
  <c r="D51" i="5"/>
  <c r="D56" i="5" s="1"/>
  <c r="H9" i="6" s="1"/>
  <c r="F46" i="5"/>
  <c r="P39" i="5" s="1"/>
  <c r="E49" i="5"/>
  <c r="E50" i="5" s="1"/>
  <c r="E51" i="5" s="1"/>
  <c r="E56" i="5" s="1"/>
  <c r="H10" i="6" s="1"/>
  <c r="O93" i="5"/>
  <c r="J42" i="5"/>
  <c r="J46" i="5" s="1"/>
  <c r="I42" i="5"/>
  <c r="I46" i="5" s="1"/>
  <c r="I49" i="5" s="1"/>
  <c r="I50" i="5" s="1"/>
  <c r="I51" i="5" s="1"/>
  <c r="I58" i="5" s="1"/>
  <c r="C52" i="6" s="1"/>
  <c r="K93" i="5"/>
  <c r="J93" i="5"/>
  <c r="J97" i="5" s="1"/>
  <c r="I93" i="5"/>
  <c r="I97" i="5" s="1"/>
  <c r="L42" i="5"/>
  <c r="H93" i="5"/>
  <c r="G42" i="5"/>
  <c r="M42" i="5"/>
  <c r="K42" i="5"/>
  <c r="N93" i="5"/>
  <c r="O42" i="5"/>
  <c r="N42" i="5"/>
  <c r="H42" i="5"/>
  <c r="H46" i="5" s="1"/>
  <c r="L93" i="5"/>
  <c r="G93" i="5"/>
  <c r="G97" i="5" s="1"/>
  <c r="G100" i="5" s="1"/>
  <c r="G101" i="5" s="1"/>
  <c r="G102" i="5" s="1"/>
  <c r="M93" i="5"/>
  <c r="K41" i="5"/>
  <c r="K92" i="5"/>
  <c r="N149" i="5"/>
  <c r="L156" i="5"/>
  <c r="L157" i="5" s="1"/>
  <c r="L158" i="5" s="1"/>
  <c r="L159" i="5" l="1"/>
  <c r="J49" i="5"/>
  <c r="J50" i="5" s="1"/>
  <c r="J51" i="5" s="1"/>
  <c r="J57" i="5" s="1"/>
  <c r="H51" i="6" s="1"/>
  <c r="I100" i="5"/>
  <c r="I101" i="5" s="1"/>
  <c r="I102" i="5" s="1"/>
  <c r="J107" i="5" s="1"/>
  <c r="C77" i="6" s="1"/>
  <c r="J56" i="5"/>
  <c r="C40" i="6" s="1"/>
  <c r="I52" i="5"/>
  <c r="M27" i="6" s="1"/>
  <c r="I59" i="5"/>
  <c r="H41" i="6" s="1"/>
  <c r="I57" i="5"/>
  <c r="H52" i="6" s="1"/>
  <c r="F49" i="5"/>
  <c r="F50" i="5" s="1"/>
  <c r="F51" i="5" s="1"/>
  <c r="H97" i="5"/>
  <c r="H100" i="5" s="1"/>
  <c r="H101" i="5" s="1"/>
  <c r="H102" i="5" s="1"/>
  <c r="G108" i="5"/>
  <c r="H91" i="6" s="1"/>
  <c r="G110" i="5"/>
  <c r="H80" i="6" s="1"/>
  <c r="H107" i="5"/>
  <c r="C79" i="6" s="1"/>
  <c r="G109" i="5"/>
  <c r="C91" i="6" s="1"/>
  <c r="H49" i="5"/>
  <c r="H50" i="5" s="1"/>
  <c r="H51" i="5" s="1"/>
  <c r="G46" i="5"/>
  <c r="P40" i="5" s="1"/>
  <c r="P49" i="5" s="1"/>
  <c r="P50" i="5" s="1"/>
  <c r="P51" i="5" s="1"/>
  <c r="P56" i="5" s="1"/>
  <c r="H13" i="6" s="1"/>
  <c r="J100" i="5"/>
  <c r="J101" i="5" s="1"/>
  <c r="J102" i="5" s="1"/>
  <c r="K46" i="5"/>
  <c r="L41" i="5"/>
  <c r="L92" i="5"/>
  <c r="K97" i="5"/>
  <c r="N153" i="5"/>
  <c r="N156" i="5" s="1"/>
  <c r="N157" i="5" s="1"/>
  <c r="O149" i="5"/>
  <c r="L166" i="5"/>
  <c r="H113" i="6" s="1"/>
  <c r="L164" i="5"/>
  <c r="H124" i="6" s="1"/>
  <c r="L165" i="5"/>
  <c r="C124" i="6" s="1"/>
  <c r="M156" i="5"/>
  <c r="J103" i="5" l="1"/>
  <c r="J160" i="5"/>
  <c r="K160" i="5"/>
  <c r="J58" i="5"/>
  <c r="C51" i="6" s="1"/>
  <c r="J59" i="5"/>
  <c r="H40" i="6" s="1"/>
  <c r="J52" i="5"/>
  <c r="M26" i="6" s="1"/>
  <c r="K49" i="5"/>
  <c r="K50" i="5" s="1"/>
  <c r="K51" i="5" s="1"/>
  <c r="L56" i="5" s="1"/>
  <c r="C38" i="6" s="1"/>
  <c r="K56" i="5"/>
  <c r="C39" i="6" s="1"/>
  <c r="I109" i="5"/>
  <c r="C89" i="6" s="1"/>
  <c r="I108" i="5"/>
  <c r="H89" i="6" s="1"/>
  <c r="I110" i="5"/>
  <c r="H78" i="6" s="1"/>
  <c r="I103" i="5"/>
  <c r="M67" i="6" s="1"/>
  <c r="C43" i="6"/>
  <c r="G107" i="5"/>
  <c r="C80" i="6" s="1"/>
  <c r="F56" i="5"/>
  <c r="H11" i="6" s="1"/>
  <c r="H109" i="5"/>
  <c r="C90" i="6" s="1"/>
  <c r="H110" i="5"/>
  <c r="H79" i="6" s="1"/>
  <c r="I107" i="5"/>
  <c r="C78" i="6" s="1"/>
  <c r="H108" i="5"/>
  <c r="H90" i="6" s="1"/>
  <c r="G49" i="5"/>
  <c r="G50" i="5" s="1"/>
  <c r="G51" i="5" s="1"/>
  <c r="G61" i="5" s="1"/>
  <c r="H12" i="6" s="1"/>
  <c r="H52" i="5"/>
  <c r="M28" i="6" s="1"/>
  <c r="H59" i="5"/>
  <c r="H42" i="6" s="1"/>
  <c r="H58" i="5"/>
  <c r="C53" i="6" s="1"/>
  <c r="H57" i="5"/>
  <c r="H53" i="6" s="1"/>
  <c r="I56" i="5"/>
  <c r="C41" i="6" s="1"/>
  <c r="H103" i="5"/>
  <c r="M68" i="6" s="1"/>
  <c r="M66" i="6"/>
  <c r="M159" i="5"/>
  <c r="U55" i="6"/>
  <c r="K100" i="5"/>
  <c r="K101" i="5" s="1"/>
  <c r="K102" i="5" s="1"/>
  <c r="M92" i="5"/>
  <c r="M97" i="5" s="1"/>
  <c r="L97" i="5"/>
  <c r="M41" i="5"/>
  <c r="L46" i="5"/>
  <c r="J109" i="5"/>
  <c r="C88" i="6" s="1"/>
  <c r="J108" i="5"/>
  <c r="H88" i="6" s="1"/>
  <c r="K107" i="5"/>
  <c r="C76" i="6" s="1"/>
  <c r="J110" i="5"/>
  <c r="H77" i="6" s="1"/>
  <c r="O153" i="5"/>
  <c r="N159" i="5"/>
  <c r="M157" i="5"/>
  <c r="M158" i="5" s="1"/>
  <c r="M163" i="5" s="1"/>
  <c r="AQ88" i="4"/>
  <c r="M100" i="6" l="1"/>
  <c r="K58" i="5"/>
  <c r="C50" i="6" s="1"/>
  <c r="K103" i="5"/>
  <c r="M65" i="6" s="1"/>
  <c r="L100" i="5"/>
  <c r="L101" i="5" s="1"/>
  <c r="L102" i="5" s="1"/>
  <c r="L109" i="5" s="1"/>
  <c r="C86" i="6" s="1"/>
  <c r="K59" i="5"/>
  <c r="H39" i="6" s="1"/>
  <c r="K57" i="5"/>
  <c r="H50" i="6" s="1"/>
  <c r="K52" i="5"/>
  <c r="M25" i="6" s="1"/>
  <c r="G60" i="5"/>
  <c r="H14" i="6" s="1"/>
  <c r="G57" i="5"/>
  <c r="H54" i="6" s="1"/>
  <c r="G59" i="5"/>
  <c r="H43" i="6" s="1"/>
  <c r="G58" i="5"/>
  <c r="H56" i="5"/>
  <c r="C42" i="6" s="1"/>
  <c r="L49" i="5"/>
  <c r="L50" i="5" s="1"/>
  <c r="L51" i="5" s="1"/>
  <c r="L59" i="5" s="1"/>
  <c r="M46" i="5"/>
  <c r="N41" i="5"/>
  <c r="K109" i="5"/>
  <c r="C87" i="6" s="1"/>
  <c r="K108" i="5"/>
  <c r="H87" i="6" s="1"/>
  <c r="L107" i="5"/>
  <c r="C75" i="6" s="1"/>
  <c r="K110" i="5"/>
  <c r="H76" i="6" s="1"/>
  <c r="N92" i="5"/>
  <c r="N97" i="5" s="1"/>
  <c r="AS88" i="4"/>
  <c r="AQ97" i="4"/>
  <c r="O156" i="5"/>
  <c r="O157" i="5" s="1"/>
  <c r="L108" i="5" l="1"/>
  <c r="H86" i="6" s="1"/>
  <c r="L103" i="5"/>
  <c r="M64" i="6" s="1"/>
  <c r="L110" i="5"/>
  <c r="H75" i="6" s="1"/>
  <c r="M49" i="5"/>
  <c r="J53" i="5" s="1"/>
  <c r="L52" i="5"/>
  <c r="M24" i="6" s="1"/>
  <c r="C54" i="6"/>
  <c r="M100" i="5"/>
  <c r="N100" i="5"/>
  <c r="N101" i="5" s="1"/>
  <c r="O92" i="5"/>
  <c r="O97" i="5" s="1"/>
  <c r="O41" i="5"/>
  <c r="N46" i="5"/>
  <c r="N49" i="5" s="1"/>
  <c r="N50" i="5" s="1"/>
  <c r="L58" i="5"/>
  <c r="C49" i="6" s="1"/>
  <c r="L57" i="5"/>
  <c r="H49" i="6" s="1"/>
  <c r="H38" i="6"/>
  <c r="AQ108" i="4"/>
  <c r="K53" i="5" l="1"/>
  <c r="J104" i="5"/>
  <c r="K104" i="5"/>
  <c r="BE88" i="4"/>
  <c r="BE97" i="4" s="1"/>
  <c r="BE109" i="4" s="1"/>
  <c r="M103" i="5"/>
  <c r="M63" i="6" s="1"/>
  <c r="M50" i="5"/>
  <c r="M51" i="5" s="1"/>
  <c r="M56" i="5" s="1"/>
  <c r="M52" i="5"/>
  <c r="M23" i="6" s="1"/>
  <c r="AX88" i="4"/>
  <c r="AZ88" i="4" s="1"/>
  <c r="M101" i="5"/>
  <c r="M102" i="5" s="1"/>
  <c r="M107" i="5" s="1"/>
  <c r="U54" i="6"/>
  <c r="O100" i="5"/>
  <c r="O101" i="5" s="1"/>
  <c r="O46" i="5"/>
  <c r="N103" i="5"/>
  <c r="AQ114" i="4"/>
  <c r="AQ123" i="4" s="1"/>
  <c r="AQ128" i="4" s="1"/>
  <c r="AS109" i="4"/>
  <c r="BG88" i="4" l="1"/>
  <c r="U56" i="6"/>
  <c r="U57" i="6" s="1"/>
  <c r="AX97" i="4"/>
  <c r="BE108" i="4"/>
  <c r="O49" i="5"/>
  <c r="O50" i="5" s="1"/>
  <c r="O103" i="5"/>
  <c r="M62" i="6" s="1"/>
  <c r="V73" i="6" l="1"/>
  <c r="W73" i="6"/>
  <c r="Y21" i="6" s="1"/>
  <c r="Y25" i="6" s="1"/>
  <c r="AX108" i="4"/>
  <c r="AX109" i="4"/>
  <c r="O52" i="5"/>
  <c r="M22" i="6" s="1"/>
  <c r="BE114" i="4"/>
  <c r="BE123" i="4" s="1"/>
  <c r="BE128" i="4" s="1"/>
  <c r="BG109" i="4"/>
  <c r="Y26" i="6" l="1"/>
  <c r="Y27" i="6" s="1"/>
  <c r="Y28" i="6" s="1"/>
  <c r="Y105" i="6" s="1"/>
  <c r="Y102" i="6"/>
  <c r="Y24" i="6"/>
  <c r="Y101" i="6" s="1"/>
  <c r="X21" i="6"/>
  <c r="X26" i="6" s="1"/>
  <c r="X27" i="6" s="1"/>
  <c r="X28" i="6" s="1"/>
  <c r="X105" i="6" s="1"/>
  <c r="Z21" i="6"/>
  <c r="Z24" i="6" s="1"/>
  <c r="Z25" i="6" s="1"/>
  <c r="Z26" i="6" s="1"/>
  <c r="T26" i="6" s="1"/>
  <c r="V21" i="6"/>
  <c r="V25" i="6" s="1"/>
  <c r="W21" i="6"/>
  <c r="W24" i="6" s="1"/>
  <c r="U21" i="6"/>
  <c r="U26" i="6" s="1"/>
  <c r="AX114" i="4"/>
  <c r="AX123" i="4" s="1"/>
  <c r="AX128" i="4" s="1"/>
  <c r="AZ109" i="4"/>
  <c r="U106" i="6"/>
  <c r="Y104" i="6" l="1"/>
  <c r="Y103" i="6"/>
  <c r="X25" i="6"/>
  <c r="X24" i="6" s="1"/>
  <c r="X101" i="6" s="1"/>
  <c r="X103" i="6"/>
  <c r="U27" i="6"/>
  <c r="U28" i="6" s="1"/>
  <c r="U105" i="6" s="1"/>
  <c r="U25" i="6"/>
  <c r="V26" i="6"/>
  <c r="V102" i="6"/>
  <c r="V24" i="6"/>
  <c r="V101" i="6" s="1"/>
  <c r="Z101" i="6"/>
  <c r="T101" i="6" s="1"/>
  <c r="T24" i="6"/>
  <c r="W25" i="6"/>
  <c r="S24" i="6"/>
  <c r="S23" i="6" s="1"/>
  <c r="S22" i="6" s="1"/>
  <c r="W101" i="6"/>
  <c r="T25" i="6"/>
  <c r="T23" i="6" s="1"/>
  <c r="T22" i="6" s="1"/>
  <c r="X104" i="6"/>
  <c r="Z102" i="6"/>
  <c r="T102" i="6" s="1"/>
  <c r="Z103" i="6"/>
  <c r="T103" i="6" s="1"/>
  <c r="Z27" i="6"/>
  <c r="Z104" i="6" s="1"/>
  <c r="T104" i="6" s="1"/>
  <c r="U103" i="6"/>
  <c r="S101" i="6" l="1"/>
  <c r="X102" i="6"/>
  <c r="D24" i="6"/>
  <c r="D64" i="6" s="1"/>
  <c r="U104" i="6"/>
  <c r="D22" i="6"/>
  <c r="D62" i="6" s="1"/>
  <c r="W26" i="6"/>
  <c r="S25" i="6"/>
  <c r="D25" i="6" s="1"/>
  <c r="D65" i="6" s="1"/>
  <c r="W102" i="6"/>
  <c r="S102" i="6" s="1"/>
  <c r="D102" i="6" s="1"/>
  <c r="D101" i="6"/>
  <c r="U24" i="6"/>
  <c r="U101" i="6" s="1"/>
  <c r="U102" i="6"/>
  <c r="V27" i="6"/>
  <c r="V103" i="6"/>
  <c r="Z28" i="6"/>
  <c r="T27" i="6"/>
  <c r="D23" i="6"/>
  <c r="D63" i="6" s="1"/>
  <c r="V28" i="6" l="1"/>
  <c r="V105" i="6" s="1"/>
  <c r="V104" i="6"/>
  <c r="W27" i="6"/>
  <c r="W103" i="6"/>
  <c r="S103" i="6" s="1"/>
  <c r="D103" i="6" s="1"/>
  <c r="S26" i="6"/>
  <c r="D26" i="6" s="1"/>
  <c r="D66" i="6" s="1"/>
  <c r="T28" i="6"/>
  <c r="Z105" i="6"/>
  <c r="T105" i="6" s="1"/>
  <c r="W28" i="6" l="1"/>
  <c r="S27" i="6"/>
  <c r="D27" i="6" s="1"/>
  <c r="D67" i="6" s="1"/>
  <c r="W104" i="6"/>
  <c r="S104" i="6" s="1"/>
  <c r="D104" i="6" s="1"/>
  <c r="I43" i="4"/>
  <c r="I49" i="4" s="1"/>
  <c r="N125" i="5" s="1"/>
  <c r="N158" i="5" s="1"/>
  <c r="N163" i="5" s="1"/>
  <c r="N123" i="6" s="1"/>
  <c r="AP99" i="4"/>
  <c r="AR95" i="4" s="1"/>
  <c r="AP95" i="4" s="1"/>
  <c r="AP108" i="4" s="1"/>
  <c r="W105" i="6" l="1"/>
  <c r="S105" i="6" s="1"/>
  <c r="D105" i="6" s="1"/>
  <c r="S28" i="6"/>
  <c r="D28" i="6" s="1"/>
  <c r="D68" i="6" s="1"/>
  <c r="AR108" i="4"/>
  <c r="AR110" i="4" s="1"/>
  <c r="AP110" i="4" s="1"/>
  <c r="AS110" i="4" s="1"/>
  <c r="AR96" i="4"/>
  <c r="AP96" i="4" s="1"/>
  <c r="O125" i="5"/>
  <c r="O158" i="5" s="1"/>
  <c r="AO71" i="4" s="1"/>
  <c r="AO73" i="4" s="1"/>
  <c r="I72" i="4" s="1"/>
  <c r="N122" i="6" s="1"/>
  <c r="AR92" i="4"/>
  <c r="AP92" i="4" s="1"/>
  <c r="AS92" i="4" s="1"/>
  <c r="AT93" i="4" s="1"/>
  <c r="AS94" i="4" s="1"/>
  <c r="I57" i="4"/>
  <c r="M43" i="4"/>
  <c r="AW99" i="4"/>
  <c r="AY92" i="4" s="1"/>
  <c r="AW92" i="4" s="1"/>
  <c r="AZ92" i="4" s="1"/>
  <c r="BA93" i="4" s="1"/>
  <c r="AZ94" i="4" s="1"/>
  <c r="AS108" i="4" l="1"/>
  <c r="AS112" i="4" s="1"/>
  <c r="C99" i="6"/>
  <c r="AY108" i="4"/>
  <c r="AY110" i="4" s="1"/>
  <c r="AW110" i="4" s="1"/>
  <c r="AZ110" i="4" s="1"/>
  <c r="AY96" i="4"/>
  <c r="AW96" i="4" s="1"/>
  <c r="AY95" i="4"/>
  <c r="AW95" i="4" s="1"/>
  <c r="AW108" i="4" s="1"/>
  <c r="M49" i="4"/>
  <c r="N68" i="5" s="1"/>
  <c r="N102" i="5" s="1"/>
  <c r="N107" i="5" s="1"/>
  <c r="N85" i="6" s="1"/>
  <c r="O68" i="5"/>
  <c r="AZ108" i="4" l="1"/>
  <c r="AZ112" i="4" s="1"/>
  <c r="M57" i="4"/>
  <c r="C62" i="6"/>
  <c r="O102" i="5"/>
  <c r="AR71" i="4" s="1"/>
  <c r="AR73" i="4" s="1"/>
  <c r="M72" i="4" s="1"/>
  <c r="N84" i="6" s="1"/>
  <c r="N47" i="6"/>
  <c r="AE72" i="4"/>
  <c r="N17" i="5"/>
  <c r="O17" i="5"/>
  <c r="N51" i="5"/>
  <c r="O51" i="5"/>
  <c r="N56" i="5"/>
  <c r="C22" i="6"/>
  <c r="N48" i="6"/>
  <c r="AE43" i="4"/>
  <c r="AE49" i="4"/>
  <c r="AE57" i="4"/>
  <c r="AE67" i="4"/>
  <c r="AU71" i="4"/>
  <c r="AU73" i="4"/>
  <c r="BD92" i="4"/>
  <c r="BF92" i="4"/>
  <c r="BG92" i="4"/>
  <c r="BH93" i="4"/>
  <c r="BG94" i="4"/>
  <c r="BD95" i="4"/>
  <c r="BF95" i="4"/>
  <c r="BD96" i="4"/>
  <c r="BF96" i="4"/>
  <c r="BD99" i="4"/>
  <c r="BD108" i="4"/>
  <c r="BF108" i="4"/>
  <c r="BG108" i="4"/>
  <c r="BD110" i="4"/>
  <c r="BF110" i="4"/>
  <c r="BG110" i="4"/>
  <c r="BG112" i="4"/>
  <c r="AP114" i="4"/>
  <c r="AR114" i="4"/>
  <c r="AW114" i="4"/>
  <c r="AY114" i="4"/>
  <c r="BD114" i="4"/>
  <c r="BF114" i="4"/>
  <c r="AP115" i="4"/>
  <c r="AR115" i="4"/>
  <c r="AW115" i="4"/>
  <c r="AY115" i="4"/>
  <c r="BD115" i="4"/>
  <c r="BF115" i="4"/>
  <c r="AP117" i="4"/>
  <c r="AW117" i="4"/>
  <c r="BD117" i="4"/>
  <c r="AP123" i="4"/>
  <c r="AR123" i="4"/>
  <c r="AS123" i="4"/>
  <c r="AW123" i="4"/>
  <c r="AY123" i="4"/>
  <c r="AZ123" i="4"/>
  <c r="BD123" i="4"/>
  <c r="BF123" i="4"/>
  <c r="BG123" i="4"/>
  <c r="AP124" i="4"/>
  <c r="AR124" i="4"/>
  <c r="AS124" i="4"/>
  <c r="AW124" i="4"/>
  <c r="AY124" i="4"/>
  <c r="AZ124" i="4"/>
  <c r="BD124" i="4"/>
  <c r="BF124" i="4"/>
  <c r="BG124" i="4"/>
  <c r="AS126" i="4"/>
  <c r="AZ126" i="4"/>
  <c r="BG126" i="4"/>
  <c r="AP128" i="4"/>
  <c r="AR128" i="4"/>
  <c r="AW128" i="4"/>
  <c r="AY128" i="4"/>
  <c r="BD128" i="4"/>
  <c r="BF128" i="4"/>
  <c r="AP129" i="4"/>
  <c r="AR129" i="4"/>
  <c r="AW129" i="4"/>
  <c r="AY129" i="4"/>
  <c r="BD129" i="4"/>
  <c r="BF129" i="4"/>
  <c r="AP131" i="4"/>
  <c r="AW131" i="4"/>
  <c r="BD131" i="4"/>
</calcChain>
</file>

<file path=xl/comments1.xml><?xml version="1.0" encoding="utf-8"?>
<comments xmlns="http://schemas.openxmlformats.org/spreadsheetml/2006/main">
  <authors>
    <author>Christian Engmann</author>
  </authors>
  <commentList>
    <comment ref="AR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95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96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114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R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AY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  <comment ref="BF128" authorId="0">
      <text>
        <r>
          <rPr>
            <b/>
            <sz val="9"/>
            <color indexed="81"/>
            <rFont val="Tahoma"/>
            <family val="2"/>
          </rPr>
          <t>Christian Engmann:
If error shown:
- Replace formula by value e.g. 300
- then replace value by former formula</t>
        </r>
      </text>
    </comment>
  </commentList>
</comments>
</file>

<file path=xl/comments2.xml><?xml version="1.0" encoding="utf-8"?>
<comments xmlns="http://schemas.openxmlformats.org/spreadsheetml/2006/main">
  <authors>
    <author>cengmann</author>
    <author>Andrea Kleger</author>
  </authors>
  <commentList>
    <comment ref="E13" authorId="0">
      <text>
        <r>
          <rPr>
            <sz val="8"/>
            <color indexed="81"/>
            <rFont val="Tahoma"/>
            <family val="2"/>
          </rPr>
          <t>If gas distribution to the two strings is uneven, this factor may be changed</t>
        </r>
      </text>
    </comment>
    <comment ref="G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40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G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P91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G107" authorId="0">
      <text>
        <r>
          <rPr>
            <sz val="8"/>
            <color indexed="81"/>
            <rFont val="Tahoma"/>
            <family val="2"/>
          </rPr>
          <t xml:space="preserve">PC loop velocity not riser 
duct
</t>
        </r>
      </text>
    </comment>
    <comment ref="G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I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J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K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L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M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N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O148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  <comment ref="H149" authorId="1">
      <text>
        <r>
          <rPr>
            <b/>
            <sz val="8"/>
            <color indexed="81"/>
            <rFont val="Tahoma"/>
            <family val="2"/>
          </rPr>
          <t>Andrea Kleger:</t>
        </r>
        <r>
          <rPr>
            <sz val="8"/>
            <color indexed="81"/>
            <rFont val="Tahoma"/>
            <family val="2"/>
          </rPr>
          <t xml:space="preserve">
complete decarbonisation</t>
        </r>
      </text>
    </comment>
  </commentList>
</comments>
</file>

<file path=xl/sharedStrings.xml><?xml version="1.0" encoding="utf-8"?>
<sst xmlns="http://schemas.openxmlformats.org/spreadsheetml/2006/main" count="2093" uniqueCount="577">
  <si>
    <t>Corporate Technical Services</t>
  </si>
  <si>
    <t>Am3/h</t>
  </si>
  <si>
    <t>Date</t>
  </si>
  <si>
    <t>kg/Am3</t>
  </si>
  <si>
    <t>Fan characteristic with inlet damper</t>
  </si>
  <si>
    <t>Type of damper</t>
  </si>
  <si>
    <t>Duct</t>
  </si>
  <si>
    <t>a</t>
  </si>
  <si>
    <t>b</t>
  </si>
  <si>
    <t>Gate</t>
  </si>
  <si>
    <t>Rectangular</t>
  </si>
  <si>
    <t>Round</t>
  </si>
  <si>
    <t>Flap</t>
  </si>
  <si>
    <t>Damper characteristic</t>
  </si>
  <si>
    <t>Type Index</t>
  </si>
  <si>
    <t>x-value</t>
  </si>
  <si>
    <t>zeta value</t>
  </si>
  <si>
    <t>Choose</t>
  </si>
  <si>
    <t>Open</t>
  </si>
  <si>
    <t>Damper</t>
  </si>
  <si>
    <t>open</t>
  </si>
  <si>
    <t>rho</t>
  </si>
  <si>
    <t>cross</t>
  </si>
  <si>
    <t>m2</t>
  </si>
  <si>
    <t>V</t>
  </si>
  <si>
    <t>Dp</t>
  </si>
  <si>
    <t>v</t>
  </si>
  <si>
    <t>minus dp</t>
  </si>
  <si>
    <t>total</t>
  </si>
  <si>
    <t>mbar</t>
  </si>
  <si>
    <t>m/s</t>
  </si>
  <si>
    <t>start angle</t>
  </si>
  <si>
    <t>V^2</t>
  </si>
  <si>
    <t>Fan curve (supplier)</t>
  </si>
  <si>
    <t>Characteristic</t>
  </si>
  <si>
    <t>c</t>
  </si>
  <si>
    <t>f</t>
  </si>
  <si>
    <t>p</t>
  </si>
  <si>
    <t>q</t>
  </si>
  <si>
    <t>Vcross</t>
  </si>
  <si>
    <t>Dp cross</t>
  </si>
  <si>
    <t>°</t>
  </si>
  <si>
    <t>rad</t>
  </si>
  <si>
    <t>Rev.No.</t>
  </si>
  <si>
    <t>Project Work</t>
  </si>
  <si>
    <t>Worksheet Set-up:</t>
  </si>
  <si>
    <t>Cement Manufacturing Services - TPT</t>
  </si>
  <si>
    <t>on</t>
  </si>
  <si>
    <t>Revision</t>
  </si>
  <si>
    <t>Holcim Group Support Ltd</t>
  </si>
  <si>
    <t>Responsible</t>
  </si>
  <si>
    <t>Program use:</t>
  </si>
  <si>
    <t>Program update history:</t>
  </si>
  <si>
    <t>Yellow cells to be filled by user of worksheet</t>
  </si>
  <si>
    <t xml:space="preserve">Plant Name  </t>
  </si>
  <si>
    <t xml:space="preserve">Project Name  </t>
  </si>
  <si>
    <t xml:space="preserve">Project Responsible Person  </t>
  </si>
  <si>
    <t>Tgas</t>
  </si>
  <si>
    <t>CO</t>
  </si>
  <si>
    <t>NO</t>
  </si>
  <si>
    <t>°C</t>
  </si>
  <si>
    <t>%</t>
  </si>
  <si>
    <r>
      <t>O</t>
    </r>
    <r>
      <rPr>
        <vertAlign val="subscript"/>
        <sz val="10"/>
        <rFont val="Arial"/>
        <family val="2"/>
      </rPr>
      <t>2</t>
    </r>
  </si>
  <si>
    <r>
      <t>T</t>
    </r>
    <r>
      <rPr>
        <vertAlign val="subscript"/>
        <sz val="10"/>
        <rFont val="Arial"/>
        <family val="2"/>
      </rPr>
      <t>meal</t>
    </r>
  </si>
  <si>
    <t>SLC</t>
  </si>
  <si>
    <t>ILC A</t>
  </si>
  <si>
    <t>Tower exit</t>
  </si>
  <si>
    <t>Q</t>
  </si>
  <si>
    <t>t/h</t>
  </si>
  <si>
    <t>Coal mill take off</t>
  </si>
  <si>
    <t>Water injection</t>
  </si>
  <si>
    <t>Preheater assessment tool</t>
  </si>
  <si>
    <t>Configuration of program</t>
  </si>
  <si>
    <t>SLC n</t>
  </si>
  <si>
    <t>SLC final</t>
  </si>
  <si>
    <t>SLC i</t>
  </si>
  <si>
    <t>ILC final</t>
  </si>
  <si>
    <t>ILC i</t>
  </si>
  <si>
    <t>ILC n</t>
  </si>
  <si>
    <r>
      <t>T</t>
    </r>
    <r>
      <rPr>
        <vertAlign val="subscript"/>
        <sz val="10"/>
        <rFont val="Arial"/>
        <family val="2"/>
      </rPr>
      <t>gas</t>
    </r>
  </si>
  <si>
    <t>ID fan evaluation</t>
  </si>
  <si>
    <t>T gas</t>
  </si>
  <si>
    <r>
      <t>p</t>
    </r>
    <r>
      <rPr>
        <vertAlign val="subscript"/>
        <sz val="10"/>
        <rFont val="Arial"/>
        <family val="2"/>
      </rPr>
      <t xml:space="preserve"> inlet</t>
    </r>
  </si>
  <si>
    <r>
      <t>p</t>
    </r>
    <r>
      <rPr>
        <vertAlign val="subscript"/>
        <sz val="10"/>
        <rFont val="Arial"/>
        <family val="2"/>
      </rPr>
      <t>outlet</t>
    </r>
  </si>
  <si>
    <t>kW</t>
  </si>
  <si>
    <r>
      <t>P</t>
    </r>
    <r>
      <rPr>
        <vertAlign val="subscript"/>
        <sz val="10"/>
        <rFont val="Arial"/>
        <family val="2"/>
      </rPr>
      <t xml:space="preserve"> shaft</t>
    </r>
  </si>
  <si>
    <t>η</t>
  </si>
  <si>
    <r>
      <t>p</t>
    </r>
    <r>
      <rPr>
        <vertAlign val="subscript"/>
        <sz val="10"/>
        <rFont val="Arial"/>
        <family val="2"/>
      </rPr>
      <t xml:space="preserve"> before</t>
    </r>
  </si>
  <si>
    <r>
      <t>p</t>
    </r>
    <r>
      <rPr>
        <vertAlign val="subscript"/>
        <sz val="10"/>
        <rFont val="Arial"/>
        <family val="2"/>
      </rPr>
      <t xml:space="preserve"> after</t>
    </r>
  </si>
  <si>
    <t>Dp inlet damper</t>
  </si>
  <si>
    <t>Number of ILC strings [1,2]</t>
  </si>
  <si>
    <t>Kiln feed SLC</t>
  </si>
  <si>
    <t>Results</t>
  </si>
  <si>
    <t>Hidden</t>
  </si>
  <si>
    <t>Optional</t>
  </si>
  <si>
    <t>Required</t>
  </si>
  <si>
    <r>
      <t>CO2 from raw meal [Nm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/kg </t>
    </r>
    <r>
      <rPr>
        <vertAlign val="subscript"/>
        <sz val="10"/>
        <rFont val="Arial"/>
        <family val="2"/>
      </rPr>
      <t>cli</t>
    </r>
    <r>
      <rPr>
        <sz val="10"/>
        <rFont val="Arial"/>
        <family val="2"/>
      </rPr>
      <t>]</t>
    </r>
  </si>
  <si>
    <t>Water vapour from cristalline water content [Nm3/kg cli]</t>
  </si>
  <si>
    <t>Calciner orifice</t>
  </si>
  <si>
    <t>Main burner fuel</t>
  </si>
  <si>
    <t>Secondary firing fuel</t>
  </si>
  <si>
    <t>Precalciner fuel</t>
  </si>
  <si>
    <t>Production Data</t>
  </si>
  <si>
    <t>Factors for gas volume calculation</t>
  </si>
  <si>
    <t>Clinker Production</t>
  </si>
  <si>
    <t>[t/d]</t>
  </si>
  <si>
    <t>Vmin wet</t>
  </si>
  <si>
    <t>Nm3/MJ</t>
  </si>
  <si>
    <t>Spec.Heat Cons.</t>
  </si>
  <si>
    <t>[kJ/kgcli]</t>
  </si>
  <si>
    <t>Vmin dry</t>
  </si>
  <si>
    <t>% Main firing</t>
  </si>
  <si>
    <t>[%]</t>
  </si>
  <si>
    <t>CO2 from meal</t>
  </si>
  <si>
    <t>Nm3/kgcli</t>
  </si>
  <si>
    <t>Calcination degree hot meal</t>
  </si>
  <si>
    <t>Ambient pressure</t>
  </si>
  <si>
    <t>[mbar]</t>
  </si>
  <si>
    <t>Amin</t>
  </si>
  <si>
    <t>Temperature, Pressure and O2 CO Profile</t>
  </si>
  <si>
    <t>Kiln</t>
  </si>
  <si>
    <t>Inlet Ch.</t>
  </si>
  <si>
    <t>Calc. Orif.</t>
  </si>
  <si>
    <t>TA duct</t>
  </si>
  <si>
    <t>Gas temperature</t>
  </si>
  <si>
    <t>[°C]</t>
  </si>
  <si>
    <t>Meal temperature</t>
  </si>
  <si>
    <t>dT gas - meal</t>
  </si>
  <si>
    <t>Pressure</t>
  </si>
  <si>
    <t>d p</t>
  </si>
  <si>
    <t>Oxygen</t>
  </si>
  <si>
    <t>d O2</t>
  </si>
  <si>
    <t>Geometry</t>
  </si>
  <si>
    <t>[m]</t>
  </si>
  <si>
    <t>Cross section duct</t>
  </si>
  <si>
    <t>[m2]</t>
  </si>
  <si>
    <t>Diameter dip tube</t>
  </si>
  <si>
    <t>Cross section dip tube</t>
  </si>
  <si>
    <t>Gas Quantities</t>
  </si>
  <si>
    <t>Vmin, wet</t>
  </si>
  <si>
    <t>[Nm3/kgcli]</t>
  </si>
  <si>
    <t>CO2 Raw Meal</t>
  </si>
  <si>
    <t>Tot. flow</t>
  </si>
  <si>
    <t>[m3/s]</t>
  </si>
  <si>
    <t>False air</t>
  </si>
  <si>
    <t>Velocities</t>
  </si>
  <si>
    <t>[m/s]</t>
  </si>
  <si>
    <t>[s]</t>
  </si>
  <si>
    <t>Kiln feed ILC</t>
  </si>
  <si>
    <t>Bypass</t>
  </si>
  <si>
    <t>Clinker Production (ILC ONLY)</t>
  </si>
  <si>
    <t>w. avg</t>
  </si>
  <si>
    <t>ILC B</t>
  </si>
  <si>
    <t xml:space="preserve">Optional inputs: </t>
  </si>
  <si>
    <t>(if empty standards are used)</t>
  </si>
  <si>
    <t>Downcomer</t>
  </si>
  <si>
    <t>ID fan inlet</t>
  </si>
  <si>
    <t>No. of cyclones</t>
  </si>
  <si>
    <t>[#]</t>
  </si>
  <si>
    <t>Vmin, dry</t>
  </si>
  <si>
    <t>C.D.*</t>
  </si>
  <si>
    <t>Water vapour raw mat</t>
  </si>
  <si>
    <t>Water vapor H2O</t>
  </si>
  <si>
    <r>
      <t xml:space="preserve">Inverse cyclone numbering: 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 for Polysius numbering</t>
    </r>
  </si>
  <si>
    <t>[1,2]</t>
  </si>
  <si>
    <t>[i,-]</t>
  </si>
  <si>
    <t>depends on number of strings</t>
  </si>
  <si>
    <t>depends on number of ID fans</t>
  </si>
  <si>
    <t>all gases ILC</t>
  </si>
  <si>
    <t>[y,-]</t>
  </si>
  <si>
    <t>Ambiant pressure</t>
  </si>
  <si>
    <t>% of kiln gas in string A</t>
  </si>
  <si>
    <t>Nm3/h</t>
  </si>
  <si>
    <t>Coal mill takeoff</t>
  </si>
  <si>
    <t>Coal mill</t>
  </si>
  <si>
    <t>[Nm3/s]</t>
  </si>
  <si>
    <t>Actual flow</t>
  </si>
  <si>
    <t>Velocity riser</t>
  </si>
  <si>
    <t>Velocity inlet</t>
  </si>
  <si>
    <t>Dip tube velocity</t>
  </si>
  <si>
    <t>Diameter riser</t>
  </si>
  <si>
    <t>Cross section inlet</t>
  </si>
  <si>
    <t>Cross section vessel</t>
  </si>
  <si>
    <t>Vessel velocity</t>
  </si>
  <si>
    <t>SLC only</t>
  </si>
  <si>
    <t>SLC fuel</t>
  </si>
  <si>
    <t>Name</t>
  </si>
  <si>
    <t>Flow</t>
  </si>
  <si>
    <t>Vmin</t>
  </si>
  <si>
    <t>Coal</t>
  </si>
  <si>
    <t>Gas</t>
  </si>
  <si>
    <t>NCV</t>
  </si>
  <si>
    <t>T</t>
  </si>
  <si>
    <t>Tertiary air duct</t>
  </si>
  <si>
    <t>[-]</t>
  </si>
  <si>
    <t>[t/h]</t>
  </si>
  <si>
    <t>[MJ/kg]</t>
  </si>
  <si>
    <r>
      <t>[Nm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/MJ]</t>
    </r>
  </si>
  <si>
    <t>SLC only!</t>
  </si>
  <si>
    <t>Calcination degree hot meal SLC</t>
  </si>
  <si>
    <t>Calcination degree hot meal ILC</t>
  </si>
  <si>
    <t>Conventions/ Hints:</t>
  </si>
  <si>
    <t>CO2 Raw Meal ILC</t>
  </si>
  <si>
    <t>CO2 Raw Meal SLC</t>
  </si>
  <si>
    <t>Ellbow</t>
  </si>
  <si>
    <t>SLC volume</t>
  </si>
  <si>
    <t>[m3]</t>
  </si>
  <si>
    <t>Vm d</t>
  </si>
  <si>
    <t>Clinker</t>
  </si>
  <si>
    <t>t/d</t>
  </si>
  <si>
    <t>Kiln inlet chamber</t>
  </si>
  <si>
    <t>ILC</t>
  </si>
  <si>
    <t>Kiln feed clinker factor</t>
  </si>
  <si>
    <t>Main burner</t>
  </si>
  <si>
    <t>MJ/kg</t>
  </si>
  <si>
    <t>MJ/h</t>
  </si>
  <si>
    <t>Energy</t>
  </si>
  <si>
    <t>Weighted averages</t>
  </si>
  <si>
    <t>Main burner &amp; Secondary firing</t>
  </si>
  <si>
    <t>PC</t>
  </si>
  <si>
    <t>Weighted averages MB &amp; SF</t>
  </si>
  <si>
    <t>% Main firing (no sec firing)</t>
  </si>
  <si>
    <t>MB</t>
  </si>
  <si>
    <t>SF</t>
  </si>
  <si>
    <t>Energy distribution</t>
  </si>
  <si>
    <t>Cli production ILC</t>
  </si>
  <si>
    <t>Cli production SLC</t>
  </si>
  <si>
    <t>Energy consumption</t>
  </si>
  <si>
    <t>Total</t>
  </si>
  <si>
    <t>[kJ/kg cli]</t>
  </si>
  <si>
    <t>All fuels ILC</t>
  </si>
  <si>
    <t>Support calculations</t>
  </si>
  <si>
    <t>Amb. Pressure</t>
  </si>
  <si>
    <t>MB only</t>
  </si>
  <si>
    <t>% MB &amp; SF</t>
  </si>
  <si>
    <t>Calciner volume</t>
  </si>
  <si>
    <t>XS Air KI</t>
  </si>
  <si>
    <t>XS Air PC</t>
  </si>
  <si>
    <t>Amin PC</t>
  </si>
  <si>
    <t>PC only</t>
  </si>
  <si>
    <t>PA&amp; TA PC</t>
  </si>
  <si>
    <t xml:space="preserve">Primary&amp; Transport </t>
  </si>
  <si>
    <t>air precalciner</t>
  </si>
  <si>
    <r>
      <t>Nm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/h</t>
    </r>
  </si>
  <si>
    <t>A inlet</t>
  </si>
  <si>
    <r>
      <t>Æ</t>
    </r>
    <r>
      <rPr>
        <sz val="10"/>
        <rFont val="Arial"/>
        <family val="2"/>
      </rPr>
      <t xml:space="preserve"> Dip tube</t>
    </r>
  </si>
  <si>
    <r>
      <t>Æ</t>
    </r>
    <r>
      <rPr>
        <sz val="10"/>
        <rFont val="Arial"/>
        <family val="2"/>
      </rPr>
      <t xml:space="preserve"> Vessel</t>
    </r>
  </si>
  <si>
    <r>
      <t>Æ</t>
    </r>
    <r>
      <rPr>
        <sz val="10"/>
        <rFont val="Arial"/>
        <family val="2"/>
      </rPr>
      <t xml:space="preserve"> Riser</t>
    </r>
  </si>
  <si>
    <t>H dip tube</t>
  </si>
  <si>
    <t>Area</t>
  </si>
  <si>
    <r>
      <t>[m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]</t>
    </r>
  </si>
  <si>
    <t>Diameter rotary kiln</t>
  </si>
  <si>
    <t>Refractory thickness</t>
  </si>
  <si>
    <t>Critical cross section kiln inlet</t>
  </si>
  <si>
    <r>
      <t>[m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]</t>
    </r>
  </si>
  <si>
    <t>inside lining</t>
  </si>
  <si>
    <t>Dia duct</t>
  </si>
  <si>
    <t>Diameter tertiary air duct</t>
  </si>
  <si>
    <t>Diameter</t>
  </si>
  <si>
    <t># of cyclones</t>
  </si>
  <si>
    <t>Diameter  vessel i l</t>
  </si>
  <si>
    <t>Ellbow diameter</t>
  </si>
  <si>
    <t>Meal Temperature vs. Gas Temperature</t>
  </si>
  <si>
    <t>Kiln inlet</t>
  </si>
  <si>
    <t>Pressure Profile</t>
  </si>
  <si>
    <t>Oxygen Profile / False Air</t>
  </si>
  <si>
    <t>dp 
[mbar]</t>
  </si>
  <si>
    <t>O2 
[%O2]</t>
  </si>
  <si>
    <t>false air 
[%]</t>
  </si>
  <si>
    <t>dO2 
[%O2]</t>
  </si>
  <si>
    <t>Velocity Profile Riser Duct</t>
  </si>
  <si>
    <t>CO Profile</t>
  </si>
  <si>
    <t>Velocity Profile Dip Tube</t>
  </si>
  <si>
    <t>Calciner vessel</t>
  </si>
  <si>
    <t>Retention time PC</t>
  </si>
  <si>
    <t>% Secondary firing</t>
  </si>
  <si>
    <t>% of kiln feed fed to SLC</t>
  </si>
  <si>
    <r>
      <t>[kJ/kg</t>
    </r>
    <r>
      <rPr>
        <vertAlign val="subscript"/>
        <sz val="10"/>
        <rFont val="Arial"/>
        <family val="2"/>
      </rPr>
      <t>cli</t>
    </r>
    <r>
      <rPr>
        <sz val="10"/>
        <rFont val="Arial"/>
        <family val="2"/>
      </rPr>
      <t>]</t>
    </r>
  </si>
  <si>
    <t>ILCA</t>
  </si>
  <si>
    <t>ILCB</t>
  </si>
  <si>
    <t>Lowest stage</t>
  </si>
  <si>
    <t>Actual</t>
  </si>
  <si>
    <t>Comments</t>
  </si>
  <si>
    <t>Cyclone vessel velocity</t>
  </si>
  <si>
    <t>Cyclone inlet velocity</t>
  </si>
  <si>
    <t>Tertiary air</t>
  </si>
  <si>
    <t>Temperature Profile (Gas)</t>
  </si>
  <si>
    <t>% ILC Precalciner firing</t>
  </si>
  <si>
    <t>% SLC Precalciner firing</t>
  </si>
  <si>
    <t xml:space="preserve">Kiln inlet </t>
  </si>
  <si>
    <t>&lt;0.05</t>
  </si>
  <si>
    <t>&lt;0.1</t>
  </si>
  <si>
    <t>lower</t>
  </si>
  <si>
    <t>upper</t>
  </si>
  <si>
    <t>min</t>
  </si>
  <si>
    <t>max</t>
  </si>
  <si>
    <t>dp</t>
  </si>
  <si>
    <t>p [mbar]</t>
  </si>
  <si>
    <t>dp [mbar]</t>
  </si>
  <si>
    <t>dT[°C]</t>
  </si>
  <si>
    <t>Gas  [°C]</t>
  </si>
  <si>
    <t>Meal  [°C]</t>
  </si>
  <si>
    <t>dT [°C]</t>
  </si>
  <si>
    <t>dT  [°C]</t>
  </si>
  <si>
    <t>-</t>
  </si>
  <si>
    <t>In line string A</t>
  </si>
  <si>
    <t>In line string B</t>
  </si>
  <si>
    <t>Seperate line string</t>
  </si>
  <si>
    <t>Fan evaluation</t>
  </si>
  <si>
    <t>Excess air</t>
  </si>
  <si>
    <t>n/a</t>
  </si>
  <si>
    <t>SLC guidelines  per default linked to guidelines of ILC string</t>
  </si>
  <si>
    <t>All meal passes SLC (if applicable)</t>
  </si>
  <si>
    <t xml:space="preserve">Riser duct velocity calculated without meal.. </t>
  </si>
  <si>
    <t>volume</t>
  </si>
  <si>
    <t>pa</t>
  </si>
  <si>
    <t>m3/s</t>
  </si>
  <si>
    <t>P th</t>
  </si>
  <si>
    <r>
      <t>[Nm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>/MJ]</t>
    </r>
  </si>
  <si>
    <r>
      <t>kJ/kg</t>
    </r>
    <r>
      <rPr>
        <vertAlign val="subscript"/>
        <sz val="10"/>
        <rFont val="Arial"/>
        <family val="2"/>
      </rPr>
      <t xml:space="preserve"> cli</t>
    </r>
  </si>
  <si>
    <t>Production</t>
  </si>
  <si>
    <t>Heat consumption</t>
  </si>
  <si>
    <t>% MB</t>
  </si>
  <si>
    <t>% SF</t>
  </si>
  <si>
    <t>% ILC PC</t>
  </si>
  <si>
    <t>MB &amp; SF
only</t>
  </si>
  <si>
    <t xml:space="preserve">%* </t>
  </si>
  <si>
    <t>loi KF</t>
  </si>
  <si>
    <t>Calculated CO2 from kiln feed [Nm3/kgcli]</t>
  </si>
  <si>
    <t>Loss on Ignition LOI of kiln feed [%]</t>
  </si>
  <si>
    <t>* True calcination degree</t>
  </si>
  <si>
    <t>CD calc</t>
  </si>
  <si>
    <t>Calculation of true calcination degree</t>
  </si>
  <si>
    <t>according to KHD Formula from E. Baatz</t>
  </si>
  <si>
    <t>% ILC PC &amp; SF</t>
  </si>
  <si>
    <t>% SLC firing</t>
  </si>
  <si>
    <t>LOI HM</t>
  </si>
  <si>
    <t>CDcalc**</t>
  </si>
  <si>
    <t>** acc to KHD formula</t>
  </si>
  <si>
    <t xml:space="preserve">CD </t>
  </si>
  <si>
    <t>ppm</t>
  </si>
  <si>
    <t>Seperate line calciner</t>
  </si>
  <si>
    <t>Residence time</t>
  </si>
  <si>
    <t>Ellbow velocity</t>
  </si>
  <si>
    <t>&gt; 25</t>
  </si>
  <si>
    <t xml:space="preserve">Meal </t>
  </si>
  <si>
    <t>dT</t>
  </si>
  <si>
    <t>*</t>
  </si>
  <si>
    <t>R</t>
  </si>
  <si>
    <t>[kg/kg cli]</t>
  </si>
  <si>
    <t>hyd con</t>
  </si>
  <si>
    <t>kg hydr content/ kg raw meal</t>
  </si>
  <si>
    <t xml:space="preserve">   hydrate water content of 0.0051kg hydrate water/ kg raw meal (= 0.01 Nm3/kg cli) considered</t>
  </si>
  <si>
    <t>to kiln</t>
  </si>
  <si>
    <t>meal</t>
  </si>
  <si>
    <t>inlet</t>
  </si>
  <si>
    <t>Velocities Kiln and in line precalciner</t>
  </si>
  <si>
    <t>Calculation of CO2 from kiln feed</t>
  </si>
  <si>
    <t>Theoretical raw meal clinker factor</t>
  </si>
  <si>
    <t>Hydrate content</t>
  </si>
  <si>
    <t>* according to formula p 16 from CMC paper Combustion Engineering (VA89/5584/E)  from A.Obrist</t>
  </si>
  <si>
    <t xml:space="preserve">Enthalpy </t>
  </si>
  <si>
    <t>Gas before</t>
  </si>
  <si>
    <t>Dust before</t>
  </si>
  <si>
    <t>Water evaporation</t>
  </si>
  <si>
    <t>cp</t>
  </si>
  <si>
    <t>flow</t>
  </si>
  <si>
    <t>Temp</t>
  </si>
  <si>
    <t>kg/h</t>
  </si>
  <si>
    <t>Entalpy</t>
  </si>
  <si>
    <t>Gas after</t>
  </si>
  <si>
    <t>Dust after</t>
  </si>
  <si>
    <t>Gas +water vapour</t>
  </si>
  <si>
    <t>(simplified)</t>
  </si>
  <si>
    <t>Dust loss ILC</t>
  </si>
  <si>
    <t>Dust loss SLC</t>
  </si>
  <si>
    <t>Amb. Temperature</t>
  </si>
  <si>
    <t>%*</t>
  </si>
  <si>
    <t>Air cooling</t>
  </si>
  <si>
    <t>Fresh air</t>
  </si>
  <si>
    <t>Gas &amp; vapor</t>
  </si>
  <si>
    <t>Dust in</t>
  </si>
  <si>
    <t>Sum</t>
  </si>
  <si>
    <t>Gas &amp;vapor</t>
  </si>
  <si>
    <t>Inlet chamber</t>
  </si>
  <si>
    <t>Downcomer SLC</t>
  </si>
  <si>
    <t xml:space="preserve">Seperate Line </t>
  </si>
  <si>
    <t>Downcomer A string</t>
  </si>
  <si>
    <t>Downcomer B string</t>
  </si>
  <si>
    <t>Dimension of riser</t>
  </si>
  <si>
    <t>Legend</t>
  </si>
  <si>
    <t xml:space="preserve">Filename: </t>
  </si>
  <si>
    <t xml:space="preserve">Template version number: </t>
  </si>
  <si>
    <t>0.8 BETA</t>
  </si>
  <si>
    <t>First Version for tests</t>
  </si>
  <si>
    <t>CEN</t>
  </si>
  <si>
    <t xml:space="preserve">Template Version: </t>
  </si>
  <si>
    <t>[Nm3/MJ]</t>
  </si>
  <si>
    <t>Anthracite (0% volatiles)</t>
  </si>
  <si>
    <t>Bituminous coal (20% volatiles)</t>
  </si>
  <si>
    <t>Lignite (40% volatiles)</t>
  </si>
  <si>
    <t>Oil</t>
  </si>
  <si>
    <t>Heavy oil</t>
  </si>
  <si>
    <t>Light oil</t>
  </si>
  <si>
    <t>Natural gas</t>
  </si>
  <si>
    <t>AFR</t>
  </si>
  <si>
    <t>Tires</t>
  </si>
  <si>
    <t>Wood/sawdust 15% moisture</t>
  </si>
  <si>
    <t>Waste oil 50% H2O</t>
  </si>
  <si>
    <t>Examples for Amin, Vmin</t>
  </si>
  <si>
    <t>All dimensions (except from kiln) are measured inside refractory</t>
  </si>
  <si>
    <t>Dip tube dimensions refer to inner diameter</t>
  </si>
  <si>
    <t>SLC present [y]</t>
  </si>
  <si>
    <t>Fan, Downcomer &amp; SLC</t>
  </si>
  <si>
    <t>Fan, Downcomer &amp; comments</t>
  </si>
  <si>
    <t>0.85 BETA</t>
  </si>
  <si>
    <t>Downcomer duct water/ air addition corrected</t>
  </si>
  <si>
    <t>Downcomer velocity*</t>
  </si>
  <si>
    <t>* after water and air addition</t>
  </si>
  <si>
    <t>The riser duct leads the gases into a cyclone (see picture below)</t>
  </si>
  <si>
    <t>0.9 BETA</t>
  </si>
  <si>
    <t>Updated minor problems with cyclone numbering in ILC</t>
  </si>
  <si>
    <t>Kiln cylinder velocity</t>
  </si>
  <si>
    <t xml:space="preserve">Critical cross section Kiln inlet </t>
  </si>
  <si>
    <t>* not considering dust deposits</t>
  </si>
  <si>
    <t>* only applicable with splashboxes</t>
  </si>
  <si>
    <t>KF moisture</t>
  </si>
  <si>
    <t>Moisture</t>
  </si>
  <si>
    <t xml:space="preserve">   Orifice</t>
  </si>
  <si>
    <t>H2O</t>
  </si>
  <si>
    <t>Kiln Cylindrical part</t>
  </si>
  <si>
    <t>(smallest cross section inlet)</t>
  </si>
  <si>
    <t>(before inlet cone)</t>
  </si>
  <si>
    <t>Cyclone inlet areas refer to smallest cross section at gas inlet of the cyclone</t>
  </si>
  <si>
    <t>moisture raw meal*</t>
  </si>
  <si>
    <t xml:space="preserve">* cristalline water and moisture  </t>
  </si>
  <si>
    <t>Typical range</t>
  </si>
  <si>
    <t>Typical ranges</t>
  </si>
  <si>
    <t>Typical range*</t>
  </si>
  <si>
    <t xml:space="preserve"> Typical range ,ax dT</t>
  </si>
  <si>
    <t>No general typical range (supplier specific)</t>
  </si>
  <si>
    <t xml:space="preserve">Water from fuels </t>
  </si>
  <si>
    <t>Dosing</t>
  </si>
  <si>
    <t>Fuel 1</t>
  </si>
  <si>
    <t>Fuel 2</t>
  </si>
  <si>
    <t>Fuel 3</t>
  </si>
  <si>
    <t>Secondary firing (SF)</t>
  </si>
  <si>
    <t>Water vapour</t>
  </si>
  <si>
    <t>Nm3/kg cli</t>
  </si>
  <si>
    <t>Water vapor fuels</t>
  </si>
  <si>
    <t>Water vapor raw mat</t>
  </si>
  <si>
    <t>Water Vapor fuels</t>
  </si>
  <si>
    <t xml:space="preserve">Riser X         </t>
  </si>
  <si>
    <t>Minor errors in calculation corrected (actual to spec volume)</t>
  </si>
  <si>
    <t xml:space="preserve">Moisture of kiln feed and fuels added </t>
  </si>
  <si>
    <t>Dynamic guidelines for temperatures implemented</t>
  </si>
  <si>
    <t>0.95 BETA</t>
  </si>
  <si>
    <t>Gasflow at PH Exit</t>
  </si>
  <si>
    <t>Oxygen lowest stage</t>
  </si>
  <si>
    <t>Oxygen Downcomer</t>
  </si>
  <si>
    <t>Average</t>
  </si>
  <si>
    <t>Average all strings</t>
  </si>
  <si>
    <t>kJ/kg cli</t>
  </si>
  <si>
    <t>Average considered</t>
  </si>
  <si>
    <t>Average filtered</t>
  </si>
  <si>
    <t>K factor</t>
  </si>
  <si>
    <t>(1-k^n)/(1-k)</t>
  </si>
  <si>
    <t>Min</t>
  </si>
  <si>
    <t>Max</t>
  </si>
  <si>
    <t>For more info see VA 608</t>
  </si>
  <si>
    <t>*adjusted dynamically acc to heat cons&amp; O2 content</t>
  </si>
  <si>
    <t>Kiln feed temperature</t>
  </si>
  <si>
    <t>Kiln feed temperature at top stage [°C]</t>
  </si>
  <si>
    <t>Global Temperatutre adjustement factor</t>
  </si>
  <si>
    <t>For temperature guidelines</t>
  </si>
  <si>
    <t>Graphical evaluation</t>
  </si>
  <si>
    <t>Pressure Profile &amp; Differential pressure</t>
  </si>
  <si>
    <t>Velocity Profile Riser Duct,</t>
  </si>
  <si>
    <t>Velocity Profile Dip Tube,</t>
  </si>
  <si>
    <t>Cyclone vessel velocity, Cyclone Inlet velocity</t>
  </si>
  <si>
    <t>all strings delete series not applicable</t>
  </si>
  <si>
    <t>Oxygen Profile</t>
  </si>
  <si>
    <t>Fill out general sheet</t>
  </si>
  <si>
    <t>Fill in measurements and geometry data</t>
  </si>
  <si>
    <t>Water temperature of  water injection system [°C]</t>
  </si>
  <si>
    <t>Unused parts of the kiln system can be hidden</t>
  </si>
  <si>
    <t>General Data</t>
  </si>
  <si>
    <t>WHR</t>
  </si>
  <si>
    <t xml:space="preserve">Water heat up </t>
  </si>
  <si>
    <t>kJ/kgK</t>
  </si>
  <si>
    <t>kJ/Nm3K</t>
  </si>
  <si>
    <t>Tertiary air duct velocity</t>
  </si>
  <si>
    <t>0.96 BETA</t>
  </si>
  <si>
    <t>Several minor correction in formulas after first review of program</t>
  </si>
  <si>
    <t>WHR possibility added in downcomer</t>
  </si>
  <si>
    <t>comer after mixing in of air</t>
  </si>
  <si>
    <t>Fresh air cooling</t>
  </si>
  <si>
    <t>Waste heat recovery</t>
  </si>
  <si>
    <t>Q out</t>
  </si>
  <si>
    <t>* Absolute O2 in down-</t>
  </si>
  <si>
    <t>Energy out</t>
  </si>
  <si>
    <t>Vapor heat up final t</t>
  </si>
  <si>
    <t>Vapor heat at 100</t>
  </si>
  <si>
    <t>0.97 BETA</t>
  </si>
  <si>
    <t>Date 19.8.2011</t>
  </si>
  <si>
    <t>Date 14.4.2011</t>
  </si>
  <si>
    <t>Date 11.4.2011</t>
  </si>
  <si>
    <t>Date 9.3.2011</t>
  </si>
  <si>
    <t>Date 26.1.2011</t>
  </si>
  <si>
    <t>Date: 20.01.2011</t>
  </si>
  <si>
    <t>Calciner vessel velocity</t>
  </si>
  <si>
    <t>Start to hide cyclones from the top</t>
  </si>
  <si>
    <t>Evaluation: Unused series in graphs can be deleted for better overview</t>
  </si>
  <si>
    <t>If downcomer duct temperature calculations show an error please follow instructions in area AR 93 of the "T,P,O2" worksheet</t>
  </si>
  <si>
    <t>Tertiary air flow calculation corrected</t>
  </si>
  <si>
    <t>Calciner velocity calculation corrected</t>
  </si>
  <si>
    <t>No more process/ geometry data in the sheet</t>
  </si>
  <si>
    <t>Support calculation can be unhidden here</t>
  </si>
  <si>
    <t>Riser dimensions required at height of splashboxes (see  picture below)</t>
  </si>
  <si>
    <t>DOPOL type preheater: Use 1 string and then add 1 or 2 cyclones per stage do not use 2 strings</t>
  </si>
  <si>
    <t>0.98 BETA</t>
  </si>
  <si>
    <t>Date 31.11.2011</t>
  </si>
  <si>
    <t>Added some more hints and adaptations in text for preheater kilns</t>
  </si>
  <si>
    <t xml:space="preserve">For preheater kilns the cells with tertiary air temperatures, orifice and similar can be left empty despite their </t>
  </si>
  <si>
    <t>yellow color</t>
  </si>
  <si>
    <t xml:space="preserve">For preheater kilns: </t>
  </si>
  <si>
    <r>
      <t xml:space="preserve">Calciner orifice </t>
    </r>
    <r>
      <rPr>
        <vertAlign val="superscript"/>
        <sz val="10"/>
        <rFont val="Arial"/>
        <family val="2"/>
      </rPr>
      <t>#</t>
    </r>
  </si>
  <si>
    <r>
      <t xml:space="preserve">air precalciner </t>
    </r>
    <r>
      <rPr>
        <vertAlign val="superscript"/>
        <sz val="10"/>
        <rFont val="Arial"/>
        <family val="2"/>
      </rPr>
      <t>#</t>
    </r>
  </si>
  <si>
    <t># = not required in case of preheater kiln</t>
  </si>
  <si>
    <t>Number of ILC stages [4-6] (also applicable for preheater strings)</t>
  </si>
  <si>
    <r>
      <t>Diameter tertiary air duct</t>
    </r>
    <r>
      <rPr>
        <vertAlign val="superscript"/>
        <sz val="10"/>
        <rFont val="Arial"/>
        <family val="2"/>
      </rPr>
      <t>#</t>
    </r>
  </si>
  <si>
    <t>#= can be left empty in case of preheater kiln</t>
  </si>
  <si>
    <t>Calciner orifice (SP: Riser duct)</t>
  </si>
  <si>
    <t xml:space="preserve">Rule of thumb: </t>
  </si>
  <si>
    <t>Precalciner kilns: Use true= Apparent</t>
  </si>
  <si>
    <t>Preheater kilns: True= 50% of apparent</t>
  </si>
  <si>
    <t>determined with XRD (alite content in HM)</t>
  </si>
  <si>
    <r>
      <rPr>
        <b/>
        <sz val="8"/>
        <rFont val="Arial"/>
        <family val="2"/>
      </rPr>
      <t>* True calcination degree</t>
    </r>
    <r>
      <rPr>
        <sz val="8"/>
        <rFont val="Arial"/>
        <family val="2"/>
      </rPr>
      <t xml:space="preserve">: Can be </t>
    </r>
  </si>
  <si>
    <t>1.00</t>
  </si>
  <si>
    <t>Date 13.12.2011</t>
  </si>
  <si>
    <t>Added comment for determination of true calcination degree</t>
  </si>
  <si>
    <r>
      <t>Æ</t>
    </r>
    <r>
      <rPr>
        <sz val="10"/>
        <rFont val="Arial"/>
        <family val="2"/>
      </rPr>
      <t xml:space="preserve"> PC loop*</t>
    </r>
  </si>
  <si>
    <t>* for SP kilns kiln riser diameter</t>
  </si>
  <si>
    <t>Æ PC loop*</t>
  </si>
  <si>
    <t>p (after)</t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</si>
  <si>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alc. </t>
    </r>
    <r>
      <rPr>
        <b/>
        <sz val="10"/>
        <rFont val="Arial"/>
        <family val="2"/>
      </rPr>
      <t>D</t>
    </r>
    <r>
      <rPr>
        <sz val="10"/>
        <rFont val="Arial"/>
        <family val="2"/>
      </rPr>
      <t>eg.*</t>
    </r>
  </si>
  <si>
    <t xml:space="preserve">Renamed lowest stage riser duct velocity to PC loop/ kiln riser velocity </t>
  </si>
  <si>
    <t>This will only be used for the dynamically adjusted PH temperature targets in the evaluation</t>
  </si>
  <si>
    <t>[30 - 150°C]</t>
  </si>
  <si>
    <t>Calciner loop SLC</t>
  </si>
  <si>
    <t>Æ SLC loop</t>
  </si>
  <si>
    <r>
      <t xml:space="preserve">Calciner volume </t>
    </r>
    <r>
      <rPr>
        <vertAlign val="superscript"/>
        <sz val="10"/>
        <rFont val="Arial"/>
        <family val="2"/>
      </rPr>
      <t xml:space="preserve"># </t>
    </r>
  </si>
  <si>
    <t>Date 11.4.2012</t>
  </si>
  <si>
    <t>Units in cells "geometry" V86 &amp; V90 corrected</t>
  </si>
  <si>
    <t>1.01</t>
  </si>
  <si>
    <t>Downcomer duct velocity calculated after water&amp; air addition with pressure of inlet damper of ID fan</t>
  </si>
  <si>
    <t>In 2 string in line calciner systems or double string preheater kiln systems  50% meal split is assumed</t>
  </si>
  <si>
    <t>Date 16.4.2012</t>
  </si>
  <si>
    <t>1.02</t>
  </si>
  <si>
    <t>Evaluation D 22 - 33: Dynamic guide values problem fixed</t>
  </si>
  <si>
    <t>Riser duct velocity calculation fixed</t>
  </si>
  <si>
    <t xml:space="preserve">             last entry field of the respective cyclone stage (e.g. U17)</t>
  </si>
  <si>
    <t>Note: All cyclone dimensions refer to single cyclones, if necessary add number of cyclones per stage in the</t>
  </si>
  <si>
    <t>Pneumatical kiln feed</t>
  </si>
  <si>
    <t>Pneumatical kiln feeding SLC [if applicable]</t>
  </si>
  <si>
    <t>Pneumatical kiln feeding ILC [if applicable]</t>
  </si>
  <si>
    <t>V 1.1</t>
  </si>
  <si>
    <t>1.1</t>
  </si>
  <si>
    <t>Date 18.7.2012</t>
  </si>
  <si>
    <t>Pneumatical kiln feeding option added</t>
  </si>
  <si>
    <t>y</t>
  </si>
  <si>
    <t>Coal/Petcoke</t>
  </si>
  <si>
    <t>Plastics</t>
  </si>
  <si>
    <t>Fluff</t>
  </si>
  <si>
    <t>PPE Tool day task</t>
  </si>
  <si>
    <t>OLV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</si>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</sst>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.00_ ;\-#,##0.00\ "/>
    <numFmt numFmtId="165" formatCode="#,##0_ ;\-#,##0\ "/>
    <numFmt numFmtId="166" formatCode="0.0%"/>
    <numFmt numFmtId="167" formatCode="0.0"/>
    <numFmt numFmtId="168" formatCode="#,##0.0_ ;\-#,##0.0\ "/>
    <numFmt numFmtId="169" formatCode="0.000"/>
    <numFmt numFmtId="170" formatCode="0.0E+00"/>
    <numFmt numFmtId="171" formatCode="_-* #,##0.00\ &quot;DM&quot;_-;\-* #,##0.00\ &quot;DM&quot;_-;_-* &quot;-&quot;??\ &quot;DM&quot;_-;_-@_-"/>
    <numFmt numFmtId="172" formatCode="[h]:mm"/>
    <numFmt numFmtId="173" formatCode="???/???"/>
    <numFmt numFmtId="174" formatCode="##0.0E+00"/>
    <numFmt numFmtId="175" formatCode="#,##0.000_ ;\-#,##0.000\ "/>
  </numFmts>
  <fonts count="55">
    <font>
      <sz val="10"/>
      <name val="Arial"/>
      <family val="2"/>
    </font>
    <font>
      <sz val="10"/>
      <name val="Arial"/>
      <family val="2"/>
    </font>
    <font>
      <sz val="10"/>
      <name val="Helvetica-Narrow"/>
    </font>
    <font>
      <b/>
      <sz val="12"/>
      <name val="Arial Narrow"/>
      <family val="2"/>
    </font>
    <font>
      <sz val="16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color indexed="12"/>
      <name val="Arial"/>
      <family val="2"/>
    </font>
    <font>
      <sz val="12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name val="Tahoma"/>
      <family val="2"/>
    </font>
    <font>
      <sz val="8"/>
      <color indexed="17"/>
      <name val="Arial"/>
      <family val="2"/>
    </font>
    <font>
      <b/>
      <sz val="14"/>
      <name val="Arial"/>
      <family val="2"/>
    </font>
    <font>
      <sz val="8"/>
      <name val="Arial Unicode MS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0"/>
      <color indexed="14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17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vertAlign val="superscript"/>
      <sz val="10"/>
      <name val="Arial Narrow"/>
      <family val="2"/>
    </font>
    <font>
      <i/>
      <sz val="10"/>
      <name val="Arial"/>
      <family val="2"/>
    </font>
    <font>
      <sz val="10"/>
      <color indexed="23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0"/>
      <color indexed="22"/>
      <name val="Arial"/>
      <family val="2"/>
    </font>
    <font>
      <sz val="10"/>
      <color indexed="55"/>
      <name val="Arial"/>
      <family val="2"/>
    </font>
    <font>
      <sz val="10"/>
      <name val="Arial Unicode MS"/>
      <family val="2"/>
    </font>
    <font>
      <b/>
      <i/>
      <sz val="10"/>
      <color indexed="12"/>
      <name val="Arial Narrow"/>
      <family val="2"/>
    </font>
    <font>
      <i/>
      <sz val="10"/>
      <color indexed="12"/>
      <name val="Arial Narrow"/>
      <family val="2"/>
    </font>
    <font>
      <b/>
      <sz val="10"/>
      <color indexed="12"/>
      <name val="Arial Narrow"/>
      <family val="2"/>
    </font>
    <font>
      <b/>
      <sz val="1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FF000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b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66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10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1">
    <xf numFmtId="0" fontId="0" fillId="0" borderId="0">
      <alignment vertical="center"/>
    </xf>
    <xf numFmtId="4" fontId="9" fillId="2" borderId="0" applyFill="0" applyBorder="0" applyAlignment="0">
      <alignment vertical="center"/>
    </xf>
    <xf numFmtId="173" fontId="1" fillId="3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4" fontId="1" fillId="3" borderId="0" applyFont="0" applyFill="0" applyBorder="0" applyAlignment="0" applyProtection="0">
      <alignment vertical="center"/>
    </xf>
    <xf numFmtId="171" fontId="1" fillId="3" borderId="0" applyNumberFormat="0" applyFont="0" applyAlignment="0">
      <alignment vertical="center"/>
      <protection locked="0"/>
    </xf>
    <xf numFmtId="0" fontId="8" fillId="3" borderId="0" applyNumberFormat="0" applyFill="0" applyBorder="0" applyAlignment="0" applyProtection="0">
      <alignment vertical="center"/>
    </xf>
    <xf numFmtId="0" fontId="14" fillId="3" borderId="0" applyNumberFormat="0" applyFill="0" applyBorder="0" applyAlignment="0" applyProtection="0">
      <alignment vertical="center"/>
    </xf>
    <xf numFmtId="0" fontId="1" fillId="3" borderId="0" applyNumberFormat="0" applyFont="0" applyBorder="0" applyAlignment="0">
      <alignment vertical="center"/>
      <protection locked="0"/>
    </xf>
    <xf numFmtId="0" fontId="13" fillId="0" borderId="0"/>
    <xf numFmtId="0" fontId="2" fillId="0" borderId="0"/>
    <xf numFmtId="0" fontId="1" fillId="2" borderId="0">
      <alignment vertical="center"/>
    </xf>
    <xf numFmtId="0" fontId="7" fillId="0" borderId="0">
      <alignment vertical="center"/>
    </xf>
    <xf numFmtId="166" fontId="1" fillId="0" borderId="0" applyFont="0" applyFill="0" applyBorder="0" applyAlignment="0" applyProtection="0">
      <alignment vertical="center"/>
    </xf>
    <xf numFmtId="174" fontId="1" fillId="3" borderId="0" applyFont="0" applyFill="0" applyBorder="0" applyAlignment="0" applyProtection="0">
      <alignment vertical="center"/>
    </xf>
    <xf numFmtId="0" fontId="1" fillId="3" borderId="0">
      <alignment vertical="center"/>
    </xf>
    <xf numFmtId="0" fontId="15" fillId="3" borderId="0" applyNumberFormat="0" applyFill="0" applyBorder="0" applyAlignment="0" applyProtection="0">
      <alignment vertical="center"/>
    </xf>
    <xf numFmtId="20" fontId="1" fillId="3" borderId="0" applyFont="0" applyFill="0" applyBorder="0" applyAlignment="0" applyProtection="0">
      <alignment vertical="center"/>
    </xf>
    <xf numFmtId="0" fontId="5" fillId="3" borderId="0" applyNumberFormat="0" applyFill="0" applyBorder="0" applyAlignment="0" applyProtection="0">
      <alignment vertical="center"/>
    </xf>
    <xf numFmtId="170" fontId="1" fillId="3" borderId="0" applyFont="0" applyFill="0" applyBorder="0" applyAlignment="0" applyProtection="0">
      <alignment vertical="center"/>
    </xf>
    <xf numFmtId="172" fontId="1" fillId="3" borderId="0" applyFont="0" applyFill="0" applyBorder="0" applyAlignment="0" applyProtection="0">
      <alignment vertical="center"/>
    </xf>
  </cellStyleXfs>
  <cellXfs count="913">
    <xf numFmtId="0" fontId="0" fillId="0" borderId="0" xfId="0">
      <alignment vertical="center"/>
    </xf>
    <xf numFmtId="0" fontId="3" fillId="0" borderId="1" xfId="10" applyFont="1" applyBorder="1" applyAlignment="1">
      <alignment horizontal="left"/>
    </xf>
    <xf numFmtId="0" fontId="4" fillId="0" borderId="2" xfId="0" applyFont="1" applyBorder="1">
      <alignment vertical="center"/>
    </xf>
    <xf numFmtId="0" fontId="5" fillId="0" borderId="1" xfId="10" applyFont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2" fontId="7" fillId="0" borderId="0" xfId="0" applyNumberFormat="1" applyFont="1">
      <alignment vertical="center"/>
    </xf>
    <xf numFmtId="166" fontId="7" fillId="4" borderId="0" xfId="13" applyFont="1" applyFill="1">
      <alignment vertical="center"/>
    </xf>
    <xf numFmtId="167" fontId="7" fillId="0" borderId="0" xfId="0" applyNumberFormat="1" applyFont="1">
      <alignment vertical="center"/>
    </xf>
    <xf numFmtId="1" fontId="7" fillId="4" borderId="0" xfId="0" applyNumberFormat="1" applyFont="1" applyFill="1">
      <alignment vertical="center"/>
    </xf>
    <xf numFmtId="0" fontId="7" fillId="0" borderId="10" xfId="0" quotePrefix="1" applyFont="1" applyBorder="1" applyAlignment="1">
      <alignment horizontal="left" vertical="center"/>
    </xf>
    <xf numFmtId="166" fontId="7" fillId="0" borderId="3" xfId="13" applyFont="1" applyFill="1" applyBorder="1">
      <alignment vertical="center"/>
    </xf>
    <xf numFmtId="167" fontId="7" fillId="0" borderId="0" xfId="0" applyNumberFormat="1" applyFont="1" applyBorder="1">
      <alignment vertical="center"/>
    </xf>
    <xf numFmtId="0" fontId="7" fillId="0" borderId="0" xfId="9" applyFont="1"/>
    <xf numFmtId="0" fontId="7" fillId="0" borderId="0" xfId="12" applyFont="1">
      <alignment vertical="center"/>
    </xf>
    <xf numFmtId="0" fontId="11" fillId="0" borderId="0" xfId="9" applyFont="1"/>
    <xf numFmtId="0" fontId="10" fillId="0" borderId="0" xfId="9" applyFont="1"/>
    <xf numFmtId="0" fontId="10" fillId="0" borderId="0" xfId="9" applyFont="1" applyAlignment="1">
      <alignment horizontal="right" vertical="center"/>
    </xf>
    <xf numFmtId="0" fontId="7" fillId="2" borderId="11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13" xfId="9" applyFont="1" applyFill="1" applyBorder="1" applyAlignment="1">
      <alignment horizontal="center" vertical="center"/>
    </xf>
    <xf numFmtId="0" fontId="10" fillId="0" borderId="0" xfId="12" applyFont="1">
      <alignment vertical="center"/>
    </xf>
    <xf numFmtId="0" fontId="10" fillId="0" borderId="0" xfId="12" applyFont="1" applyAlignment="1">
      <alignment vertical="center"/>
    </xf>
    <xf numFmtId="0" fontId="10" fillId="0" borderId="0" xfId="9" applyFont="1" applyBorder="1" applyAlignment="1"/>
    <xf numFmtId="0" fontId="10" fillId="0" borderId="8" xfId="9" applyFont="1" applyBorder="1"/>
    <xf numFmtId="0" fontId="7" fillId="0" borderId="0" xfId="12" quotePrefix="1" applyFont="1" applyAlignment="1">
      <alignment horizontal="left" vertical="center"/>
    </xf>
    <xf numFmtId="0" fontId="7" fillId="2" borderId="14" xfId="9" applyFont="1" applyFill="1" applyBorder="1" applyAlignment="1">
      <alignment horizontal="center"/>
    </xf>
    <xf numFmtId="0" fontId="7" fillId="2" borderId="15" xfId="9" applyFont="1" applyFill="1" applyBorder="1" applyAlignment="1">
      <alignment horizontal="center"/>
    </xf>
    <xf numFmtId="0" fontId="7" fillId="2" borderId="15" xfId="9" quotePrefix="1" applyFont="1" applyFill="1" applyBorder="1" applyAlignment="1">
      <alignment horizontal="center" vertical="center"/>
    </xf>
    <xf numFmtId="0" fontId="16" fillId="0" borderId="0" xfId="0" quotePrefix="1" applyFont="1" applyBorder="1" applyAlignment="1">
      <alignment horizontal="right" vertical="top"/>
    </xf>
    <xf numFmtId="0" fontId="0" fillId="0" borderId="17" xfId="0" applyBorder="1">
      <alignment vertical="center"/>
    </xf>
    <xf numFmtId="0" fontId="0" fillId="5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21" xfId="0" applyFill="1" applyBorder="1">
      <alignment vertical="center"/>
    </xf>
    <xf numFmtId="0" fontId="0" fillId="0" borderId="22" xfId="0" applyBorder="1">
      <alignment vertical="center"/>
    </xf>
    <xf numFmtId="9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5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6" borderId="21" xfId="0" applyFill="1" applyBorder="1">
      <alignment vertical="center"/>
    </xf>
    <xf numFmtId="0" fontId="0" fillId="3" borderId="0" xfId="0" applyFill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0" fillId="6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8" xfId="0" applyBorder="1">
      <alignment vertical="center"/>
    </xf>
    <xf numFmtId="0" fontId="7" fillId="5" borderId="0" xfId="12" applyFont="1" applyFill="1">
      <alignment vertical="center"/>
    </xf>
    <xf numFmtId="0" fontId="7" fillId="0" borderId="29" xfId="12" applyFont="1" applyBorder="1">
      <alignment vertical="center"/>
    </xf>
    <xf numFmtId="0" fontId="0" fillId="0" borderId="4" xfId="0" applyBorder="1">
      <alignment vertical="center"/>
    </xf>
    <xf numFmtId="0" fontId="0" fillId="0" borderId="7" xfId="0" applyFill="1" applyBorder="1">
      <alignment vertical="center"/>
    </xf>
    <xf numFmtId="9" fontId="0" fillId="0" borderId="9" xfId="0" applyNumberFormat="1" applyFill="1" applyBorder="1">
      <alignment vertical="center"/>
    </xf>
    <xf numFmtId="0" fontId="0" fillId="6" borderId="24" xfId="0" applyFill="1" applyBorder="1">
      <alignment vertical="center"/>
    </xf>
    <xf numFmtId="0" fontId="0" fillId="0" borderId="0" xfId="0" applyFont="1" applyFill="1" applyBorder="1">
      <alignment vertical="center"/>
    </xf>
    <xf numFmtId="0" fontId="7" fillId="0" borderId="0" xfId="12" applyFont="1" applyAlignment="1">
      <alignment horizontal="center" vertical="center"/>
    </xf>
    <xf numFmtId="0" fontId="7" fillId="7" borderId="0" xfId="12" applyFont="1" applyFill="1">
      <alignment vertical="center"/>
    </xf>
    <xf numFmtId="0" fontId="7" fillId="0" borderId="30" xfId="12" applyFont="1" applyBorder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left"/>
    </xf>
    <xf numFmtId="0" fontId="7" fillId="0" borderId="27" xfId="0" applyFont="1" applyFill="1" applyBorder="1" applyAlignment="1">
      <alignment horizontal="left"/>
    </xf>
    <xf numFmtId="0" fontId="7" fillId="0" borderId="27" xfId="0" applyFont="1" applyBorder="1">
      <alignment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right"/>
    </xf>
    <xf numFmtId="0" fontId="22" fillId="0" borderId="2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0" xfId="0" applyFont="1" applyFill="1">
      <alignment vertical="center"/>
    </xf>
    <xf numFmtId="0" fontId="7" fillId="0" borderId="29" xfId="0" applyFont="1" applyBorder="1">
      <alignment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left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29" xfId="0" applyFont="1" applyFill="1" applyBorder="1" applyAlignment="1">
      <alignment horizontal="center"/>
    </xf>
    <xf numFmtId="0" fontId="7" fillId="0" borderId="7" xfId="0" applyFont="1" applyFill="1" applyBorder="1">
      <alignment vertical="center"/>
    </xf>
    <xf numFmtId="0" fontId="21" fillId="0" borderId="0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7" fillId="0" borderId="26" xfId="0" applyFont="1" applyFill="1" applyBorder="1">
      <alignment vertical="center"/>
    </xf>
    <xf numFmtId="0" fontId="7" fillId="0" borderId="28" xfId="0" applyFont="1" applyFill="1" applyBorder="1">
      <alignment vertical="center"/>
    </xf>
    <xf numFmtId="0" fontId="7" fillId="0" borderId="26" xfId="0" applyFont="1" applyBorder="1">
      <alignment vertical="center"/>
    </xf>
    <xf numFmtId="0" fontId="7" fillId="0" borderId="9" xfId="0" applyFont="1" applyBorder="1" applyAlignment="1">
      <alignment horizontal="center"/>
    </xf>
    <xf numFmtId="0" fontId="0" fillId="0" borderId="29" xfId="0" applyBorder="1">
      <alignment vertical="center"/>
    </xf>
    <xf numFmtId="0" fontId="19" fillId="0" borderId="26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3" fillId="0" borderId="29" xfId="0" quotePrefix="1" applyFont="1" applyBorder="1" applyAlignment="1">
      <alignment horizontal="center"/>
    </xf>
    <xf numFmtId="0" fontId="7" fillId="0" borderId="29" xfId="0" applyFont="1" applyFill="1" applyBorder="1">
      <alignment vertical="center"/>
    </xf>
    <xf numFmtId="169" fontId="7" fillId="0" borderId="0" xfId="0" applyNumberFormat="1" applyFont="1" applyFill="1" applyBorder="1" applyAlignment="1">
      <alignment horizontal="center"/>
    </xf>
    <xf numFmtId="0" fontId="23" fillId="0" borderId="29" xfId="0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7" fillId="0" borderId="29" xfId="0" applyNumberFormat="1" applyFont="1" applyFill="1" applyBorder="1" applyAlignment="1">
      <alignment horizontal="center"/>
    </xf>
    <xf numFmtId="0" fontId="19" fillId="0" borderId="0" xfId="12" applyFont="1">
      <alignment vertical="center"/>
    </xf>
    <xf numFmtId="0" fontId="0" fillId="0" borderId="0" xfId="0" applyAlignment="1">
      <alignment horizontal="right" vertical="center"/>
    </xf>
    <xf numFmtId="0" fontId="7" fillId="8" borderId="7" xfId="0" applyFont="1" applyFill="1" applyBorder="1">
      <alignment vertical="center"/>
    </xf>
    <xf numFmtId="0" fontId="7" fillId="8" borderId="9" xfId="0" applyFont="1" applyFill="1" applyBorder="1">
      <alignment vertical="center"/>
    </xf>
    <xf numFmtId="0" fontId="7" fillId="8" borderId="26" xfId="0" applyFont="1" applyFill="1" applyBorder="1">
      <alignment vertical="center"/>
    </xf>
    <xf numFmtId="0" fontId="7" fillId="8" borderId="28" xfId="0" applyFont="1" applyFill="1" applyBorder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0" fontId="0" fillId="8" borderId="0" xfId="0" applyFill="1">
      <alignment vertical="center"/>
    </xf>
    <xf numFmtId="0" fontId="7" fillId="8" borderId="8" xfId="0" applyFont="1" applyFill="1" applyBorder="1">
      <alignment vertical="center"/>
    </xf>
    <xf numFmtId="0" fontId="7" fillId="8" borderId="26" xfId="0" applyFont="1" applyFill="1" applyBorder="1" applyAlignment="1">
      <alignment horizontal="left"/>
    </xf>
    <xf numFmtId="0" fontId="2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5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31" xfId="0" quotePrefix="1" applyFont="1" applyFill="1" applyBorder="1" applyAlignment="1"/>
    <xf numFmtId="0" fontId="7" fillId="0" borderId="31" xfId="0" quotePrefix="1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7" fillId="8" borderId="0" xfId="0" applyFont="1" applyFill="1" applyBorder="1">
      <alignment vertical="center"/>
    </xf>
    <xf numFmtId="0" fontId="7" fillId="8" borderId="17" xfId="0" applyFont="1" applyFill="1" applyBorder="1">
      <alignment vertical="center"/>
    </xf>
    <xf numFmtId="0" fontId="7" fillId="8" borderId="18" xfId="0" applyFont="1" applyFill="1" applyBorder="1">
      <alignment vertical="center"/>
    </xf>
    <xf numFmtId="0" fontId="7" fillId="8" borderId="33" xfId="0" quotePrefix="1" applyFont="1" applyFill="1" applyBorder="1" applyAlignment="1">
      <alignment horizontal="center"/>
    </xf>
    <xf numFmtId="0" fontId="7" fillId="8" borderId="20" xfId="0" applyFont="1" applyFill="1" applyBorder="1">
      <alignment vertical="center"/>
    </xf>
    <xf numFmtId="0" fontId="7" fillId="8" borderId="21" xfId="0" applyFont="1" applyFill="1" applyBorder="1">
      <alignment vertical="center"/>
    </xf>
    <xf numFmtId="0" fontId="7" fillId="8" borderId="34" xfId="0" quotePrefix="1" applyFont="1" applyFill="1" applyBorder="1" applyAlignment="1">
      <alignment horizontal="center"/>
    </xf>
    <xf numFmtId="0" fontId="7" fillId="8" borderId="3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1" fillId="0" borderId="33" xfId="0" applyFont="1" applyFill="1" applyBorder="1" applyAlignment="1">
      <alignment horizontal="center"/>
    </xf>
    <xf numFmtId="0" fontId="21" fillId="0" borderId="34" xfId="0" applyFont="1" applyFill="1" applyBorder="1" applyAlignment="1">
      <alignment horizontal="center"/>
    </xf>
    <xf numFmtId="0" fontId="21" fillId="0" borderId="21" xfId="0" applyFont="1" applyFill="1" applyBorder="1" applyAlignment="1">
      <alignment horizontal="center"/>
    </xf>
    <xf numFmtId="0" fontId="7" fillId="0" borderId="27" xfId="0" applyFont="1" applyFill="1" applyBorder="1">
      <alignment vertical="center"/>
    </xf>
    <xf numFmtId="0" fontId="7" fillId="9" borderId="29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31" xfId="0" quotePrefix="1" applyFont="1" applyFill="1" applyBorder="1" applyAlignment="1"/>
    <xf numFmtId="0" fontId="21" fillId="3" borderId="18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7" fillId="0" borderId="6" xfId="0" applyFont="1" applyFill="1" applyBorder="1">
      <alignment vertical="center"/>
    </xf>
    <xf numFmtId="0" fontId="10" fillId="0" borderId="0" xfId="9" quotePrefix="1" applyFont="1" applyFill="1" applyAlignment="1">
      <alignment horizontal="right" vertical="center"/>
    </xf>
    <xf numFmtId="0" fontId="10" fillId="0" borderId="0" xfId="9" quotePrefix="1" applyFont="1" applyFill="1" applyAlignment="1">
      <alignment horizontal="left" vertical="center"/>
    </xf>
    <xf numFmtId="0" fontId="10" fillId="0" borderId="0" xfId="9" applyFont="1" applyFill="1" applyAlignment="1">
      <alignment horizontal="right" vertical="center"/>
    </xf>
    <xf numFmtId="14" fontId="10" fillId="0" borderId="0" xfId="9" applyNumberFormat="1" applyFont="1" applyFill="1" applyBorder="1" applyAlignment="1">
      <alignment horizontal="left" vertical="center"/>
    </xf>
    <xf numFmtId="0" fontId="10" fillId="0" borderId="0" xfId="11" applyFont="1" applyFill="1" applyBorder="1">
      <alignment vertical="center"/>
    </xf>
    <xf numFmtId="0" fontId="19" fillId="0" borderId="26" xfId="0" applyFont="1" applyBorder="1">
      <alignment vertical="center"/>
    </xf>
    <xf numFmtId="0" fontId="19" fillId="0" borderId="28" xfId="0" applyFont="1" applyBorder="1">
      <alignment vertical="center"/>
    </xf>
    <xf numFmtId="0" fontId="28" fillId="0" borderId="29" xfId="0" quotePrefix="1" applyFont="1" applyBorder="1" applyAlignment="1">
      <alignment horizontal="center"/>
    </xf>
    <xf numFmtId="0" fontId="7" fillId="0" borderId="27" xfId="0" quotePrefix="1" applyFont="1" applyFill="1" applyBorder="1" applyAlignment="1">
      <alignment horizontal="center"/>
    </xf>
    <xf numFmtId="0" fontId="7" fillId="8" borderId="29" xfId="0" applyFont="1" applyFill="1" applyBorder="1">
      <alignment vertical="center"/>
    </xf>
    <xf numFmtId="0" fontId="0" fillId="6" borderId="26" xfId="0" applyFill="1" applyBorder="1">
      <alignment vertical="center"/>
    </xf>
    <xf numFmtId="0" fontId="0" fillId="6" borderId="27" xfId="0" applyFill="1" applyBorder="1" applyAlignment="1">
      <alignment horizontal="left"/>
    </xf>
    <xf numFmtId="0" fontId="0" fillId="6" borderId="27" xfId="0" applyFill="1" applyBorder="1" applyAlignment="1">
      <alignment horizontal="center"/>
    </xf>
    <xf numFmtId="0" fontId="0" fillId="6" borderId="28" xfId="0" applyFill="1" applyBorder="1">
      <alignment vertical="center"/>
    </xf>
    <xf numFmtId="0" fontId="0" fillId="11" borderId="26" xfId="0" applyFill="1" applyBorder="1">
      <alignment vertical="center"/>
    </xf>
    <xf numFmtId="0" fontId="0" fillId="11" borderId="27" xfId="0" applyFill="1" applyBorder="1">
      <alignment vertical="center"/>
    </xf>
    <xf numFmtId="0" fontId="0" fillId="11" borderId="27" xfId="0" applyFill="1" applyBorder="1" applyAlignment="1">
      <alignment horizontal="left"/>
    </xf>
    <xf numFmtId="0" fontId="0" fillId="11" borderId="27" xfId="0" applyFill="1" applyBorder="1" applyAlignment="1">
      <alignment horizontal="center"/>
    </xf>
    <xf numFmtId="0" fontId="0" fillId="11" borderId="28" xfId="0" applyFill="1" applyBorder="1">
      <alignment vertical="center"/>
    </xf>
    <xf numFmtId="0" fontId="0" fillId="9" borderId="26" xfId="0" applyFill="1" applyBorder="1">
      <alignment vertical="center"/>
    </xf>
    <xf numFmtId="0" fontId="0" fillId="9" borderId="27" xfId="0" applyFill="1" applyBorder="1">
      <alignment vertical="center"/>
    </xf>
    <xf numFmtId="0" fontId="0" fillId="9" borderId="27" xfId="0" applyFill="1" applyBorder="1" applyAlignment="1">
      <alignment horizontal="left"/>
    </xf>
    <xf numFmtId="0" fontId="0" fillId="9" borderId="27" xfId="0" applyFill="1" applyBorder="1" applyAlignment="1">
      <alignment horizontal="center"/>
    </xf>
    <xf numFmtId="0" fontId="0" fillId="9" borderId="28" xfId="0" applyFill="1" applyBorder="1">
      <alignment vertical="center"/>
    </xf>
    <xf numFmtId="0" fontId="7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/>
    </xf>
    <xf numFmtId="0" fontId="22" fillId="0" borderId="0" xfId="0" applyFont="1" applyFill="1" applyBorder="1">
      <alignment vertical="center"/>
    </xf>
    <xf numFmtId="0" fontId="7" fillId="0" borderId="0" xfId="0" applyFont="1" applyFill="1" applyBorder="1" applyProtection="1">
      <alignment vertical="center"/>
      <protection locked="0"/>
    </xf>
    <xf numFmtId="0" fontId="7" fillId="0" borderId="0" xfId="0" applyFont="1" applyFill="1" applyBorder="1" applyProtection="1">
      <alignment vertical="center"/>
    </xf>
    <xf numFmtId="0" fontId="0" fillId="5" borderId="27" xfId="0" applyFill="1" applyBorder="1">
      <alignment vertical="center"/>
    </xf>
    <xf numFmtId="0" fontId="0" fillId="5" borderId="8" xfId="0" applyFill="1" applyBorder="1">
      <alignment vertical="center"/>
    </xf>
    <xf numFmtId="0" fontId="21" fillId="0" borderId="18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7" fillId="0" borderId="0" xfId="12" applyFont="1" applyFill="1" applyBorder="1">
      <alignment vertical="center"/>
    </xf>
    <xf numFmtId="0" fontId="0" fillId="7" borderId="27" xfId="0" applyFill="1" applyBorder="1">
      <alignment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21" fillId="0" borderId="22" xfId="0" applyFont="1" applyFill="1" applyBorder="1" applyAlignment="1">
      <alignment horizontal="center"/>
    </xf>
    <xf numFmtId="0" fontId="0" fillId="0" borderId="39" xfId="0" applyBorder="1">
      <alignment vertical="center"/>
    </xf>
    <xf numFmtId="0" fontId="0" fillId="0" borderId="3" xfId="0" applyFill="1" applyBorder="1">
      <alignment vertical="center"/>
    </xf>
    <xf numFmtId="0" fontId="21" fillId="3" borderId="22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7" fontId="21" fillId="0" borderId="34" xfId="0" applyNumberFormat="1" applyFont="1" applyFill="1" applyBorder="1" applyAlignment="1">
      <alignment horizontal="center"/>
    </xf>
    <xf numFmtId="0" fontId="0" fillId="12" borderId="0" xfId="0" applyFill="1">
      <alignment vertical="center"/>
    </xf>
    <xf numFmtId="0" fontId="19" fillId="12" borderId="0" xfId="0" applyFont="1" applyFill="1">
      <alignment vertical="center"/>
    </xf>
    <xf numFmtId="0" fontId="0" fillId="12" borderId="29" xfId="0" applyFill="1" applyBorder="1">
      <alignment vertical="center"/>
    </xf>
    <xf numFmtId="0" fontId="0" fillId="12" borderId="0" xfId="0" applyFill="1" applyAlignment="1">
      <alignment horizontal="center" vertical="center"/>
    </xf>
    <xf numFmtId="167" fontId="0" fillId="12" borderId="0" xfId="0" applyNumberFormat="1" applyFill="1">
      <alignment vertical="center"/>
    </xf>
    <xf numFmtId="0" fontId="0" fillId="12" borderId="40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left" vertical="center"/>
    </xf>
    <xf numFmtId="165" fontId="0" fillId="12" borderId="29" xfId="3" applyNumberFormat="1" applyFont="1" applyFill="1" applyBorder="1">
      <alignment vertical="center"/>
    </xf>
    <xf numFmtId="167" fontId="0" fillId="12" borderId="29" xfId="0" applyNumberFormat="1" applyFill="1" applyBorder="1">
      <alignment vertical="center"/>
    </xf>
    <xf numFmtId="0" fontId="0" fillId="0" borderId="27" xfId="0" applyBorder="1">
      <alignment vertical="center"/>
    </xf>
    <xf numFmtId="167" fontId="0" fillId="0" borderId="29" xfId="0" applyNumberFormat="1" applyFill="1" applyBorder="1" applyAlignment="1">
      <alignment horizontal="center"/>
    </xf>
    <xf numFmtId="165" fontId="0" fillId="0" borderId="29" xfId="3" applyNumberFormat="1" applyFont="1" applyBorder="1">
      <alignment vertical="center"/>
    </xf>
    <xf numFmtId="0" fontId="7" fillId="3" borderId="0" xfId="0" applyFont="1" applyFill="1" applyBorder="1">
      <alignment vertical="center"/>
    </xf>
    <xf numFmtId="0" fontId="0" fillId="6" borderId="41" xfId="0" applyFill="1" applyBorder="1">
      <alignment vertical="center"/>
    </xf>
    <xf numFmtId="0" fontId="0" fillId="6" borderId="42" xfId="0" applyFill="1" applyBorder="1">
      <alignment vertical="center"/>
    </xf>
    <xf numFmtId="167" fontId="0" fillId="0" borderId="29" xfId="0" applyNumberFormat="1" applyFill="1" applyBorder="1" applyAlignment="1">
      <alignment horizontal="center" vertical="center"/>
    </xf>
    <xf numFmtId="167" fontId="7" fillId="0" borderId="32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7" fillId="0" borderId="28" xfId="0" applyNumberFormat="1" applyFont="1" applyFill="1" applyBorder="1" applyAlignment="1">
      <alignment horizontal="center"/>
    </xf>
    <xf numFmtId="0" fontId="0" fillId="9" borderId="41" xfId="0" applyFill="1" applyBorder="1">
      <alignment vertical="center"/>
    </xf>
    <xf numFmtId="0" fontId="0" fillId="9" borderId="42" xfId="0" applyFill="1" applyBorder="1">
      <alignment vertical="center"/>
    </xf>
    <xf numFmtId="0" fontId="8" fillId="0" borderId="17" xfId="0" applyFont="1" applyBorder="1">
      <alignment vertical="center"/>
    </xf>
    <xf numFmtId="0" fontId="7" fillId="0" borderId="17" xfId="0" applyFont="1" applyBorder="1">
      <alignment vertical="center"/>
    </xf>
    <xf numFmtId="9" fontId="0" fillId="0" borderId="19" xfId="0" applyNumberFormat="1" applyBorder="1">
      <alignment vertical="center"/>
    </xf>
    <xf numFmtId="0" fontId="7" fillId="0" borderId="20" xfId="0" applyFont="1" applyBorder="1">
      <alignment vertical="center"/>
    </xf>
    <xf numFmtId="0" fontId="8" fillId="0" borderId="20" xfId="0" applyFont="1" applyBorder="1">
      <alignment vertical="center"/>
    </xf>
    <xf numFmtId="9" fontId="0" fillId="0" borderId="25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23" xfId="0" applyFont="1" applyBorder="1">
      <alignment vertical="center"/>
    </xf>
    <xf numFmtId="0" fontId="0" fillId="0" borderId="40" xfId="0" applyBorder="1">
      <alignment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>
      <alignment vertical="center"/>
    </xf>
    <xf numFmtId="0" fontId="0" fillId="3" borderId="9" xfId="0" applyFill="1" applyBorder="1">
      <alignment vertical="center"/>
    </xf>
    <xf numFmtId="169" fontId="7" fillId="0" borderId="0" xfId="0" applyNumberFormat="1" applyFont="1" applyFill="1" applyBorder="1" applyAlignment="1">
      <alignment horizontal="left"/>
    </xf>
    <xf numFmtId="0" fontId="23" fillId="0" borderId="0" xfId="0" quotePrefix="1" applyFon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9" applyFont="1" applyFill="1" applyAlignment="1">
      <alignment horizontal="left" vertical="center"/>
    </xf>
    <xf numFmtId="9" fontId="0" fillId="0" borderId="28" xfId="0" applyNumberFormat="1" applyBorder="1">
      <alignment vertical="center"/>
    </xf>
    <xf numFmtId="0" fontId="0" fillId="6" borderId="8" xfId="0" applyFill="1" applyBorder="1">
      <alignment vertical="center"/>
    </xf>
    <xf numFmtId="9" fontId="0" fillId="0" borderId="9" xfId="0" applyNumberFormat="1" applyBorder="1">
      <alignment vertical="center"/>
    </xf>
    <xf numFmtId="0" fontId="7" fillId="9" borderId="26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0" xfId="0" applyFont="1" applyFill="1" applyBorder="1" applyAlignment="1"/>
    <xf numFmtId="0" fontId="0" fillId="0" borderId="32" xfId="0" applyBorder="1">
      <alignment vertical="center"/>
    </xf>
    <xf numFmtId="0" fontId="7" fillId="0" borderId="0" xfId="0" quotePrefix="1" applyFont="1" applyFill="1" applyBorder="1" applyAlignment="1">
      <alignment horizontal="center"/>
    </xf>
    <xf numFmtId="0" fontId="19" fillId="0" borderId="43" xfId="0" applyFont="1" applyFill="1" applyBorder="1">
      <alignment vertical="center"/>
    </xf>
    <xf numFmtId="0" fontId="7" fillId="0" borderId="44" xfId="0" applyFont="1" applyFill="1" applyBorder="1">
      <alignment vertical="center"/>
    </xf>
    <xf numFmtId="0" fontId="7" fillId="0" borderId="28" xfId="0" applyFont="1" applyFill="1" applyBorder="1" applyAlignment="1">
      <alignment horizontal="center"/>
    </xf>
    <xf numFmtId="0" fontId="0" fillId="0" borderId="29" xfId="0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0" xfId="0" applyNumberFormat="1" applyFont="1" applyFill="1" applyBorder="1" applyAlignment="1">
      <alignment horizontal="center"/>
    </xf>
    <xf numFmtId="0" fontId="19" fillId="0" borderId="0" xfId="0" applyFont="1" applyFill="1" applyBorder="1">
      <alignment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67" fontId="30" fillId="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center"/>
    </xf>
    <xf numFmtId="1" fontId="32" fillId="0" borderId="0" xfId="0" applyNumberFormat="1" applyFont="1" applyFill="1" applyBorder="1" applyAlignment="1">
      <alignment horizontal="right"/>
    </xf>
    <xf numFmtId="0" fontId="32" fillId="0" borderId="0" xfId="0" applyFont="1" applyFill="1">
      <alignment vertical="center"/>
    </xf>
    <xf numFmtId="167" fontId="32" fillId="0" borderId="0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4" xfId="0" applyFont="1" applyFill="1" applyBorder="1" applyAlignment="1">
      <alignment horizontal="center"/>
    </xf>
    <xf numFmtId="0" fontId="7" fillId="0" borderId="31" xfId="0" applyFont="1" applyFill="1" applyBorder="1" applyAlignment="1"/>
    <xf numFmtId="0" fontId="19" fillId="0" borderId="7" xfId="0" applyFont="1" applyFill="1" applyBorder="1" applyAlignment="1"/>
    <xf numFmtId="0" fontId="7" fillId="0" borderId="32" xfId="0" applyFont="1" applyFill="1" applyBorder="1" applyAlignment="1">
      <alignment wrapText="1"/>
    </xf>
    <xf numFmtId="0" fontId="7" fillId="0" borderId="40" xfId="0" applyFont="1" applyFill="1" applyBorder="1" applyAlignment="1"/>
    <xf numFmtId="0" fontId="19" fillId="0" borderId="44" xfId="0" applyFont="1" applyFill="1" applyBorder="1">
      <alignment vertical="center"/>
    </xf>
    <xf numFmtId="0" fontId="0" fillId="13" borderId="0" xfId="0" applyFill="1">
      <alignment vertical="center"/>
    </xf>
    <xf numFmtId="0" fontId="19" fillId="0" borderId="45" xfId="0" applyFont="1" applyFill="1" applyBorder="1">
      <alignment vertical="center"/>
    </xf>
    <xf numFmtId="0" fontId="7" fillId="0" borderId="40" xfId="0" applyFont="1" applyFill="1" applyBorder="1" applyAlignment="1">
      <alignment horizontal="center"/>
    </xf>
    <xf numFmtId="0" fontId="0" fillId="0" borderId="5" xfId="0" applyBorder="1">
      <alignment vertical="center"/>
    </xf>
    <xf numFmtId="0" fontId="7" fillId="7" borderId="17" xfId="0" applyFont="1" applyFill="1" applyBorder="1">
      <alignment vertical="center"/>
    </xf>
    <xf numFmtId="0" fontId="7" fillId="7" borderId="18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>
      <alignment vertical="center"/>
    </xf>
    <xf numFmtId="0" fontId="7" fillId="7" borderId="21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>
      <alignment vertical="center"/>
    </xf>
    <xf numFmtId="0" fontId="7" fillId="7" borderId="24" xfId="0" applyFont="1" applyFill="1" applyBorder="1" applyAlignment="1">
      <alignment horizontal="center"/>
    </xf>
    <xf numFmtId="0" fontId="7" fillId="7" borderId="2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168" fontId="0" fillId="0" borderId="0" xfId="3" applyNumberFormat="1" applyFont="1" applyFill="1" applyBorder="1">
      <alignment vertical="center"/>
    </xf>
    <xf numFmtId="0" fontId="7" fillId="0" borderId="32" xfId="0" applyNumberFormat="1" applyFont="1" applyBorder="1" applyAlignment="1">
      <alignment horizontal="center"/>
    </xf>
    <xf numFmtId="0" fontId="0" fillId="3" borderId="0" xfId="0" applyFill="1" applyBorder="1">
      <alignment vertical="center"/>
    </xf>
    <xf numFmtId="0" fontId="7" fillId="14" borderId="0" xfId="0" applyFont="1" applyFill="1" applyBorder="1" applyAlignment="1"/>
    <xf numFmtId="0" fontId="0" fillId="14" borderId="0" xfId="0" applyFill="1">
      <alignment vertical="center"/>
    </xf>
    <xf numFmtId="0" fontId="0" fillId="14" borderId="0" xfId="0" applyFill="1" applyBorder="1">
      <alignment vertical="center"/>
    </xf>
    <xf numFmtId="0" fontId="7" fillId="14" borderId="0" xfId="0" applyFont="1" applyFill="1" applyBorder="1" applyAlignment="1">
      <alignment horizontal="center"/>
    </xf>
    <xf numFmtId="0" fontId="0" fillId="0" borderId="35" xfId="0" applyBorder="1">
      <alignment vertical="center"/>
    </xf>
    <xf numFmtId="0" fontId="0" fillId="0" borderId="13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6" xfId="0" applyBorder="1">
      <alignment vertical="center"/>
    </xf>
    <xf numFmtId="0" fontId="7" fillId="5" borderId="0" xfId="0" applyFont="1" applyFill="1" applyBorder="1" applyAlignment="1">
      <alignment horizontal="center"/>
    </xf>
    <xf numFmtId="0" fontId="26" fillId="5" borderId="0" xfId="0" applyFont="1" applyFill="1" applyBorder="1">
      <alignment vertical="center"/>
    </xf>
    <xf numFmtId="0" fontId="26" fillId="5" borderId="29" xfId="0" applyFont="1" applyFill="1" applyBorder="1">
      <alignment vertical="center"/>
    </xf>
    <xf numFmtId="0" fontId="26" fillId="5" borderId="29" xfId="0" applyNumberFormat="1" applyFont="1" applyFill="1" applyBorder="1" applyAlignment="1">
      <alignment horizontal="center"/>
    </xf>
    <xf numFmtId="0" fontId="26" fillId="5" borderId="28" xfId="0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5" borderId="0" xfId="0" applyFill="1">
      <alignment vertical="center"/>
    </xf>
    <xf numFmtId="0" fontId="26" fillId="0" borderId="28" xfId="0" applyFont="1" applyFill="1" applyBorder="1">
      <alignment vertical="center"/>
    </xf>
    <xf numFmtId="167" fontId="0" fillId="0" borderId="0" xfId="0" applyNumberFormat="1" applyFill="1" applyBorder="1">
      <alignment vertical="center"/>
    </xf>
    <xf numFmtId="0" fontId="26" fillId="5" borderId="29" xfId="0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0" fontId="26" fillId="0" borderId="0" xfId="0" applyFont="1" applyFill="1" applyBorder="1">
      <alignment vertical="center"/>
    </xf>
    <xf numFmtId="0" fontId="26" fillId="0" borderId="0" xfId="0" applyNumberFormat="1" applyFont="1" applyFill="1" applyBorder="1" applyAlignment="1">
      <alignment horizontal="center"/>
    </xf>
    <xf numFmtId="0" fontId="7" fillId="0" borderId="27" xfId="0" applyFont="1" applyFill="1" applyBorder="1" applyAlignment="1">
      <alignment wrapText="1"/>
    </xf>
    <xf numFmtId="0" fontId="26" fillId="5" borderId="28" xfId="0" applyFont="1" applyFill="1" applyBorder="1" applyAlignment="1">
      <alignment wrapText="1"/>
    </xf>
    <xf numFmtId="0" fontId="7" fillId="0" borderId="33" xfId="0" applyFont="1" applyFill="1" applyBorder="1" applyAlignment="1">
      <alignment horizontal="center"/>
    </xf>
    <xf numFmtId="167" fontId="7" fillId="0" borderId="34" xfId="0" applyNumberFormat="1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167" fontId="7" fillId="0" borderId="50" xfId="0" applyNumberFormat="1" applyFont="1" applyFill="1" applyBorder="1" applyAlignment="1">
      <alignment horizontal="center"/>
    </xf>
    <xf numFmtId="0" fontId="7" fillId="0" borderId="50" xfId="0" applyFont="1" applyFill="1" applyBorder="1" applyAlignment="1">
      <alignment horizontal="center"/>
    </xf>
    <xf numFmtId="167" fontId="0" fillId="0" borderId="32" xfId="0" applyNumberFormat="1" applyFill="1" applyBorder="1">
      <alignment vertical="center"/>
    </xf>
    <xf numFmtId="167" fontId="0" fillId="0" borderId="31" xfId="0" applyNumberFormat="1" applyFill="1" applyBorder="1">
      <alignment vertical="center"/>
    </xf>
    <xf numFmtId="167" fontId="7" fillId="0" borderId="31" xfId="0" applyNumberFormat="1" applyFont="1" applyFill="1" applyBorder="1" applyAlignment="1">
      <alignment horizontal="center"/>
    </xf>
    <xf numFmtId="167" fontId="0" fillId="3" borderId="31" xfId="0" applyNumberFormat="1" applyFill="1" applyBorder="1">
      <alignment vertical="center"/>
    </xf>
    <xf numFmtId="0" fontId="0" fillId="3" borderId="31" xfId="0" applyFill="1" applyBorder="1">
      <alignment vertical="center"/>
    </xf>
    <xf numFmtId="167" fontId="7" fillId="3" borderId="31" xfId="0" applyNumberFormat="1" applyFont="1" applyFill="1" applyBorder="1" applyAlignment="1">
      <alignment horizontal="center"/>
    </xf>
    <xf numFmtId="167" fontId="0" fillId="3" borderId="40" xfId="0" applyNumberFormat="1" applyFill="1" applyBorder="1">
      <alignment vertical="center"/>
    </xf>
    <xf numFmtId="0" fontId="0" fillId="3" borderId="40" xfId="0" applyFill="1" applyBorder="1">
      <alignment vertical="center"/>
    </xf>
    <xf numFmtId="167" fontId="7" fillId="3" borderId="40" xfId="0" applyNumberFormat="1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/>
    </xf>
    <xf numFmtId="167" fontId="0" fillId="0" borderId="32" xfId="0" applyNumberFormat="1" applyFill="1" applyBorder="1" applyAlignment="1">
      <alignment horizontal="center" vertical="center"/>
    </xf>
    <xf numFmtId="167" fontId="0" fillId="3" borderId="31" xfId="0" applyNumberFormat="1" applyFill="1" applyBorder="1" applyAlignment="1">
      <alignment horizontal="center" vertical="center"/>
    </xf>
    <xf numFmtId="167" fontId="0" fillId="0" borderId="31" xfId="0" applyNumberFormat="1" applyFill="1" applyBorder="1" applyAlignment="1">
      <alignment horizontal="center" vertical="center"/>
    </xf>
    <xf numFmtId="167" fontId="0" fillId="3" borderId="40" xfId="0" applyNumberFormat="1" applyFill="1" applyBorder="1" applyAlignment="1">
      <alignment horizontal="center" vertical="center"/>
    </xf>
    <xf numFmtId="165" fontId="7" fillId="0" borderId="0" xfId="3" applyNumberFormat="1" applyFont="1" applyFill="1" applyBorder="1" applyAlignment="1">
      <alignment horizontal="center"/>
    </xf>
    <xf numFmtId="165" fontId="7" fillId="0" borderId="32" xfId="3" applyNumberFormat="1" applyFont="1" applyFill="1" applyBorder="1" applyAlignment="1">
      <alignment horizontal="center"/>
    </xf>
    <xf numFmtId="165" fontId="7" fillId="0" borderId="31" xfId="3" applyNumberFormat="1" applyFont="1" applyFill="1" applyBorder="1" applyAlignment="1">
      <alignment horizontal="center"/>
    </xf>
    <xf numFmtId="0" fontId="0" fillId="0" borderId="31" xfId="0" applyBorder="1">
      <alignment vertical="center"/>
    </xf>
    <xf numFmtId="0" fontId="7" fillId="0" borderId="32" xfId="0" applyNumberFormat="1" applyFont="1" applyFill="1" applyBorder="1" applyAlignment="1">
      <alignment horizontal="center"/>
    </xf>
    <xf numFmtId="0" fontId="7" fillId="0" borderId="31" xfId="0" applyNumberFormat="1" applyFont="1" applyFill="1" applyBorder="1" applyAlignment="1">
      <alignment horizontal="center"/>
    </xf>
    <xf numFmtId="165" fontId="7" fillId="3" borderId="31" xfId="3" applyNumberFormat="1" applyFont="1" applyFill="1" applyBorder="1" applyAlignment="1">
      <alignment horizontal="center"/>
    </xf>
    <xf numFmtId="0" fontId="7" fillId="3" borderId="31" xfId="0" applyNumberFormat="1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168" fontId="0" fillId="0" borderId="31" xfId="3" applyNumberFormat="1" applyFont="1" applyBorder="1" applyAlignment="1">
      <alignment horizontal="center" vertical="center"/>
    </xf>
    <xf numFmtId="168" fontId="7" fillId="0" borderId="31" xfId="3" applyNumberFormat="1" applyFont="1" applyFill="1" applyBorder="1" applyAlignment="1">
      <alignment horizontal="center"/>
    </xf>
    <xf numFmtId="168" fontId="0" fillId="0" borderId="31" xfId="3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168" fontId="0" fillId="3" borderId="31" xfId="3" applyNumberFormat="1" applyFont="1" applyFill="1" applyBorder="1" applyAlignment="1">
      <alignment horizontal="center" vertical="center"/>
    </xf>
    <xf numFmtId="168" fontId="7" fillId="3" borderId="31" xfId="3" applyNumberFormat="1" applyFont="1" applyFill="1" applyBorder="1" applyAlignment="1">
      <alignment horizontal="center"/>
    </xf>
    <xf numFmtId="0" fontId="7" fillId="3" borderId="40" xfId="0" quotePrefix="1" applyFont="1" applyFill="1" applyBorder="1" applyAlignment="1">
      <alignment horizontal="center"/>
    </xf>
    <xf numFmtId="168" fontId="7" fillId="3" borderId="40" xfId="3" applyNumberFormat="1" applyFont="1" applyFill="1" applyBorder="1" applyAlignment="1">
      <alignment horizontal="center"/>
    </xf>
    <xf numFmtId="0" fontId="7" fillId="3" borderId="31" xfId="0" quotePrefix="1" applyFont="1" applyFill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7" fillId="3" borderId="32" xfId="0" quotePrefix="1" applyFont="1" applyFill="1" applyBorder="1" applyAlignment="1">
      <alignment horizontal="center"/>
    </xf>
    <xf numFmtId="165" fontId="7" fillId="3" borderId="32" xfId="3" applyNumberFormat="1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7" fillId="0" borderId="5" xfId="0" applyNumberFormat="1" applyFont="1" applyFill="1" applyBorder="1" applyAlignment="1">
      <alignment horizontal="center"/>
    </xf>
    <xf numFmtId="0" fontId="7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7" fillId="3" borderId="31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168" fontId="7" fillId="0" borderId="32" xfId="3" applyNumberFormat="1" applyFont="1" applyFill="1" applyBorder="1" applyAlignment="1">
      <alignment horizontal="center" vertical="center"/>
    </xf>
    <xf numFmtId="168" fontId="7" fillId="3" borderId="31" xfId="3" applyNumberFormat="1" applyFont="1" applyFill="1" applyBorder="1" applyAlignment="1">
      <alignment horizontal="center" vertical="center"/>
    </xf>
    <xf numFmtId="168" fontId="7" fillId="0" borderId="31" xfId="3" applyNumberFormat="1" applyFont="1" applyFill="1" applyBorder="1" applyAlignment="1">
      <alignment horizontal="center" vertical="center"/>
    </xf>
    <xf numFmtId="168" fontId="7" fillId="3" borderId="40" xfId="3" applyNumberFormat="1" applyFont="1" applyFill="1" applyBorder="1" applyAlignment="1">
      <alignment horizontal="center" vertical="center"/>
    </xf>
    <xf numFmtId="168" fontId="7" fillId="2" borderId="32" xfId="3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168" fontId="0" fillId="0" borderId="32" xfId="3" applyNumberFormat="1" applyFont="1" applyFill="1" applyBorder="1">
      <alignment vertical="center"/>
    </xf>
    <xf numFmtId="168" fontId="0" fillId="3" borderId="31" xfId="3" applyNumberFormat="1" applyFont="1" applyFill="1" applyBorder="1">
      <alignment vertical="center"/>
    </xf>
    <xf numFmtId="168" fontId="0" fillId="0" borderId="31" xfId="3" applyNumberFormat="1" applyFont="1" applyFill="1" applyBorder="1">
      <alignment vertical="center"/>
    </xf>
    <xf numFmtId="168" fontId="0" fillId="0" borderId="40" xfId="3" applyNumberFormat="1" applyFont="1" applyFill="1" applyBorder="1">
      <alignment vertical="center"/>
    </xf>
    <xf numFmtId="0" fontId="7" fillId="0" borderId="51" xfId="0" applyFont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168" fontId="0" fillId="0" borderId="32" xfId="3" applyNumberFormat="1" applyFont="1" applyBorder="1" applyAlignment="1">
      <alignment horizontal="center" vertical="center"/>
    </xf>
    <xf numFmtId="168" fontId="0" fillId="3" borderId="40" xfId="3" applyNumberFormat="1" applyFont="1" applyFill="1" applyBorder="1" applyAlignment="1">
      <alignment horizontal="center" vertical="center"/>
    </xf>
    <xf numFmtId="1" fontId="7" fillId="0" borderId="32" xfId="0" applyNumberFormat="1" applyFont="1" applyFill="1" applyBorder="1" applyAlignment="1">
      <alignment horizontal="center"/>
    </xf>
    <xf numFmtId="1" fontId="7" fillId="3" borderId="31" xfId="0" applyNumberFormat="1" applyFont="1" applyFill="1" applyBorder="1" applyAlignment="1">
      <alignment horizontal="center"/>
    </xf>
    <xf numFmtId="1" fontId="7" fillId="0" borderId="31" xfId="0" applyNumberFormat="1" applyFont="1" applyFill="1" applyBorder="1" applyAlignment="1">
      <alignment horizontal="center"/>
    </xf>
    <xf numFmtId="1" fontId="7" fillId="3" borderId="4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165" fontId="0" fillId="0" borderId="32" xfId="3" applyNumberFormat="1" applyFont="1" applyFill="1" applyBorder="1" applyAlignment="1">
      <alignment horizontal="center" vertical="center"/>
    </xf>
    <xf numFmtId="165" fontId="0" fillId="3" borderId="31" xfId="3" applyNumberFormat="1" applyFont="1" applyFill="1" applyBorder="1" applyAlignment="1">
      <alignment horizontal="center" vertical="center"/>
    </xf>
    <xf numFmtId="165" fontId="0" fillId="0" borderId="31" xfId="3" applyNumberFormat="1" applyFont="1" applyFill="1" applyBorder="1" applyAlignment="1">
      <alignment horizontal="center" vertical="center"/>
    </xf>
    <xf numFmtId="165" fontId="0" fillId="0" borderId="31" xfId="3" applyNumberFormat="1" applyFont="1" applyBorder="1" applyAlignment="1">
      <alignment horizontal="center" vertical="center"/>
    </xf>
    <xf numFmtId="165" fontId="0" fillId="0" borderId="40" xfId="3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2" fontId="0" fillId="0" borderId="3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3" borderId="3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6" fillId="0" borderId="0" xfId="12" applyFont="1">
      <alignment vertical="center"/>
    </xf>
    <xf numFmtId="0" fontId="15" fillId="0" borderId="0" xfId="0" applyFont="1" applyFill="1" applyBorder="1" applyAlignment="1">
      <alignment horizontal="left" vertical="center"/>
    </xf>
    <xf numFmtId="0" fontId="7" fillId="0" borderId="0" xfId="0" quotePrefix="1" applyFont="1" applyFill="1" applyBorder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0" fontId="32" fillId="15" borderId="43" xfId="0" applyFont="1" applyFill="1" applyBorder="1">
      <alignment vertical="center"/>
    </xf>
    <xf numFmtId="0" fontId="31" fillId="15" borderId="44" xfId="0" applyFont="1" applyFill="1" applyBorder="1">
      <alignment vertical="center"/>
    </xf>
    <xf numFmtId="0" fontId="32" fillId="15" borderId="44" xfId="0" applyFont="1" applyFill="1" applyBorder="1">
      <alignment vertical="center"/>
    </xf>
    <xf numFmtId="0" fontId="32" fillId="13" borderId="0" xfId="0" applyFont="1" applyFill="1" applyBorder="1" applyAlignment="1">
      <alignment horizontal="left"/>
    </xf>
    <xf numFmtId="1" fontId="32" fillId="13" borderId="0" xfId="0" applyNumberFormat="1" applyFont="1" applyFill="1" applyBorder="1" applyAlignment="1">
      <alignment horizontal="right"/>
    </xf>
    <xf numFmtId="0" fontId="32" fillId="13" borderId="0" xfId="0" applyFont="1" applyFill="1">
      <alignment vertical="center"/>
    </xf>
    <xf numFmtId="167" fontId="32" fillId="13" borderId="0" xfId="0" applyNumberFormat="1" applyFont="1" applyFill="1" applyBorder="1" applyAlignment="1">
      <alignment horizontal="center" vertical="center"/>
    </xf>
    <xf numFmtId="0" fontId="32" fillId="13" borderId="0" xfId="0" applyNumberFormat="1" applyFont="1" applyFill="1" applyBorder="1" applyAlignment="1">
      <alignment horizontal="center"/>
    </xf>
    <xf numFmtId="0" fontId="32" fillId="13" borderId="0" xfId="0" applyFont="1" applyFill="1" applyBorder="1" applyAlignment="1">
      <alignment horizontal="center"/>
    </xf>
    <xf numFmtId="0" fontId="19" fillId="0" borderId="10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10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0" borderId="33" xfId="0" applyFont="1" applyBorder="1">
      <alignment vertical="center"/>
    </xf>
    <xf numFmtId="0" fontId="23" fillId="0" borderId="33" xfId="0" quotePrefix="1" applyFont="1" applyBorder="1" applyAlignment="1">
      <alignment horizontal="center"/>
    </xf>
    <xf numFmtId="169" fontId="7" fillId="0" borderId="33" xfId="0" applyNumberFormat="1" applyFont="1" applyBorder="1" applyAlignment="1">
      <alignment horizontal="center"/>
    </xf>
    <xf numFmtId="169" fontId="7" fillId="0" borderId="33" xfId="0" applyNumberFormat="1" applyFont="1" applyFill="1" applyBorder="1" applyAlignment="1">
      <alignment horizontal="center"/>
    </xf>
    <xf numFmtId="0" fontId="7" fillId="0" borderId="34" xfId="0" applyFont="1" applyBorder="1">
      <alignment vertical="center"/>
    </xf>
    <xf numFmtId="0" fontId="23" fillId="0" borderId="34" xfId="0" quotePrefix="1" applyFont="1" applyBorder="1" applyAlignment="1">
      <alignment horizontal="center"/>
    </xf>
    <xf numFmtId="175" fontId="7" fillId="0" borderId="34" xfId="3" applyNumberFormat="1" applyFont="1" applyFill="1" applyBorder="1" applyAlignment="1">
      <alignment horizontal="center" vertical="top" wrapText="1"/>
    </xf>
    <xf numFmtId="169" fontId="7" fillId="0" borderId="34" xfId="0" applyNumberFormat="1" applyFont="1" applyFill="1" applyBorder="1" applyAlignment="1">
      <alignment horizontal="center" vertical="top" wrapText="1"/>
    </xf>
    <xf numFmtId="169" fontId="7" fillId="0" borderId="34" xfId="0" applyNumberFormat="1" applyFont="1" applyFill="1" applyBorder="1" applyAlignment="1">
      <alignment horizontal="center"/>
    </xf>
    <xf numFmtId="169" fontId="7" fillId="0" borderId="34" xfId="0" applyNumberFormat="1" applyFont="1" applyBorder="1" applyAlignment="1">
      <alignment horizontal="center"/>
    </xf>
    <xf numFmtId="0" fontId="7" fillId="0" borderId="34" xfId="0" applyFont="1" applyFill="1" applyBorder="1">
      <alignment vertical="center"/>
    </xf>
    <xf numFmtId="0" fontId="0" fillId="0" borderId="34" xfId="0" applyBorder="1">
      <alignment vertical="center"/>
    </xf>
    <xf numFmtId="0" fontId="19" fillId="0" borderId="34" xfId="0" applyFont="1" applyBorder="1">
      <alignment vertical="center"/>
    </xf>
    <xf numFmtId="0" fontId="28" fillId="0" borderId="34" xfId="0" quotePrefix="1" applyFont="1" applyBorder="1" applyAlignment="1">
      <alignment horizontal="center"/>
    </xf>
    <xf numFmtId="169" fontId="19" fillId="0" borderId="34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2" fontId="7" fillId="0" borderId="34" xfId="0" applyNumberFormat="1" applyFont="1" applyBorder="1" applyAlignment="1">
      <alignment horizontal="center"/>
    </xf>
    <xf numFmtId="0" fontId="7" fillId="0" borderId="50" xfId="0" applyFont="1" applyBorder="1">
      <alignment vertical="center"/>
    </xf>
    <xf numFmtId="0" fontId="23" fillId="0" borderId="50" xfId="0" applyFont="1" applyBorder="1" applyAlignment="1">
      <alignment horizontal="center"/>
    </xf>
    <xf numFmtId="0" fontId="7" fillId="8" borderId="33" xfId="0" applyFont="1" applyFill="1" applyBorder="1">
      <alignment vertical="center"/>
    </xf>
    <xf numFmtId="0" fontId="7" fillId="8" borderId="34" xfId="0" applyFont="1" applyFill="1" applyBorder="1">
      <alignment vertical="center"/>
    </xf>
    <xf numFmtId="0" fontId="0" fillId="3" borderId="34" xfId="0" applyFill="1" applyBorder="1" applyAlignment="1">
      <alignment horizontal="center"/>
    </xf>
    <xf numFmtId="0" fontId="7" fillId="8" borderId="50" xfId="0" quotePrefix="1" applyFont="1" applyFill="1" applyBorder="1" applyAlignment="1">
      <alignment horizontal="center"/>
    </xf>
    <xf numFmtId="0" fontId="21" fillId="0" borderId="50" xfId="0" applyFont="1" applyFill="1" applyBorder="1" applyAlignment="1">
      <alignment horizontal="center"/>
    </xf>
    <xf numFmtId="0" fontId="21" fillId="3" borderId="50" xfId="0" applyFont="1" applyFill="1" applyBorder="1" applyAlignment="1">
      <alignment horizontal="center"/>
    </xf>
    <xf numFmtId="0" fontId="7" fillId="8" borderId="22" xfId="0" applyFont="1" applyFill="1" applyBorder="1">
      <alignment vertical="center"/>
    </xf>
    <xf numFmtId="0" fontId="7" fillId="8" borderId="25" xfId="0" applyFont="1" applyFill="1" applyBorder="1">
      <alignment vertical="center"/>
    </xf>
    <xf numFmtId="0" fontId="7" fillId="8" borderId="23" xfId="0" applyFont="1" applyFill="1" applyBorder="1">
      <alignment vertical="center"/>
    </xf>
    <xf numFmtId="169" fontId="7" fillId="0" borderId="17" xfId="0" applyNumberFormat="1" applyFont="1" applyFill="1" applyBorder="1" applyAlignment="1">
      <alignment horizontal="center"/>
    </xf>
    <xf numFmtId="169" fontId="7" fillId="0" borderId="20" xfId="0" applyNumberFormat="1" applyFont="1" applyFill="1" applyBorder="1" applyAlignment="1">
      <alignment horizontal="center" vertical="top" wrapText="1"/>
    </xf>
    <xf numFmtId="169" fontId="7" fillId="0" borderId="20" xfId="0" applyNumberFormat="1" applyFont="1" applyBorder="1" applyAlignment="1">
      <alignment horizontal="center"/>
    </xf>
    <xf numFmtId="169" fontId="7" fillId="0" borderId="52" xfId="0" applyNumberFormat="1" applyFont="1" applyBorder="1" applyAlignment="1">
      <alignment horizontal="center"/>
    </xf>
    <xf numFmtId="169" fontId="7" fillId="0" borderId="53" xfId="0" applyNumberFormat="1" applyFont="1" applyFill="1" applyBorder="1" applyAlignment="1">
      <alignment horizontal="center" vertical="top" wrapText="1"/>
    </xf>
    <xf numFmtId="169" fontId="7" fillId="0" borderId="53" xfId="0" applyNumberFormat="1" applyFont="1" applyBorder="1" applyAlignment="1">
      <alignment horizontal="center"/>
    </xf>
    <xf numFmtId="169" fontId="7" fillId="0" borderId="54" xfId="0" applyNumberFormat="1" applyFont="1" applyBorder="1" applyAlignment="1">
      <alignment horizontal="center"/>
    </xf>
    <xf numFmtId="0" fontId="7" fillId="10" borderId="29" xfId="0" applyFont="1" applyFill="1" applyBorder="1" applyAlignment="1">
      <alignment horizontal="center" vertical="center"/>
    </xf>
    <xf numFmtId="169" fontId="7" fillId="0" borderId="55" xfId="0" applyNumberFormat="1" applyFont="1" applyFill="1" applyBorder="1" applyAlignment="1">
      <alignment horizontal="center"/>
    </xf>
    <xf numFmtId="0" fontId="0" fillId="9" borderId="56" xfId="0" applyFill="1" applyBorder="1" applyAlignment="1">
      <alignment horizontal="center" vertical="center"/>
    </xf>
    <xf numFmtId="0" fontId="0" fillId="6" borderId="57" xfId="0" applyFill="1" applyBorder="1">
      <alignment vertical="center"/>
    </xf>
    <xf numFmtId="0" fontId="7" fillId="8" borderId="19" xfId="0" applyFont="1" applyFill="1" applyBorder="1">
      <alignment vertical="center"/>
    </xf>
    <xf numFmtId="168" fontId="21" fillId="0" borderId="34" xfId="3" applyNumberFormat="1" applyFont="1" applyFill="1" applyBorder="1" applyAlignment="1">
      <alignment horizontal="center"/>
    </xf>
    <xf numFmtId="168" fontId="21" fillId="0" borderId="50" xfId="3" applyNumberFormat="1" applyFont="1" applyFill="1" applyBorder="1" applyAlignment="1">
      <alignment horizontal="center"/>
    </xf>
    <xf numFmtId="165" fontId="21" fillId="0" borderId="33" xfId="3" applyNumberFormat="1" applyFont="1" applyFill="1" applyBorder="1" applyAlignment="1">
      <alignment horizontal="center"/>
    </xf>
    <xf numFmtId="175" fontId="21" fillId="0" borderId="33" xfId="3" applyNumberFormat="1" applyFont="1" applyFill="1" applyBorder="1" applyAlignment="1">
      <alignment horizontal="center"/>
    </xf>
    <xf numFmtId="175" fontId="21" fillId="0" borderId="34" xfId="3" applyNumberFormat="1" applyFont="1" applyFill="1" applyBorder="1" applyAlignment="1">
      <alignment horizontal="center"/>
    </xf>
    <xf numFmtId="175" fontId="21" fillId="0" borderId="50" xfId="3" applyNumberFormat="1" applyFont="1" applyFill="1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165" fontId="21" fillId="3" borderId="33" xfId="3" applyNumberFormat="1" applyFont="1" applyFill="1" applyBorder="1" applyAlignment="1">
      <alignment horizontal="center"/>
    </xf>
    <xf numFmtId="168" fontId="21" fillId="3" borderId="34" xfId="3" applyNumberFormat="1" applyFont="1" applyFill="1" applyBorder="1" applyAlignment="1">
      <alignment horizontal="center"/>
    </xf>
    <xf numFmtId="168" fontId="21" fillId="3" borderId="50" xfId="3" applyNumberFormat="1" applyFont="1" applyFill="1" applyBorder="1" applyAlignment="1">
      <alignment horizontal="center"/>
    </xf>
    <xf numFmtId="165" fontId="21" fillId="3" borderId="34" xfId="3" applyNumberFormat="1" applyFont="1" applyFill="1" applyBorder="1" applyAlignment="1">
      <alignment horizontal="center"/>
    </xf>
    <xf numFmtId="165" fontId="21" fillId="3" borderId="50" xfId="3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7" fillId="0" borderId="33" xfId="0" quotePrefix="1" applyFont="1" applyFill="1" applyBorder="1" applyAlignment="1">
      <alignment horizontal="center" vertical="center"/>
    </xf>
    <xf numFmtId="1" fontId="21" fillId="0" borderId="33" xfId="0" applyNumberFormat="1" applyFont="1" applyFill="1" applyBorder="1" applyAlignment="1">
      <alignment horizontal="right" vertical="center"/>
    </xf>
    <xf numFmtId="0" fontId="7" fillId="0" borderId="20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7" fillId="0" borderId="34" xfId="0" quotePrefix="1" applyFont="1" applyFill="1" applyBorder="1" applyAlignment="1">
      <alignment horizontal="center" vertical="center"/>
    </xf>
    <xf numFmtId="1" fontId="21" fillId="0" borderId="34" xfId="0" applyNumberFormat="1" applyFont="1" applyFill="1" applyBorder="1" applyAlignment="1">
      <alignment horizontal="right" vertical="center"/>
    </xf>
    <xf numFmtId="167" fontId="21" fillId="0" borderId="34" xfId="0" applyNumberFormat="1" applyFont="1" applyFill="1" applyBorder="1" applyAlignment="1">
      <alignment vertical="center"/>
    </xf>
    <xf numFmtId="0" fontId="0" fillId="0" borderId="21" xfId="0" applyBorder="1">
      <alignment vertical="center"/>
    </xf>
    <xf numFmtId="168" fontId="0" fillId="0" borderId="34" xfId="3" applyNumberFormat="1" applyFont="1" applyBorder="1" applyAlignment="1">
      <alignment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7" fillId="0" borderId="50" xfId="0" applyFont="1" applyFill="1" applyBorder="1" applyAlignment="1">
      <alignment horizontal="center" vertical="center"/>
    </xf>
    <xf numFmtId="1" fontId="21" fillId="3" borderId="50" xfId="0" applyNumberFormat="1" applyFont="1" applyFill="1" applyBorder="1" applyAlignment="1">
      <alignment horizontal="right" vertical="center"/>
    </xf>
    <xf numFmtId="0" fontId="7" fillId="0" borderId="1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169" fontId="7" fillId="0" borderId="33" xfId="0" applyNumberFormat="1" applyFont="1" applyFill="1" applyBorder="1" applyProtection="1">
      <alignment vertical="center"/>
      <protection locked="0"/>
    </xf>
    <xf numFmtId="169" fontId="7" fillId="0" borderId="33" xfId="0" applyNumberFormat="1" applyFont="1" applyFill="1" applyBorder="1">
      <alignment vertical="center"/>
    </xf>
    <xf numFmtId="169" fontId="0" fillId="0" borderId="33" xfId="0" applyNumberFormat="1" applyFill="1" applyBorder="1">
      <alignment vertical="center"/>
    </xf>
    <xf numFmtId="0" fontId="0" fillId="3" borderId="33" xfId="0" applyFill="1" applyBorder="1">
      <alignment vertical="center"/>
    </xf>
    <xf numFmtId="0" fontId="7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169" fontId="7" fillId="0" borderId="34" xfId="0" applyNumberFormat="1" applyFont="1" applyFill="1" applyBorder="1" applyProtection="1">
      <alignment vertical="center"/>
      <protection locked="0"/>
    </xf>
    <xf numFmtId="169" fontId="7" fillId="0" borderId="34" xfId="0" applyNumberFormat="1" applyFont="1" applyFill="1" applyBorder="1">
      <alignment vertical="center"/>
    </xf>
    <xf numFmtId="169" fontId="0" fillId="0" borderId="34" xfId="0" applyNumberFormat="1" applyFill="1" applyBorder="1">
      <alignment vertical="center"/>
    </xf>
    <xf numFmtId="0" fontId="0" fillId="3" borderId="34" xfId="0" applyFill="1" applyBorder="1">
      <alignment vertical="center"/>
    </xf>
    <xf numFmtId="169" fontId="7" fillId="0" borderId="34" xfId="0" applyNumberFormat="1" applyFont="1" applyFill="1" applyBorder="1" applyProtection="1">
      <alignment vertical="center"/>
    </xf>
    <xf numFmtId="169" fontId="7" fillId="3" borderId="34" xfId="0" applyNumberFormat="1" applyFont="1" applyFill="1" applyBorder="1">
      <alignment vertical="center"/>
    </xf>
    <xf numFmtId="169" fontId="0" fillId="3" borderId="34" xfId="0" applyNumberFormat="1" applyFill="1" applyBorder="1">
      <alignment vertical="center"/>
    </xf>
    <xf numFmtId="0" fontId="7" fillId="0" borderId="20" xfId="0" applyFont="1" applyFill="1" applyBorder="1" applyAlignment="1">
      <alignment horizontal="left"/>
    </xf>
    <xf numFmtId="0" fontId="7" fillId="0" borderId="22" xfId="0" applyFont="1" applyBorder="1">
      <alignment vertical="center"/>
    </xf>
    <xf numFmtId="169" fontId="7" fillId="3" borderId="34" xfId="0" applyNumberFormat="1" applyFont="1" applyFill="1" applyBorder="1" applyProtection="1">
      <alignment vertical="center"/>
      <protection locked="0"/>
    </xf>
    <xf numFmtId="164" fontId="0" fillId="0" borderId="34" xfId="3" applyNumberFormat="1" applyFont="1" applyBorder="1">
      <alignment vertical="center"/>
    </xf>
    <xf numFmtId="0" fontId="7" fillId="0" borderId="23" xfId="0" applyFont="1" applyFill="1" applyBorder="1" applyAlignment="1">
      <alignment horizontal="left"/>
    </xf>
    <xf numFmtId="0" fontId="7" fillId="0" borderId="25" xfId="0" applyFont="1" applyBorder="1">
      <alignment vertical="center"/>
    </xf>
    <xf numFmtId="0" fontId="7" fillId="0" borderId="50" xfId="0" applyFont="1" applyFill="1" applyBorder="1" applyProtection="1">
      <alignment vertical="center"/>
      <protection locked="0"/>
    </xf>
    <xf numFmtId="0" fontId="7" fillId="3" borderId="50" xfId="0" applyFont="1" applyFill="1" applyBorder="1">
      <alignment vertical="center"/>
    </xf>
    <xf numFmtId="0" fontId="0" fillId="3" borderId="50" xfId="0" applyFill="1" applyBorder="1">
      <alignment vertical="center"/>
    </xf>
    <xf numFmtId="0" fontId="7" fillId="0" borderId="50" xfId="0" applyFont="1" applyFill="1" applyBorder="1">
      <alignment vertical="center"/>
    </xf>
    <xf numFmtId="0" fontId="19" fillId="0" borderId="7" xfId="0" applyFont="1" applyFill="1" applyBorder="1" applyAlignment="1">
      <alignment horizontal="left"/>
    </xf>
    <xf numFmtId="0" fontId="0" fillId="0" borderId="29" xfId="0" applyBorder="1" applyAlignment="1">
      <alignment vertical="center" wrapText="1"/>
    </xf>
    <xf numFmtId="0" fontId="7" fillId="8" borderId="6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7" fillId="8" borderId="33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/>
    </xf>
    <xf numFmtId="168" fontId="21" fillId="2" borderId="34" xfId="3" applyNumberFormat="1" applyFont="1" applyFill="1" applyBorder="1" applyAlignment="1">
      <alignment horizontal="center"/>
    </xf>
    <xf numFmtId="168" fontId="21" fillId="8" borderId="34" xfId="3" applyNumberFormat="1" applyFont="1" applyFill="1" applyBorder="1" applyAlignment="1">
      <alignment horizontal="center"/>
    </xf>
    <xf numFmtId="0" fontId="7" fillId="0" borderId="34" xfId="0" applyFont="1" applyFill="1" applyBorder="1" applyAlignment="1">
      <alignment horizontal="left"/>
    </xf>
    <xf numFmtId="2" fontId="21" fillId="0" borderId="34" xfId="0" applyNumberFormat="1" applyFont="1" applyFill="1" applyBorder="1" applyAlignment="1">
      <alignment horizontal="center"/>
    </xf>
    <xf numFmtId="0" fontId="7" fillId="0" borderId="50" xfId="0" applyFont="1" applyFill="1" applyBorder="1" applyAlignment="1">
      <alignment horizontal="left"/>
    </xf>
    <xf numFmtId="0" fontId="7" fillId="8" borderId="20" xfId="0" applyFont="1" applyFill="1" applyBorder="1" applyAlignment="1">
      <alignment horizontal="left"/>
    </xf>
    <xf numFmtId="167" fontId="7" fillId="0" borderId="3" xfId="0" applyNumberFormat="1" applyFont="1" applyFill="1" applyBorder="1" applyAlignment="1">
      <alignment horizontal="center"/>
    </xf>
    <xf numFmtId="0" fontId="26" fillId="0" borderId="19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1" fontId="21" fillId="0" borderId="50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vertical="center"/>
    </xf>
    <xf numFmtId="0" fontId="7" fillId="0" borderId="33" xfId="0" applyFont="1" applyFill="1" applyBorder="1" applyProtection="1">
      <alignment vertical="center"/>
      <protection locked="0"/>
    </xf>
    <xf numFmtId="0" fontId="7" fillId="0" borderId="34" xfId="0" applyFont="1" applyFill="1" applyBorder="1" applyProtection="1">
      <alignment vertical="center"/>
      <protection locked="0"/>
    </xf>
    <xf numFmtId="0" fontId="7" fillId="0" borderId="34" xfId="0" applyFont="1" applyFill="1" applyBorder="1" applyProtection="1">
      <alignment vertical="center"/>
    </xf>
    <xf numFmtId="0" fontId="7" fillId="0" borderId="25" xfId="0" applyFont="1" applyBorder="1" applyAlignment="1">
      <alignment horizontal="left"/>
    </xf>
    <xf numFmtId="0" fontId="0" fillId="0" borderId="18" xfId="0" applyBorder="1">
      <alignment vertical="center"/>
    </xf>
    <xf numFmtId="0" fontId="7" fillId="0" borderId="21" xfId="0" applyFont="1" applyBorder="1" applyAlignment="1">
      <alignment horizontal="left"/>
    </xf>
    <xf numFmtId="0" fontId="7" fillId="0" borderId="21" xfId="0" applyFont="1" applyBorder="1" applyAlignment="1"/>
    <xf numFmtId="0" fontId="7" fillId="0" borderId="24" xfId="0" applyFont="1" applyBorder="1">
      <alignment vertical="center"/>
    </xf>
    <xf numFmtId="0" fontId="21" fillId="0" borderId="19" xfId="0" applyFont="1" applyFill="1" applyBorder="1" applyAlignment="1">
      <alignment horizontal="center"/>
    </xf>
    <xf numFmtId="0" fontId="7" fillId="8" borderId="24" xfId="0" applyFont="1" applyFill="1" applyBorder="1">
      <alignment vertical="center"/>
    </xf>
    <xf numFmtId="0" fontId="21" fillId="0" borderId="24" xfId="0" applyFont="1" applyFill="1" applyBorder="1" applyAlignment="1">
      <alignment horizontal="center"/>
    </xf>
    <xf numFmtId="2" fontId="21" fillId="3" borderId="34" xfId="0" applyNumberFormat="1" applyFont="1" applyFill="1" applyBorder="1" applyAlignment="1">
      <alignment horizontal="center"/>
    </xf>
    <xf numFmtId="0" fontId="7" fillId="3" borderId="50" xfId="0" applyFont="1" applyFill="1" applyBorder="1" applyAlignment="1">
      <alignment horizontal="center"/>
    </xf>
    <xf numFmtId="168" fontId="7" fillId="3" borderId="34" xfId="3" applyNumberFormat="1" applyFont="1" applyFill="1" applyBorder="1" applyAlignment="1">
      <alignment horizontal="center"/>
    </xf>
    <xf numFmtId="168" fontId="7" fillId="3" borderId="50" xfId="3" applyNumberFormat="1" applyFont="1" applyFill="1" applyBorder="1" applyAlignment="1">
      <alignment horizontal="center"/>
    </xf>
    <xf numFmtId="0" fontId="21" fillId="3" borderId="24" xfId="0" applyFont="1" applyFill="1" applyBorder="1" applyAlignment="1">
      <alignment horizontal="center"/>
    </xf>
    <xf numFmtId="0" fontId="23" fillId="0" borderId="26" xfId="0" quotePrefix="1" applyFont="1" applyBorder="1" applyAlignment="1">
      <alignment horizontal="center"/>
    </xf>
    <xf numFmtId="0" fontId="28" fillId="0" borderId="26" xfId="0" quotePrefix="1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169" fontId="7" fillId="3" borderId="34" xfId="0" applyNumberFormat="1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 vertical="top" wrapText="1"/>
    </xf>
    <xf numFmtId="0" fontId="7" fillId="3" borderId="34" xfId="0" applyFont="1" applyFill="1" applyBorder="1">
      <alignment vertical="center"/>
    </xf>
    <xf numFmtId="169" fontId="19" fillId="3" borderId="34" xfId="0" applyNumberFormat="1" applyFont="1" applyFill="1" applyBorder="1" applyAlignment="1">
      <alignment horizontal="center"/>
    </xf>
    <xf numFmtId="2" fontId="7" fillId="3" borderId="34" xfId="0" applyNumberFormat="1" applyFont="1" applyFill="1" applyBorder="1" applyAlignment="1">
      <alignment horizontal="center"/>
    </xf>
    <xf numFmtId="167" fontId="7" fillId="3" borderId="34" xfId="0" applyNumberFormat="1" applyFont="1" applyFill="1" applyBorder="1" applyAlignment="1">
      <alignment horizontal="center"/>
    </xf>
    <xf numFmtId="0" fontId="0" fillId="9" borderId="57" xfId="0" applyFill="1" applyBorder="1">
      <alignment vertical="center"/>
    </xf>
    <xf numFmtId="169" fontId="7" fillId="3" borderId="52" xfId="0" applyNumberFormat="1" applyFont="1" applyFill="1" applyBorder="1" applyAlignment="1">
      <alignment horizontal="center"/>
    </xf>
    <xf numFmtId="169" fontId="7" fillId="0" borderId="58" xfId="0" applyNumberFormat="1" applyFont="1" applyBorder="1" applyAlignment="1">
      <alignment horizontal="center"/>
    </xf>
    <xf numFmtId="167" fontId="0" fillId="0" borderId="26" xfId="0" applyNumberFormat="1" applyFill="1" applyBorder="1" applyAlignment="1">
      <alignment horizontal="center" vertical="center"/>
    </xf>
    <xf numFmtId="167" fontId="34" fillId="0" borderId="29" xfId="0" applyNumberFormat="1" applyFont="1" applyFill="1" applyBorder="1" applyAlignment="1">
      <alignment horizontal="center"/>
    </xf>
    <xf numFmtId="0" fontId="0" fillId="0" borderId="30" xfId="0" applyBorder="1">
      <alignment vertical="center"/>
    </xf>
    <xf numFmtId="167" fontId="0" fillId="0" borderId="29" xfId="0" applyNumberFormat="1" applyBorder="1">
      <alignment vertical="center"/>
    </xf>
    <xf numFmtId="167" fontId="0" fillId="12" borderId="29" xfId="0" applyNumberFormat="1" applyFill="1" applyBorder="1" applyAlignment="1">
      <alignment horizontal="center" vertical="center"/>
    </xf>
    <xf numFmtId="0" fontId="0" fillId="12" borderId="26" xfId="0" applyFill="1" applyBorder="1">
      <alignment vertical="center"/>
    </xf>
    <xf numFmtId="167" fontId="0" fillId="12" borderId="47" xfId="0" applyNumberFormat="1" applyFill="1" applyBorder="1">
      <alignment vertical="center"/>
    </xf>
    <xf numFmtId="167" fontId="0" fillId="12" borderId="49" xfId="0" applyNumberFormat="1" applyFill="1" applyBorder="1">
      <alignment vertical="center"/>
    </xf>
    <xf numFmtId="0" fontId="0" fillId="7" borderId="2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3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7" borderId="60" xfId="0" applyFill="1" applyBorder="1">
      <alignment vertical="center"/>
    </xf>
    <xf numFmtId="9" fontId="0" fillId="0" borderId="3" xfId="0" applyNumberFormat="1" applyFill="1" applyBorder="1">
      <alignment vertical="center"/>
    </xf>
    <xf numFmtId="0" fontId="17" fillId="0" borderId="0" xfId="0" applyFont="1" applyFill="1" applyBorder="1">
      <alignment vertical="center"/>
    </xf>
    <xf numFmtId="167" fontId="0" fillId="2" borderId="31" xfId="0" applyNumberFormat="1" applyFill="1" applyBorder="1" applyAlignment="1">
      <alignment horizontal="center" vertical="center"/>
    </xf>
    <xf numFmtId="9" fontId="7" fillId="0" borderId="22" xfId="0" applyNumberFormat="1" applyFont="1" applyBorder="1">
      <alignment vertical="center"/>
    </xf>
    <xf numFmtId="0" fontId="32" fillId="15" borderId="0" xfId="0" applyFont="1" applyFill="1">
      <alignment vertical="center"/>
    </xf>
    <xf numFmtId="0" fontId="0" fillId="15" borderId="0" xfId="0" applyFill="1">
      <alignment vertical="center"/>
    </xf>
    <xf numFmtId="0" fontId="19" fillId="15" borderId="0" xfId="0" applyFont="1" applyFill="1" applyBorder="1">
      <alignment vertical="center"/>
    </xf>
    <xf numFmtId="0" fontId="36" fillId="15" borderId="0" xfId="0" applyFont="1" applyFill="1" applyBorder="1">
      <alignment vertical="center"/>
    </xf>
    <xf numFmtId="1" fontId="26" fillId="15" borderId="0" xfId="0" applyNumberFormat="1" applyFont="1" applyFill="1" applyBorder="1">
      <alignment vertical="center"/>
    </xf>
    <xf numFmtId="0" fontId="27" fillId="15" borderId="0" xfId="0" applyFont="1" applyFill="1" applyBorder="1">
      <alignment vertical="center"/>
    </xf>
    <xf numFmtId="0" fontId="26" fillId="15" borderId="0" xfId="0" applyFont="1" applyFill="1">
      <alignment vertical="center"/>
    </xf>
    <xf numFmtId="0" fontId="0" fillId="15" borderId="0" xfId="0" applyFill="1" applyBorder="1">
      <alignment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168" fontId="7" fillId="0" borderId="40" xfId="3" applyNumberFormat="1" applyFont="1" applyFill="1" applyBorder="1" applyAlignment="1">
      <alignment horizontal="center" vertical="center"/>
    </xf>
    <xf numFmtId="0" fontId="37" fillId="0" borderId="0" xfId="12" applyFont="1">
      <alignment vertical="center"/>
    </xf>
    <xf numFmtId="169" fontId="7" fillId="0" borderId="0" xfId="12" applyNumberFormat="1" applyFont="1">
      <alignment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7" fillId="12" borderId="0" xfId="0" applyFont="1" applyFill="1" applyBorder="1">
      <alignment vertical="center"/>
    </xf>
    <xf numFmtId="0" fontId="0" fillId="12" borderId="0" xfId="0" applyFill="1" applyBorder="1">
      <alignment vertical="center"/>
    </xf>
    <xf numFmtId="0" fontId="7" fillId="12" borderId="0" xfId="0" applyFont="1" applyFill="1" applyBorder="1" applyAlignment="1">
      <alignment horizontal="center"/>
    </xf>
    <xf numFmtId="0" fontId="26" fillId="12" borderId="0" xfId="0" applyFont="1" applyFill="1" applyBorder="1">
      <alignment vertical="center"/>
    </xf>
    <xf numFmtId="0" fontId="7" fillId="12" borderId="0" xfId="0" applyFont="1" applyFill="1" applyBorder="1" applyAlignment="1">
      <alignment horizontal="center" vertical="center"/>
    </xf>
    <xf numFmtId="0" fontId="27" fillId="12" borderId="0" xfId="0" applyFont="1" applyFill="1">
      <alignment vertical="center"/>
    </xf>
    <xf numFmtId="0" fontId="7" fillId="12" borderId="0" xfId="12" applyFont="1" applyFill="1">
      <alignment vertical="center"/>
    </xf>
    <xf numFmtId="0" fontId="7" fillId="12" borderId="47" xfId="12" applyFont="1" applyFill="1" applyBorder="1">
      <alignment vertical="center"/>
    </xf>
    <xf numFmtId="0" fontId="7" fillId="12" borderId="28" xfId="12" applyFont="1" applyFill="1" applyBorder="1">
      <alignment vertical="center"/>
    </xf>
    <xf numFmtId="0" fontId="7" fillId="12" borderId="29" xfId="12" applyFont="1" applyFill="1" applyBorder="1">
      <alignment vertical="center"/>
    </xf>
    <xf numFmtId="0" fontId="7" fillId="12" borderId="48" xfId="12" applyFont="1" applyFill="1" applyBorder="1">
      <alignment vertical="center"/>
    </xf>
    <xf numFmtId="0" fontId="7" fillId="12" borderId="49" xfId="12" applyFont="1" applyFill="1" applyBorder="1">
      <alignment vertical="center"/>
    </xf>
    <xf numFmtId="0" fontId="7" fillId="12" borderId="0" xfId="12" applyFont="1" applyFill="1" applyBorder="1">
      <alignment vertical="center"/>
    </xf>
    <xf numFmtId="0" fontId="7" fillId="12" borderId="32" xfId="12" applyFont="1" applyFill="1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7" fillId="5" borderId="27" xfId="12" applyFont="1" applyFill="1" applyBorder="1">
      <alignment vertical="center"/>
    </xf>
    <xf numFmtId="0" fontId="7" fillId="5" borderId="28" xfId="12" applyFont="1" applyFill="1" applyBorder="1">
      <alignment vertical="center"/>
    </xf>
    <xf numFmtId="0" fontId="7" fillId="0" borderId="0" xfId="12" applyFont="1" applyFill="1">
      <alignment vertical="center"/>
    </xf>
    <xf numFmtId="0" fontId="10" fillId="0" borderId="0" xfId="11" applyFont="1" applyFill="1" applyBorder="1" applyAlignment="1">
      <alignment vertical="center"/>
    </xf>
    <xf numFmtId="0" fontId="7" fillId="5" borderId="28" xfId="12" applyFont="1" applyFill="1" applyBorder="1" applyAlignment="1">
      <alignment horizontal="center" vertical="center"/>
    </xf>
    <xf numFmtId="1" fontId="7" fillId="5" borderId="28" xfId="12" applyNumberFormat="1" applyFont="1" applyFill="1" applyBorder="1" applyAlignment="1">
      <alignment horizontal="center" vertical="center"/>
    </xf>
    <xf numFmtId="0" fontId="7" fillId="0" borderId="32" xfId="9" quotePrefix="1" applyFont="1" applyBorder="1" applyAlignment="1">
      <alignment horizontal="left" vertical="center"/>
    </xf>
    <xf numFmtId="0" fontId="7" fillId="0" borderId="31" xfId="9" quotePrefix="1" applyFont="1" applyBorder="1" applyAlignment="1">
      <alignment horizontal="left" vertical="center"/>
    </xf>
    <xf numFmtId="0" fontId="7" fillId="0" borderId="40" xfId="9" applyFont="1" applyBorder="1"/>
    <xf numFmtId="0" fontId="7" fillId="0" borderId="40" xfId="12" applyFont="1" applyBorder="1">
      <alignment vertical="center"/>
    </xf>
    <xf numFmtId="0" fontId="7" fillId="0" borderId="26" xfId="12" applyFont="1" applyBorder="1">
      <alignment vertical="center"/>
    </xf>
    <xf numFmtId="165" fontId="0" fillId="0" borderId="30" xfId="3" applyNumberFormat="1" applyFont="1" applyFill="1" applyBorder="1" applyAlignment="1">
      <alignment horizontal="center" vertical="center"/>
    </xf>
    <xf numFmtId="1" fontId="0" fillId="0" borderId="30" xfId="0" applyNumberFormat="1" applyFill="1" applyBorder="1" applyAlignment="1">
      <alignment horizontal="center" vertical="center"/>
    </xf>
    <xf numFmtId="0" fontId="38" fillId="0" borderId="0" xfId="12" applyFont="1">
      <alignment vertical="center"/>
    </xf>
    <xf numFmtId="165" fontId="0" fillId="0" borderId="30" xfId="3" applyNumberFormat="1" applyFont="1" applyBorder="1" applyAlignment="1">
      <alignment horizontal="center" vertical="center"/>
    </xf>
    <xf numFmtId="165" fontId="0" fillId="5" borderId="3" xfId="0" applyNumberFormat="1" applyFill="1" applyBorder="1">
      <alignment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right" vertical="center"/>
    </xf>
    <xf numFmtId="165" fontId="0" fillId="12" borderId="0" xfId="3" applyNumberFormat="1" applyFont="1" applyFill="1">
      <alignment vertical="center"/>
    </xf>
    <xf numFmtId="1" fontId="0" fillId="12" borderId="0" xfId="0" applyNumberFormat="1" applyFill="1">
      <alignment vertical="center"/>
    </xf>
    <xf numFmtId="1" fontId="0" fillId="12" borderId="30" xfId="0" applyNumberFormat="1" applyFill="1" applyBorder="1">
      <alignment vertical="center"/>
    </xf>
    <xf numFmtId="165" fontId="0" fillId="12" borderId="29" xfId="0" applyNumberFormat="1" applyFill="1" applyBorder="1">
      <alignment vertical="center"/>
    </xf>
    <xf numFmtId="1" fontId="0" fillId="12" borderId="29" xfId="0" applyNumberFormat="1" applyFill="1" applyBorder="1">
      <alignment vertical="center"/>
    </xf>
    <xf numFmtId="164" fontId="0" fillId="12" borderId="29" xfId="3" applyFont="1" applyFill="1" applyBorder="1">
      <alignment vertical="center"/>
    </xf>
    <xf numFmtId="165" fontId="0" fillId="12" borderId="30" xfId="3" applyNumberFormat="1" applyFont="1" applyFill="1" applyBorder="1">
      <alignment vertical="center"/>
    </xf>
    <xf numFmtId="0" fontId="39" fillId="0" borderId="0" xfId="12" applyFont="1">
      <alignment vertical="center"/>
    </xf>
    <xf numFmtId="0" fontId="7" fillId="2" borderId="3" xfId="9" applyFont="1" applyFill="1" applyBorder="1" applyAlignment="1">
      <alignment wrapText="1"/>
    </xf>
    <xf numFmtId="0" fontId="7" fillId="2" borderId="61" xfId="9" applyFont="1" applyFill="1" applyBorder="1" applyAlignment="1">
      <alignment wrapText="1"/>
    </xf>
    <xf numFmtId="0" fontId="7" fillId="2" borderId="1" xfId="9" applyFont="1" applyFill="1" applyBorder="1" applyAlignment="1">
      <alignment wrapText="1"/>
    </xf>
    <xf numFmtId="0" fontId="7" fillId="2" borderId="62" xfId="9" applyFont="1" applyFill="1" applyBorder="1"/>
    <xf numFmtId="0" fontId="7" fillId="2" borderId="63" xfId="9" quotePrefix="1" applyFont="1" applyFill="1" applyBorder="1" applyAlignment="1">
      <alignment horizontal="right" wrapText="1"/>
    </xf>
    <xf numFmtId="0" fontId="7" fillId="0" borderId="0" xfId="12" applyFont="1" applyAlignment="1">
      <alignment horizontal="right" vertical="center"/>
    </xf>
    <xf numFmtId="0" fontId="7" fillId="5" borderId="28" xfId="9" applyFont="1" applyFill="1" applyBorder="1" applyAlignment="1">
      <alignment horizontal="center" vertical="center"/>
    </xf>
    <xf numFmtId="14" fontId="7" fillId="5" borderId="28" xfId="9" applyNumberFormat="1" applyFont="1" applyFill="1" applyBorder="1" applyAlignment="1">
      <alignment vertical="center"/>
    </xf>
    <xf numFmtId="0" fontId="32" fillId="15" borderId="0" xfId="12" applyFont="1" applyFill="1">
      <alignment vertical="center"/>
    </xf>
    <xf numFmtId="0" fontId="7" fillId="3" borderId="0" xfId="12" applyFont="1" applyFill="1">
      <alignment vertical="center"/>
    </xf>
    <xf numFmtId="0" fontId="7" fillId="3" borderId="29" xfId="9" quotePrefix="1" applyFont="1" applyFill="1" applyBorder="1" applyAlignment="1">
      <alignment horizontal="left" vertical="center"/>
    </xf>
    <xf numFmtId="0" fontId="7" fillId="3" borderId="29" xfId="9" quotePrefix="1" applyFont="1" applyFill="1" applyBorder="1" applyAlignment="1">
      <alignment horizontal="left"/>
    </xf>
    <xf numFmtId="0" fontId="7" fillId="3" borderId="32" xfId="12" applyFont="1" applyFill="1" applyBorder="1">
      <alignment vertical="center"/>
    </xf>
    <xf numFmtId="0" fontId="7" fillId="3" borderId="29" xfId="12" applyFont="1" applyFill="1" applyBorder="1">
      <alignment vertical="center"/>
    </xf>
    <xf numFmtId="0" fontId="40" fillId="0" borderId="42" xfId="0" quotePrefix="1" applyFont="1" applyBorder="1" applyAlignment="1">
      <alignment horizontal="right" vertical="top"/>
    </xf>
    <xf numFmtId="1" fontId="43" fillId="0" borderId="0" xfId="0" applyNumberFormat="1" applyFont="1" applyFill="1" applyBorder="1" applyAlignment="1">
      <alignment horizontal="center"/>
    </xf>
    <xf numFmtId="0" fontId="43" fillId="0" borderId="0" xfId="0" quotePrefix="1" applyFont="1" applyFill="1" applyBorder="1" applyAlignment="1">
      <alignment horizontal="center"/>
    </xf>
    <xf numFmtId="0" fontId="7" fillId="0" borderId="0" xfId="12" applyFont="1" applyBorder="1">
      <alignment vertical="center"/>
    </xf>
    <xf numFmtId="1" fontId="29" fillId="0" borderId="0" xfId="0" applyNumberFormat="1" applyFont="1" applyFill="1" applyBorder="1" applyAlignment="1">
      <alignment horizontal="center"/>
    </xf>
    <xf numFmtId="0" fontId="36" fillId="0" borderId="0" xfId="12" applyFont="1" applyBorder="1">
      <alignment vertical="center"/>
    </xf>
    <xf numFmtId="0" fontId="29" fillId="0" borderId="0" xfId="0" quotePrefix="1" applyFont="1" applyFill="1" applyBorder="1" applyAlignment="1">
      <alignment horizontal="center"/>
    </xf>
    <xf numFmtId="0" fontId="44" fillId="0" borderId="0" xfId="0" applyFont="1" applyFill="1" applyBorder="1">
      <alignment vertical="center"/>
    </xf>
    <xf numFmtId="0" fontId="19" fillId="0" borderId="0" xfId="12" applyFont="1" applyBorder="1">
      <alignment vertical="center"/>
    </xf>
    <xf numFmtId="0" fontId="44" fillId="0" borderId="0" xfId="0" applyFont="1" applyFill="1" applyBorder="1" applyAlignment="1">
      <alignment horizontal="right" vertical="center"/>
    </xf>
    <xf numFmtId="0" fontId="29" fillId="3" borderId="0" xfId="0" applyFont="1" applyFill="1" applyBorder="1">
      <alignment vertical="center"/>
    </xf>
    <xf numFmtId="2" fontId="29" fillId="3" borderId="32" xfId="0" applyNumberFormat="1" applyFont="1" applyFill="1" applyBorder="1" applyAlignment="1">
      <alignment horizontal="center"/>
    </xf>
    <xf numFmtId="2" fontId="29" fillId="0" borderId="31" xfId="0" applyNumberFormat="1" applyFont="1" applyFill="1" applyBorder="1" applyAlignment="1">
      <alignment horizontal="center"/>
    </xf>
    <xf numFmtId="2" fontId="29" fillId="3" borderId="31" xfId="0" applyNumberFormat="1" applyFont="1" applyFill="1" applyBorder="1" applyAlignment="1">
      <alignment horizontal="center"/>
    </xf>
    <xf numFmtId="2" fontId="29" fillId="3" borderId="40" xfId="0" applyNumberFormat="1" applyFont="1" applyFill="1" applyBorder="1" applyAlignment="1">
      <alignment horizontal="center"/>
    </xf>
    <xf numFmtId="0" fontId="41" fillId="0" borderId="0" xfId="0" applyFont="1" applyFill="1" applyBorder="1">
      <alignment vertical="center"/>
    </xf>
    <xf numFmtId="0" fontId="42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/>
    </xf>
    <xf numFmtId="1" fontId="42" fillId="0" borderId="0" xfId="0" applyNumberFormat="1" applyFont="1" applyFill="1" applyBorder="1" applyAlignment="1">
      <alignment horizontal="center"/>
    </xf>
    <xf numFmtId="0" fontId="41" fillId="0" borderId="0" xfId="0" quotePrefix="1" applyFont="1" applyFill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21" fillId="0" borderId="34" xfId="0" applyFont="1" applyFill="1" applyBorder="1" applyAlignment="1">
      <alignment horizontal="left"/>
    </xf>
    <xf numFmtId="167" fontId="21" fillId="0" borderId="34" xfId="0" applyNumberFormat="1" applyFont="1" applyFill="1" applyBorder="1" applyAlignment="1">
      <alignment horizontal="left"/>
    </xf>
    <xf numFmtId="169" fontId="19" fillId="0" borderId="34" xfId="0" applyNumberFormat="1" applyFont="1" applyFill="1" applyBorder="1" applyAlignment="1">
      <alignment horizontal="center"/>
    </xf>
    <xf numFmtId="2" fontId="7" fillId="0" borderId="34" xfId="0" applyNumberFormat="1" applyFont="1" applyFill="1" applyBorder="1" applyAlignment="1">
      <alignment horizontal="center"/>
    </xf>
    <xf numFmtId="0" fontId="21" fillId="0" borderId="21" xfId="0" applyFont="1" applyFill="1" applyBorder="1" applyAlignment="1">
      <alignment horizontal="left"/>
    </xf>
    <xf numFmtId="168" fontId="7" fillId="0" borderId="34" xfId="3" applyNumberFormat="1" applyFont="1" applyFill="1" applyBorder="1" applyAlignment="1">
      <alignment horizontal="left"/>
    </xf>
    <xf numFmtId="168" fontId="7" fillId="0" borderId="50" xfId="3" applyNumberFormat="1" applyFont="1" applyFill="1" applyBorder="1" applyAlignment="1">
      <alignment horizontal="left"/>
    </xf>
    <xf numFmtId="169" fontId="7" fillId="0" borderId="52" xfId="0" applyNumberFormat="1" applyFont="1" applyFill="1" applyBorder="1" applyAlignment="1">
      <alignment horizontal="center"/>
    </xf>
    <xf numFmtId="168" fontId="7" fillId="0" borderId="30" xfId="3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" fontId="38" fillId="0" borderId="0" xfId="12" applyNumberFormat="1" applyFont="1" applyFill="1">
      <alignment vertical="center"/>
    </xf>
    <xf numFmtId="168" fontId="21" fillId="0" borderId="33" xfId="3" applyNumberFormat="1" applyFont="1" applyFill="1" applyBorder="1" applyAlignment="1">
      <alignment horizontal="center"/>
    </xf>
    <xf numFmtId="9" fontId="0" fillId="0" borderId="10" xfId="0" applyNumberFormat="1" applyFill="1" applyBorder="1">
      <alignment vertical="center"/>
    </xf>
    <xf numFmtId="0" fontId="39" fillId="13" borderId="0" xfId="0" applyFont="1" applyFill="1" applyAlignment="1">
      <alignment horizontal="right" vertical="center"/>
    </xf>
    <xf numFmtId="0" fontId="0" fillId="0" borderId="0" xfId="0" applyFont="1" applyBorder="1">
      <alignment vertical="center"/>
    </xf>
    <xf numFmtId="0" fontId="0" fillId="3" borderId="0" xfId="0" applyFont="1" applyFill="1" applyBorder="1">
      <alignment vertical="center"/>
    </xf>
    <xf numFmtId="0" fontId="0" fillId="16" borderId="59" xfId="0" applyFill="1" applyBorder="1">
      <alignment vertical="center"/>
    </xf>
    <xf numFmtId="0" fontId="0" fillId="16" borderId="46" xfId="0" applyFill="1" applyBorder="1">
      <alignment vertical="center"/>
    </xf>
    <xf numFmtId="0" fontId="19" fillId="0" borderId="0" xfId="0" applyFont="1">
      <alignment vertical="center"/>
    </xf>
    <xf numFmtId="0" fontId="0" fillId="0" borderId="0" xfId="12" applyFont="1">
      <alignment vertical="center"/>
    </xf>
    <xf numFmtId="0" fontId="0" fillId="3" borderId="0" xfId="12" applyFont="1" applyFill="1">
      <alignment vertical="center"/>
    </xf>
    <xf numFmtId="0" fontId="0" fillId="3" borderId="0" xfId="12" applyFont="1" applyFill="1" applyBorder="1">
      <alignment vertical="center"/>
    </xf>
    <xf numFmtId="0" fontId="0" fillId="5" borderId="28" xfId="12" applyFont="1" applyFill="1" applyBorder="1" applyAlignment="1">
      <alignment horizontal="center" vertical="center"/>
    </xf>
    <xf numFmtId="0" fontId="0" fillId="7" borderId="27" xfId="0" applyFont="1" applyFill="1" applyBorder="1">
      <alignment vertical="center"/>
    </xf>
    <xf numFmtId="1" fontId="0" fillId="0" borderId="0" xfId="0" applyNumberFormat="1">
      <alignment vertical="center"/>
    </xf>
    <xf numFmtId="0" fontId="0" fillId="0" borderId="6" xfId="0" applyFont="1" applyFill="1" applyBorder="1" applyAlignment="1">
      <alignment horizontal="left"/>
    </xf>
    <xf numFmtId="0" fontId="19" fillId="0" borderId="8" xfId="0" applyFont="1" applyFill="1" applyBorder="1" applyAlignment="1"/>
    <xf numFmtId="0" fontId="7" fillId="0" borderId="29" xfId="0" applyFont="1" applyFill="1" applyBorder="1" applyAlignment="1">
      <alignment wrapText="1"/>
    </xf>
    <xf numFmtId="0" fontId="26" fillId="0" borderId="29" xfId="0" applyFont="1" applyFill="1" applyBorder="1">
      <alignment vertical="center"/>
    </xf>
    <xf numFmtId="0" fontId="7" fillId="17" borderId="0" xfId="0" applyFont="1" applyFill="1" applyBorder="1" applyAlignment="1">
      <alignment horizontal="center"/>
    </xf>
    <xf numFmtId="0" fontId="26" fillId="17" borderId="0" xfId="0" applyFont="1" applyFill="1" applyBorder="1" applyAlignment="1">
      <alignment horizontal="center"/>
    </xf>
    <xf numFmtId="0" fontId="0" fillId="17" borderId="0" xfId="0" applyFill="1" applyBorder="1">
      <alignment vertical="center"/>
    </xf>
    <xf numFmtId="0" fontId="7" fillId="17" borderId="0" xfId="0" applyFont="1" applyFill="1" applyBorder="1">
      <alignment vertical="center"/>
    </xf>
    <xf numFmtId="0" fontId="26" fillId="17" borderId="0" xfId="0" applyFont="1" applyFill="1" applyBorder="1">
      <alignment vertical="center"/>
    </xf>
    <xf numFmtId="0" fontId="26" fillId="17" borderId="0" xfId="0" applyNumberFormat="1" applyFont="1" applyFill="1" applyBorder="1" applyAlignment="1">
      <alignment horizontal="center"/>
    </xf>
    <xf numFmtId="0" fontId="7" fillId="17" borderId="0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0" fontId="0" fillId="0" borderId="20" xfId="0" applyFont="1" applyBorder="1" applyAlignment="1"/>
    <xf numFmtId="0" fontId="7" fillId="17" borderId="34" xfId="0" applyFont="1" applyFill="1" applyBorder="1" applyProtection="1">
      <alignment vertical="center"/>
    </xf>
    <xf numFmtId="0" fontId="0" fillId="0" borderId="34" xfId="0" applyFont="1" applyBorder="1">
      <alignment vertical="center"/>
    </xf>
    <xf numFmtId="0" fontId="0" fillId="0" borderId="26" xfId="0" applyFont="1" applyBorder="1">
      <alignment vertical="center"/>
    </xf>
    <xf numFmtId="169" fontId="7" fillId="0" borderId="5" xfId="0" applyNumberFormat="1" applyFont="1" applyBorder="1" applyAlignment="1">
      <alignment horizontal="center"/>
    </xf>
    <xf numFmtId="0" fontId="0" fillId="9" borderId="0" xfId="0" applyFill="1" applyBorder="1">
      <alignment vertical="center"/>
    </xf>
    <xf numFmtId="0" fontId="39" fillId="0" borderId="0" xfId="12" applyFont="1" applyAlignment="1">
      <alignment horizontal="left" vertical="center"/>
    </xf>
    <xf numFmtId="0" fontId="0" fillId="18" borderId="0" xfId="0" applyFill="1">
      <alignment vertical="center"/>
    </xf>
    <xf numFmtId="0" fontId="0" fillId="17" borderId="0" xfId="0" applyFill="1">
      <alignment vertical="center"/>
    </xf>
    <xf numFmtId="0" fontId="0" fillId="19" borderId="36" xfId="0" applyFill="1" applyBorder="1">
      <alignment vertical="center"/>
    </xf>
    <xf numFmtId="0" fontId="0" fillId="19" borderId="37" xfId="0" applyFill="1" applyBorder="1">
      <alignment vertical="center"/>
    </xf>
    <xf numFmtId="0" fontId="0" fillId="17" borderId="0" xfId="0" applyFont="1" applyFill="1" applyBorder="1">
      <alignment vertical="center"/>
    </xf>
    <xf numFmtId="0" fontId="0" fillId="0" borderId="26" xfId="12" applyFont="1" applyBorder="1">
      <alignment vertical="center"/>
    </xf>
    <xf numFmtId="165" fontId="7" fillId="0" borderId="0" xfId="3" applyNumberFormat="1" applyFont="1" applyBorder="1">
      <alignment vertical="center"/>
    </xf>
    <xf numFmtId="0" fontId="7" fillId="7" borderId="4" xfId="12" applyFont="1" applyFill="1" applyBorder="1" applyAlignment="1">
      <alignment horizontal="center" vertical="center"/>
    </xf>
    <xf numFmtId="175" fontId="7" fillId="0" borderId="30" xfId="3" applyNumberFormat="1" applyFont="1" applyBorder="1" applyAlignment="1">
      <alignment horizontal="center" vertical="center"/>
    </xf>
    <xf numFmtId="0" fontId="7" fillId="7" borderId="9" xfId="12" applyFont="1" applyFill="1" applyBorder="1" applyAlignment="1">
      <alignment horizontal="center" vertical="center"/>
    </xf>
    <xf numFmtId="0" fontId="7" fillId="7" borderId="28" xfId="12" applyFont="1" applyFill="1" applyBorder="1" applyAlignment="1">
      <alignment horizontal="center" vertical="center"/>
    </xf>
    <xf numFmtId="0" fontId="7" fillId="5" borderId="29" xfId="12" applyFont="1" applyFill="1" applyBorder="1" applyAlignment="1">
      <alignment horizontal="center" vertical="center"/>
    </xf>
    <xf numFmtId="164" fontId="0" fillId="3" borderId="0" xfId="3" applyNumberFormat="1" applyFont="1" applyFill="1">
      <alignment vertical="center"/>
    </xf>
    <xf numFmtId="164" fontId="0" fillId="14" borderId="0" xfId="3" applyNumberFormat="1" applyFont="1" applyFill="1" applyBorder="1">
      <alignment vertical="center"/>
    </xf>
    <xf numFmtId="1" fontId="0" fillId="5" borderId="0" xfId="0" applyNumberFormat="1" applyFont="1" applyFill="1" applyBorder="1" applyAlignment="1">
      <alignment horizontal="center"/>
    </xf>
    <xf numFmtId="1" fontId="0" fillId="5" borderId="0" xfId="0" applyNumberFormat="1" applyFont="1" applyFill="1" applyBorder="1">
      <alignment vertical="center"/>
    </xf>
    <xf numFmtId="1" fontId="0" fillId="5" borderId="29" xfId="0" applyNumberFormat="1" applyFont="1" applyFill="1" applyBorder="1">
      <alignment vertical="center"/>
    </xf>
    <xf numFmtId="169" fontId="7" fillId="17" borderId="34" xfId="0" applyNumberFormat="1" applyFont="1" applyFill="1" applyBorder="1" applyAlignment="1">
      <alignment horizontal="center"/>
    </xf>
    <xf numFmtId="175" fontId="21" fillId="17" borderId="34" xfId="3" applyNumberFormat="1" applyFont="1" applyFill="1" applyBorder="1" applyAlignment="1">
      <alignment horizontal="center"/>
    </xf>
    <xf numFmtId="0" fontId="0" fillId="17" borderId="0" xfId="0" applyFill="1" applyBorder="1" applyAlignment="1">
      <alignment horizontal="center" vertical="center"/>
    </xf>
    <xf numFmtId="0" fontId="7" fillId="17" borderId="0" xfId="0" applyFont="1" applyFill="1" applyBorder="1" applyAlignment="1"/>
    <xf numFmtId="0" fontId="7" fillId="17" borderId="0" xfId="0" applyFont="1" applyFill="1" applyBorder="1" applyAlignment="1">
      <alignment horizontal="center" wrapText="1"/>
    </xf>
    <xf numFmtId="2" fontId="0" fillId="17" borderId="0" xfId="0" applyNumberFormat="1" applyFill="1" applyBorder="1" applyAlignment="1">
      <alignment horizontal="center" vertical="center"/>
    </xf>
    <xf numFmtId="0" fontId="7" fillId="17" borderId="0" xfId="0" applyNumberFormat="1" applyFont="1" applyFill="1" applyBorder="1" applyAlignment="1">
      <alignment horizontal="center"/>
    </xf>
    <xf numFmtId="168" fontId="0" fillId="17" borderId="0" xfId="3" applyNumberFormat="1" applyFont="1" applyFill="1" applyBorder="1" applyAlignment="1">
      <alignment horizontal="center" vertical="center"/>
    </xf>
    <xf numFmtId="0" fontId="19" fillId="17" borderId="0" xfId="0" applyFont="1" applyFill="1" applyBorder="1" applyAlignment="1">
      <alignment horizontal="center"/>
    </xf>
    <xf numFmtId="0" fontId="7" fillId="17" borderId="0" xfId="0" applyFont="1" applyFill="1" applyBorder="1" applyAlignment="1">
      <alignment horizontal="left" vertical="center"/>
    </xf>
    <xf numFmtId="167" fontId="0" fillId="17" borderId="0" xfId="0" applyNumberFormat="1" applyFill="1" applyBorder="1" applyAlignment="1">
      <alignment horizontal="center" vertical="center"/>
    </xf>
    <xf numFmtId="167" fontId="0" fillId="17" borderId="0" xfId="0" applyNumberFormat="1" applyFill="1" applyBorder="1">
      <alignment vertical="center"/>
    </xf>
    <xf numFmtId="0" fontId="19" fillId="17" borderId="0" xfId="0" applyFont="1" applyFill="1" applyBorder="1">
      <alignment vertical="center"/>
    </xf>
    <xf numFmtId="168" fontId="7" fillId="17" borderId="0" xfId="3" applyNumberFormat="1" applyFont="1" applyFill="1" applyBorder="1" applyAlignment="1">
      <alignment horizontal="center" vertical="center"/>
    </xf>
    <xf numFmtId="0" fontId="17" fillId="17" borderId="0" xfId="0" applyFont="1" applyFill="1" applyBorder="1">
      <alignment vertical="center"/>
    </xf>
    <xf numFmtId="0" fontId="7" fillId="17" borderId="0" xfId="0" applyFont="1" applyFill="1" applyBorder="1" applyAlignment="1">
      <alignment horizontal="left"/>
    </xf>
    <xf numFmtId="0" fontId="7" fillId="17" borderId="0" xfId="0" applyFont="1" applyFill="1" applyBorder="1" applyAlignment="1">
      <alignment wrapText="1"/>
    </xf>
    <xf numFmtId="167" fontId="7" fillId="17" borderId="0" xfId="0" applyNumberFormat="1" applyFont="1" applyFill="1" applyBorder="1" applyAlignment="1">
      <alignment horizontal="center"/>
    </xf>
    <xf numFmtId="0" fontId="32" fillId="17" borderId="0" xfId="0" applyFont="1" applyFill="1" applyBorder="1">
      <alignment vertical="center"/>
    </xf>
    <xf numFmtId="0" fontId="7" fillId="20" borderId="0" xfId="0" applyFont="1" applyFill="1" applyBorder="1">
      <alignment vertical="center"/>
    </xf>
    <xf numFmtId="0" fontId="0" fillId="20" borderId="0" xfId="0" applyFill="1" applyBorder="1">
      <alignment vertical="center"/>
    </xf>
    <xf numFmtId="0" fontId="7" fillId="20" borderId="0" xfId="0" applyNumberFormat="1" applyFont="1" applyFill="1" applyBorder="1" applyAlignment="1">
      <alignment horizontal="center"/>
    </xf>
    <xf numFmtId="0" fontId="45" fillId="20" borderId="0" xfId="0" applyFont="1" applyFill="1" applyBorder="1">
      <alignment vertical="center"/>
    </xf>
    <xf numFmtId="0" fontId="46" fillId="20" borderId="0" xfId="0" applyFont="1" applyFill="1" applyBorder="1">
      <alignment vertical="center"/>
    </xf>
    <xf numFmtId="0" fontId="46" fillId="17" borderId="0" xfId="0" applyFont="1" applyFill="1" applyBorder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31" fillId="17" borderId="0" xfId="0" applyFont="1" applyFill="1" applyBorder="1">
      <alignment vertical="center"/>
    </xf>
    <xf numFmtId="0" fontId="32" fillId="15" borderId="0" xfId="0" applyFont="1" applyFill="1" applyBorder="1">
      <alignment vertical="center"/>
    </xf>
    <xf numFmtId="0" fontId="31" fillId="15" borderId="0" xfId="0" applyFont="1" applyFill="1" applyBorder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21" borderId="29" xfId="12" applyFont="1" applyFill="1" applyBorder="1" applyAlignment="1">
      <alignment horizontal="center" vertical="center"/>
    </xf>
    <xf numFmtId="165" fontId="0" fillId="22" borderId="29" xfId="3" applyNumberFormat="1" applyFont="1" applyFill="1" applyBorder="1">
      <alignment vertical="center"/>
    </xf>
    <xf numFmtId="0" fontId="23" fillId="2" borderId="16" xfId="9" applyFont="1" applyFill="1" applyBorder="1" applyAlignment="1">
      <alignment horizontal="center" vertical="center"/>
    </xf>
    <xf numFmtId="1" fontId="0" fillId="22" borderId="29" xfId="0" applyNumberFormat="1" applyFill="1" applyBorder="1">
      <alignment vertical="center"/>
    </xf>
    <xf numFmtId="165" fontId="0" fillId="22" borderId="29" xfId="0" applyNumberFormat="1" applyFill="1" applyBorder="1">
      <alignment vertical="center"/>
    </xf>
    <xf numFmtId="165" fontId="0" fillId="17" borderId="30" xfId="3" applyNumberFormat="1" applyFont="1" applyFill="1" applyBorder="1" applyAlignment="1">
      <alignment horizontal="center" vertical="center"/>
    </xf>
    <xf numFmtId="168" fontId="0" fillId="0" borderId="30" xfId="3" applyNumberFormat="1" applyFont="1" applyBorder="1">
      <alignment vertical="center"/>
    </xf>
    <xf numFmtId="0" fontId="48" fillId="15" borderId="0" xfId="0" applyFont="1" applyFill="1" applyBorder="1">
      <alignment vertical="center"/>
    </xf>
    <xf numFmtId="0" fontId="49" fillId="15" borderId="0" xfId="0" applyFont="1" applyFill="1" applyBorder="1">
      <alignment vertical="center"/>
    </xf>
    <xf numFmtId="0" fontId="49" fillId="15" borderId="0" xfId="0" applyFont="1" applyFill="1">
      <alignment vertical="center"/>
    </xf>
    <xf numFmtId="0" fontId="48" fillId="15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ont="1" applyFill="1" applyAlignment="1">
      <alignment horizontal="right" vertical="center"/>
    </xf>
    <xf numFmtId="0" fontId="19" fillId="23" borderId="0" xfId="0" applyFont="1" applyFill="1">
      <alignment vertical="center"/>
    </xf>
    <xf numFmtId="0" fontId="0" fillId="23" borderId="0" xfId="0" applyFill="1">
      <alignment vertical="center"/>
    </xf>
    <xf numFmtId="0" fontId="0" fillId="23" borderId="29" xfId="0" applyFill="1" applyBorder="1">
      <alignment vertical="center"/>
    </xf>
    <xf numFmtId="165" fontId="0" fillId="23" borderId="29" xfId="3" applyNumberFormat="1" applyFont="1" applyFill="1" applyBorder="1">
      <alignment vertical="center"/>
    </xf>
    <xf numFmtId="1" fontId="0" fillId="23" borderId="29" xfId="0" applyNumberFormat="1" applyFill="1" applyBorder="1">
      <alignment vertical="center"/>
    </xf>
    <xf numFmtId="0" fontId="0" fillId="23" borderId="26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8" xfId="0" applyFill="1" applyBorder="1">
      <alignment vertical="center"/>
    </xf>
    <xf numFmtId="1" fontId="0" fillId="23" borderId="30" xfId="0" applyNumberFormat="1" applyFill="1" applyBorder="1">
      <alignment vertical="center"/>
    </xf>
    <xf numFmtId="14" fontId="0" fillId="3" borderId="0" xfId="12" applyNumberFormat="1" applyFont="1" applyFill="1">
      <alignment vertical="center"/>
    </xf>
    <xf numFmtId="1" fontId="50" fillId="15" borderId="0" xfId="0" applyNumberFormat="1" applyFont="1" applyFill="1">
      <alignment vertical="center"/>
    </xf>
    <xf numFmtId="0" fontId="50" fillId="15" borderId="0" xfId="0" applyFont="1" applyFill="1">
      <alignment vertical="center"/>
    </xf>
    <xf numFmtId="0" fontId="0" fillId="7" borderId="3" xfId="0" applyFont="1" applyFill="1" applyBorder="1">
      <alignment vertical="center"/>
    </xf>
    <xf numFmtId="9" fontId="0" fillId="0" borderId="28" xfId="0" applyNumberFormat="1" applyFont="1" applyBorder="1">
      <alignment vertical="center"/>
    </xf>
    <xf numFmtId="0" fontId="0" fillId="0" borderId="0" xfId="12" applyFont="1" applyAlignment="1">
      <alignment horizontal="right" vertical="center"/>
    </xf>
    <xf numFmtId="0" fontId="0" fillId="3" borderId="29" xfId="12" applyFont="1" applyFill="1" applyBorder="1">
      <alignment vertical="center"/>
    </xf>
    <xf numFmtId="0" fontId="0" fillId="17" borderId="30" xfId="0" applyFill="1" applyBorder="1">
      <alignment vertical="center"/>
    </xf>
    <xf numFmtId="0" fontId="19" fillId="17" borderId="0" xfId="0" applyFont="1" applyFill="1">
      <alignment vertical="center"/>
    </xf>
    <xf numFmtId="1" fontId="0" fillId="17" borderId="0" xfId="0" applyNumberFormat="1" applyFill="1">
      <alignment vertical="center"/>
    </xf>
    <xf numFmtId="0" fontId="0" fillId="17" borderId="29" xfId="0" applyFill="1" applyBorder="1">
      <alignment vertical="center"/>
    </xf>
    <xf numFmtId="168" fontId="0" fillId="17" borderId="0" xfId="3" applyNumberFormat="1" applyFont="1" applyFill="1" applyBorder="1">
      <alignment vertical="center"/>
    </xf>
    <xf numFmtId="0" fontId="0" fillId="17" borderId="32" xfId="0" applyFill="1" applyBorder="1">
      <alignment vertical="center"/>
    </xf>
    <xf numFmtId="0" fontId="0" fillId="16" borderId="35" xfId="0" applyFill="1" applyBorder="1" applyAlignment="1">
      <alignment horizontal="center" vertical="center"/>
    </xf>
    <xf numFmtId="0" fontId="0" fillId="16" borderId="36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3" borderId="0" xfId="12" quotePrefix="1" applyFont="1" applyFill="1">
      <alignment vertical="center"/>
    </xf>
    <xf numFmtId="165" fontId="7" fillId="3" borderId="7" xfId="3" applyNumberFormat="1" applyFont="1" applyFill="1" applyBorder="1" applyAlignment="1">
      <alignment horizontal="center"/>
    </xf>
    <xf numFmtId="0" fontId="53" fillId="0" borderId="0" xfId="12" applyFont="1">
      <alignment vertical="center"/>
    </xf>
    <xf numFmtId="0" fontId="0" fillId="16" borderId="36" xfId="0" applyFill="1" applyBorder="1">
      <alignment vertical="center"/>
    </xf>
    <xf numFmtId="0" fontId="0" fillId="16" borderId="37" xfId="0" applyFill="1" applyBorder="1">
      <alignment vertical="center"/>
    </xf>
    <xf numFmtId="0" fontId="0" fillId="16" borderId="38" xfId="0" applyFill="1" applyBorder="1">
      <alignment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/>
    </xf>
    <xf numFmtId="0" fontId="34" fillId="0" borderId="0" xfId="0" applyFont="1">
      <alignment vertical="center"/>
    </xf>
    <xf numFmtId="0" fontId="0" fillId="0" borderId="34" xfId="0" applyFont="1" applyFill="1" applyBorder="1">
      <alignment vertical="center"/>
    </xf>
    <xf numFmtId="0" fontId="0" fillId="3" borderId="32" xfId="12" applyFont="1" applyFill="1" applyBorder="1">
      <alignment vertical="center"/>
    </xf>
    <xf numFmtId="0" fontId="0" fillId="0" borderId="0" xfId="12" applyFont="1" applyAlignment="1">
      <alignment horizontal="center" vertical="center"/>
    </xf>
    <xf numFmtId="0" fontId="0" fillId="0" borderId="40" xfId="12" applyFont="1" applyBorder="1">
      <alignment vertical="center"/>
    </xf>
    <xf numFmtId="9" fontId="0" fillId="0" borderId="3" xfId="0" applyNumberFormat="1" applyFont="1" applyFill="1" applyBorder="1">
      <alignment vertical="center"/>
    </xf>
    <xf numFmtId="175" fontId="7" fillId="0" borderId="34" xfId="3" applyNumberFormat="1" applyFont="1" applyFill="1" applyBorder="1">
      <alignment vertical="center"/>
    </xf>
    <xf numFmtId="0" fontId="0" fillId="5" borderId="27" xfId="9" applyFont="1" applyFill="1" applyBorder="1" applyAlignment="1">
      <alignment horizontal="left" vertical="center"/>
    </xf>
    <xf numFmtId="0" fontId="0" fillId="5" borderId="27" xfId="9" quotePrefix="1" applyFont="1" applyFill="1" applyBorder="1" applyAlignment="1">
      <alignment horizontal="left" vertical="center"/>
    </xf>
    <xf numFmtId="0" fontId="54" fillId="5" borderId="18" xfId="0" applyFont="1" applyFill="1" applyBorder="1">
      <alignment vertical="center"/>
    </xf>
    <xf numFmtId="0" fontId="54" fillId="5" borderId="21" xfId="0" applyFont="1" applyFill="1" applyBorder="1">
      <alignment vertical="center"/>
    </xf>
    <xf numFmtId="169" fontId="54" fillId="0" borderId="34" xfId="0" applyNumberFormat="1" applyFont="1" applyBorder="1" applyAlignment="1">
      <alignment horizontal="center"/>
    </xf>
    <xf numFmtId="0" fontId="6" fillId="2" borderId="14" xfId="9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2" borderId="64" xfId="9" quotePrefix="1" applyFont="1" applyFill="1" applyBorder="1" applyAlignment="1">
      <alignment horizontal="center" vertical="center"/>
    </xf>
    <xf numFmtId="0" fontId="7" fillId="2" borderId="65" xfId="9" quotePrefix="1" applyFont="1" applyFill="1" applyBorder="1" applyAlignment="1">
      <alignment horizontal="center" vertical="center"/>
    </xf>
    <xf numFmtId="0" fontId="12" fillId="2" borderId="15" xfId="9" applyFont="1" applyFill="1" applyBorder="1" applyAlignment="1">
      <alignment horizontal="center" vertical="center" wrapText="1"/>
    </xf>
    <xf numFmtId="0" fontId="12" fillId="2" borderId="16" xfId="9" applyFont="1" applyFill="1" applyBorder="1" applyAlignment="1">
      <alignment horizontal="center" vertical="center" wrapText="1"/>
    </xf>
    <xf numFmtId="0" fontId="7" fillId="2" borderId="66" xfId="9" applyFont="1" applyFill="1" applyBorder="1" applyAlignment="1">
      <alignment horizontal="center" vertical="center"/>
    </xf>
    <xf numFmtId="0" fontId="7" fillId="2" borderId="67" xfId="9" applyFont="1" applyFill="1" applyBorder="1" applyAlignment="1">
      <alignment horizontal="center" vertical="center"/>
    </xf>
    <xf numFmtId="0" fontId="7" fillId="2" borderId="32" xfId="9" applyFont="1" applyFill="1" applyBorder="1" applyAlignment="1">
      <alignment horizontal="center" vertical="center"/>
    </xf>
    <xf numFmtId="0" fontId="7" fillId="2" borderId="40" xfId="9" applyFont="1" applyFill="1" applyBorder="1" applyAlignment="1">
      <alignment horizontal="center" vertical="center"/>
    </xf>
    <xf numFmtId="14" fontId="7" fillId="2" borderId="32" xfId="9" applyNumberFormat="1" applyFont="1" applyFill="1" applyBorder="1" applyAlignment="1">
      <alignment horizontal="center" vertical="center"/>
    </xf>
    <xf numFmtId="14" fontId="7" fillId="2" borderId="40" xfId="9" applyNumberFormat="1" applyFont="1" applyFill="1" applyBorder="1" applyAlignment="1">
      <alignment horizontal="center" vertical="center"/>
    </xf>
    <xf numFmtId="0" fontId="7" fillId="2" borderId="68" xfId="9" applyFont="1" applyFill="1" applyBorder="1" applyAlignment="1">
      <alignment horizontal="left" wrapText="1"/>
    </xf>
    <xf numFmtId="0" fontId="7" fillId="2" borderId="3" xfId="9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19" fillId="0" borderId="2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19" fillId="0" borderId="26" xfId="0" applyFont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28" xfId="0" applyFont="1" applyBorder="1" applyAlignment="1">
      <alignment horizontal="left"/>
    </xf>
    <xf numFmtId="0" fontId="19" fillId="8" borderId="26" xfId="0" applyFont="1" applyFill="1" applyBorder="1" applyAlignment="1">
      <alignment horizontal="left"/>
    </xf>
    <xf numFmtId="0" fontId="19" fillId="8" borderId="27" xfId="0" applyFont="1" applyFill="1" applyBorder="1" applyAlignment="1">
      <alignment horizontal="left"/>
    </xf>
    <xf numFmtId="0" fontId="19" fillId="8" borderId="28" xfId="0" applyFont="1" applyFill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1">
    <cellStyle name="Ausgabe" xfId="1"/>
    <cellStyle name="Bruch_einf" xfId="2"/>
    <cellStyle name="Comma" xfId="3" builtinId="3"/>
    <cellStyle name="Datum" xfId="4"/>
    <cellStyle name="Eingabe" xfId="5"/>
    <cellStyle name="Griechisch" xfId="6"/>
    <cellStyle name="Grün" xfId="7"/>
    <cellStyle name="Hellgrau" xfId="8"/>
    <cellStyle name="Normal" xfId="0" builtinId="0"/>
    <cellStyle name="Normal_AAC assessment Rev3" xfId="9"/>
    <cellStyle name="Normal_Kiln Radiation &amp; Convection" xfId="10"/>
    <cellStyle name="Normal_MixFlow_Rev3" xfId="11"/>
    <cellStyle name="Normal_Sheet" xfId="12"/>
    <cellStyle name="Percent" xfId="13" builtinId="5"/>
    <cellStyle name="Science" xfId="14"/>
    <cellStyle name="Standard_Tabelle2" xfId="15"/>
    <cellStyle name="Titel" xfId="16"/>
    <cellStyle name="Uhrzeit" xfId="17"/>
    <cellStyle name="Untertitel" xfId="18"/>
    <cellStyle name="Wissensch" xfId="19"/>
    <cellStyle name="Zeit" xfId="20"/>
  </cellStyles>
  <dxfs count="40"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color theme="0" tint="-0.24994659260841701"/>
      </font>
      <fill>
        <patternFill>
          <bgColor theme="0"/>
        </patternFill>
      </fill>
    </dxf>
    <dxf>
      <font>
        <condense val="0"/>
        <extend val="0"/>
        <color indexed="2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ill>
        <patternFill>
          <bgColor indexed="10"/>
        </patternFill>
      </fill>
      <border>
        <left/>
        <right/>
        <top/>
        <bottom/>
      </border>
    </dxf>
    <dxf>
      <font>
        <b val="0"/>
        <i val="0"/>
        <condense val="0"/>
        <extend val="0"/>
        <color indexed="22"/>
      </font>
    </dxf>
    <dxf>
      <font>
        <color theme="0" tint="-0.14996795556505021"/>
      </font>
    </dxf>
    <dxf>
      <font>
        <color theme="0" tint="-0.24994659260841701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color theme="0" tint="-0.24994659260841701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color theme="0" tint="-0.24994659260841701"/>
      </font>
    </dxf>
    <dxf>
      <font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indexed="10"/>
      </font>
    </dxf>
    <dxf>
      <fill>
        <patternFill>
          <bgColor rgb="FFFF000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99"/>
      <color rgb="FF339966"/>
      <color rgb="FF339933"/>
      <color rgb="FF006600"/>
      <color rgb="FF008000"/>
      <color rgb="FF009900"/>
      <color rgb="FFCCFFCC"/>
      <color rgb="FF00CC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poly"/>
            <c:order val="2"/>
            <c:backward val="0.2"/>
            <c:dispRSqr val="0"/>
            <c:dispEq val="0"/>
          </c:trendline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FF"/>
                </a:solidFill>
                <a:prstDash val="solid"/>
              </a:ln>
            </c:spPr>
            <c:trendlineType val="poly"/>
            <c:order val="2"/>
            <c:backward val="0.1"/>
            <c:dispRSqr val="0"/>
            <c:dispEq val="0"/>
          </c:trendline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none"/>
          </c:marker>
          <c:x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General!#REF!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1296"/>
        <c:axId val="90872832"/>
      </c:scatterChart>
      <c:valAx>
        <c:axId val="908712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90872832"/>
        <c:crosses val="autoZero"/>
        <c:crossBetween val="midCat"/>
      </c:valAx>
      <c:valAx>
        <c:axId val="908728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90871296"/>
        <c:crosses val="autoZero"/>
        <c:crossBetween val="midCat"/>
      </c:valAx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 paperSize="9"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574499458263562E-2"/>
          <c:y val="5.0827978660172773E-2"/>
          <c:w val="0.86518402097940339"/>
          <c:h val="0.82900529311966575"/>
        </c:manualLayout>
      </c:layout>
      <c:lineChart>
        <c:grouping val="standard"/>
        <c:varyColors val="0"/>
        <c:ser>
          <c:idx val="0"/>
          <c:order val="0"/>
          <c:tx>
            <c:v>ILC A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Evaluation!$A$21:$B$32</c:f>
              <c:strCache>
                <c:ptCount val="12"/>
                <c:pt idx="1">
                  <c:v>ID fan inlet</c:v>
                </c:pt>
                <c:pt idx="2">
                  <c:v>Tower exit</c:v>
                </c:pt>
                <c:pt idx="4">
                  <c:v>Cyclone 1</c:v>
                </c:pt>
                <c:pt idx="5">
                  <c:v>Cyclone 2</c:v>
                </c:pt>
                <c:pt idx="6">
                  <c:v>Cyclone 3</c:v>
                </c:pt>
                <c:pt idx="7">
                  <c:v>Cyclone 4</c:v>
                </c:pt>
                <c:pt idx="8">
                  <c:v>Cyclone 5</c:v>
                </c:pt>
                <c:pt idx="9">
                  <c:v>Kiln inlet</c:v>
                </c:pt>
                <c:pt idx="10">
                  <c:v>Kiln</c:v>
                </c:pt>
                <c:pt idx="11">
                  <c:v>Tertiary air</c:v>
                </c:pt>
              </c:strCache>
            </c:strRef>
          </c:cat>
          <c:val>
            <c:numRef>
              <c:f>Evaluation!$C$22:$C$32</c:f>
              <c:numCache>
                <c:formatCode>#,##0_ ;\-#,##0\ </c:formatCode>
                <c:ptCount val="11"/>
                <c:pt idx="0">
                  <c:v>0</c:v>
                </c:pt>
                <c:pt idx="1">
                  <c:v>340</c:v>
                </c:pt>
                <c:pt idx="2">
                  <c:v>0</c:v>
                </c:pt>
                <c:pt idx="3">
                  <c:v>340</c:v>
                </c:pt>
                <c:pt idx="4">
                  <c:v>529</c:v>
                </c:pt>
                <c:pt idx="5">
                  <c:v>650</c:v>
                </c:pt>
                <c:pt idx="6">
                  <c:v>795</c:v>
                </c:pt>
                <c:pt idx="7">
                  <c:v>870</c:v>
                </c:pt>
                <c:pt idx="8">
                  <c:v>1200</c:v>
                </c:pt>
                <c:pt idx="9">
                  <c:v>1200</c:v>
                </c:pt>
                <c:pt idx="10" formatCode="General">
                  <c:v>910</c:v>
                </c:pt>
              </c:numCache>
            </c:numRef>
          </c:val>
          <c:smooth val="0"/>
        </c:ser>
        <c:ser>
          <c:idx val="1"/>
          <c:order val="1"/>
          <c:tx>
            <c:v>ILC B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Evaluation!$C$62:$C$72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SLC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Evaluation!$C$99:$C$107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v>upper range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Evaluation!$T$22:$T$32</c:f>
            </c:numRef>
          </c:val>
          <c:smooth val="0"/>
        </c:ser>
        <c:ser>
          <c:idx val="3"/>
          <c:order val="4"/>
          <c:tx>
            <c:v>Lower range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Evaluation!$S$22:$S$32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71232"/>
        <c:axId val="98272768"/>
      </c:lineChart>
      <c:catAx>
        <c:axId val="982712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8272768"/>
        <c:crosses val="autoZero"/>
        <c:auto val="1"/>
        <c:lblAlgn val="ctr"/>
        <c:lblOffset val="100"/>
        <c:noMultiLvlLbl val="0"/>
      </c:catAx>
      <c:valAx>
        <c:axId val="98272768"/>
        <c:scaling>
          <c:orientation val="minMax"/>
          <c:max val="1200"/>
          <c:min val="300"/>
        </c:scaling>
        <c:delete val="0"/>
        <c:axPos val="l"/>
        <c:majorGridlines/>
        <c:numFmt formatCode="#,##0_ ;\-#,##0\ " sourceLinked="1"/>
        <c:majorTickMark val="out"/>
        <c:minorTickMark val="none"/>
        <c:tickLblPos val="nextTo"/>
        <c:crossAx val="9827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252098631289324"/>
          <c:y val="5.0025138351097287E-2"/>
          <c:w val="0.22072241126923753"/>
          <c:h val="9.237169752712039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579144462914964E-2"/>
          <c:y val="5.4613094949909659E-2"/>
          <c:w val="0.89411368360992982"/>
          <c:h val="0.8114435419717182"/>
        </c:manualLayout>
      </c:layout>
      <c:barChart>
        <c:barDir val="col"/>
        <c:grouping val="clustered"/>
        <c:varyColors val="0"/>
        <c:ser>
          <c:idx val="1"/>
          <c:order val="1"/>
          <c:tx>
            <c:v>dP ILC A</c:v>
          </c:tx>
          <c:invertIfNegative val="0"/>
          <c:cat>
            <c:strRef>
              <c:f>Evaluation!$F$24:$F$29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Evaluation!$H$24:$H$29</c:f>
              <c:numCache>
                <c:formatCode>General</c:formatCode>
                <c:ptCount val="6"/>
                <c:pt idx="0">
                  <c:v>0</c:v>
                </c:pt>
                <c:pt idx="1">
                  <c:v>14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14</c:v>
                </c:pt>
              </c:numCache>
            </c:numRef>
          </c:val>
        </c:ser>
        <c:ser>
          <c:idx val="3"/>
          <c:order val="3"/>
          <c:tx>
            <c:v>dP ILC B</c:v>
          </c:tx>
          <c:invertIfNegative val="0"/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Evaluation!$H$64:$H$69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v>dP SLC</c:v>
          </c:tx>
          <c:spPr>
            <a:solidFill>
              <a:schemeClr val="accent5"/>
            </a:solidFill>
            <a:ln>
              <a:noFill/>
            </a:ln>
          </c:spPr>
          <c:invertIfNegative val="0"/>
          <c:val>
            <c:numRef>
              <c:f>Evaluation!$H$101:$H$106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326400"/>
        <c:axId val="99483648"/>
      </c:barChart>
      <c:lineChart>
        <c:grouping val="standard"/>
        <c:varyColors val="0"/>
        <c:ser>
          <c:idx val="0"/>
          <c:order val="0"/>
          <c:tx>
            <c:v>ILC A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Evaluation!$G$24:$G$29</c:f>
              <c:numCache>
                <c:formatCode>General</c:formatCode>
                <c:ptCount val="6"/>
                <c:pt idx="0">
                  <c:v>0</c:v>
                </c:pt>
                <c:pt idx="1">
                  <c:v>-59</c:v>
                </c:pt>
                <c:pt idx="2">
                  <c:v>-45</c:v>
                </c:pt>
                <c:pt idx="3">
                  <c:v>-38</c:v>
                </c:pt>
                <c:pt idx="4">
                  <c:v>-29</c:v>
                </c:pt>
                <c:pt idx="5">
                  <c:v>-21</c:v>
                </c:pt>
              </c:numCache>
            </c:numRef>
          </c:val>
          <c:smooth val="0"/>
        </c:ser>
        <c:ser>
          <c:idx val="2"/>
          <c:order val="2"/>
          <c:tx>
            <c:v>ILC B</c:v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Evaluation!$F$64:$F$69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Evaluation!$G$64:$G$69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SLC</c:v>
          </c:tx>
          <c:spPr>
            <a:ln>
              <a:solidFill>
                <a:schemeClr val="accent5"/>
              </a:solidFill>
            </a:ln>
          </c:spPr>
          <c:marker>
            <c:spPr>
              <a:ln>
                <a:solidFill>
                  <a:schemeClr val="accent5"/>
                </a:solidFill>
              </a:ln>
            </c:spPr>
          </c:marker>
          <c:val>
            <c:numRef>
              <c:f>Evaluation!$G$101:$G$106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26400"/>
        <c:axId val="99483648"/>
      </c:lineChart>
      <c:catAx>
        <c:axId val="98326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de-DE"/>
          </a:p>
        </c:txPr>
        <c:crossAx val="99483648"/>
        <c:crosses val="autoZero"/>
        <c:auto val="1"/>
        <c:lblAlgn val="ctr"/>
        <c:lblOffset val="100"/>
        <c:noMultiLvlLbl val="0"/>
      </c:catAx>
      <c:valAx>
        <c:axId val="99483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and delta P [mbar]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32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411717877258853"/>
          <c:y val="6.0388714457098723E-2"/>
          <c:w val="0.36315928454456359"/>
          <c:h val="0.159985449387937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27859544784836E-2"/>
          <c:y val="5.1400554097404488E-2"/>
          <c:w val="0.89427048541589937"/>
          <c:h val="0.62314538319125856"/>
        </c:manualLayout>
      </c:layout>
      <c:barChart>
        <c:barDir val="col"/>
        <c:grouping val="stacked"/>
        <c:varyColors val="0"/>
        <c:ser>
          <c:idx val="8"/>
          <c:order val="2"/>
          <c:tx>
            <c:v>ILC A</c:v>
          </c:tx>
          <c:spPr>
            <a:solidFill>
              <a:schemeClr val="accent2"/>
            </a:solidFill>
          </c:spPr>
          <c:invertIfNegative val="0"/>
          <c:cat>
            <c:strRef>
              <c:f>Evaluation!$K$22:$K$31</c:f>
              <c:strCache>
                <c:ptCount val="10"/>
                <c:pt idx="0">
                  <c:v>ID fan inlet</c:v>
                </c:pt>
                <c:pt idx="1">
                  <c:v>Tower exit</c:v>
                </c:pt>
                <c:pt idx="3">
                  <c:v>Cyclone 1</c:v>
                </c:pt>
                <c:pt idx="4">
                  <c:v>Cyclone 2</c:v>
                </c:pt>
                <c:pt idx="5">
                  <c:v>Cyclone 3</c:v>
                </c:pt>
                <c:pt idx="6">
                  <c:v>Cyclone 4</c:v>
                </c:pt>
                <c:pt idx="7">
                  <c:v>Cyclone 5</c:v>
                </c:pt>
                <c:pt idx="8">
                  <c:v>Kiln inlet</c:v>
                </c:pt>
                <c:pt idx="9">
                  <c:v>Kiln</c:v>
                </c:pt>
              </c:strCache>
            </c:strRef>
          </c:cat>
          <c:val>
            <c:numRef>
              <c:f>Evaluation!$L$22:$L$31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2.8</c:v>
                </c:pt>
                <c:pt idx="5">
                  <c:v>2.6</c:v>
                </c:pt>
                <c:pt idx="6">
                  <c:v>2.4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9"/>
          <c:order val="3"/>
          <c:tx>
            <c:v>ILC B</c:v>
          </c:tx>
          <c:spPr>
            <a:solidFill>
              <a:schemeClr val="accent4"/>
            </a:solidFill>
          </c:spPr>
          <c:invertIfNegative val="0"/>
          <c:val>
            <c:numRef>
              <c:f>Evaluation!$L$62:$L$69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0"/>
          <c:order val="4"/>
          <c:tx>
            <c:v>SLC</c:v>
          </c:tx>
          <c:spPr>
            <a:solidFill>
              <a:schemeClr val="accent5"/>
            </a:solidFill>
          </c:spPr>
          <c:invertIfNegative val="0"/>
          <c:val>
            <c:numRef>
              <c:f>Evaluation!$L$99:$L$108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0"/>
          <c:spPr>
            <a:noFill/>
            <a:ln w="28575">
              <a:noFill/>
            </a:ln>
          </c:spPr>
          <c:invertIfNegative val="0"/>
          <c:val>
            <c:numRef>
              <c:f>Evaluation!$W$112:$W$117</c:f>
            </c:numRef>
          </c:val>
        </c:ser>
        <c:ser>
          <c:idx val="7"/>
          <c:order val="1"/>
          <c:spPr>
            <a:solidFill>
              <a:srgbClr val="CCFFCC"/>
            </a:solidFill>
            <a:ln w="28575">
              <a:solidFill>
                <a:schemeClr val="bg1"/>
              </a:solidFill>
            </a:ln>
          </c:spPr>
          <c:invertIfNegative val="0"/>
          <c:val>
            <c:numRef>
              <c:f>Evaluation!$X$112:$X$117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515392"/>
        <c:axId val="99521280"/>
      </c:barChart>
      <c:catAx>
        <c:axId val="995153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9521280"/>
        <c:crosses val="autoZero"/>
        <c:auto val="1"/>
        <c:lblAlgn val="ctr"/>
        <c:lblOffset val="100"/>
        <c:noMultiLvlLbl val="0"/>
      </c:catAx>
      <c:valAx>
        <c:axId val="9952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Oyxgen [%]</a:t>
                </a:r>
              </a:p>
            </c:rich>
          </c:tx>
          <c:layout>
            <c:manualLayout>
              <c:xMode val="edge"/>
              <c:yMode val="edge"/>
              <c:x val="1.4017293665983871E-2"/>
              <c:y val="0.3177333041703120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951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66219941616047"/>
          <c:y val="6.8368875535643789E-2"/>
          <c:w val="0.16756201726080816"/>
          <c:h val="7.452628214550013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928301229842816"/>
          <c:y val="5.1400554097404488E-2"/>
          <c:w val="0.7089305644213344"/>
          <c:h val="0.88331000291630213"/>
        </c:manualLayout>
      </c:layout>
      <c:barChart>
        <c:barDir val="col"/>
        <c:grouping val="clustered"/>
        <c:varyColors val="0"/>
        <c:ser>
          <c:idx val="0"/>
          <c:order val="0"/>
          <c:tx>
            <c:v>ILC A</c:v>
          </c:tx>
          <c:spPr>
            <a:solidFill>
              <a:schemeClr val="accent2"/>
            </a:solidFill>
          </c:spPr>
          <c:invertIfNegative val="0"/>
          <c:cat>
            <c:strRef>
              <c:f>Evaluation!$K$38:$K$43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Cyclone 5</c:v>
                </c:pt>
              </c:strCache>
            </c:strRef>
          </c:cat>
          <c:val>
            <c:numRef>
              <c:f>Evaluation!$N$38:$N$43</c:f>
              <c:numCache>
                <c:formatCode>0.0</c:formatCode>
                <c:ptCount val="6"/>
                <c:pt idx="0">
                  <c:v>0</c:v>
                </c:pt>
                <c:pt idx="1">
                  <c:v>18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</c:ser>
        <c:ser>
          <c:idx val="1"/>
          <c:order val="1"/>
          <c:tx>
            <c:v>ILC B</c:v>
          </c:tx>
          <c:spPr>
            <a:solidFill>
              <a:schemeClr val="accent4"/>
            </a:solidFill>
          </c:spPr>
          <c:invertIfNegative val="0"/>
          <c:val>
            <c:numRef>
              <c:f>Evaluation!$N$75:$N$80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v>SLC</c:v>
          </c:tx>
          <c:spPr>
            <a:solidFill>
              <a:schemeClr val="accent5"/>
            </a:solidFill>
          </c:spPr>
          <c:invertIfNegative val="0"/>
          <c:val>
            <c:numRef>
              <c:f>Evaluation!$N$113:$N$118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23296"/>
        <c:axId val="99624832"/>
      </c:barChart>
      <c:catAx>
        <c:axId val="996232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99624832"/>
        <c:crosses val="autoZero"/>
        <c:auto val="1"/>
        <c:lblAlgn val="ctr"/>
        <c:lblOffset val="100"/>
        <c:noMultiLvlLbl val="0"/>
      </c:catAx>
      <c:valAx>
        <c:axId val="99624832"/>
        <c:scaling>
          <c:orientation val="minMax"/>
          <c:max val="100"/>
          <c:min val="-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delta Temperature [°C]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9623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978260136115376"/>
          <c:y val="0.93923884514435696"/>
          <c:w val="0.58738186396829106"/>
          <c:h val="5.670713035870516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427859544784836E-2"/>
          <c:y val="5.1400554097404488E-2"/>
          <c:w val="0.72904220213082938"/>
          <c:h val="0.8326195683872849"/>
        </c:manualLayout>
      </c:layout>
      <c:barChart>
        <c:barDir val="col"/>
        <c:grouping val="stacked"/>
        <c:varyColors val="0"/>
        <c:ser>
          <c:idx val="6"/>
          <c:order val="6"/>
          <c:spPr>
            <a:noFill/>
            <a:ln w="28575">
              <a:noFill/>
            </a:ln>
          </c:spPr>
          <c:invertIfNegative val="0"/>
          <c:val>
            <c:numRef>
              <c:f>Evaluation!$W$112:$W$117</c:f>
            </c:numRef>
          </c:val>
        </c:ser>
        <c:ser>
          <c:idx val="7"/>
          <c:order val="7"/>
          <c:spPr>
            <a:solidFill>
              <a:srgbClr val="CCFFCC"/>
            </a:solidFill>
            <a:ln w="28575">
              <a:solidFill>
                <a:schemeClr val="bg1"/>
              </a:solidFill>
            </a:ln>
          </c:spPr>
          <c:invertIfNegative val="0"/>
          <c:val>
            <c:numRef>
              <c:f>Evaluation!$X$112:$X$117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71424"/>
        <c:axId val="99673600"/>
      </c:barChart>
      <c:lineChart>
        <c:grouping val="standard"/>
        <c:varyColors val="0"/>
        <c:ser>
          <c:idx val="1"/>
          <c:order val="0"/>
          <c:tx>
            <c:v>Riser duct ILC A</c:v>
          </c:tx>
          <c:spPr>
            <a:ln>
              <a:noFill/>
            </a:ln>
          </c:spP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Evaluation!$C$38:$C$43</c:f>
              <c:numCache>
                <c:formatCode>0.0</c:formatCode>
                <c:ptCount val="6"/>
                <c:pt idx="0">
                  <c:v>0</c:v>
                </c:pt>
                <c:pt idx="1">
                  <c:v>22.612275375890928</c:v>
                </c:pt>
                <c:pt idx="2">
                  <c:v>19.97669873952934</c:v>
                </c:pt>
                <c:pt idx="3">
                  <c:v>17.910636986985111</c:v>
                </c:pt>
                <c:pt idx="4">
                  <c:v>18.638094493807611</c:v>
                </c:pt>
                <c:pt idx="5">
                  <c:v>18.638094493807611</c:v>
                </c:pt>
              </c:numCache>
            </c:numRef>
          </c:val>
          <c:smooth val="0"/>
        </c:ser>
        <c:ser>
          <c:idx val="0"/>
          <c:order val="1"/>
          <c:tx>
            <c:v>Dip tube ILC A</c:v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Evaluation!$H$38:$H$43</c:f>
              <c:numCache>
                <c:formatCode>0.0</c:formatCode>
                <c:ptCount val="6"/>
                <c:pt idx="0">
                  <c:v>0</c:v>
                </c:pt>
                <c:pt idx="1">
                  <c:v>12.228337112276702</c:v>
                </c:pt>
                <c:pt idx="2">
                  <c:v>12.047330897456977</c:v>
                </c:pt>
                <c:pt idx="3">
                  <c:v>11.782736357344152</c:v>
                </c:pt>
                <c:pt idx="4">
                  <c:v>13.370218868236439</c:v>
                </c:pt>
                <c:pt idx="5">
                  <c:v>13.913262987249407</c:v>
                </c:pt>
              </c:numCache>
            </c:numRef>
          </c:val>
          <c:smooth val="0"/>
        </c:ser>
        <c:ser>
          <c:idx val="2"/>
          <c:order val="2"/>
          <c:tx>
            <c:v>Riser Duct ILC B</c:v>
          </c:tx>
          <c:spPr>
            <a:ln>
              <a:noFill/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Evaluation!$C$75:$C$80</c:f>
              <c:numCache>
                <c:formatCode>#,##0.0_ ;\-#,##0.0\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Dip Tube ILC B</c:v>
          </c:tx>
          <c:spPr>
            <a:ln>
              <a:noFill/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Evaluation!$H$75:$H$80</c:f>
              <c:numCache>
                <c:formatCode>#,##0.0_ ;\-#,##0.0\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Riser Duct SLC</c:v>
          </c:tx>
          <c:spPr>
            <a:ln>
              <a:noFill/>
            </a:ln>
          </c:spPr>
          <c:marker>
            <c:symbol val="triangle"/>
            <c:size val="7"/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Evaluation!$C$113:$C$118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v>Dip Tube SLC</c:v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Evaluation!$A$38:$A$43</c:f>
              <c:strCache>
                <c:ptCount val="6"/>
                <c:pt idx="1">
                  <c:v>Cyclone 1</c:v>
                </c:pt>
                <c:pt idx="2">
                  <c:v>Cyclone 2</c:v>
                </c:pt>
                <c:pt idx="3">
                  <c:v>Cyclone 3</c:v>
                </c:pt>
                <c:pt idx="4">
                  <c:v>Cyclone 4</c:v>
                </c:pt>
                <c:pt idx="5">
                  <c:v>Calciner loop</c:v>
                </c:pt>
              </c:strCache>
            </c:strRef>
          </c:cat>
          <c:val>
            <c:numRef>
              <c:f>Evaluation!$H$113:$H$118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71424"/>
        <c:axId val="99673600"/>
      </c:lineChart>
      <c:catAx>
        <c:axId val="9967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99673600"/>
        <c:crosses val="autoZero"/>
        <c:auto val="1"/>
        <c:lblAlgn val="ctr"/>
        <c:lblOffset val="100"/>
        <c:noMultiLvlLbl val="0"/>
      </c:catAx>
      <c:valAx>
        <c:axId val="99673600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>
            <c:manualLayout>
              <c:xMode val="edge"/>
              <c:yMode val="edge"/>
              <c:x val="1.4017293665983871E-2"/>
              <c:y val="0.31773330417031209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967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105723010104525"/>
          <c:y val="5.4403980752405962E-2"/>
          <c:w val="0.16756201726080816"/>
          <c:h val="0.414340186643336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FF"/>
                </a:solidFill>
                <a:prstDash val="solid"/>
              </a:ln>
            </c:spPr>
            <c:trendlineType val="poly"/>
            <c:order val="2"/>
            <c:backward val="0.2"/>
            <c:dispRSqr val="0"/>
            <c:dispEq val="0"/>
          </c:trendline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FF00FF"/>
                </a:solidFill>
                <a:prstDash val="solid"/>
              </a:ln>
            </c:spPr>
            <c:trendlineType val="poly"/>
            <c:order val="2"/>
            <c:backward val="0.1"/>
            <c:dispRSqr val="0"/>
            <c:dispEq val="0"/>
          </c:trendline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marker>
            <c:symbol val="none"/>
          </c:marker>
          <c:x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9008"/>
        <c:axId val="101037568"/>
      </c:scatterChart>
      <c:valAx>
        <c:axId val="101019008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Stoichiometry (NH3/NO)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01037568"/>
        <c:crosses val="autoZero"/>
        <c:crossBetween val="midCat"/>
      </c:valAx>
      <c:valAx>
        <c:axId val="1010375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NOx-removal efficiency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01019008"/>
        <c:crosses val="autoZero"/>
        <c:crossBetween val="midCat"/>
      </c:valAx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 paperSize="9"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20406385998072E-2"/>
          <c:y val="6.6838046272493568E-2"/>
          <c:w val="0.66720569593543011"/>
          <c:h val="0.817480719794344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backward val="100000"/>
            <c:dispRSqr val="0"/>
            <c:dispEq val="0"/>
          </c:trendline>
          <c:xVal>
            <c:numRef>
              <c:f>Sheet1!$B$32:$B$34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Sheet1!$C$32:$C$34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backward val="100000"/>
            <c:dispRSqr val="0"/>
            <c:dispEq val="0"/>
          </c:trendline>
          <c:xVal>
            <c:numRef>
              <c:f>Sheet1!$B$32:$B$34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Sheet1!$F$32:$F$34</c:f>
              <c:numCache>
                <c:formatCode>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56064"/>
        <c:axId val="125257600"/>
      </c:scatterChart>
      <c:valAx>
        <c:axId val="12525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25257600"/>
        <c:crosses val="autoZero"/>
        <c:crossBetween val="midCat"/>
      </c:valAx>
      <c:valAx>
        <c:axId val="1252576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252560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998452334007518"/>
          <c:y val="0.36760925449871468"/>
          <c:w val="0.19709225361369409"/>
          <c:h val="0.2185089974293059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emf"/><Relationship Id="rId5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emf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8</xdr:col>
          <xdr:colOff>542925</xdr:colOff>
          <xdr:row>0</xdr:row>
          <xdr:rowOff>561975</xdr:rowOff>
        </xdr:to>
        <xdr:pic>
          <xdr:nvPicPr>
            <xdr:cNvPr id="41216" name="Picture 2"/>
            <xdr:cNvPicPr>
              <a:picLocks noChangeAspect="1" noChangeArrowheads="1"/>
              <a:extLst>
                <a:ext uri="{84589F7E-364E-4C9E-8A38-B11213B215E9}">
                  <a14:cameraTool cellRange="General!$B$47:$G$51" spid="_x0000_s414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5410200" cy="542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graphicFrame macro="">
      <xdr:nvGraphicFramePr>
        <xdr:cNvPr id="4433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38914" name="Button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de-CH"/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258450</xdr:colOff>
      <xdr:row>46</xdr:row>
      <xdr:rowOff>63501</xdr:rowOff>
    </xdr:from>
    <xdr:to>
      <xdr:col>1</xdr:col>
      <xdr:colOff>1336675</xdr:colOff>
      <xdr:row>48</xdr:row>
      <xdr:rowOff>210489</xdr:rowOff>
    </xdr:to>
    <xdr:pic>
      <xdr:nvPicPr>
        <xdr:cNvPr id="846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5" y="234951"/>
          <a:ext cx="1078225" cy="49941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1597025</xdr:colOff>
      <xdr:row>92</xdr:row>
      <xdr:rowOff>120650</xdr:rowOff>
    </xdr:from>
    <xdr:to>
      <xdr:col>2</xdr:col>
      <xdr:colOff>2987675</xdr:colOff>
      <xdr:row>101</xdr:row>
      <xdr:rowOff>41275</xdr:rowOff>
    </xdr:to>
    <xdr:pic>
      <xdr:nvPicPr>
        <xdr:cNvPr id="84684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01" b="84891"/>
        <a:stretch>
          <a:fillRect/>
        </a:stretch>
      </xdr:blipFill>
      <xdr:spPr bwMode="auto">
        <a:xfrm>
          <a:off x="4124325" y="7169150"/>
          <a:ext cx="1390650" cy="1406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2825750</xdr:colOff>
      <xdr:row>96</xdr:row>
      <xdr:rowOff>161925</xdr:rowOff>
    </xdr:from>
    <xdr:ext cx="612426" cy="165943"/>
    <xdr:sp macro="" textlink="">
      <xdr:nvSpPr>
        <xdr:cNvPr id="38926" name="Text Box 14"/>
        <xdr:cNvSpPr txBox="1">
          <a:spLocks noChangeArrowheads="1"/>
        </xdr:cNvSpPr>
      </xdr:nvSpPr>
      <xdr:spPr bwMode="auto">
        <a:xfrm>
          <a:off x="5353050" y="7870825"/>
          <a:ext cx="612426" cy="165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de-CH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Cyclone X</a:t>
          </a:r>
        </a:p>
      </xdr:txBody>
    </xdr:sp>
    <xdr:clientData/>
  </xdr:oneCellAnchor>
  <xdr:twoCellAnchor>
    <xdr:from>
      <xdr:col>2</xdr:col>
      <xdr:colOff>1806575</xdr:colOff>
      <xdr:row>99</xdr:row>
      <xdr:rowOff>73025</xdr:rowOff>
    </xdr:from>
    <xdr:to>
      <xdr:col>2</xdr:col>
      <xdr:colOff>2035175</xdr:colOff>
      <xdr:row>99</xdr:row>
      <xdr:rowOff>73025</xdr:rowOff>
    </xdr:to>
    <xdr:sp macro="" textlink="">
      <xdr:nvSpPr>
        <xdr:cNvPr id="846851" name="Line 16"/>
        <xdr:cNvSpPr>
          <a:spLocks noChangeShapeType="1"/>
        </xdr:cNvSpPr>
      </xdr:nvSpPr>
      <xdr:spPr bwMode="auto">
        <a:xfrm>
          <a:off x="4333875" y="82772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1625600</xdr:colOff>
      <xdr:row>98</xdr:row>
      <xdr:rowOff>111125</xdr:rowOff>
    </xdr:from>
    <xdr:to>
      <xdr:col>2</xdr:col>
      <xdr:colOff>2225675</xdr:colOff>
      <xdr:row>100</xdr:row>
      <xdr:rowOff>15875</xdr:rowOff>
    </xdr:to>
    <xdr:sp macro="" textlink="">
      <xdr:nvSpPr>
        <xdr:cNvPr id="846852" name="Oval 17"/>
        <xdr:cNvSpPr>
          <a:spLocks noChangeArrowheads="1"/>
        </xdr:cNvSpPr>
      </xdr:nvSpPr>
      <xdr:spPr bwMode="auto">
        <a:xfrm>
          <a:off x="4152900" y="8150225"/>
          <a:ext cx="600075" cy="2349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571501</xdr:colOff>
      <xdr:row>95</xdr:row>
      <xdr:rowOff>101600</xdr:rowOff>
    </xdr:from>
    <xdr:to>
      <xdr:col>2</xdr:col>
      <xdr:colOff>1844675</xdr:colOff>
      <xdr:row>97</xdr:row>
      <xdr:rowOff>25400</xdr:rowOff>
    </xdr:to>
    <xdr:sp macro="" textlink="">
      <xdr:nvSpPr>
        <xdr:cNvPr id="846853" name="Line 18"/>
        <xdr:cNvSpPr>
          <a:spLocks noChangeShapeType="1"/>
        </xdr:cNvSpPr>
      </xdr:nvSpPr>
      <xdr:spPr bwMode="auto">
        <a:xfrm>
          <a:off x="3098801" y="7645400"/>
          <a:ext cx="1273174" cy="25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1177925</xdr:colOff>
      <xdr:row>98</xdr:row>
      <xdr:rowOff>158750</xdr:rowOff>
    </xdr:from>
    <xdr:to>
      <xdr:col>2</xdr:col>
      <xdr:colOff>1635125</xdr:colOff>
      <xdr:row>99</xdr:row>
      <xdr:rowOff>25400</xdr:rowOff>
    </xdr:to>
    <xdr:sp macro="" textlink="">
      <xdr:nvSpPr>
        <xdr:cNvPr id="846854" name="Line 19"/>
        <xdr:cNvSpPr>
          <a:spLocks noChangeShapeType="1"/>
        </xdr:cNvSpPr>
      </xdr:nvSpPr>
      <xdr:spPr bwMode="auto">
        <a:xfrm>
          <a:off x="3705225" y="8197850"/>
          <a:ext cx="457200" cy="31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0.43844</cdr:x>
      <cdr:y>0.50413</cdr:y>
    </cdr:from>
    <cdr:to>
      <cdr:x>0.53285</cdr:x>
      <cdr:y>0.56787</cdr:y>
    </cdr:to>
    <cdr:sp macro="" textlink="">
      <cdr:nvSpPr>
        <cdr:cNvPr id="39937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24737" y="372919"/>
          <a:ext cx="69242" cy="46746"/>
        </a:xfrm>
        <a:custGeom xmlns:a="http://schemas.openxmlformats.org/drawingml/2006/main">
          <a:avLst/>
          <a:gdLst>
            <a:gd name="T0" fmla="*/ 0 w 1047750"/>
            <a:gd name="T1" fmla="*/ 295275 h 476250"/>
            <a:gd name="T2" fmla="*/ 1047750 w 1047750"/>
            <a:gd name="T3" fmla="*/ 0 h 476250"/>
            <a:gd name="T4" fmla="*/ 1047750 w 1047750"/>
            <a:gd name="T5" fmla="*/ 200025 h 476250"/>
            <a:gd name="T6" fmla="*/ 0 w 1047750"/>
            <a:gd name="T7" fmla="*/ 476250 h 476250"/>
            <a:gd name="T8" fmla="*/ 0 w 1047750"/>
            <a:gd name="T9" fmla="*/ 295275 h 4762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047750" h="476250">
              <a:moveTo>
                <a:pt x="0" y="295275"/>
              </a:moveTo>
              <a:lnTo>
                <a:pt x="1047750" y="0"/>
              </a:lnTo>
              <a:lnTo>
                <a:pt x="1047750" y="200025"/>
              </a:lnTo>
              <a:lnTo>
                <a:pt x="0" y="476250"/>
              </a:lnTo>
              <a:lnTo>
                <a:pt x="0" y="295275"/>
              </a:lnTo>
              <a:close/>
            </a:path>
          </a:pathLst>
        </a:custGeom>
        <a:solidFill xmlns:a="http://schemas.openxmlformats.org/drawingml/2006/main">
          <a:srgbClr xmlns:mc="http://schemas.openxmlformats.org/markup-compatibility/2006" xmlns:a14="http://schemas.microsoft.com/office/drawing/2010/main" val="CCFFCC" mc:Ignorable="a14" a14:legacySpreadsheetColorIndex="42">
            <a:alpha val="50000"/>
          </a:srgbClr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 cap="flat" cmpd="sng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CH"/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3993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101053" cy="3321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9144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e-CH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Range of SNCR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276225</xdr:colOff>
      <xdr:row>74</xdr:row>
      <xdr:rowOff>66675</xdr:rowOff>
    </xdr:from>
    <xdr:to>
      <xdr:col>31</xdr:col>
      <xdr:colOff>228600</xdr:colOff>
      <xdr:row>79</xdr:row>
      <xdr:rowOff>85725</xdr:rowOff>
    </xdr:to>
    <xdr:pic>
      <xdr:nvPicPr>
        <xdr:cNvPr id="809822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14154150" y="12277725"/>
          <a:ext cx="94297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457200</xdr:colOff>
      <xdr:row>72</xdr:row>
      <xdr:rowOff>28575</xdr:rowOff>
    </xdr:from>
    <xdr:to>
      <xdr:col>2</xdr:col>
      <xdr:colOff>152400</xdr:colOff>
      <xdr:row>74</xdr:row>
      <xdr:rowOff>19050</xdr:rowOff>
    </xdr:to>
    <xdr:pic>
      <xdr:nvPicPr>
        <xdr:cNvPr id="80982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1906250"/>
          <a:ext cx="8096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41056</xdr:colOff>
          <xdr:row>0</xdr:row>
          <xdr:rowOff>20411</xdr:rowOff>
        </xdr:from>
        <xdr:to>
          <xdr:col>36</xdr:col>
          <xdr:colOff>449036</xdr:colOff>
          <xdr:row>1</xdr:row>
          <xdr:rowOff>11101</xdr:rowOff>
        </xdr:to>
        <xdr:pic>
          <xdr:nvPicPr>
            <xdr:cNvPr id="809824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115068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17949" y="20411"/>
              <a:ext cx="7878301" cy="82072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21</xdr:col>
      <xdr:colOff>9525</xdr:colOff>
      <xdr:row>24</xdr:row>
      <xdr:rowOff>145677</xdr:rowOff>
    </xdr:from>
    <xdr:to>
      <xdr:col>24</xdr:col>
      <xdr:colOff>219075</xdr:colOff>
      <xdr:row>77</xdr:row>
      <xdr:rowOff>171450</xdr:rowOff>
    </xdr:to>
    <xdr:pic>
      <xdr:nvPicPr>
        <xdr:cNvPr id="809825" name="Picture 20" descr="CEN-015-2 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85" t="23578" r="-1859" b="7796"/>
        <a:stretch>
          <a:fillRect/>
        </a:stretch>
      </xdr:blipFill>
      <xdr:spPr bwMode="auto">
        <a:xfrm>
          <a:off x="10106025" y="4314265"/>
          <a:ext cx="1980079" cy="8844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95250</xdr:colOff>
      <xdr:row>25</xdr:row>
      <xdr:rowOff>27214</xdr:rowOff>
    </xdr:from>
    <xdr:to>
      <xdr:col>20</xdr:col>
      <xdr:colOff>1043668</xdr:colOff>
      <xdr:row>69</xdr:row>
      <xdr:rowOff>115259</xdr:rowOff>
    </xdr:to>
    <xdr:pic>
      <xdr:nvPicPr>
        <xdr:cNvPr id="80982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98" r="-1137" b="-1382"/>
        <a:stretch>
          <a:fillRect/>
        </a:stretch>
      </xdr:blipFill>
      <xdr:spPr bwMode="auto">
        <a:xfrm>
          <a:off x="8436429" y="4272643"/>
          <a:ext cx="1655989" cy="7068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24</xdr:row>
      <xdr:rowOff>142875</xdr:rowOff>
    </xdr:from>
    <xdr:to>
      <xdr:col>2</xdr:col>
      <xdr:colOff>504825</xdr:colOff>
      <xdr:row>72</xdr:row>
      <xdr:rowOff>19050</xdr:rowOff>
    </xdr:to>
    <xdr:pic>
      <xdr:nvPicPr>
        <xdr:cNvPr id="809827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924"/>
        <a:stretch>
          <a:fillRect/>
        </a:stretch>
      </xdr:blipFill>
      <xdr:spPr bwMode="auto">
        <a:xfrm>
          <a:off x="381000" y="4267200"/>
          <a:ext cx="1419225" cy="762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200025</xdr:colOff>
      <xdr:row>17</xdr:row>
      <xdr:rowOff>0</xdr:rowOff>
    </xdr:from>
    <xdr:to>
      <xdr:col>2</xdr:col>
      <xdr:colOff>504825</xdr:colOff>
      <xdr:row>25</xdr:row>
      <xdr:rowOff>28575</xdr:rowOff>
    </xdr:to>
    <xdr:pic>
      <xdr:nvPicPr>
        <xdr:cNvPr id="80982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516"/>
        <a:stretch>
          <a:fillRect/>
        </a:stretch>
      </xdr:blipFill>
      <xdr:spPr bwMode="auto">
        <a:xfrm>
          <a:off x="381000" y="3057525"/>
          <a:ext cx="1419225" cy="1247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200025</xdr:colOff>
      <xdr:row>8</xdr:row>
      <xdr:rowOff>28575</xdr:rowOff>
    </xdr:from>
    <xdr:to>
      <xdr:col>2</xdr:col>
      <xdr:colOff>504825</xdr:colOff>
      <xdr:row>16</xdr:row>
      <xdr:rowOff>0</xdr:rowOff>
    </xdr:to>
    <xdr:pic>
      <xdr:nvPicPr>
        <xdr:cNvPr id="80982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37" b="84891"/>
        <a:stretch>
          <a:fillRect/>
        </a:stretch>
      </xdr:blipFill>
      <xdr:spPr bwMode="auto">
        <a:xfrm>
          <a:off x="381000" y="1743075"/>
          <a:ext cx="1419225" cy="1190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142875</xdr:colOff>
      <xdr:row>17</xdr:row>
      <xdr:rowOff>0</xdr:rowOff>
    </xdr:from>
    <xdr:to>
      <xdr:col>20</xdr:col>
      <xdr:colOff>800100</xdr:colOff>
      <xdr:row>24</xdr:row>
      <xdr:rowOff>145677</xdr:rowOff>
    </xdr:to>
    <xdr:pic>
      <xdr:nvPicPr>
        <xdr:cNvPr id="809830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8480051" y="3070412"/>
          <a:ext cx="1363196" cy="1243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104775</xdr:colOff>
      <xdr:row>8</xdr:row>
      <xdr:rowOff>0</xdr:rowOff>
    </xdr:from>
    <xdr:to>
      <xdr:col>20</xdr:col>
      <xdr:colOff>790575</xdr:colOff>
      <xdr:row>16</xdr:row>
      <xdr:rowOff>0</xdr:rowOff>
    </xdr:to>
    <xdr:pic>
      <xdr:nvPicPr>
        <xdr:cNvPr id="80983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51" b="84891"/>
        <a:stretch>
          <a:fillRect/>
        </a:stretch>
      </xdr:blipFill>
      <xdr:spPr bwMode="auto">
        <a:xfrm>
          <a:off x="8420100" y="1714500"/>
          <a:ext cx="1390650" cy="1219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504825</xdr:colOff>
      <xdr:row>8</xdr:row>
      <xdr:rowOff>28575</xdr:rowOff>
    </xdr:from>
    <xdr:to>
      <xdr:col>24</xdr:col>
      <xdr:colOff>228600</xdr:colOff>
      <xdr:row>15</xdr:row>
      <xdr:rowOff>142875</xdr:rowOff>
    </xdr:to>
    <xdr:pic>
      <xdr:nvPicPr>
        <xdr:cNvPr id="809832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10715625" y="1743075"/>
          <a:ext cx="1352550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466725</xdr:colOff>
      <xdr:row>17</xdr:row>
      <xdr:rowOff>28575</xdr:rowOff>
    </xdr:from>
    <xdr:to>
      <xdr:col>25</xdr:col>
      <xdr:colOff>66675</xdr:colOff>
      <xdr:row>24</xdr:row>
      <xdr:rowOff>142875</xdr:rowOff>
    </xdr:to>
    <xdr:pic>
      <xdr:nvPicPr>
        <xdr:cNvPr id="809833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60" b="84891"/>
        <a:stretch>
          <a:fillRect/>
        </a:stretch>
      </xdr:blipFill>
      <xdr:spPr bwMode="auto">
        <a:xfrm>
          <a:off x="10677525" y="3086100"/>
          <a:ext cx="1466850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29</xdr:col>
      <xdr:colOff>28575</xdr:colOff>
      <xdr:row>6</xdr:row>
      <xdr:rowOff>66675</xdr:rowOff>
    </xdr:from>
    <xdr:to>
      <xdr:col>30</xdr:col>
      <xdr:colOff>304800</xdr:colOff>
      <xdr:row>7</xdr:row>
      <xdr:rowOff>123825</xdr:rowOff>
    </xdr:to>
    <xdr:sp macro="" textlink="">
      <xdr:nvSpPr>
        <xdr:cNvPr id="809834" name="Rectangle 30"/>
        <xdr:cNvSpPr>
          <a:spLocks noChangeArrowheads="1"/>
        </xdr:cNvSpPr>
      </xdr:nvSpPr>
      <xdr:spPr bwMode="auto">
        <a:xfrm>
          <a:off x="13906500" y="1457325"/>
          <a:ext cx="8096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85725</xdr:colOff>
      <xdr:row>17</xdr:row>
      <xdr:rowOff>9525</xdr:rowOff>
    </xdr:from>
    <xdr:to>
      <xdr:col>30</xdr:col>
      <xdr:colOff>333375</xdr:colOff>
      <xdr:row>24</xdr:row>
      <xdr:rowOff>114300</xdr:rowOff>
    </xdr:to>
    <xdr:sp macro="" textlink="">
      <xdr:nvSpPr>
        <xdr:cNvPr id="809835" name="Rectangle 31"/>
        <xdr:cNvSpPr>
          <a:spLocks noChangeArrowheads="1"/>
        </xdr:cNvSpPr>
      </xdr:nvSpPr>
      <xdr:spPr bwMode="auto">
        <a:xfrm rot="5400000">
          <a:off x="14035087" y="3529013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66675</xdr:colOff>
      <xdr:row>6</xdr:row>
      <xdr:rowOff>66675</xdr:rowOff>
    </xdr:from>
    <xdr:to>
      <xdr:col>30</xdr:col>
      <xdr:colOff>314325</xdr:colOff>
      <xdr:row>15</xdr:row>
      <xdr:rowOff>85725</xdr:rowOff>
    </xdr:to>
    <xdr:sp macro="" textlink="">
      <xdr:nvSpPr>
        <xdr:cNvPr id="809837" name="Rectangle 33"/>
        <xdr:cNvSpPr>
          <a:spLocks noChangeArrowheads="1"/>
        </xdr:cNvSpPr>
      </xdr:nvSpPr>
      <xdr:spPr bwMode="auto">
        <a:xfrm rot="5400000">
          <a:off x="13958207" y="2041072"/>
          <a:ext cx="1393371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85725</xdr:colOff>
      <xdr:row>72</xdr:row>
      <xdr:rowOff>47625</xdr:rowOff>
    </xdr:from>
    <xdr:to>
      <xdr:col>30</xdr:col>
      <xdr:colOff>333375</xdr:colOff>
      <xdr:row>76</xdr:row>
      <xdr:rowOff>104775</xdr:rowOff>
    </xdr:to>
    <xdr:sp macro="" textlink="">
      <xdr:nvSpPr>
        <xdr:cNvPr id="809845" name="Rectangle 49"/>
        <xdr:cNvSpPr>
          <a:spLocks noChangeArrowheads="1"/>
        </xdr:cNvSpPr>
      </xdr:nvSpPr>
      <xdr:spPr bwMode="auto">
        <a:xfrm rot="-5400000">
          <a:off x="14263687" y="12158663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66675</xdr:colOff>
      <xdr:row>6</xdr:row>
      <xdr:rowOff>57150</xdr:rowOff>
    </xdr:from>
    <xdr:to>
      <xdr:col>13</xdr:col>
      <xdr:colOff>466725</xdr:colOff>
      <xdr:row>7</xdr:row>
      <xdr:rowOff>104775</xdr:rowOff>
    </xdr:to>
    <xdr:sp macro="" textlink="">
      <xdr:nvSpPr>
        <xdr:cNvPr id="809846" name="Rectangle 51"/>
        <xdr:cNvSpPr>
          <a:spLocks noChangeArrowheads="1"/>
        </xdr:cNvSpPr>
      </xdr:nvSpPr>
      <xdr:spPr bwMode="auto">
        <a:xfrm>
          <a:off x="5962650" y="1447800"/>
          <a:ext cx="8572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85725</xdr:colOff>
      <xdr:row>17</xdr:row>
      <xdr:rowOff>0</xdr:rowOff>
    </xdr:from>
    <xdr:to>
      <xdr:col>12</xdr:col>
      <xdr:colOff>333375</xdr:colOff>
      <xdr:row>24</xdr:row>
      <xdr:rowOff>104775</xdr:rowOff>
    </xdr:to>
    <xdr:sp macro="" textlink="">
      <xdr:nvSpPr>
        <xdr:cNvPr id="809847" name="Rectangle 52"/>
        <xdr:cNvSpPr>
          <a:spLocks noChangeArrowheads="1"/>
        </xdr:cNvSpPr>
      </xdr:nvSpPr>
      <xdr:spPr bwMode="auto">
        <a:xfrm rot="5400000">
          <a:off x="5519737" y="3519488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66675</xdr:colOff>
      <xdr:row>6</xdr:row>
      <xdr:rowOff>57150</xdr:rowOff>
    </xdr:from>
    <xdr:to>
      <xdr:col>12</xdr:col>
      <xdr:colOff>314325</xdr:colOff>
      <xdr:row>15</xdr:row>
      <xdr:rowOff>66675</xdr:rowOff>
    </xdr:to>
    <xdr:sp macro="" textlink="">
      <xdr:nvSpPr>
        <xdr:cNvPr id="809849" name="Rectangle 54"/>
        <xdr:cNvSpPr>
          <a:spLocks noChangeArrowheads="1"/>
        </xdr:cNvSpPr>
      </xdr:nvSpPr>
      <xdr:spPr bwMode="auto">
        <a:xfrm rot="5400000">
          <a:off x="5386387" y="2024063"/>
          <a:ext cx="14001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238125</xdr:colOff>
      <xdr:row>74</xdr:row>
      <xdr:rowOff>66675</xdr:rowOff>
    </xdr:from>
    <xdr:to>
      <xdr:col>13</xdr:col>
      <xdr:colOff>200025</xdr:colOff>
      <xdr:row>79</xdr:row>
      <xdr:rowOff>85725</xdr:rowOff>
    </xdr:to>
    <xdr:pic>
      <xdr:nvPicPr>
        <xdr:cNvPr id="80985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5610225" y="12277725"/>
          <a:ext cx="94297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85725</xdr:colOff>
      <xdr:row>72</xdr:row>
      <xdr:rowOff>38100</xdr:rowOff>
    </xdr:from>
    <xdr:to>
      <xdr:col>12</xdr:col>
      <xdr:colOff>333375</xdr:colOff>
      <xdr:row>76</xdr:row>
      <xdr:rowOff>95250</xdr:rowOff>
    </xdr:to>
    <xdr:sp macro="" textlink="">
      <xdr:nvSpPr>
        <xdr:cNvPr id="809858" name="Rectangle 70"/>
        <xdr:cNvSpPr>
          <a:spLocks noChangeArrowheads="1"/>
        </xdr:cNvSpPr>
      </xdr:nvSpPr>
      <xdr:spPr bwMode="auto">
        <a:xfrm rot="-5400000">
          <a:off x="5748337" y="12149138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</xdr:colOff>
      <xdr:row>6</xdr:row>
      <xdr:rowOff>57150</xdr:rowOff>
    </xdr:from>
    <xdr:to>
      <xdr:col>8</xdr:col>
      <xdr:colOff>352425</xdr:colOff>
      <xdr:row>7</xdr:row>
      <xdr:rowOff>104775</xdr:rowOff>
    </xdr:to>
    <xdr:sp macro="" textlink="">
      <xdr:nvSpPr>
        <xdr:cNvPr id="809859" name="Rectangle 71"/>
        <xdr:cNvSpPr>
          <a:spLocks noChangeArrowheads="1"/>
        </xdr:cNvSpPr>
      </xdr:nvSpPr>
      <xdr:spPr bwMode="auto">
        <a:xfrm>
          <a:off x="3790950" y="1447800"/>
          <a:ext cx="75247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17</xdr:row>
      <xdr:rowOff>0</xdr:rowOff>
    </xdr:from>
    <xdr:to>
      <xdr:col>8</xdr:col>
      <xdr:colOff>381000</xdr:colOff>
      <xdr:row>24</xdr:row>
      <xdr:rowOff>104775</xdr:rowOff>
    </xdr:to>
    <xdr:sp macro="" textlink="">
      <xdr:nvSpPr>
        <xdr:cNvPr id="809860" name="Rectangle 72"/>
        <xdr:cNvSpPr>
          <a:spLocks noChangeArrowheads="1"/>
        </xdr:cNvSpPr>
      </xdr:nvSpPr>
      <xdr:spPr bwMode="auto">
        <a:xfrm rot="5400000">
          <a:off x="3862387" y="3519488"/>
          <a:ext cx="1171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32</xdr:row>
      <xdr:rowOff>38100</xdr:rowOff>
    </xdr:from>
    <xdr:to>
      <xdr:col>8</xdr:col>
      <xdr:colOff>371475</xdr:colOff>
      <xdr:row>33</xdr:row>
      <xdr:rowOff>144517</xdr:rowOff>
    </xdr:to>
    <xdr:sp macro="" textlink="">
      <xdr:nvSpPr>
        <xdr:cNvPr id="809861" name="Rectangle 73"/>
        <xdr:cNvSpPr>
          <a:spLocks noChangeArrowheads="1"/>
        </xdr:cNvSpPr>
      </xdr:nvSpPr>
      <xdr:spPr bwMode="auto">
        <a:xfrm rot="-5400000">
          <a:off x="4316467" y="5363889"/>
          <a:ext cx="25750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6</xdr:row>
      <xdr:rowOff>57150</xdr:rowOff>
    </xdr:from>
    <xdr:to>
      <xdr:col>8</xdr:col>
      <xdr:colOff>381000</xdr:colOff>
      <xdr:row>15</xdr:row>
      <xdr:rowOff>85725</xdr:rowOff>
    </xdr:to>
    <xdr:sp macro="" textlink="">
      <xdr:nvSpPr>
        <xdr:cNvPr id="809862" name="Rectangle 74"/>
        <xdr:cNvSpPr>
          <a:spLocks noChangeArrowheads="1"/>
        </xdr:cNvSpPr>
      </xdr:nvSpPr>
      <xdr:spPr bwMode="auto">
        <a:xfrm rot="5400000">
          <a:off x="3738562" y="2033588"/>
          <a:ext cx="14192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37</xdr:row>
      <xdr:rowOff>26276</xdr:rowOff>
    </xdr:from>
    <xdr:to>
      <xdr:col>12</xdr:col>
      <xdr:colOff>341586</xdr:colOff>
      <xdr:row>39</xdr:row>
      <xdr:rowOff>6568</xdr:rowOff>
    </xdr:to>
    <xdr:sp macro="" textlink="">
      <xdr:nvSpPr>
        <xdr:cNvPr id="809863" name="Rectangle 75"/>
        <xdr:cNvSpPr>
          <a:spLocks noChangeArrowheads="1"/>
        </xdr:cNvSpPr>
      </xdr:nvSpPr>
      <xdr:spPr bwMode="auto">
        <a:xfrm rot="-5400000">
          <a:off x="5988597" y="6119977"/>
          <a:ext cx="28246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43</xdr:row>
      <xdr:rowOff>39413</xdr:rowOff>
    </xdr:from>
    <xdr:to>
      <xdr:col>12</xdr:col>
      <xdr:colOff>341586</xdr:colOff>
      <xdr:row>45</xdr:row>
      <xdr:rowOff>6569</xdr:rowOff>
    </xdr:to>
    <xdr:sp macro="" textlink="">
      <xdr:nvSpPr>
        <xdr:cNvPr id="809864" name="Rectangle 76"/>
        <xdr:cNvSpPr>
          <a:spLocks noChangeArrowheads="1"/>
        </xdr:cNvSpPr>
      </xdr:nvSpPr>
      <xdr:spPr bwMode="auto">
        <a:xfrm rot="-5400000">
          <a:off x="5995165" y="7033063"/>
          <a:ext cx="269329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93936</xdr:colOff>
      <xdr:row>51</xdr:row>
      <xdr:rowOff>6568</xdr:rowOff>
    </xdr:from>
    <xdr:to>
      <xdr:col>12</xdr:col>
      <xdr:colOff>341586</xdr:colOff>
      <xdr:row>52</xdr:row>
      <xdr:rowOff>144516</xdr:rowOff>
    </xdr:to>
    <xdr:sp macro="" textlink="">
      <xdr:nvSpPr>
        <xdr:cNvPr id="809865" name="Rectangle 77"/>
        <xdr:cNvSpPr>
          <a:spLocks noChangeArrowheads="1"/>
        </xdr:cNvSpPr>
      </xdr:nvSpPr>
      <xdr:spPr bwMode="auto">
        <a:xfrm rot="-5400000">
          <a:off x="5985313" y="8218760"/>
          <a:ext cx="289034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303486</xdr:colOff>
      <xdr:row>38</xdr:row>
      <xdr:rowOff>13139</xdr:rowOff>
    </xdr:from>
    <xdr:to>
      <xdr:col>13</xdr:col>
      <xdr:colOff>227614</xdr:colOff>
      <xdr:row>38</xdr:row>
      <xdr:rowOff>13139</xdr:rowOff>
    </xdr:to>
    <xdr:sp macro="" textlink="">
      <xdr:nvSpPr>
        <xdr:cNvPr id="809866" name="Line 78"/>
        <xdr:cNvSpPr>
          <a:spLocks noChangeShapeType="1"/>
        </xdr:cNvSpPr>
      </xdr:nvSpPr>
      <xdr:spPr bwMode="auto">
        <a:xfrm>
          <a:off x="6215555" y="6240518"/>
          <a:ext cx="383956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284436</xdr:colOff>
      <xdr:row>43</xdr:row>
      <xdr:rowOff>144517</xdr:rowOff>
    </xdr:from>
    <xdr:to>
      <xdr:col>13</xdr:col>
      <xdr:colOff>208564</xdr:colOff>
      <xdr:row>44</xdr:row>
      <xdr:rowOff>2956</xdr:rowOff>
    </xdr:to>
    <xdr:sp macro="" textlink="">
      <xdr:nvSpPr>
        <xdr:cNvPr id="809867" name="Line 79"/>
        <xdr:cNvSpPr>
          <a:spLocks noChangeShapeType="1"/>
        </xdr:cNvSpPr>
      </xdr:nvSpPr>
      <xdr:spPr bwMode="auto">
        <a:xfrm flipH="1">
          <a:off x="6196505" y="7127327"/>
          <a:ext cx="383956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303486</xdr:colOff>
      <xdr:row>52</xdr:row>
      <xdr:rowOff>0</xdr:rowOff>
    </xdr:from>
    <xdr:to>
      <xdr:col>13</xdr:col>
      <xdr:colOff>227614</xdr:colOff>
      <xdr:row>52</xdr:row>
      <xdr:rowOff>9525</xdr:rowOff>
    </xdr:to>
    <xdr:sp macro="" textlink="">
      <xdr:nvSpPr>
        <xdr:cNvPr id="809868" name="Line 80"/>
        <xdr:cNvSpPr>
          <a:spLocks noChangeShapeType="1"/>
        </xdr:cNvSpPr>
      </xdr:nvSpPr>
      <xdr:spPr bwMode="auto">
        <a:xfrm flipH="1">
          <a:off x="6215555" y="8342586"/>
          <a:ext cx="383956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6569</xdr:colOff>
      <xdr:row>62</xdr:row>
      <xdr:rowOff>18395</xdr:rowOff>
    </xdr:from>
    <xdr:to>
      <xdr:col>8</xdr:col>
      <xdr:colOff>539969</xdr:colOff>
      <xdr:row>63</xdr:row>
      <xdr:rowOff>170796</xdr:rowOff>
    </xdr:to>
    <xdr:grpSp>
      <xdr:nvGrpSpPr>
        <xdr:cNvPr id="2" name="Group 1"/>
        <xdr:cNvGrpSpPr/>
      </xdr:nvGrpSpPr>
      <xdr:grpSpPr>
        <a:xfrm>
          <a:off x="768569" y="9910788"/>
          <a:ext cx="533400" cy="342901"/>
          <a:chOff x="4204138" y="9569671"/>
          <a:chExt cx="533400" cy="316625"/>
        </a:xfrm>
      </xdr:grpSpPr>
      <xdr:sp macro="" textlink="">
        <xdr:nvSpPr>
          <xdr:cNvPr id="809877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09878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09879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0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1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2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9883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257175</xdr:colOff>
      <xdr:row>74</xdr:row>
      <xdr:rowOff>66675</xdr:rowOff>
    </xdr:from>
    <xdr:to>
      <xdr:col>9</xdr:col>
      <xdr:colOff>142875</xdr:colOff>
      <xdr:row>79</xdr:row>
      <xdr:rowOff>85725</xdr:rowOff>
    </xdr:to>
    <xdr:pic>
      <xdr:nvPicPr>
        <xdr:cNvPr id="80987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1" t="82909" r="82722" b="10652"/>
        <a:stretch>
          <a:fillRect/>
        </a:stretch>
      </xdr:blipFill>
      <xdr:spPr bwMode="auto">
        <a:xfrm>
          <a:off x="4010025" y="12277725"/>
          <a:ext cx="885825" cy="9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000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72</xdr:row>
      <xdr:rowOff>38100</xdr:rowOff>
    </xdr:from>
    <xdr:to>
      <xdr:col>8</xdr:col>
      <xdr:colOff>381000</xdr:colOff>
      <xdr:row>76</xdr:row>
      <xdr:rowOff>95250</xdr:rowOff>
    </xdr:to>
    <xdr:sp macro="" textlink="">
      <xdr:nvSpPr>
        <xdr:cNvPr id="809871" name="Rectangle 90"/>
        <xdr:cNvSpPr>
          <a:spLocks noChangeArrowheads="1"/>
        </xdr:cNvSpPr>
      </xdr:nvSpPr>
      <xdr:spPr bwMode="auto">
        <a:xfrm rot="-5400000">
          <a:off x="4090987" y="12149138"/>
          <a:ext cx="714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419100</xdr:colOff>
      <xdr:row>73</xdr:row>
      <xdr:rowOff>95250</xdr:rowOff>
    </xdr:from>
    <xdr:to>
      <xdr:col>23</xdr:col>
      <xdr:colOff>9525</xdr:colOff>
      <xdr:row>73</xdr:row>
      <xdr:rowOff>161925</xdr:rowOff>
    </xdr:to>
    <xdr:sp macro="" textlink="">
      <xdr:nvSpPr>
        <xdr:cNvPr id="809872" name="Line 99"/>
        <xdr:cNvSpPr>
          <a:spLocks noChangeShapeType="1"/>
        </xdr:cNvSpPr>
      </xdr:nvSpPr>
      <xdr:spPr bwMode="auto">
        <a:xfrm flipV="1">
          <a:off x="10629900" y="12134850"/>
          <a:ext cx="666750" cy="6667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6</xdr:row>
      <xdr:rowOff>57150</xdr:rowOff>
    </xdr:from>
    <xdr:to>
      <xdr:col>6</xdr:col>
      <xdr:colOff>104775</xdr:colOff>
      <xdr:row>7</xdr:row>
      <xdr:rowOff>104775</xdr:rowOff>
    </xdr:to>
    <xdr:sp macro="" textlink="">
      <xdr:nvSpPr>
        <xdr:cNvPr id="809873" name="Rectangle 100"/>
        <xdr:cNvSpPr>
          <a:spLocks noChangeArrowheads="1"/>
        </xdr:cNvSpPr>
      </xdr:nvSpPr>
      <xdr:spPr bwMode="auto">
        <a:xfrm>
          <a:off x="1104900" y="1447800"/>
          <a:ext cx="260032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696057</xdr:colOff>
      <xdr:row>6</xdr:row>
      <xdr:rowOff>57150</xdr:rowOff>
    </xdr:from>
    <xdr:to>
      <xdr:col>27</xdr:col>
      <xdr:colOff>285750</xdr:colOff>
      <xdr:row>7</xdr:row>
      <xdr:rowOff>104775</xdr:rowOff>
    </xdr:to>
    <xdr:sp macro="" textlink="">
      <xdr:nvSpPr>
        <xdr:cNvPr id="809874" name="Rectangle 101"/>
        <xdr:cNvSpPr>
          <a:spLocks noChangeArrowheads="1"/>
        </xdr:cNvSpPr>
      </xdr:nvSpPr>
      <xdr:spPr bwMode="auto">
        <a:xfrm>
          <a:off x="10931769" y="1449265"/>
          <a:ext cx="2769577" cy="20881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</xdr:colOff>
      <xdr:row>6</xdr:row>
      <xdr:rowOff>57150</xdr:rowOff>
    </xdr:from>
    <xdr:to>
      <xdr:col>20</xdr:col>
      <xdr:colOff>333375</xdr:colOff>
      <xdr:row>7</xdr:row>
      <xdr:rowOff>123825</xdr:rowOff>
    </xdr:to>
    <xdr:sp macro="" textlink="">
      <xdr:nvSpPr>
        <xdr:cNvPr id="809875" name="Rectangle 102"/>
        <xdr:cNvSpPr>
          <a:spLocks noChangeArrowheads="1"/>
        </xdr:cNvSpPr>
      </xdr:nvSpPr>
      <xdr:spPr bwMode="auto">
        <a:xfrm>
          <a:off x="6981825" y="1447800"/>
          <a:ext cx="23717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0</xdr:colOff>
      <xdr:row>70</xdr:row>
      <xdr:rowOff>85725</xdr:rowOff>
    </xdr:from>
    <xdr:to>
      <xdr:col>22</xdr:col>
      <xdr:colOff>104775</xdr:colOff>
      <xdr:row>71</xdr:row>
      <xdr:rowOff>38100</xdr:rowOff>
    </xdr:to>
    <xdr:sp macro="" textlink="">
      <xdr:nvSpPr>
        <xdr:cNvPr id="809876" name="Rectangle 1"/>
        <xdr:cNvSpPr>
          <a:spLocks noChangeArrowheads="1"/>
        </xdr:cNvSpPr>
      </xdr:nvSpPr>
      <xdr:spPr bwMode="auto">
        <a:xfrm>
          <a:off x="10067925" y="11563350"/>
          <a:ext cx="247650" cy="161925"/>
        </a:xfrm>
        <a:prstGeom prst="rect">
          <a:avLst/>
        </a:prstGeom>
        <a:solidFill>
          <a:srgbClr val="BFBFBF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479535</xdr:colOff>
      <xdr:row>62</xdr:row>
      <xdr:rowOff>18395</xdr:rowOff>
    </xdr:from>
    <xdr:to>
      <xdr:col>13</xdr:col>
      <xdr:colOff>27590</xdr:colOff>
      <xdr:row>63</xdr:row>
      <xdr:rowOff>170796</xdr:rowOff>
    </xdr:to>
    <xdr:grpSp>
      <xdr:nvGrpSpPr>
        <xdr:cNvPr id="79" name="Group 78"/>
        <xdr:cNvGrpSpPr/>
      </xdr:nvGrpSpPr>
      <xdr:grpSpPr>
        <a:xfrm>
          <a:off x="955785" y="9910788"/>
          <a:ext cx="541376" cy="342901"/>
          <a:chOff x="4204138" y="9569671"/>
          <a:chExt cx="533400" cy="316625"/>
        </a:xfrm>
      </xdr:grpSpPr>
      <xdr:sp macro="" textlink="">
        <xdr:nvSpPr>
          <xdr:cNvPr id="80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1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2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131006</xdr:colOff>
      <xdr:row>37</xdr:row>
      <xdr:rowOff>26276</xdr:rowOff>
    </xdr:from>
    <xdr:to>
      <xdr:col>8</xdr:col>
      <xdr:colOff>378656</xdr:colOff>
      <xdr:row>39</xdr:row>
      <xdr:rowOff>6568</xdr:rowOff>
    </xdr:to>
    <xdr:sp macro="" textlink="">
      <xdr:nvSpPr>
        <xdr:cNvPr id="87" name="Rectangle 75"/>
        <xdr:cNvSpPr>
          <a:spLocks noChangeArrowheads="1"/>
        </xdr:cNvSpPr>
      </xdr:nvSpPr>
      <xdr:spPr bwMode="auto">
        <a:xfrm rot="-5400000">
          <a:off x="4306006" y="6083847"/>
          <a:ext cx="2796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131006</xdr:colOff>
      <xdr:row>43</xdr:row>
      <xdr:rowOff>39413</xdr:rowOff>
    </xdr:from>
    <xdr:to>
      <xdr:col>8</xdr:col>
      <xdr:colOff>378656</xdr:colOff>
      <xdr:row>45</xdr:row>
      <xdr:rowOff>6569</xdr:rowOff>
    </xdr:to>
    <xdr:sp macro="" textlink="">
      <xdr:nvSpPr>
        <xdr:cNvPr id="88" name="Rectangle 76"/>
        <xdr:cNvSpPr>
          <a:spLocks noChangeArrowheads="1"/>
        </xdr:cNvSpPr>
      </xdr:nvSpPr>
      <xdr:spPr bwMode="auto">
        <a:xfrm rot="-5400000">
          <a:off x="4312574" y="6988488"/>
          <a:ext cx="26651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131006</xdr:colOff>
      <xdr:row>51</xdr:row>
      <xdr:rowOff>6568</xdr:rowOff>
    </xdr:from>
    <xdr:to>
      <xdr:col>8</xdr:col>
      <xdr:colOff>378656</xdr:colOff>
      <xdr:row>52</xdr:row>
      <xdr:rowOff>144516</xdr:rowOff>
    </xdr:to>
    <xdr:sp macro="" textlink="">
      <xdr:nvSpPr>
        <xdr:cNvPr id="89" name="Rectangle 77"/>
        <xdr:cNvSpPr>
          <a:spLocks noChangeArrowheads="1"/>
        </xdr:cNvSpPr>
      </xdr:nvSpPr>
      <xdr:spPr bwMode="auto">
        <a:xfrm rot="-5400000">
          <a:off x="4302017" y="8163628"/>
          <a:ext cx="287627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340556</xdr:colOff>
      <xdr:row>38</xdr:row>
      <xdr:rowOff>13139</xdr:rowOff>
    </xdr:from>
    <xdr:to>
      <xdr:col>9</xdr:col>
      <xdr:colOff>159581</xdr:colOff>
      <xdr:row>38</xdr:row>
      <xdr:rowOff>13139</xdr:rowOff>
    </xdr:to>
    <xdr:sp macro="" textlink="">
      <xdr:nvSpPr>
        <xdr:cNvPr id="90" name="Line 78"/>
        <xdr:cNvSpPr>
          <a:spLocks noChangeShapeType="1"/>
        </xdr:cNvSpPr>
      </xdr:nvSpPr>
      <xdr:spPr bwMode="auto">
        <a:xfrm>
          <a:off x="4531556" y="6204389"/>
          <a:ext cx="376918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321506</xdr:colOff>
      <xdr:row>43</xdr:row>
      <xdr:rowOff>144517</xdr:rowOff>
    </xdr:from>
    <xdr:to>
      <xdr:col>9</xdr:col>
      <xdr:colOff>140531</xdr:colOff>
      <xdr:row>44</xdr:row>
      <xdr:rowOff>2956</xdr:rowOff>
    </xdr:to>
    <xdr:sp macro="" textlink="">
      <xdr:nvSpPr>
        <xdr:cNvPr id="91" name="Line 79"/>
        <xdr:cNvSpPr>
          <a:spLocks noChangeShapeType="1"/>
        </xdr:cNvSpPr>
      </xdr:nvSpPr>
      <xdr:spPr bwMode="auto">
        <a:xfrm flipH="1">
          <a:off x="4512506" y="7084160"/>
          <a:ext cx="376918" cy="8117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340556</xdr:colOff>
      <xdr:row>52</xdr:row>
      <xdr:rowOff>0</xdr:rowOff>
    </xdr:from>
    <xdr:to>
      <xdr:col>9</xdr:col>
      <xdr:colOff>159581</xdr:colOff>
      <xdr:row>52</xdr:row>
      <xdr:rowOff>9525</xdr:rowOff>
    </xdr:to>
    <xdr:sp macro="" textlink="">
      <xdr:nvSpPr>
        <xdr:cNvPr id="92" name="Line 80"/>
        <xdr:cNvSpPr>
          <a:spLocks noChangeShapeType="1"/>
        </xdr:cNvSpPr>
      </xdr:nvSpPr>
      <xdr:spPr bwMode="auto">
        <a:xfrm flipH="1">
          <a:off x="4531556" y="8286750"/>
          <a:ext cx="376918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107075</xdr:colOff>
      <xdr:row>37</xdr:row>
      <xdr:rowOff>26276</xdr:rowOff>
    </xdr:from>
    <xdr:to>
      <xdr:col>30</xdr:col>
      <xdr:colOff>354725</xdr:colOff>
      <xdr:row>39</xdr:row>
      <xdr:rowOff>6568</xdr:rowOff>
    </xdr:to>
    <xdr:sp macro="" textlink="">
      <xdr:nvSpPr>
        <xdr:cNvPr id="93" name="Rectangle 75"/>
        <xdr:cNvSpPr>
          <a:spLocks noChangeArrowheads="1"/>
        </xdr:cNvSpPr>
      </xdr:nvSpPr>
      <xdr:spPr bwMode="auto">
        <a:xfrm rot="-5400000">
          <a:off x="11434270" y="6119977"/>
          <a:ext cx="28246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107075</xdr:colOff>
      <xdr:row>43</xdr:row>
      <xdr:rowOff>39413</xdr:rowOff>
    </xdr:from>
    <xdr:to>
      <xdr:col>30</xdr:col>
      <xdr:colOff>354725</xdr:colOff>
      <xdr:row>45</xdr:row>
      <xdr:rowOff>6569</xdr:rowOff>
    </xdr:to>
    <xdr:sp macro="" textlink="">
      <xdr:nvSpPr>
        <xdr:cNvPr id="94" name="Rectangle 76"/>
        <xdr:cNvSpPr>
          <a:spLocks noChangeArrowheads="1"/>
        </xdr:cNvSpPr>
      </xdr:nvSpPr>
      <xdr:spPr bwMode="auto">
        <a:xfrm rot="-5400000">
          <a:off x="11440838" y="7033063"/>
          <a:ext cx="269329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107075</xdr:colOff>
      <xdr:row>51</xdr:row>
      <xdr:rowOff>6568</xdr:rowOff>
    </xdr:from>
    <xdr:to>
      <xdr:col>30</xdr:col>
      <xdr:colOff>354725</xdr:colOff>
      <xdr:row>52</xdr:row>
      <xdr:rowOff>144516</xdr:rowOff>
    </xdr:to>
    <xdr:sp macro="" textlink="">
      <xdr:nvSpPr>
        <xdr:cNvPr id="95" name="Rectangle 77"/>
        <xdr:cNvSpPr>
          <a:spLocks noChangeArrowheads="1"/>
        </xdr:cNvSpPr>
      </xdr:nvSpPr>
      <xdr:spPr bwMode="auto">
        <a:xfrm rot="-5400000">
          <a:off x="11430986" y="8218760"/>
          <a:ext cx="289034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316625</xdr:colOff>
      <xdr:row>38</xdr:row>
      <xdr:rowOff>13139</xdr:rowOff>
    </xdr:from>
    <xdr:to>
      <xdr:col>31</xdr:col>
      <xdr:colOff>240753</xdr:colOff>
      <xdr:row>38</xdr:row>
      <xdr:rowOff>13139</xdr:rowOff>
    </xdr:to>
    <xdr:sp macro="" textlink="">
      <xdr:nvSpPr>
        <xdr:cNvPr id="96" name="Line 78"/>
        <xdr:cNvSpPr>
          <a:spLocks noChangeShapeType="1"/>
        </xdr:cNvSpPr>
      </xdr:nvSpPr>
      <xdr:spPr bwMode="auto">
        <a:xfrm>
          <a:off x="11661228" y="6240518"/>
          <a:ext cx="383956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297575</xdr:colOff>
      <xdr:row>43</xdr:row>
      <xdr:rowOff>144517</xdr:rowOff>
    </xdr:from>
    <xdr:to>
      <xdr:col>31</xdr:col>
      <xdr:colOff>221703</xdr:colOff>
      <xdr:row>44</xdr:row>
      <xdr:rowOff>2956</xdr:rowOff>
    </xdr:to>
    <xdr:sp macro="" textlink="">
      <xdr:nvSpPr>
        <xdr:cNvPr id="97" name="Line 79"/>
        <xdr:cNvSpPr>
          <a:spLocks noChangeShapeType="1"/>
        </xdr:cNvSpPr>
      </xdr:nvSpPr>
      <xdr:spPr bwMode="auto">
        <a:xfrm flipH="1">
          <a:off x="11642178" y="7127327"/>
          <a:ext cx="383956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316625</xdr:colOff>
      <xdr:row>52</xdr:row>
      <xdr:rowOff>0</xdr:rowOff>
    </xdr:from>
    <xdr:to>
      <xdr:col>31</xdr:col>
      <xdr:colOff>240753</xdr:colOff>
      <xdr:row>52</xdr:row>
      <xdr:rowOff>9525</xdr:rowOff>
    </xdr:to>
    <xdr:sp macro="" textlink="">
      <xdr:nvSpPr>
        <xdr:cNvPr id="98" name="Line 80"/>
        <xdr:cNvSpPr>
          <a:spLocks noChangeShapeType="1"/>
        </xdr:cNvSpPr>
      </xdr:nvSpPr>
      <xdr:spPr bwMode="auto">
        <a:xfrm flipH="1">
          <a:off x="11661228" y="8342586"/>
          <a:ext cx="383956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83005</xdr:colOff>
      <xdr:row>32</xdr:row>
      <xdr:rowOff>38100</xdr:rowOff>
    </xdr:from>
    <xdr:to>
      <xdr:col>12</xdr:col>
      <xdr:colOff>330655</xdr:colOff>
      <xdr:row>33</xdr:row>
      <xdr:rowOff>144517</xdr:rowOff>
    </xdr:to>
    <xdr:sp macro="" textlink="">
      <xdr:nvSpPr>
        <xdr:cNvPr id="99" name="Rectangle 73"/>
        <xdr:cNvSpPr>
          <a:spLocks noChangeArrowheads="1"/>
        </xdr:cNvSpPr>
      </xdr:nvSpPr>
      <xdr:spPr bwMode="auto">
        <a:xfrm rot="-5400000">
          <a:off x="5984282" y="5335502"/>
          <a:ext cx="25609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96613</xdr:colOff>
      <xdr:row>32</xdr:row>
      <xdr:rowOff>38100</xdr:rowOff>
    </xdr:from>
    <xdr:to>
      <xdr:col>30</xdr:col>
      <xdr:colOff>344263</xdr:colOff>
      <xdr:row>33</xdr:row>
      <xdr:rowOff>144517</xdr:rowOff>
    </xdr:to>
    <xdr:sp macro="" textlink="">
      <xdr:nvSpPr>
        <xdr:cNvPr id="100" name="Rectangle 73"/>
        <xdr:cNvSpPr>
          <a:spLocks noChangeArrowheads="1"/>
        </xdr:cNvSpPr>
      </xdr:nvSpPr>
      <xdr:spPr bwMode="auto">
        <a:xfrm rot="-5400000">
          <a:off x="14556783" y="5335502"/>
          <a:ext cx="25609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479535</xdr:colOff>
      <xdr:row>62</xdr:row>
      <xdr:rowOff>52012</xdr:rowOff>
    </xdr:from>
    <xdr:to>
      <xdr:col>31</xdr:col>
      <xdr:colOff>16384</xdr:colOff>
      <xdr:row>64</xdr:row>
      <xdr:rowOff>13913</xdr:rowOff>
    </xdr:to>
    <xdr:grpSp>
      <xdr:nvGrpSpPr>
        <xdr:cNvPr id="101" name="Group 100"/>
        <xdr:cNvGrpSpPr/>
      </xdr:nvGrpSpPr>
      <xdr:grpSpPr>
        <a:xfrm>
          <a:off x="4942678" y="8746976"/>
          <a:ext cx="530170" cy="342901"/>
          <a:chOff x="4204138" y="9569671"/>
          <a:chExt cx="533400" cy="316625"/>
        </a:xfrm>
      </xdr:grpSpPr>
      <xdr:sp macro="" textlink="">
        <xdr:nvSpPr>
          <xdr:cNvPr id="102" name="Rectangle 82"/>
          <xdr:cNvSpPr>
            <a:spLocks noChangeArrowheads="1"/>
          </xdr:cNvSpPr>
        </xdr:nvSpPr>
        <xdr:spPr bwMode="auto">
          <a:xfrm rot="16200000">
            <a:off x="4315482" y="9604159"/>
            <a:ext cx="316625" cy="2476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3" name="Rectangle 83"/>
          <xdr:cNvSpPr>
            <a:spLocks noChangeArrowheads="1"/>
          </xdr:cNvSpPr>
        </xdr:nvSpPr>
        <xdr:spPr bwMode="auto">
          <a:xfrm>
            <a:off x="4204138" y="9656569"/>
            <a:ext cx="533400" cy="1027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4" name="Line 84"/>
          <xdr:cNvSpPr>
            <a:spLocks noChangeShapeType="1"/>
          </xdr:cNvSpPr>
        </xdr:nvSpPr>
        <xdr:spPr bwMode="auto">
          <a:xfrm>
            <a:off x="431843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" name="Line 85"/>
          <xdr:cNvSpPr>
            <a:spLocks noChangeShapeType="1"/>
          </xdr:cNvSpPr>
        </xdr:nvSpPr>
        <xdr:spPr bwMode="auto">
          <a:xfrm>
            <a:off x="4423213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" name="Line 86"/>
          <xdr:cNvSpPr>
            <a:spLocks noChangeShapeType="1"/>
          </xdr:cNvSpPr>
        </xdr:nvSpPr>
        <xdr:spPr bwMode="auto">
          <a:xfrm>
            <a:off x="452798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" name="Line 87"/>
          <xdr:cNvSpPr>
            <a:spLocks noChangeShapeType="1"/>
          </xdr:cNvSpPr>
        </xdr:nvSpPr>
        <xdr:spPr bwMode="auto">
          <a:xfrm>
            <a:off x="4623238" y="9681456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" name="Line 88"/>
          <xdr:cNvSpPr>
            <a:spLocks noChangeShapeType="1"/>
          </xdr:cNvSpPr>
        </xdr:nvSpPr>
        <xdr:spPr bwMode="auto">
          <a:xfrm>
            <a:off x="4223188" y="9687443"/>
            <a:ext cx="76200" cy="5388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38100</xdr:colOff>
          <xdr:row>0</xdr:row>
          <xdr:rowOff>38100</xdr:rowOff>
        </xdr:from>
        <xdr:to>
          <xdr:col>26</xdr:col>
          <xdr:colOff>447676</xdr:colOff>
          <xdr:row>0</xdr:row>
          <xdr:rowOff>647700</xdr:rowOff>
        </xdr:to>
        <xdr:pic>
          <xdr:nvPicPr>
            <xdr:cNvPr id="686587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11185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01100" y="38100"/>
              <a:ext cx="6076950" cy="609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9525</xdr:colOff>
      <xdr:row>27</xdr:row>
      <xdr:rowOff>28575</xdr:rowOff>
    </xdr:from>
    <xdr:to>
      <xdr:col>17</xdr:col>
      <xdr:colOff>342900</xdr:colOff>
      <xdr:row>79</xdr:row>
      <xdr:rowOff>85725</xdr:rowOff>
    </xdr:to>
    <xdr:pic>
      <xdr:nvPicPr>
        <xdr:cNvPr id="686588" name="Picture 13" descr="CEN-015-2 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85" t="23578" r="-1500" b="7796"/>
        <a:stretch>
          <a:fillRect/>
        </a:stretch>
      </xdr:blipFill>
      <xdr:spPr bwMode="auto">
        <a:xfrm>
          <a:off x="8629650" y="4762500"/>
          <a:ext cx="1828800" cy="837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390525</xdr:colOff>
      <xdr:row>27</xdr:row>
      <xdr:rowOff>38100</xdr:rowOff>
    </xdr:from>
    <xdr:to>
      <xdr:col>15</xdr:col>
      <xdr:colOff>0</xdr:colOff>
      <xdr:row>69</xdr:row>
      <xdr:rowOff>133350</xdr:rowOff>
    </xdr:to>
    <xdr:pic>
      <xdr:nvPicPr>
        <xdr:cNvPr id="68658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98" r="-1137" b="-99"/>
        <a:stretch>
          <a:fillRect/>
        </a:stretch>
      </xdr:blipFill>
      <xdr:spPr bwMode="auto">
        <a:xfrm>
          <a:off x="6924675" y="4772025"/>
          <a:ext cx="1695450" cy="675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542925</xdr:colOff>
      <xdr:row>27</xdr:row>
      <xdr:rowOff>0</xdr:rowOff>
    </xdr:from>
    <xdr:to>
      <xdr:col>2</xdr:col>
      <xdr:colOff>552450</xdr:colOff>
      <xdr:row>73</xdr:row>
      <xdr:rowOff>123825</xdr:rowOff>
    </xdr:to>
    <xdr:pic>
      <xdr:nvPicPr>
        <xdr:cNvPr id="68659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06"/>
        <a:stretch>
          <a:fillRect/>
        </a:stretch>
      </xdr:blipFill>
      <xdr:spPr bwMode="auto">
        <a:xfrm>
          <a:off x="723900" y="4733925"/>
          <a:ext cx="1362075" cy="7467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542925</xdr:colOff>
      <xdr:row>18</xdr:row>
      <xdr:rowOff>19050</xdr:rowOff>
    </xdr:from>
    <xdr:to>
      <xdr:col>2</xdr:col>
      <xdr:colOff>552450</xdr:colOff>
      <xdr:row>26</xdr:row>
      <xdr:rowOff>142875</xdr:rowOff>
    </xdr:to>
    <xdr:pic>
      <xdr:nvPicPr>
        <xdr:cNvPr id="68659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723900" y="3381375"/>
          <a:ext cx="1362075" cy="134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552450</xdr:colOff>
      <xdr:row>9</xdr:row>
      <xdr:rowOff>85725</xdr:rowOff>
    </xdr:from>
    <xdr:to>
      <xdr:col>2</xdr:col>
      <xdr:colOff>561975</xdr:colOff>
      <xdr:row>16</xdr:row>
      <xdr:rowOff>133350</xdr:rowOff>
    </xdr:to>
    <xdr:pic>
      <xdr:nvPicPr>
        <xdr:cNvPr id="68659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45" b="84891"/>
        <a:stretch>
          <a:fillRect/>
        </a:stretch>
      </xdr:blipFill>
      <xdr:spPr bwMode="auto">
        <a:xfrm>
          <a:off x="733425" y="2066925"/>
          <a:ext cx="1362075" cy="1123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419100</xdr:colOff>
      <xdr:row>18</xdr:row>
      <xdr:rowOff>28575</xdr:rowOff>
    </xdr:from>
    <xdr:to>
      <xdr:col>14</xdr:col>
      <xdr:colOff>742950</xdr:colOff>
      <xdr:row>27</xdr:row>
      <xdr:rowOff>0</xdr:rowOff>
    </xdr:to>
    <xdr:pic>
      <xdr:nvPicPr>
        <xdr:cNvPr id="68659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26" b="72162"/>
        <a:stretch>
          <a:fillRect/>
        </a:stretch>
      </xdr:blipFill>
      <xdr:spPr bwMode="auto">
        <a:xfrm>
          <a:off x="6953250" y="3390900"/>
          <a:ext cx="1362075" cy="1343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428625</xdr:colOff>
      <xdr:row>9</xdr:row>
      <xdr:rowOff>95250</xdr:rowOff>
    </xdr:from>
    <xdr:to>
      <xdr:col>14</xdr:col>
      <xdr:colOff>752475</xdr:colOff>
      <xdr:row>16</xdr:row>
      <xdr:rowOff>123825</xdr:rowOff>
    </xdr:to>
    <xdr:pic>
      <xdr:nvPicPr>
        <xdr:cNvPr id="68659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6" b="84891"/>
        <a:stretch>
          <a:fillRect/>
        </a:stretch>
      </xdr:blipFill>
      <xdr:spPr bwMode="auto">
        <a:xfrm>
          <a:off x="6962775" y="2076450"/>
          <a:ext cx="136207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419100</xdr:colOff>
      <xdr:row>9</xdr:row>
      <xdr:rowOff>85725</xdr:rowOff>
    </xdr:from>
    <xdr:to>
      <xdr:col>17</xdr:col>
      <xdr:colOff>428625</xdr:colOff>
      <xdr:row>16</xdr:row>
      <xdr:rowOff>123825</xdr:rowOff>
    </xdr:to>
    <xdr:pic>
      <xdr:nvPicPr>
        <xdr:cNvPr id="68659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0" b="72162"/>
        <a:stretch>
          <a:fillRect/>
        </a:stretch>
      </xdr:blipFill>
      <xdr:spPr bwMode="auto">
        <a:xfrm>
          <a:off x="9182100" y="2066925"/>
          <a:ext cx="1362075" cy="1114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438150</xdr:colOff>
      <xdr:row>18</xdr:row>
      <xdr:rowOff>38100</xdr:rowOff>
    </xdr:from>
    <xdr:to>
      <xdr:col>17</xdr:col>
      <xdr:colOff>447675</xdr:colOff>
      <xdr:row>26</xdr:row>
      <xdr:rowOff>123825</xdr:rowOff>
    </xdr:to>
    <xdr:pic>
      <xdr:nvPicPr>
        <xdr:cNvPr id="68659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9" b="84891"/>
        <a:stretch>
          <a:fillRect/>
        </a:stretch>
      </xdr:blipFill>
      <xdr:spPr bwMode="auto">
        <a:xfrm>
          <a:off x="9201150" y="3400425"/>
          <a:ext cx="1362075" cy="1304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16</xdr:col>
          <xdr:colOff>676275</xdr:colOff>
          <xdr:row>2</xdr:row>
          <xdr:rowOff>419100</xdr:rowOff>
        </xdr:to>
        <xdr:pic>
          <xdr:nvPicPr>
            <xdr:cNvPr id="43360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436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11858625" cy="11906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14</xdr:col>
          <xdr:colOff>635454</xdr:colOff>
          <xdr:row>2</xdr:row>
          <xdr:rowOff>219075</xdr:rowOff>
        </xdr:to>
        <xdr:pic>
          <xdr:nvPicPr>
            <xdr:cNvPr id="44296" name="Picture 1"/>
            <xdr:cNvPicPr>
              <a:picLocks noChangeAspect="1" noChangeArrowheads="1"/>
              <a:extLst>
                <a:ext uri="{84589F7E-364E-4C9E-8A38-B11213B215E9}">
                  <a14:cameraTool cellRange="General!$B$47:$G$51" spid="_x0000_s446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50" y="19050"/>
              <a:ext cx="9867900" cy="990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12560</xdr:colOff>
      <xdr:row>133</xdr:row>
      <xdr:rowOff>148877</xdr:rowOff>
    </xdr:from>
    <xdr:to>
      <xdr:col>3</xdr:col>
      <xdr:colOff>862852</xdr:colOff>
      <xdr:row>169</xdr:row>
      <xdr:rowOff>46425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16807</xdr:colOff>
      <xdr:row>133</xdr:row>
      <xdr:rowOff>152400</xdr:rowOff>
    </xdr:from>
    <xdr:to>
      <xdr:col>14</xdr:col>
      <xdr:colOff>746125</xdr:colOff>
      <xdr:row>150</xdr:row>
      <xdr:rowOff>67235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272675</xdr:colOff>
      <xdr:row>152</xdr:row>
      <xdr:rowOff>123265</xdr:rowOff>
    </xdr:from>
    <xdr:to>
      <xdr:col>14</xdr:col>
      <xdr:colOff>736786</xdr:colOff>
      <xdr:row>169</xdr:row>
      <xdr:rowOff>44824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50426</xdr:colOff>
      <xdr:row>171</xdr:row>
      <xdr:rowOff>51547</xdr:rowOff>
    </xdr:from>
    <xdr:to>
      <xdr:col>3</xdr:col>
      <xdr:colOff>840441</xdr:colOff>
      <xdr:row>188</xdr:row>
      <xdr:rowOff>127747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5601</xdr:colOff>
      <xdr:row>171</xdr:row>
      <xdr:rowOff>73958</xdr:rowOff>
    </xdr:from>
    <xdr:to>
      <xdr:col>14</xdr:col>
      <xdr:colOff>784410</xdr:colOff>
      <xdr:row>188</xdr:row>
      <xdr:rowOff>150158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0.4442</cdr:x>
      <cdr:y>0.13684</cdr:y>
    </cdr:from>
    <cdr:to>
      <cdr:x>0.74655</cdr:x>
      <cdr:y>0.30173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3351" y="75879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CH" sz="1100"/>
        </a:p>
      </cdr:txBody>
    </cdr:sp>
  </cdr:relSizeAnchor>
  <cdr:relSizeAnchor xmlns:cdr="http://schemas.openxmlformats.org/drawingml/2006/chartDrawing">
    <cdr:from>
      <cdr:x>0.0292</cdr:x>
      <cdr:y>0</cdr:y>
    </cdr:from>
    <cdr:to>
      <cdr:x>0.33155</cdr:x>
      <cdr:y>0.1649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293" y="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1100"/>
            <a:t>[°C]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0</xdr:row>
      <xdr:rowOff>38100</xdr:rowOff>
    </xdr:from>
    <xdr:to>
      <xdr:col>3</xdr:col>
      <xdr:colOff>161925</xdr:colOff>
      <xdr:row>1</xdr:row>
      <xdr:rowOff>209550</xdr:rowOff>
    </xdr:to>
    <xdr:pic>
      <xdr:nvPicPr>
        <xdr:cNvPr id="4859" name="Picture 1" descr="holcim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"/>
          <a:ext cx="942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13</xdr:col>
      <xdr:colOff>0</xdr:colOff>
      <xdr:row>2</xdr:row>
      <xdr:rowOff>0</xdr:rowOff>
    </xdr:to>
    <xdr:graphicFrame macro="">
      <xdr:nvGraphicFramePr>
        <xdr:cNvPr id="486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28</xdr:row>
      <xdr:rowOff>28575</xdr:rowOff>
    </xdr:from>
    <xdr:to>
      <xdr:col>20</xdr:col>
      <xdr:colOff>438150</xdr:colOff>
      <xdr:row>51</xdr:row>
      <xdr:rowOff>9525</xdr:rowOff>
    </xdr:to>
    <xdr:graphicFrame macro="">
      <xdr:nvGraphicFramePr>
        <xdr:cNvPr id="486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0.27655</cdr:x>
      <cdr:y>0.40298</cdr:y>
    </cdr:from>
    <cdr:to>
      <cdr:x>0.47182</cdr:x>
      <cdr:y>0.44018</cdr:y>
    </cdr:to>
    <cdr:sp macro="" textlink="">
      <cdr:nvSpPr>
        <cdr:cNvPr id="5121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342248" y="298731"/>
          <a:ext cx="1651683" cy="27282"/>
        </a:xfrm>
        <a:custGeom xmlns:a="http://schemas.openxmlformats.org/drawingml/2006/main">
          <a:avLst/>
          <a:gdLst>
            <a:gd name="T0" fmla="*/ 0 w 1047750"/>
            <a:gd name="T1" fmla="*/ 295275 h 476250"/>
            <a:gd name="T2" fmla="*/ 1047750 w 1047750"/>
            <a:gd name="T3" fmla="*/ 0 h 476250"/>
            <a:gd name="T4" fmla="*/ 1047750 w 1047750"/>
            <a:gd name="T5" fmla="*/ 200025 h 476250"/>
            <a:gd name="T6" fmla="*/ 0 w 1047750"/>
            <a:gd name="T7" fmla="*/ 476250 h 476250"/>
            <a:gd name="T8" fmla="*/ 0 w 1047750"/>
            <a:gd name="T9" fmla="*/ 295275 h 4762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047750" h="476250">
              <a:moveTo>
                <a:pt x="0" y="295275"/>
              </a:moveTo>
              <a:lnTo>
                <a:pt x="1047750" y="0"/>
              </a:lnTo>
              <a:lnTo>
                <a:pt x="1047750" y="200025"/>
              </a:lnTo>
              <a:lnTo>
                <a:pt x="0" y="476250"/>
              </a:lnTo>
              <a:lnTo>
                <a:pt x="0" y="295275"/>
              </a:lnTo>
              <a:close/>
            </a:path>
          </a:pathLst>
        </a:custGeom>
        <a:solidFill xmlns:a="http://schemas.openxmlformats.org/drawingml/2006/main">
          <a:srgbClr xmlns:mc="http://schemas.openxmlformats.org/markup-compatibility/2006" xmlns:a14="http://schemas.microsoft.com/office/drawing/2010/main" val="CCFFCC" mc:Ignorable="a14" a14:legacySpreadsheetColorIndex="42">
            <a:alpha val="50000"/>
          </a:srgbClr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 cap="flat" cmpd="sng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CH"/>
        </a:p>
      </cdr:txBody>
    </cdr:sp>
  </cdr:relSizeAnchor>
  <cdr:relSizeAnchor xmlns:cdr="http://schemas.openxmlformats.org/drawingml/2006/chartDrawing">
    <cdr:from>
      <cdr:x>0.39396</cdr:x>
      <cdr:y>0</cdr:y>
    </cdr:from>
    <cdr:to>
      <cdr:x>0.41411</cdr:x>
      <cdr:y>1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28440" y="0"/>
          <a:ext cx="170239" cy="4424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9144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de-CH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Range of SNCR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HOLCIM 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F1100"/>
      </a:accent1>
      <a:accent2>
        <a:srgbClr val="8B8D8E"/>
      </a:accent2>
      <a:accent3>
        <a:srgbClr val="8A7967"/>
      </a:accent3>
      <a:accent4>
        <a:srgbClr val="753F00"/>
      </a:accent4>
      <a:accent5>
        <a:srgbClr val="F38F17"/>
      </a:accent5>
      <a:accent6>
        <a:srgbClr val="003D7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indexed="33"/>
  </sheetPr>
  <dimension ref="I1:I42"/>
  <sheetViews>
    <sheetView zoomScale="85" workbookViewId="0">
      <selection activeCell="I4" sqref="I4"/>
    </sheetView>
  </sheetViews>
  <sheetFormatPr defaultRowHeight="12.75"/>
  <cols>
    <col min="4" max="4" width="9.28515625" customWidth="1"/>
  </cols>
  <sheetData>
    <row r="1" ht="49.5" customHeight="1"/>
    <row r="42" spans="9:9">
      <c r="I42" s="40" t="str">
        <f ca="1">MID(CELL("filename"),SEARCH("[",CELL("filename"))+1, SEARCH("]",CELL("filename"))-SEARCH("[",CELL("filename"))-1)</f>
        <v>PH tool 1.1_PPE Tool Day_SOLUTION.xlsx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>
    <tabColor indexed="22"/>
    <pageSetUpPr fitToPage="1"/>
  </sheetPr>
  <dimension ref="B1:R179"/>
  <sheetViews>
    <sheetView tabSelected="1" topLeftCell="C1" zoomScaleNormal="100" workbookViewId="0">
      <selection activeCell="G84" sqref="G84"/>
    </sheetView>
  </sheetViews>
  <sheetFormatPr defaultRowHeight="12.75"/>
  <cols>
    <col min="1" max="1" width="4.42578125" style="25" customWidth="1"/>
    <col min="2" max="2" width="33.5703125" style="25" customWidth="1"/>
    <col min="3" max="3" width="54.7109375" style="25" customWidth="1"/>
    <col min="4" max="4" width="14" style="25" customWidth="1"/>
    <col min="5" max="5" width="10.7109375" style="25" customWidth="1"/>
    <col min="6" max="6" width="12.42578125" style="25" customWidth="1"/>
    <col min="7" max="7" width="21.28515625" style="25" customWidth="1"/>
    <col min="8" max="8" width="4" style="25" customWidth="1"/>
    <col min="9" max="16" width="9.140625" style="25" hidden="1" customWidth="1"/>
    <col min="17" max="16384" width="9.140625" style="25"/>
  </cols>
  <sheetData>
    <row r="1" spans="2:6" s="24" customFormat="1" ht="13.5" thickBot="1"/>
    <row r="2" spans="2:6" hidden="1"/>
    <row r="3" spans="2:6" hidden="1"/>
    <row r="4" spans="2:6" hidden="1"/>
    <row r="5" spans="2:6" hidden="1"/>
    <row r="6" spans="2:6" hidden="1"/>
    <row r="7" spans="2:6" hidden="1"/>
    <row r="8" spans="2:6" hidden="1"/>
    <row r="9" spans="2:6" hidden="1"/>
    <row r="10" spans="2:6" hidden="1"/>
    <row r="11" spans="2:6" hidden="1"/>
    <row r="12" spans="2:6" hidden="1"/>
    <row r="13" spans="2:6" ht="15" hidden="1">
      <c r="B13" s="162"/>
      <c r="C13" s="163"/>
      <c r="D13" s="164"/>
      <c r="E13" s="165"/>
      <c r="F13" s="166"/>
    </row>
    <row r="14" spans="2:6" ht="15" hidden="1">
      <c r="B14" s="162"/>
      <c r="C14" s="163"/>
      <c r="D14" s="164"/>
      <c r="E14" s="165"/>
      <c r="F14" s="166"/>
    </row>
    <row r="15" spans="2:6" ht="15" hidden="1">
      <c r="B15" s="162"/>
      <c r="C15" s="255"/>
      <c r="D15" s="164"/>
      <c r="E15" s="165"/>
      <c r="F15" s="166"/>
    </row>
    <row r="16" spans="2:6" ht="15" hidden="1">
      <c r="B16" s="162"/>
      <c r="C16" s="163"/>
      <c r="D16" s="164"/>
      <c r="E16" s="165"/>
      <c r="F16" s="166"/>
    </row>
    <row r="17" spans="2:6" ht="15" hidden="1">
      <c r="B17" s="162"/>
      <c r="C17" s="163"/>
      <c r="D17" s="164"/>
      <c r="E17" s="165"/>
      <c r="F17" s="166"/>
    </row>
    <row r="18" spans="2:6" ht="15" hidden="1">
      <c r="B18" s="162"/>
      <c r="C18" s="163"/>
      <c r="D18" s="164"/>
      <c r="E18" s="165"/>
      <c r="F18" s="166"/>
    </row>
    <row r="19" spans="2:6" ht="15" hidden="1">
      <c r="B19" s="162"/>
      <c r="C19" s="163"/>
      <c r="D19" s="164"/>
      <c r="E19" s="165"/>
      <c r="F19" s="166"/>
    </row>
    <row r="20" spans="2:6" ht="15" hidden="1">
      <c r="B20" s="162"/>
      <c r="C20" s="163"/>
      <c r="D20" s="164"/>
      <c r="E20" s="165"/>
      <c r="F20" s="166"/>
    </row>
    <row r="21" spans="2:6" ht="15" hidden="1">
      <c r="B21" s="162"/>
      <c r="C21" s="163"/>
      <c r="D21" s="164"/>
      <c r="E21" s="165"/>
      <c r="F21" s="166"/>
    </row>
    <row r="22" spans="2:6" ht="15" hidden="1">
      <c r="B22" s="162"/>
      <c r="C22" s="163"/>
      <c r="D22" s="164"/>
      <c r="E22" s="165"/>
      <c r="F22" s="166"/>
    </row>
    <row r="23" spans="2:6" ht="15" hidden="1">
      <c r="B23" s="162"/>
      <c r="C23" s="163"/>
      <c r="D23" s="164"/>
      <c r="E23" s="165"/>
      <c r="F23" s="166"/>
    </row>
    <row r="24" spans="2:6" ht="15" hidden="1">
      <c r="B24" s="162"/>
      <c r="C24" s="163"/>
      <c r="D24" s="164"/>
      <c r="E24" s="165"/>
      <c r="F24" s="166"/>
    </row>
    <row r="25" spans="2:6" ht="15" hidden="1">
      <c r="B25" s="162"/>
      <c r="C25" s="163"/>
      <c r="D25" s="164"/>
      <c r="E25" s="165"/>
      <c r="F25" s="166"/>
    </row>
    <row r="26" spans="2:6" ht="15" hidden="1">
      <c r="B26" s="162"/>
      <c r="C26" s="163"/>
      <c r="D26" s="164"/>
      <c r="E26" s="165"/>
      <c r="F26" s="166"/>
    </row>
    <row r="27" spans="2:6" ht="15" hidden="1">
      <c r="B27" s="162"/>
      <c r="C27" s="163"/>
      <c r="D27" s="164"/>
      <c r="E27" s="165"/>
      <c r="F27" s="166"/>
    </row>
    <row r="28" spans="2:6" ht="15" hidden="1">
      <c r="B28" s="162"/>
      <c r="C28" s="163"/>
      <c r="D28" s="164"/>
      <c r="E28" s="165"/>
      <c r="F28" s="166"/>
    </row>
    <row r="29" spans="2:6" ht="15" hidden="1">
      <c r="B29" s="162"/>
      <c r="C29" s="163"/>
      <c r="D29" s="164"/>
      <c r="E29" s="165"/>
      <c r="F29" s="166"/>
    </row>
    <row r="30" spans="2:6" ht="15" hidden="1">
      <c r="B30" s="162"/>
      <c r="C30" s="163"/>
      <c r="D30" s="164"/>
      <c r="E30" s="165"/>
      <c r="F30" s="166"/>
    </row>
    <row r="31" spans="2:6" ht="20.25" hidden="1">
      <c r="B31" s="26" t="s">
        <v>45</v>
      </c>
    </row>
    <row r="32" spans="2:6" hidden="1"/>
    <row r="33" spans="2:16" hidden="1">
      <c r="B33" s="36" t="s">
        <v>53</v>
      </c>
    </row>
    <row r="34" spans="2:16" hidden="1">
      <c r="B34" s="36"/>
    </row>
    <row r="35" spans="2:16" hidden="1">
      <c r="B35" s="36"/>
    </row>
    <row r="36" spans="2:16" ht="15" hidden="1">
      <c r="D36" s="32"/>
    </row>
    <row r="37" spans="2:16" ht="15" hidden="1">
      <c r="B37" s="32"/>
      <c r="C37" s="33"/>
      <c r="D37" s="32"/>
      <c r="E37" s="32"/>
      <c r="F37" s="32"/>
    </row>
    <row r="38" spans="2:16" ht="15" hidden="1">
      <c r="D38" s="32"/>
      <c r="E38" s="32"/>
      <c r="F38" s="32"/>
    </row>
    <row r="39" spans="2:16" ht="15" hidden="1">
      <c r="B39" s="32"/>
      <c r="C39" s="33"/>
      <c r="D39" s="32"/>
      <c r="E39" s="32"/>
      <c r="F39" s="32"/>
    </row>
    <row r="40" spans="2:16" ht="15" hidden="1">
      <c r="B40" s="27"/>
      <c r="C40" s="34"/>
      <c r="D40" s="27"/>
      <c r="F40" s="35"/>
    </row>
    <row r="41" spans="2:16" ht="15" hidden="1">
      <c r="D41" s="28" t="s">
        <v>47</v>
      </c>
    </row>
    <row r="42" spans="2:16" ht="15" hidden="1">
      <c r="B42" s="162"/>
      <c r="C42" s="163"/>
      <c r="D42" s="164"/>
      <c r="E42" s="165"/>
      <c r="F42" s="166"/>
    </row>
    <row r="43" spans="2:16" ht="15" hidden="1">
      <c r="B43" s="162"/>
      <c r="C43" s="163"/>
      <c r="D43" s="164"/>
      <c r="E43" s="165"/>
      <c r="F43" s="166"/>
    </row>
    <row r="44" spans="2:16" ht="15" hidden="1">
      <c r="B44" s="162"/>
      <c r="C44" s="163"/>
      <c r="D44" s="164"/>
      <c r="E44" s="165"/>
      <c r="F44" s="166"/>
    </row>
    <row r="45" spans="2:16" hidden="1"/>
    <row r="46" spans="2:16" ht="13.5" hidden="1" thickBot="1"/>
    <row r="47" spans="2:16" ht="12.75" customHeight="1">
      <c r="B47" s="37"/>
      <c r="C47" s="886" t="s">
        <v>71</v>
      </c>
      <c r="D47" s="688"/>
      <c r="E47" s="29" t="s">
        <v>43</v>
      </c>
      <c r="F47" s="30" t="s">
        <v>2</v>
      </c>
      <c r="G47" s="31" t="s">
        <v>50</v>
      </c>
      <c r="I47" s="649"/>
      <c r="J47" s="649"/>
      <c r="K47" s="649"/>
      <c r="L47" s="649"/>
      <c r="M47" s="649"/>
      <c r="N47" s="649"/>
      <c r="O47" s="649"/>
      <c r="P47" s="649"/>
    </row>
    <row r="48" spans="2:16" ht="15" customHeight="1">
      <c r="B48" s="38"/>
      <c r="C48" s="887"/>
      <c r="D48" s="892" t="s">
        <v>44</v>
      </c>
      <c r="E48" s="894">
        <f>D58</f>
        <v>1</v>
      </c>
      <c r="F48" s="896">
        <f ca="1">D59</f>
        <v>41222</v>
      </c>
      <c r="G48" s="888" t="str">
        <f>D57</f>
        <v>OLV</v>
      </c>
      <c r="I48" s="649"/>
      <c r="J48" s="649"/>
      <c r="K48" s="649"/>
      <c r="L48" s="649"/>
      <c r="M48" s="649"/>
      <c r="N48" s="649"/>
      <c r="O48" s="649"/>
      <c r="P48" s="649"/>
    </row>
    <row r="49" spans="2:16" ht="18" customHeight="1">
      <c r="B49" s="38"/>
      <c r="C49" s="890" t="str">
        <f>$D$55&amp;" - "&amp;$D$56</f>
        <v>Highland - PPE Tool day task</v>
      </c>
      <c r="D49" s="893"/>
      <c r="E49" s="895"/>
      <c r="F49" s="897"/>
      <c r="G49" s="889"/>
      <c r="I49" s="649"/>
      <c r="J49" s="649"/>
      <c r="K49" s="649"/>
      <c r="L49" s="649"/>
      <c r="M49" s="649"/>
      <c r="N49" s="649"/>
      <c r="O49" s="649"/>
      <c r="P49" s="649"/>
    </row>
    <row r="50" spans="2:16" ht="15" customHeight="1">
      <c r="B50" s="39" t="s">
        <v>49</v>
      </c>
      <c r="C50" s="890"/>
      <c r="D50" s="898" t="s">
        <v>396</v>
      </c>
      <c r="E50" s="899"/>
      <c r="F50" s="685"/>
      <c r="G50" s="689" t="str">
        <f>D139</f>
        <v>V 1.1</v>
      </c>
      <c r="I50" s="649"/>
      <c r="J50" s="649"/>
      <c r="K50" s="649"/>
      <c r="L50" s="649"/>
      <c r="M50" s="649"/>
      <c r="N50" s="649"/>
      <c r="O50" s="649"/>
      <c r="P50" s="649"/>
    </row>
    <row r="51" spans="2:16" ht="14.25" customHeight="1" thickBot="1">
      <c r="B51" s="818" t="s">
        <v>46</v>
      </c>
      <c r="C51" s="891"/>
      <c r="D51" s="686" t="s">
        <v>391</v>
      </c>
      <c r="E51" s="687"/>
      <c r="F51" s="687"/>
      <c r="G51" s="699" t="str">
        <f ca="1">MID(CELL("filename"),SEARCH("[",CELL("filename"))+1, SEARCH("]",CELL("filename"))-SEARCH("[",CELL("filename"))-1)</f>
        <v>PH tool 1.1_PPE Tool Day_SOLUTION.xlsx</v>
      </c>
      <c r="I51" s="649"/>
      <c r="J51" s="649"/>
      <c r="K51" s="649"/>
      <c r="L51" s="649"/>
      <c r="M51" s="649"/>
      <c r="N51" s="649"/>
      <c r="O51" s="649"/>
      <c r="P51" s="649"/>
    </row>
    <row r="52" spans="2:16">
      <c r="G52" s="40"/>
      <c r="I52" s="649"/>
      <c r="J52" s="649"/>
      <c r="K52" s="649"/>
      <c r="L52" s="649"/>
      <c r="M52" s="649"/>
      <c r="N52" s="649"/>
      <c r="O52" s="649"/>
      <c r="P52" s="649"/>
    </row>
    <row r="53" spans="2:16" hidden="1">
      <c r="I53" s="649"/>
      <c r="J53" s="649"/>
      <c r="K53" s="649"/>
      <c r="L53" s="649"/>
      <c r="M53" s="649"/>
      <c r="N53" s="649"/>
      <c r="O53" s="649"/>
      <c r="P53" s="649"/>
    </row>
    <row r="54" spans="2:16" hidden="1">
      <c r="I54" s="649"/>
      <c r="J54" s="649"/>
      <c r="K54" s="649"/>
      <c r="L54" s="649"/>
      <c r="M54" s="649"/>
      <c r="N54" s="649"/>
      <c r="O54" s="649"/>
      <c r="P54" s="649"/>
    </row>
    <row r="55" spans="2:16">
      <c r="B55" s="693" t="s">
        <v>72</v>
      </c>
      <c r="C55" s="664" t="s">
        <v>54</v>
      </c>
      <c r="D55" s="881" t="s">
        <v>576</v>
      </c>
      <c r="E55" s="658"/>
      <c r="F55" s="659"/>
      <c r="I55" s="649"/>
      <c r="J55" s="649"/>
      <c r="K55" s="649"/>
      <c r="L55" s="649"/>
      <c r="M55" s="649"/>
      <c r="N55" s="649"/>
      <c r="O55" s="649"/>
      <c r="P55" s="649"/>
    </row>
    <row r="56" spans="2:16">
      <c r="C56" s="695" t="s">
        <v>55</v>
      </c>
      <c r="D56" s="881" t="s">
        <v>574</v>
      </c>
      <c r="E56" s="658"/>
      <c r="F56" s="659"/>
      <c r="I56" s="649"/>
      <c r="J56" s="649"/>
      <c r="K56" s="649"/>
      <c r="L56" s="649"/>
      <c r="M56" s="649"/>
      <c r="N56" s="649"/>
      <c r="O56" s="649"/>
      <c r="P56" s="649"/>
    </row>
    <row r="57" spans="2:16">
      <c r="C57" s="665" t="s">
        <v>56</v>
      </c>
      <c r="D57" s="882" t="s">
        <v>575</v>
      </c>
      <c r="E57" s="658"/>
      <c r="F57" s="659"/>
      <c r="I57" s="649"/>
      <c r="J57" s="649"/>
      <c r="K57" s="649"/>
      <c r="L57" s="649"/>
      <c r="M57" s="649"/>
      <c r="N57" s="649"/>
      <c r="O57" s="649"/>
      <c r="P57" s="649"/>
    </row>
    <row r="58" spans="2:16">
      <c r="C58" s="696" t="s">
        <v>48</v>
      </c>
      <c r="D58" s="691">
        <v>1</v>
      </c>
      <c r="E58" s="203"/>
      <c r="F58" s="660"/>
      <c r="I58" s="649"/>
      <c r="J58" s="649"/>
      <c r="K58" s="649"/>
      <c r="L58" s="649"/>
      <c r="M58" s="649"/>
      <c r="N58" s="649"/>
      <c r="O58" s="649"/>
      <c r="P58" s="649"/>
    </row>
    <row r="59" spans="2:16" ht="15">
      <c r="C59" s="666" t="s">
        <v>2</v>
      </c>
      <c r="D59" s="692">
        <f ca="1">TODAY()</f>
        <v>41222</v>
      </c>
      <c r="E59" s="661"/>
      <c r="F59" s="660"/>
      <c r="I59" s="649"/>
      <c r="J59" s="649"/>
      <c r="K59" s="649"/>
      <c r="L59" s="649"/>
      <c r="M59" s="649"/>
      <c r="N59" s="649"/>
      <c r="O59" s="649"/>
      <c r="P59" s="649"/>
    </row>
    <row r="60" spans="2:16" ht="13.5" customHeight="1">
      <c r="F60" s="40"/>
      <c r="I60" s="649"/>
      <c r="J60" s="649"/>
      <c r="K60" s="649"/>
      <c r="L60" s="649"/>
      <c r="M60" s="649"/>
      <c r="N60" s="649"/>
      <c r="O60" s="649"/>
      <c r="P60" s="649"/>
    </row>
    <row r="61" spans="2:16" ht="13.5" thickBot="1">
      <c r="C61" s="697" t="s">
        <v>412</v>
      </c>
      <c r="D61" s="744"/>
      <c r="E61" s="70" t="s">
        <v>169</v>
      </c>
      <c r="I61" s="649" t="s">
        <v>74</v>
      </c>
      <c r="J61" s="649"/>
      <c r="K61" s="649" t="s">
        <v>75</v>
      </c>
      <c r="L61" s="649" t="s">
        <v>73</v>
      </c>
      <c r="M61" s="649"/>
      <c r="N61" s="649">
        <v>4</v>
      </c>
      <c r="O61" s="649">
        <v>5</v>
      </c>
      <c r="P61" s="649">
        <v>6</v>
      </c>
    </row>
    <row r="62" spans="2:16">
      <c r="C62" s="64" t="str">
        <f>IF(D61="y","Number of SLC stages [4-6]"," not applicable")</f>
        <v xml:space="preserve"> not applicable</v>
      </c>
      <c r="D62" s="663">
        <v>5</v>
      </c>
      <c r="E62" s="732">
        <f>+D62-2</f>
        <v>3</v>
      </c>
      <c r="F62" s="732">
        <f>E62-1</f>
        <v>2</v>
      </c>
      <c r="I62" s="650" t="str">
        <f t="shared" ref="I62:I67" si="0">IF(J62=0,"",J62)</f>
        <v/>
      </c>
      <c r="J62" s="651">
        <f t="shared" ref="J62:J67" si="1">IF(D$64="i",K62,L62)</f>
        <v>0</v>
      </c>
      <c r="K62" s="652" t="str">
        <f>IF(D62=6,6,"")</f>
        <v/>
      </c>
      <c r="L62" s="652">
        <f t="shared" ref="L62:L67" si="2">CHOOSE(E$62,M62,N62,O62,P62)</f>
        <v>0</v>
      </c>
      <c r="M62" s="652"/>
      <c r="N62" s="652"/>
      <c r="O62" s="652"/>
      <c r="P62" s="652">
        <v>1</v>
      </c>
    </row>
    <row r="63" spans="2:16">
      <c r="C63" s="844" t="s">
        <v>529</v>
      </c>
      <c r="D63" s="663">
        <v>5</v>
      </c>
      <c r="E63" s="732">
        <f>+D63-2</f>
        <v>3</v>
      </c>
      <c r="F63" s="732">
        <f>E63-1</f>
        <v>2</v>
      </c>
      <c r="I63" s="653">
        <f t="shared" si="0"/>
        <v>1</v>
      </c>
      <c r="J63" s="651">
        <f t="shared" si="1"/>
        <v>1</v>
      </c>
      <c r="K63" s="652">
        <f>IF(D62&gt;=5,5,"")</f>
        <v>5</v>
      </c>
      <c r="L63" s="652">
        <f t="shared" si="2"/>
        <v>1</v>
      </c>
      <c r="M63" s="652"/>
      <c r="N63" s="652"/>
      <c r="O63" s="652">
        <v>1</v>
      </c>
      <c r="P63" s="652">
        <v>2</v>
      </c>
    </row>
    <row r="64" spans="2:16">
      <c r="C64" s="64" t="s">
        <v>163</v>
      </c>
      <c r="D64" s="744"/>
      <c r="E64" s="70" t="s">
        <v>165</v>
      </c>
      <c r="I64" s="653">
        <f t="shared" si="0"/>
        <v>2</v>
      </c>
      <c r="J64" s="651">
        <f t="shared" si="1"/>
        <v>2</v>
      </c>
      <c r="K64" s="652">
        <f>IF(D62&gt;=4,4,"")</f>
        <v>4</v>
      </c>
      <c r="L64" s="652">
        <f t="shared" si="2"/>
        <v>2</v>
      </c>
      <c r="M64" s="652"/>
      <c r="N64" s="652">
        <v>1</v>
      </c>
      <c r="O64" s="652">
        <v>2</v>
      </c>
      <c r="P64" s="652">
        <v>3</v>
      </c>
    </row>
    <row r="65" spans="2:16">
      <c r="D65" s="70"/>
      <c r="E65" s="70"/>
      <c r="I65" s="653">
        <f t="shared" si="0"/>
        <v>3</v>
      </c>
      <c r="J65" s="651">
        <f t="shared" si="1"/>
        <v>3</v>
      </c>
      <c r="K65" s="652">
        <f>IF(D62&gt;=4,3,"")</f>
        <v>3</v>
      </c>
      <c r="L65" s="652">
        <f t="shared" si="2"/>
        <v>3</v>
      </c>
      <c r="M65" s="652"/>
      <c r="N65" s="652">
        <v>2</v>
      </c>
      <c r="O65" s="652">
        <v>3</v>
      </c>
      <c r="P65" s="652">
        <v>4</v>
      </c>
    </row>
    <row r="66" spans="2:16">
      <c r="C66" s="697" t="s">
        <v>90</v>
      </c>
      <c r="D66" s="662">
        <v>1</v>
      </c>
      <c r="E66" s="70" t="s">
        <v>164</v>
      </c>
      <c r="I66" s="653">
        <f t="shared" si="0"/>
        <v>4</v>
      </c>
      <c r="J66" s="651">
        <f t="shared" si="1"/>
        <v>4</v>
      </c>
      <c r="K66" s="652">
        <v>2</v>
      </c>
      <c r="L66" s="652">
        <f t="shared" si="2"/>
        <v>4</v>
      </c>
      <c r="M66" s="652"/>
      <c r="N66" s="652">
        <v>3</v>
      </c>
      <c r="O66" s="652">
        <v>4</v>
      </c>
      <c r="P66" s="652">
        <v>5</v>
      </c>
    </row>
    <row r="67" spans="2:16" ht="13.5" thickBot="1">
      <c r="C67" s="667" t="str">
        <f>IF(D66=2,"Seperate ID Fans available for each string [y]","not applicable")</f>
        <v>not applicable</v>
      </c>
      <c r="D67" s="744" t="s">
        <v>570</v>
      </c>
      <c r="E67" s="70" t="s">
        <v>169</v>
      </c>
      <c r="F67" s="671">
        <f>IF(AND(D67="y",D66=2),Calculations!E13/100,1)</f>
        <v>1</v>
      </c>
      <c r="I67" s="654">
        <f t="shared" si="0"/>
        <v>5</v>
      </c>
      <c r="J67" s="651">
        <f t="shared" si="1"/>
        <v>5</v>
      </c>
      <c r="K67" s="652">
        <v>1</v>
      </c>
      <c r="L67" s="652">
        <f t="shared" si="2"/>
        <v>5</v>
      </c>
      <c r="M67" s="652"/>
      <c r="N67" s="652">
        <v>4</v>
      </c>
      <c r="O67" s="652">
        <v>5</v>
      </c>
      <c r="P67" s="652">
        <v>6</v>
      </c>
    </row>
    <row r="68" spans="2:16">
      <c r="I68" s="655"/>
      <c r="J68" s="655"/>
      <c r="K68" s="655"/>
      <c r="L68" s="655"/>
      <c r="M68" s="655"/>
      <c r="N68" s="655"/>
      <c r="O68" s="655"/>
      <c r="P68" s="655"/>
    </row>
    <row r="69" spans="2:16">
      <c r="B69" s="684"/>
      <c r="C69" s="772" t="s">
        <v>472</v>
      </c>
      <c r="D69" s="778">
        <v>50</v>
      </c>
      <c r="E69" s="741" t="s">
        <v>548</v>
      </c>
      <c r="F69" s="857">
        <f>IF(D69="",50,IF(D69&lt;30,30,IF(D69&gt;130,130,D69)))</f>
        <v>50</v>
      </c>
      <c r="I69" s="655"/>
      <c r="J69" s="655"/>
      <c r="K69" s="655"/>
      <c r="L69" s="655"/>
      <c r="M69" s="655"/>
      <c r="N69" s="655"/>
      <c r="O69" s="655"/>
      <c r="P69" s="655"/>
    </row>
    <row r="70" spans="2:16">
      <c r="C70" s="639" t="s">
        <v>547</v>
      </c>
      <c r="D70" s="773"/>
      <c r="I70" s="649"/>
      <c r="J70" s="649"/>
      <c r="K70" s="649"/>
      <c r="L70" s="649"/>
      <c r="M70" s="649"/>
      <c r="N70" s="649"/>
      <c r="O70" s="649"/>
      <c r="P70" s="649"/>
    </row>
    <row r="71" spans="2:16">
      <c r="C71" s="639"/>
      <c r="D71" s="773"/>
      <c r="I71" s="649"/>
      <c r="J71" s="649"/>
      <c r="K71" s="649"/>
      <c r="L71" s="649"/>
      <c r="M71" s="649"/>
      <c r="N71" s="649"/>
      <c r="O71" s="649"/>
      <c r="P71" s="649"/>
    </row>
    <row r="72" spans="2:16">
      <c r="C72" s="876" t="s">
        <v>565</v>
      </c>
      <c r="D72" s="662"/>
      <c r="E72" s="877" t="s">
        <v>172</v>
      </c>
      <c r="I72" s="649"/>
      <c r="J72" s="649"/>
      <c r="K72" s="649"/>
      <c r="L72" s="649"/>
      <c r="M72" s="649"/>
      <c r="N72" s="649"/>
      <c r="O72" s="649"/>
      <c r="P72" s="649"/>
    </row>
    <row r="73" spans="2:16">
      <c r="C73" s="878" t="s">
        <v>564</v>
      </c>
      <c r="D73" s="744"/>
      <c r="E73" s="877" t="s">
        <v>172</v>
      </c>
      <c r="F73" s="671"/>
      <c r="I73" s="649"/>
      <c r="J73" s="649"/>
      <c r="K73" s="649"/>
      <c r="L73" s="649"/>
      <c r="M73" s="649"/>
      <c r="N73" s="649"/>
      <c r="O73" s="649"/>
      <c r="P73" s="649"/>
    </row>
    <row r="74" spans="2:16">
      <c r="C74" s="639"/>
      <c r="D74" s="773"/>
      <c r="I74" s="649"/>
      <c r="J74" s="649"/>
      <c r="K74" s="649"/>
      <c r="L74" s="649"/>
      <c r="M74" s="649"/>
      <c r="N74" s="649"/>
      <c r="O74" s="649"/>
      <c r="P74" s="649"/>
    </row>
    <row r="75" spans="2:16" ht="12.75" customHeight="1" thickBot="1">
      <c r="I75" s="649" t="s">
        <v>76</v>
      </c>
      <c r="J75" s="649"/>
      <c r="K75" s="649" t="s">
        <v>77</v>
      </c>
      <c r="L75" s="649" t="s">
        <v>78</v>
      </c>
      <c r="M75" s="649"/>
      <c r="N75" s="649">
        <v>4</v>
      </c>
      <c r="O75" s="649">
        <v>5</v>
      </c>
      <c r="P75" s="649">
        <v>6</v>
      </c>
    </row>
    <row r="76" spans="2:16" ht="13.5" thickBot="1">
      <c r="B76" s="693" t="s">
        <v>153</v>
      </c>
      <c r="C76" s="697" t="s">
        <v>329</v>
      </c>
      <c r="D76" s="774">
        <v>35</v>
      </c>
      <c r="I76" s="650" t="str">
        <f t="shared" ref="I76:I81" si="3">IF(J76=0,"",J76)</f>
        <v/>
      </c>
      <c r="J76" s="652">
        <f t="shared" ref="J76:J81" si="4">IF(D$64="i",K76,L76)</f>
        <v>0</v>
      </c>
      <c r="K76" s="652" t="str">
        <f>IF(D63=6,6,"")</f>
        <v/>
      </c>
      <c r="L76" s="652">
        <f t="shared" ref="L76:L81" si="5">CHOOSE(E$63,M76,N76,O76,P76)</f>
        <v>0</v>
      </c>
      <c r="M76" s="652"/>
      <c r="N76" s="652"/>
      <c r="O76" s="652"/>
      <c r="P76" s="652">
        <v>1</v>
      </c>
    </row>
    <row r="77" spans="2:16" ht="13.5" thickBot="1">
      <c r="B77" s="107"/>
      <c r="C77" s="668" t="s">
        <v>328</v>
      </c>
      <c r="D77" s="775">
        <f>(1/(1-D76/100)*(1-M86)-1)*0.509</f>
        <v>0.26997208436724557</v>
      </c>
      <c r="E77" s="25" t="s">
        <v>347</v>
      </c>
      <c r="I77" s="653">
        <f t="shared" si="3"/>
        <v>1</v>
      </c>
      <c r="J77" s="652">
        <f t="shared" si="4"/>
        <v>1</v>
      </c>
      <c r="K77" s="652">
        <f>IF(D63&gt;=5,5,"")</f>
        <v>5</v>
      </c>
      <c r="L77" s="652">
        <f t="shared" si="5"/>
        <v>1</v>
      </c>
      <c r="M77" s="652"/>
      <c r="N77" s="652"/>
      <c r="O77" s="652">
        <v>1</v>
      </c>
      <c r="P77" s="652">
        <v>2</v>
      </c>
    </row>
    <row r="78" spans="2:16" ht="15.75">
      <c r="B78" s="684" t="s">
        <v>154</v>
      </c>
      <c r="C78" s="698" t="s">
        <v>96</v>
      </c>
      <c r="D78" s="776"/>
      <c r="E78" s="640">
        <f>IF(D78="",0.27,D78)</f>
        <v>0.27</v>
      </c>
      <c r="I78" s="653">
        <f t="shared" si="3"/>
        <v>2</v>
      </c>
      <c r="J78" s="652">
        <f t="shared" si="4"/>
        <v>2</v>
      </c>
      <c r="K78" s="652">
        <f>IF(D63&gt;=4,4,"")</f>
        <v>4</v>
      </c>
      <c r="L78" s="652">
        <f t="shared" si="5"/>
        <v>2</v>
      </c>
      <c r="M78" s="652"/>
      <c r="N78" s="652">
        <v>1</v>
      </c>
      <c r="O78" s="652">
        <v>2</v>
      </c>
      <c r="P78" s="652">
        <v>3</v>
      </c>
    </row>
    <row r="79" spans="2:16">
      <c r="B79" s="684" t="s">
        <v>154</v>
      </c>
      <c r="C79" s="667" t="s">
        <v>97</v>
      </c>
      <c r="D79" s="777"/>
      <c r="E79" s="640">
        <f>IF(D79="",0.01,D79)</f>
        <v>0.01</v>
      </c>
      <c r="I79" s="653">
        <f t="shared" si="3"/>
        <v>3</v>
      </c>
      <c r="J79" s="652">
        <f t="shared" si="4"/>
        <v>3</v>
      </c>
      <c r="K79" s="652">
        <f>IF(D63&gt;=4,3,"")</f>
        <v>3</v>
      </c>
      <c r="L79" s="652">
        <f t="shared" si="5"/>
        <v>3</v>
      </c>
      <c r="M79" s="652"/>
      <c r="N79" s="652">
        <v>2</v>
      </c>
      <c r="O79" s="652">
        <v>3</v>
      </c>
      <c r="P79" s="652">
        <v>4</v>
      </c>
    </row>
    <row r="80" spans="2:16">
      <c r="C80" s="639" t="s">
        <v>360</v>
      </c>
      <c r="I80" s="653">
        <f t="shared" si="3"/>
        <v>4</v>
      </c>
      <c r="J80" s="652">
        <f t="shared" si="4"/>
        <v>4</v>
      </c>
      <c r="K80" s="652">
        <v>2</v>
      </c>
      <c r="L80" s="652">
        <f t="shared" si="5"/>
        <v>4</v>
      </c>
      <c r="M80" s="652"/>
      <c r="N80" s="652">
        <v>3</v>
      </c>
      <c r="O80" s="652">
        <v>4</v>
      </c>
      <c r="P80" s="652">
        <v>5</v>
      </c>
    </row>
    <row r="81" spans="2:18" ht="13.5" thickBot="1">
      <c r="C81" s="639" t="s">
        <v>352</v>
      </c>
      <c r="I81" s="654">
        <f t="shared" si="3"/>
        <v>5</v>
      </c>
      <c r="J81" s="656">
        <f t="shared" si="4"/>
        <v>5</v>
      </c>
      <c r="K81" s="656">
        <v>1</v>
      </c>
      <c r="L81" s="652">
        <f t="shared" si="5"/>
        <v>5</v>
      </c>
      <c r="M81" s="656"/>
      <c r="N81" s="656">
        <v>4</v>
      </c>
      <c r="O81" s="656">
        <v>5</v>
      </c>
      <c r="P81" s="656">
        <v>6</v>
      </c>
    </row>
    <row r="82" spans="2:18">
      <c r="B82" s="684" t="s">
        <v>154</v>
      </c>
      <c r="C82" s="772" t="s">
        <v>484</v>
      </c>
      <c r="D82" s="816"/>
      <c r="E82" s="25">
        <f>IF(D82="",20,D82)</f>
        <v>20</v>
      </c>
      <c r="I82" s="649"/>
      <c r="J82" s="649"/>
      <c r="K82" s="649"/>
      <c r="L82" s="649"/>
      <c r="M82" s="649"/>
      <c r="N82" s="649"/>
      <c r="O82" s="649"/>
      <c r="P82" s="649"/>
    </row>
    <row r="83" spans="2:18">
      <c r="I83" s="655"/>
      <c r="J83" s="655"/>
      <c r="K83" s="655"/>
      <c r="L83" s="655"/>
      <c r="M83" s="655"/>
      <c r="N83" s="655"/>
      <c r="O83" s="655"/>
      <c r="P83" s="655"/>
    </row>
    <row r="84" spans="2:18">
      <c r="B84" s="693" t="s">
        <v>201</v>
      </c>
      <c r="C84" s="25" t="s">
        <v>419</v>
      </c>
      <c r="I84" s="655" t="s">
        <v>357</v>
      </c>
      <c r="J84" s="655"/>
      <c r="K84" s="655"/>
      <c r="L84" s="655"/>
      <c r="M84" s="655"/>
      <c r="N84" s="655"/>
      <c r="O84" s="655"/>
      <c r="P84" s="655"/>
    </row>
    <row r="85" spans="2:18">
      <c r="C85" s="25" t="s">
        <v>312</v>
      </c>
      <c r="I85" s="649" t="s">
        <v>358</v>
      </c>
      <c r="J85" s="649"/>
      <c r="K85" s="649"/>
      <c r="L85" s="655" t="s">
        <v>348</v>
      </c>
      <c r="M85" s="655">
        <f>1/(1-D76/100)</f>
        <v>1.5384615384615383</v>
      </c>
      <c r="N85" s="655" t="s">
        <v>349</v>
      </c>
      <c r="O85" s="655"/>
      <c r="P85" s="655"/>
    </row>
    <row r="86" spans="2:18">
      <c r="C86" s="741" t="s">
        <v>518</v>
      </c>
      <c r="I86" s="649" t="s">
        <v>359</v>
      </c>
      <c r="J86" s="649"/>
      <c r="K86" s="649"/>
      <c r="L86" s="655" t="s">
        <v>350</v>
      </c>
      <c r="M86" s="655">
        <f>0.01/M85/1.24</f>
        <v>5.2419354838709681E-3</v>
      </c>
      <c r="N86" s="655" t="s">
        <v>351</v>
      </c>
      <c r="O86" s="655"/>
      <c r="P86" s="655"/>
    </row>
    <row r="87" spans="2:18">
      <c r="C87" s="25" t="s">
        <v>313</v>
      </c>
      <c r="H87" s="203"/>
      <c r="I87" s="655"/>
      <c r="J87" s="655"/>
      <c r="K87" s="655"/>
      <c r="L87" s="655"/>
      <c r="M87" s="655"/>
      <c r="N87" s="655"/>
      <c r="O87" s="655"/>
      <c r="P87" s="649"/>
    </row>
    <row r="88" spans="2:18">
      <c r="C88" s="25" t="s">
        <v>410</v>
      </c>
      <c r="H88" s="203"/>
      <c r="I88" s="655"/>
      <c r="J88" s="655"/>
      <c r="K88" s="655"/>
      <c r="L88" s="655"/>
      <c r="M88" s="655"/>
      <c r="N88" s="655"/>
      <c r="O88" s="655"/>
      <c r="P88" s="649"/>
    </row>
    <row r="89" spans="2:18">
      <c r="C89" s="25" t="s">
        <v>411</v>
      </c>
      <c r="H89" s="203"/>
      <c r="I89" s="203"/>
      <c r="J89" s="203"/>
      <c r="K89" s="203"/>
      <c r="L89" s="203"/>
      <c r="M89" s="203"/>
      <c r="N89" s="203"/>
      <c r="O89" s="203"/>
    </row>
    <row r="90" spans="2:18">
      <c r="C90" s="741" t="s">
        <v>555</v>
      </c>
      <c r="H90" s="203"/>
      <c r="I90" s="203"/>
      <c r="J90" s="203"/>
      <c r="K90" s="203"/>
      <c r="L90" s="203"/>
      <c r="M90" s="203"/>
      <c r="N90" s="203"/>
      <c r="O90" s="203"/>
    </row>
    <row r="91" spans="2:18">
      <c r="H91" s="203"/>
      <c r="I91" s="203"/>
      <c r="J91" s="203"/>
      <c r="K91" s="203"/>
      <c r="L91" s="203"/>
      <c r="M91" s="203"/>
      <c r="N91" s="203"/>
      <c r="O91" s="203"/>
    </row>
    <row r="92" spans="2:18">
      <c r="H92" s="203"/>
      <c r="I92" s="203"/>
      <c r="J92" s="203"/>
      <c r="K92" s="203"/>
      <c r="L92" s="203"/>
      <c r="M92" s="203"/>
      <c r="N92" s="203"/>
      <c r="O92" s="203"/>
    </row>
    <row r="93" spans="2:18">
      <c r="H93" s="203"/>
      <c r="I93" s="203"/>
      <c r="J93" s="203"/>
      <c r="K93" s="203"/>
      <c r="L93" s="203"/>
      <c r="M93" s="203"/>
      <c r="N93" s="203"/>
      <c r="O93" s="203"/>
    </row>
    <row r="94" spans="2:18">
      <c r="H94" s="203"/>
      <c r="I94" s="203"/>
      <c r="J94" s="203"/>
      <c r="K94" s="203"/>
      <c r="L94" s="203"/>
      <c r="M94" s="203"/>
      <c r="N94" s="203"/>
      <c r="O94" s="203"/>
    </row>
    <row r="95" spans="2:18">
      <c r="H95" s="203"/>
      <c r="I95" s="203"/>
      <c r="J95" s="203"/>
      <c r="K95" s="203"/>
      <c r="L95" s="203"/>
      <c r="M95" s="203"/>
      <c r="N95" s="203"/>
      <c r="O95" s="203"/>
    </row>
    <row r="96" spans="2:18">
      <c r="C96" s="766" t="s">
        <v>452</v>
      </c>
      <c r="H96" s="203"/>
      <c r="I96" s="203"/>
      <c r="J96" s="203"/>
      <c r="K96" s="203"/>
      <c r="L96" s="203"/>
      <c r="M96" s="203"/>
      <c r="N96" s="203"/>
      <c r="O96" s="203"/>
      <c r="P96" s="702"/>
      <c r="Q96" s="702"/>
      <c r="R96" s="702"/>
    </row>
    <row r="97" spans="2:18">
      <c r="H97" s="203"/>
      <c r="I97" s="203"/>
      <c r="J97" s="203"/>
      <c r="K97" s="203"/>
      <c r="L97" s="203"/>
      <c r="M97" s="203"/>
      <c r="N97" s="203"/>
      <c r="O97" s="203"/>
      <c r="P97" s="702"/>
      <c r="Q97" s="702"/>
      <c r="R97" s="702"/>
    </row>
    <row r="98" spans="2:18">
      <c r="H98" s="203"/>
      <c r="I98" s="203"/>
      <c r="J98" s="203"/>
      <c r="K98" s="203"/>
      <c r="L98" s="203"/>
      <c r="M98" s="203"/>
      <c r="N98" s="203"/>
      <c r="O98" s="203"/>
      <c r="P98" s="702"/>
      <c r="Q98" s="702"/>
      <c r="R98" s="702"/>
    </row>
    <row r="99" spans="2:18">
      <c r="C99" s="436" t="s">
        <v>389</v>
      </c>
      <c r="I99" s="714"/>
      <c r="J99" s="715"/>
      <c r="K99" s="716"/>
      <c r="L99" s="717"/>
      <c r="M99" s="718"/>
      <c r="N99" s="702"/>
      <c r="O99" s="702"/>
      <c r="P99" s="719"/>
      <c r="Q99" s="700"/>
      <c r="R99" s="702"/>
    </row>
    <row r="100" spans="2:18">
      <c r="I100" s="714"/>
      <c r="J100" s="715"/>
      <c r="K100" s="716"/>
      <c r="L100" s="717"/>
      <c r="M100" s="718"/>
      <c r="N100" s="702"/>
      <c r="O100" s="702"/>
      <c r="P100" s="720"/>
      <c r="Q100" s="701"/>
      <c r="R100" s="702"/>
    </row>
    <row r="101" spans="2:18">
      <c r="I101" s="702"/>
      <c r="J101" s="702"/>
      <c r="K101" s="702"/>
      <c r="L101" s="717"/>
      <c r="M101" s="717"/>
      <c r="N101" s="702"/>
      <c r="O101" s="702"/>
      <c r="P101" s="721"/>
      <c r="Q101" s="702"/>
      <c r="R101" s="702"/>
    </row>
    <row r="102" spans="2:18">
      <c r="I102" s="702"/>
      <c r="J102" s="702"/>
      <c r="K102" s="702"/>
      <c r="L102" s="717"/>
      <c r="M102" s="717"/>
      <c r="N102" s="702"/>
      <c r="O102" s="702"/>
      <c r="P102" s="721"/>
      <c r="Q102" s="702"/>
      <c r="R102" s="702"/>
    </row>
    <row r="103" spans="2:18">
      <c r="I103" s="702"/>
      <c r="J103" s="702"/>
      <c r="K103" s="702"/>
      <c r="L103" s="717"/>
      <c r="M103" s="717"/>
      <c r="N103" s="702"/>
      <c r="O103" s="702"/>
      <c r="P103" s="721"/>
      <c r="Q103" s="702"/>
      <c r="R103" s="702"/>
    </row>
    <row r="104" spans="2:18">
      <c r="C104" s="741" t="s">
        <v>433</v>
      </c>
      <c r="I104" s="702"/>
      <c r="J104" s="702"/>
      <c r="K104" s="702"/>
      <c r="L104" s="717"/>
      <c r="M104" s="717"/>
      <c r="N104" s="702"/>
      <c r="O104" s="702"/>
      <c r="P104" s="721"/>
      <c r="Q104" s="702"/>
      <c r="R104" s="702"/>
    </row>
    <row r="105" spans="2:18">
      <c r="C105" s="741" t="s">
        <v>556</v>
      </c>
      <c r="I105" s="702"/>
      <c r="J105" s="702"/>
      <c r="K105" s="702"/>
      <c r="L105" s="717"/>
      <c r="M105" s="717"/>
      <c r="N105" s="702"/>
      <c r="O105" s="702"/>
      <c r="P105" s="721"/>
      <c r="Q105" s="702"/>
      <c r="R105" s="702"/>
    </row>
    <row r="106" spans="2:18">
      <c r="C106" s="741" t="s">
        <v>519</v>
      </c>
      <c r="I106" s="702"/>
      <c r="J106" s="702"/>
      <c r="K106" s="702"/>
      <c r="L106" s="717"/>
      <c r="M106" s="717"/>
      <c r="N106" s="702"/>
      <c r="O106" s="702"/>
      <c r="P106" s="721"/>
      <c r="Q106" s="702"/>
      <c r="R106" s="702"/>
    </row>
    <row r="107" spans="2:18">
      <c r="I107" s="702"/>
      <c r="J107" s="702"/>
      <c r="K107" s="702"/>
      <c r="L107" s="717"/>
      <c r="M107" s="717"/>
      <c r="N107" s="702"/>
      <c r="O107" s="702"/>
      <c r="P107" s="721"/>
      <c r="Q107" s="702"/>
      <c r="R107" s="702"/>
    </row>
    <row r="108" spans="2:18">
      <c r="I108" s="702"/>
      <c r="J108" s="702"/>
      <c r="K108" s="702"/>
      <c r="L108" s="717"/>
      <c r="M108" s="717"/>
      <c r="N108" s="702"/>
      <c r="O108" s="702"/>
      <c r="P108" s="721"/>
      <c r="Q108" s="702"/>
      <c r="R108" s="702"/>
    </row>
    <row r="109" spans="2:18">
      <c r="I109" s="702"/>
      <c r="J109" s="702"/>
      <c r="K109" s="702"/>
      <c r="L109" s="717"/>
      <c r="M109" s="717"/>
      <c r="N109" s="702"/>
      <c r="O109" s="702"/>
      <c r="P109" s="721"/>
      <c r="Q109" s="702"/>
      <c r="R109" s="702"/>
    </row>
    <row r="110" spans="2:18">
      <c r="B110" s="707" t="s">
        <v>409</v>
      </c>
      <c r="D110" s="703" t="s">
        <v>118</v>
      </c>
      <c r="E110" s="703" t="s">
        <v>188</v>
      </c>
      <c r="F110" s="703" t="s">
        <v>110</v>
      </c>
      <c r="I110" s="702"/>
      <c r="J110" s="702"/>
      <c r="K110" s="702"/>
      <c r="L110" s="717"/>
      <c r="M110" s="717"/>
      <c r="N110" s="702"/>
      <c r="O110" s="702"/>
      <c r="P110" s="721"/>
      <c r="Q110" s="702"/>
      <c r="R110" s="702"/>
    </row>
    <row r="111" spans="2:18">
      <c r="C111" s="704"/>
      <c r="D111" s="705" t="s">
        <v>397</v>
      </c>
      <c r="E111" s="705" t="s">
        <v>397</v>
      </c>
      <c r="F111" s="705" t="s">
        <v>397</v>
      </c>
      <c r="I111" s="702"/>
      <c r="J111" s="702"/>
      <c r="K111" s="702"/>
      <c r="L111" s="717"/>
      <c r="M111" s="717"/>
      <c r="N111" s="702"/>
      <c r="O111" s="702"/>
      <c r="P111" s="721"/>
      <c r="Q111" s="702"/>
      <c r="R111" s="702"/>
    </row>
    <row r="112" spans="2:18">
      <c r="B112" s="708" t="s">
        <v>189</v>
      </c>
      <c r="C112" s="709" t="s">
        <v>398</v>
      </c>
      <c r="D112" s="710">
        <v>0.26</v>
      </c>
      <c r="E112" s="710">
        <v>0.27</v>
      </c>
      <c r="F112" s="710">
        <v>0.25380000000000003</v>
      </c>
      <c r="I112" s="702"/>
      <c r="J112" s="702"/>
      <c r="K112" s="702"/>
      <c r="L112" s="717"/>
      <c r="M112" s="717"/>
      <c r="N112" s="702"/>
      <c r="O112" s="702"/>
      <c r="P112" s="721"/>
      <c r="Q112" s="702"/>
      <c r="R112" s="702"/>
    </row>
    <row r="113" spans="2:18">
      <c r="B113" s="708"/>
      <c r="C113" s="249" t="s">
        <v>399</v>
      </c>
      <c r="D113" s="711">
        <v>0.26</v>
      </c>
      <c r="E113" s="711">
        <v>0.28000000000000003</v>
      </c>
      <c r="F113" s="711">
        <v>0.25760000000000005</v>
      </c>
      <c r="I113" s="702"/>
      <c r="J113" s="702"/>
      <c r="K113" s="702"/>
      <c r="L113" s="717"/>
      <c r="M113" s="717"/>
      <c r="N113" s="702"/>
      <c r="O113" s="702"/>
      <c r="P113" s="721"/>
      <c r="Q113" s="702"/>
      <c r="R113" s="702"/>
    </row>
    <row r="114" spans="2:18">
      <c r="B114" s="708"/>
      <c r="C114" s="709" t="s">
        <v>400</v>
      </c>
      <c r="D114" s="712">
        <v>0.26</v>
      </c>
      <c r="E114" s="712">
        <v>0.28999999999999998</v>
      </c>
      <c r="F114" s="712">
        <v>0.2581</v>
      </c>
      <c r="I114" s="702"/>
      <c r="J114" s="702"/>
      <c r="K114" s="702"/>
      <c r="L114" s="717"/>
      <c r="M114" s="717"/>
      <c r="N114" s="702"/>
      <c r="O114" s="702"/>
      <c r="P114" s="721"/>
      <c r="Q114" s="702"/>
      <c r="R114" s="702"/>
    </row>
    <row r="115" spans="2:18">
      <c r="B115" s="708" t="s">
        <v>401</v>
      </c>
      <c r="C115" s="249" t="s">
        <v>402</v>
      </c>
      <c r="D115" s="711">
        <v>0.26</v>
      </c>
      <c r="E115" s="711">
        <v>0.28000000000000003</v>
      </c>
      <c r="F115" s="711">
        <v>0.24640000000000004</v>
      </c>
      <c r="I115" s="702"/>
      <c r="J115" s="702"/>
      <c r="K115" s="702"/>
      <c r="L115" s="717"/>
      <c r="M115" s="717"/>
      <c r="N115" s="702"/>
      <c r="O115" s="702"/>
      <c r="P115" s="721"/>
      <c r="Q115" s="702"/>
      <c r="R115" s="702"/>
    </row>
    <row r="116" spans="2:18">
      <c r="B116" s="708"/>
      <c r="C116" s="709" t="s">
        <v>403</v>
      </c>
      <c r="D116" s="712">
        <v>0.26</v>
      </c>
      <c r="E116" s="712">
        <v>0.28999999999999998</v>
      </c>
      <c r="F116" s="712">
        <v>0.25229999999999997</v>
      </c>
      <c r="I116" s="702"/>
      <c r="J116" s="702"/>
      <c r="K116" s="702"/>
      <c r="L116" s="702"/>
      <c r="M116" s="702"/>
      <c r="N116" s="702"/>
      <c r="O116" s="702"/>
      <c r="P116" s="702"/>
      <c r="Q116" s="702"/>
      <c r="R116" s="702"/>
    </row>
    <row r="117" spans="2:18">
      <c r="B117" s="708" t="s">
        <v>190</v>
      </c>
      <c r="C117" s="249" t="s">
        <v>404</v>
      </c>
      <c r="D117" s="711">
        <v>0.27</v>
      </c>
      <c r="E117" s="711">
        <v>0.3</v>
      </c>
      <c r="F117" s="711">
        <v>0.24</v>
      </c>
      <c r="O117" s="702"/>
      <c r="P117" s="702"/>
      <c r="Q117" s="702"/>
      <c r="R117" s="702"/>
    </row>
    <row r="118" spans="2:18">
      <c r="B118" s="708" t="s">
        <v>405</v>
      </c>
      <c r="C118" s="709" t="s">
        <v>406</v>
      </c>
      <c r="D118" s="712">
        <v>0.26</v>
      </c>
      <c r="E118" s="712">
        <v>0.27</v>
      </c>
      <c r="F118" s="712">
        <v>0.24840000000000004</v>
      </c>
      <c r="O118" s="702"/>
      <c r="P118" s="702"/>
      <c r="Q118" s="702"/>
      <c r="R118" s="702"/>
    </row>
    <row r="119" spans="2:18">
      <c r="B119" s="706"/>
      <c r="C119" s="249" t="s">
        <v>407</v>
      </c>
      <c r="D119" s="711">
        <v>0.26</v>
      </c>
      <c r="E119" s="711">
        <v>0.3</v>
      </c>
      <c r="F119" s="711">
        <v>0.26700000000000002</v>
      </c>
      <c r="O119" s="702"/>
      <c r="P119" s="702"/>
      <c r="Q119" s="702"/>
      <c r="R119" s="702"/>
    </row>
    <row r="120" spans="2:18">
      <c r="B120" s="706"/>
      <c r="C120" s="709" t="s">
        <v>408</v>
      </c>
      <c r="D120" s="713">
        <v>0.28000000000000003</v>
      </c>
      <c r="E120" s="713">
        <v>0.33</v>
      </c>
      <c r="F120" s="713">
        <v>0.26400000000000001</v>
      </c>
    </row>
    <row r="123" spans="2:18">
      <c r="B123" s="693" t="s">
        <v>51</v>
      </c>
      <c r="C123" s="25" t="s">
        <v>482</v>
      </c>
    </row>
    <row r="124" spans="2:18">
      <c r="C124" s="25" t="s">
        <v>483</v>
      </c>
    </row>
    <row r="125" spans="2:18">
      <c r="C125" s="741" t="s">
        <v>485</v>
      </c>
      <c r="D125" s="741" t="s">
        <v>511</v>
      </c>
    </row>
    <row r="126" spans="2:18">
      <c r="C126" s="741" t="s">
        <v>512</v>
      </c>
    </row>
    <row r="127" spans="2:18">
      <c r="C127" s="741" t="s">
        <v>513</v>
      </c>
    </row>
    <row r="131" spans="2:6">
      <c r="C131" s="107" t="s">
        <v>390</v>
      </c>
      <c r="D131" s="63" t="s">
        <v>95</v>
      </c>
    </row>
    <row r="132" spans="2:6" ht="13.5" thickBot="1">
      <c r="D132" s="71" t="s">
        <v>94</v>
      </c>
    </row>
    <row r="133" spans="2:6" ht="13.5" thickBot="1">
      <c r="D133" s="72" t="s">
        <v>92</v>
      </c>
    </row>
    <row r="134" spans="2:6">
      <c r="D134" s="649" t="s">
        <v>93</v>
      </c>
    </row>
    <row r="136" spans="2:6">
      <c r="B136" s="843" t="s">
        <v>525</v>
      </c>
      <c r="C136" s="741" t="s">
        <v>523</v>
      </c>
    </row>
    <row r="137" spans="2:6">
      <c r="C137" s="741" t="s">
        <v>524</v>
      </c>
    </row>
    <row r="139" spans="2:6">
      <c r="B139" s="693" t="s">
        <v>52</v>
      </c>
      <c r="C139" s="690" t="s">
        <v>392</v>
      </c>
      <c r="D139" s="743" t="s">
        <v>566</v>
      </c>
    </row>
    <row r="141" spans="2:6">
      <c r="B141" s="855" t="s">
        <v>567</v>
      </c>
      <c r="C141" s="742" t="s">
        <v>568</v>
      </c>
      <c r="D141" s="694" t="s">
        <v>395</v>
      </c>
      <c r="E141" s="694"/>
      <c r="F141" s="694"/>
    </row>
    <row r="142" spans="2:6">
      <c r="C142" s="741" t="s">
        <v>569</v>
      </c>
    </row>
    <row r="144" spans="2:6">
      <c r="B144" s="855" t="s">
        <v>558</v>
      </c>
      <c r="C144" s="742" t="s">
        <v>557</v>
      </c>
      <c r="D144" s="694" t="s">
        <v>395</v>
      </c>
      <c r="E144" s="694"/>
      <c r="F144" s="694"/>
    </row>
    <row r="145" spans="2:6">
      <c r="C145" s="741" t="s">
        <v>559</v>
      </c>
    </row>
    <row r="146" spans="2:6">
      <c r="C146" s="741" t="s">
        <v>560</v>
      </c>
    </row>
    <row r="148" spans="2:6">
      <c r="B148" s="855" t="s">
        <v>554</v>
      </c>
      <c r="C148" s="742" t="s">
        <v>552</v>
      </c>
      <c r="D148" s="694" t="s">
        <v>395</v>
      </c>
      <c r="E148" s="694"/>
      <c r="F148" s="694"/>
    </row>
    <row r="149" spans="2:6">
      <c r="C149" s="741" t="s">
        <v>553</v>
      </c>
    </row>
    <row r="151" spans="2:6">
      <c r="B151" s="855" t="s">
        <v>538</v>
      </c>
      <c r="C151" s="742" t="s">
        <v>539</v>
      </c>
      <c r="D151" s="694" t="s">
        <v>395</v>
      </c>
      <c r="E151" s="694"/>
      <c r="F151" s="694"/>
    </row>
    <row r="152" spans="2:6">
      <c r="C152" s="741" t="s">
        <v>540</v>
      </c>
    </row>
    <row r="153" spans="2:6">
      <c r="C153" s="741" t="s">
        <v>546</v>
      </c>
    </row>
    <row r="155" spans="2:6">
      <c r="B155" s="742" t="s">
        <v>520</v>
      </c>
      <c r="C155" s="742" t="s">
        <v>521</v>
      </c>
      <c r="D155" s="694" t="s">
        <v>395</v>
      </c>
      <c r="E155" s="694"/>
      <c r="F155" s="694"/>
    </row>
    <row r="156" spans="2:6">
      <c r="C156" s="741" t="s">
        <v>522</v>
      </c>
    </row>
    <row r="158" spans="2:6">
      <c r="B158" s="742" t="s">
        <v>503</v>
      </c>
      <c r="C158" s="742" t="s">
        <v>504</v>
      </c>
      <c r="D158" s="694" t="s">
        <v>395</v>
      </c>
      <c r="E158" s="694"/>
      <c r="F158" s="694"/>
    </row>
    <row r="159" spans="2:6">
      <c r="C159" s="741" t="s">
        <v>514</v>
      </c>
    </row>
    <row r="160" spans="2:6">
      <c r="C160" s="741" t="s">
        <v>515</v>
      </c>
    </row>
    <row r="161" spans="2:6">
      <c r="C161" s="741" t="s">
        <v>516</v>
      </c>
    </row>
    <row r="163" spans="2:6">
      <c r="B163" s="742" t="s">
        <v>492</v>
      </c>
      <c r="C163" s="742" t="s">
        <v>505</v>
      </c>
      <c r="D163" s="694" t="s">
        <v>395</v>
      </c>
      <c r="E163" s="694"/>
      <c r="F163" s="694"/>
    </row>
    <row r="164" spans="2:6">
      <c r="C164" s="741" t="s">
        <v>493</v>
      </c>
    </row>
    <row r="165" spans="2:6">
      <c r="C165" s="741" t="s">
        <v>494</v>
      </c>
    </row>
    <row r="167" spans="2:6">
      <c r="B167" s="742" t="s">
        <v>456</v>
      </c>
      <c r="C167" s="742" t="s">
        <v>506</v>
      </c>
      <c r="D167" s="694" t="s">
        <v>395</v>
      </c>
      <c r="E167" s="694"/>
      <c r="F167" s="694"/>
    </row>
    <row r="168" spans="2:6">
      <c r="C168" s="741" t="s">
        <v>454</v>
      </c>
    </row>
    <row r="169" spans="2:6">
      <c r="C169" s="741" t="s">
        <v>453</v>
      </c>
    </row>
    <row r="170" spans="2:6">
      <c r="C170" s="741" t="s">
        <v>455</v>
      </c>
    </row>
    <row r="172" spans="2:6">
      <c r="B172" s="694" t="s">
        <v>420</v>
      </c>
      <c r="C172" s="742" t="s">
        <v>507</v>
      </c>
      <c r="D172" s="694" t="s">
        <v>395</v>
      </c>
      <c r="E172" s="694"/>
      <c r="F172" s="694"/>
    </row>
    <row r="173" spans="2:6">
      <c r="C173" s="25" t="s">
        <v>421</v>
      </c>
    </row>
    <row r="175" spans="2:6">
      <c r="B175" s="694" t="s">
        <v>415</v>
      </c>
      <c r="C175" s="742" t="s">
        <v>508</v>
      </c>
      <c r="D175" s="694" t="s">
        <v>395</v>
      </c>
      <c r="E175" s="694"/>
      <c r="F175" s="694"/>
    </row>
    <row r="176" spans="2:6">
      <c r="C176" s="25" t="s">
        <v>416</v>
      </c>
    </row>
    <row r="178" spans="2:6">
      <c r="B178" s="694" t="s">
        <v>393</v>
      </c>
      <c r="C178" s="838" t="s">
        <v>509</v>
      </c>
      <c r="D178" s="694" t="s">
        <v>395</v>
      </c>
      <c r="E178" s="694"/>
      <c r="F178" s="694"/>
    </row>
    <row r="179" spans="2:6">
      <c r="C179" s="25" t="s">
        <v>394</v>
      </c>
    </row>
  </sheetData>
  <mergeCells count="7">
    <mergeCell ref="C47:C48"/>
    <mergeCell ref="G48:G49"/>
    <mergeCell ref="C49:C51"/>
    <mergeCell ref="D48:D49"/>
    <mergeCell ref="E48:E49"/>
    <mergeCell ref="F48:F49"/>
    <mergeCell ref="D50:E50"/>
  </mergeCells>
  <phoneticPr fontId="7" type="noConversion"/>
  <conditionalFormatting sqref="D62:D63">
    <cfRule type="cellIs" dxfId="39" priority="4" stopIfTrue="1" operator="notBetween">
      <formula>3</formula>
      <formula>6</formula>
    </cfRule>
  </conditionalFormatting>
  <conditionalFormatting sqref="D66">
    <cfRule type="cellIs" dxfId="38" priority="2" operator="greaterThan">
      <formula>2</formula>
    </cfRule>
  </conditionalFormatting>
  <pageMargins left="1.1811023622047245" right="0.74803149606299213" top="0.98425196850393704" bottom="0.98425196850393704" header="0.51181102362204722" footer="0.51181102362204722"/>
  <pageSetup paperSize="9" scale="36" orientation="portrait" r:id="rId1"/>
  <headerFooter alignWithMargins="0">
    <oddFooter>&amp;CPage &amp;P&amp;R&amp;Z&amp;F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4" r:id="rId4" name="Button 2">
              <controlPr defaultSize="0" print="0" autoFill="0" autoPict="0" macro="Bulle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tabColor indexed="10"/>
    <pageSetUpPr fitToPage="1"/>
  </sheetPr>
  <dimension ref="A1:BI150"/>
  <sheetViews>
    <sheetView topLeftCell="A29" zoomScale="70" zoomScaleNormal="70" workbookViewId="0">
      <selection activeCell="AA21" sqref="AA21"/>
    </sheetView>
  </sheetViews>
  <sheetFormatPr defaultRowHeight="12.75" outlineLevelRow="1" outlineLevelCol="1"/>
  <cols>
    <col min="1" max="1" width="2.7109375" customWidth="1"/>
    <col min="2" max="2" width="16.7109375" hidden="1" customWidth="1" outlineLevel="1"/>
    <col min="3" max="3" width="9" hidden="1" customWidth="1" outlineLevel="1"/>
    <col min="4" max="4" width="13.5703125" hidden="1" customWidth="1" outlineLevel="1"/>
    <col min="5" max="5" width="6.5703125" hidden="1" customWidth="1" outlineLevel="1"/>
    <col min="6" max="6" width="5.42578125" hidden="1" customWidth="1" outlineLevel="1"/>
    <col min="7" max="7" width="2.28515625" customWidth="1" collapsed="1"/>
    <col min="8" max="8" width="6.5703125" hidden="1" customWidth="1" outlineLevel="1"/>
    <col min="9" max="9" width="8.42578125" hidden="1" customWidth="1" outlineLevel="1"/>
    <col min="10" max="10" width="7.140625" hidden="1" customWidth="1" outlineLevel="1"/>
    <col min="11" max="11" width="2.140625" customWidth="1" collapsed="1"/>
    <col min="12" max="12" width="7.85546875" hidden="1" customWidth="1" outlineLevel="1"/>
    <col min="13" max="13" width="6.85546875" hidden="1" customWidth="1" outlineLevel="1"/>
    <col min="14" max="14" width="7.140625" hidden="1" customWidth="1" outlineLevel="1"/>
    <col min="15" max="15" width="2.140625" customWidth="1" collapsed="1"/>
    <col min="16" max="16" width="8.140625" hidden="1" customWidth="1" outlineLevel="1"/>
    <col min="17" max="17" width="6.85546875" hidden="1" customWidth="1" outlineLevel="1"/>
    <col min="18" max="18" width="5.140625" hidden="1" customWidth="1" outlineLevel="1"/>
    <col min="19" max="19" width="4.140625" hidden="1" customWidth="1" outlineLevel="1"/>
    <col min="20" max="20" width="6.42578125" hidden="1" customWidth="1" outlineLevel="1"/>
    <col min="21" max="21" width="15.7109375" hidden="1" customWidth="1" outlineLevel="1"/>
    <col min="22" max="22" width="2.140625" customWidth="1" collapsed="1"/>
    <col min="23" max="23" width="16.140625" customWidth="1"/>
    <col min="24" max="24" width="8.28515625" customWidth="1"/>
    <col min="25" max="25" width="3.5703125" customWidth="1"/>
    <col min="26" max="26" width="12.85546875" customWidth="1"/>
    <col min="27" max="27" width="6.85546875" customWidth="1"/>
    <col min="28" max="28" width="5.140625" bestFit="1" customWidth="1"/>
    <col min="29" max="29" width="2.140625" customWidth="1"/>
    <col min="30" max="30" width="8" customWidth="1" outlineLevel="1"/>
    <col min="31" max="31" width="6.85546875" customWidth="1" outlineLevel="1"/>
    <col min="32" max="32" width="7.140625" customWidth="1" outlineLevel="1"/>
    <col min="33" max="33" width="2.140625" customWidth="1"/>
    <col min="34" max="34" width="5.7109375" customWidth="1"/>
    <col min="35" max="35" width="9.7109375" customWidth="1"/>
    <col min="36" max="38" width="7.85546875" customWidth="1"/>
    <col min="40" max="40" width="12.140625" hidden="1" customWidth="1" outlineLevel="1"/>
    <col min="41" max="41" width="12.5703125" hidden="1" customWidth="1" outlineLevel="1"/>
    <col min="42" max="42" width="9" hidden="1" customWidth="1" outlineLevel="1"/>
    <col min="43" max="43" width="13.42578125" hidden="1" customWidth="1" outlineLevel="1"/>
    <col min="44" max="44" width="11.5703125" hidden="1" customWidth="1" outlineLevel="1"/>
    <col min="45" max="45" width="8.28515625" hidden="1" customWidth="1" outlineLevel="1"/>
    <col min="46" max="46" width="10" hidden="1" customWidth="1" outlineLevel="1"/>
    <col min="47" max="47" width="7" hidden="1" customWidth="1" outlineLevel="1"/>
    <col min="48" max="51" width="9.140625" hidden="1" customWidth="1" outlineLevel="1"/>
    <col min="52" max="52" width="10.42578125" hidden="1" customWidth="1" outlineLevel="1"/>
    <col min="53" max="58" width="9.140625" hidden="1" customWidth="1" outlineLevel="1"/>
    <col min="59" max="59" width="10.42578125" hidden="1" customWidth="1" outlineLevel="1"/>
    <col min="60" max="60" width="9.28515625" hidden="1" customWidth="1" outlineLevel="1"/>
    <col min="61" max="61" width="9.140625" collapsed="1"/>
  </cols>
  <sheetData>
    <row r="1" spans="1:61" ht="65.25" customHeight="1">
      <c r="AN1" s="214"/>
      <c r="AO1" s="214"/>
      <c r="AP1" s="214"/>
      <c r="AQ1" s="214"/>
      <c r="AR1" s="214"/>
      <c r="AS1" s="214"/>
      <c r="AT1" s="214"/>
      <c r="AU1" s="214"/>
      <c r="AV1" s="214"/>
      <c r="BI1" t="s">
        <v>517</v>
      </c>
    </row>
    <row r="2" spans="1:61" ht="3.75" customHeight="1">
      <c r="AN2" s="214"/>
      <c r="AO2" s="214"/>
      <c r="AP2" s="214"/>
      <c r="AQ2" s="214"/>
      <c r="AR2" s="214"/>
      <c r="AS2" s="214"/>
      <c r="AT2" s="214"/>
      <c r="AU2" s="214"/>
      <c r="AV2" s="214"/>
    </row>
    <row r="3" spans="1:61" ht="2.25" customHeight="1">
      <c r="AN3" s="214"/>
      <c r="AO3" s="214"/>
      <c r="AP3" s="214"/>
      <c r="AQ3" s="214"/>
      <c r="AR3" s="214"/>
      <c r="AS3" s="214"/>
      <c r="AT3" s="214"/>
      <c r="AU3" s="214"/>
      <c r="AV3" s="214"/>
    </row>
    <row r="4" spans="1:61">
      <c r="B4" s="628" t="s">
        <v>386</v>
      </c>
      <c r="C4" s="839">
        <f>+General!D62</f>
        <v>5</v>
      </c>
      <c r="D4" s="59" t="s">
        <v>91</v>
      </c>
      <c r="E4" s="192"/>
      <c r="F4" s="61" t="s">
        <v>68</v>
      </c>
      <c r="H4" s="628" t="s">
        <v>385</v>
      </c>
      <c r="I4" s="629"/>
      <c r="J4" s="629"/>
      <c r="L4" s="628" t="s">
        <v>388</v>
      </c>
      <c r="M4" s="629"/>
      <c r="N4" s="629"/>
      <c r="P4" s="628" t="s">
        <v>306</v>
      </c>
      <c r="Q4" s="629"/>
      <c r="R4" s="629"/>
      <c r="S4" s="629"/>
      <c r="T4" s="632">
        <f>+General!D63</f>
        <v>5</v>
      </c>
      <c r="U4" s="824">
        <f>+General!D66</f>
        <v>1</v>
      </c>
      <c r="W4" s="628" t="s">
        <v>305</v>
      </c>
      <c r="X4" s="629"/>
      <c r="Y4" s="629"/>
      <c r="Z4" s="59" t="s">
        <v>148</v>
      </c>
      <c r="AA4" s="192">
        <v>271</v>
      </c>
      <c r="AB4" s="61" t="s">
        <v>68</v>
      </c>
      <c r="AD4" s="628" t="s">
        <v>387</v>
      </c>
      <c r="AE4" s="629"/>
      <c r="AF4" s="629"/>
      <c r="AH4" s="628" t="s">
        <v>486</v>
      </c>
      <c r="AI4" s="629"/>
      <c r="AJ4" s="629"/>
      <c r="AK4" s="628"/>
      <c r="AL4" s="629"/>
      <c r="AN4" s="215" t="s">
        <v>231</v>
      </c>
      <c r="AO4" s="214"/>
      <c r="AP4" s="214"/>
      <c r="AQ4" s="214"/>
      <c r="AR4" s="214"/>
      <c r="AS4" s="214"/>
      <c r="AT4" s="214"/>
      <c r="AU4" s="214"/>
      <c r="AV4" s="214"/>
    </row>
    <row r="5" spans="1:61">
      <c r="B5" s="630" t="str">
        <f>IF(General!D61="Y","","DO NOT FILL IN!")</f>
        <v>DO NOT FILL IN!</v>
      </c>
      <c r="C5" s="840">
        <f>General!D61</f>
        <v>0</v>
      </c>
      <c r="D5" s="58" t="s">
        <v>426</v>
      </c>
      <c r="E5" s="204"/>
      <c r="F5" s="62" t="s">
        <v>61</v>
      </c>
      <c r="G5" s="51"/>
      <c r="H5" s="630" t="str">
        <f>IF(General!D61="y","","DO NOT FILL IN!")</f>
        <v>DO NOT FILL IN!</v>
      </c>
      <c r="I5" s="635"/>
      <c r="J5" s="635"/>
      <c r="K5" s="51"/>
      <c r="L5" s="630" t="str">
        <f>IF(General!D66=1,"DO NOT FILL IN!","")</f>
        <v>DO NOT FILL IN!</v>
      </c>
      <c r="M5" s="635"/>
      <c r="N5" s="635"/>
      <c r="O5" s="51"/>
      <c r="P5" s="630" t="str">
        <f>IF(General!D66=1,"DO NOT FILL IN!","")</f>
        <v>DO NOT FILL IN!</v>
      </c>
      <c r="Q5" s="635"/>
      <c r="R5" s="629"/>
      <c r="S5" s="629"/>
      <c r="T5" s="631"/>
      <c r="U5" s="630"/>
      <c r="W5" s="629"/>
      <c r="X5" s="629"/>
      <c r="Y5" s="629"/>
      <c r="Z5" s="58" t="s">
        <v>426</v>
      </c>
      <c r="AA5" s="745"/>
      <c r="AB5" s="62" t="s">
        <v>61</v>
      </c>
      <c r="AD5" s="629"/>
      <c r="AE5" s="629"/>
      <c r="AF5" s="629"/>
      <c r="AH5" s="629"/>
      <c r="AI5" s="629"/>
      <c r="AJ5" s="629"/>
      <c r="AK5" s="629"/>
      <c r="AL5" s="629"/>
      <c r="AN5" s="214"/>
      <c r="AO5" s="214"/>
      <c r="AP5" s="214"/>
      <c r="AQ5" s="214"/>
      <c r="AR5" s="214"/>
      <c r="AS5" s="214"/>
      <c r="AT5" s="214"/>
      <c r="AU5" s="214"/>
      <c r="AV5" s="214"/>
    </row>
    <row r="6" spans="1:61">
      <c r="B6" s="630"/>
      <c r="C6" s="634"/>
      <c r="D6" s="59" t="s">
        <v>375</v>
      </c>
      <c r="E6" s="204"/>
      <c r="F6" s="61" t="s">
        <v>68</v>
      </c>
      <c r="G6" s="51"/>
      <c r="H6" s="630"/>
      <c r="I6" s="635"/>
      <c r="J6" s="635"/>
      <c r="K6" s="51"/>
      <c r="L6" s="630"/>
      <c r="M6" s="635"/>
      <c r="N6" s="823" t="str">
        <f>IF(AND(General!D66=2,General!D67="y"),1,"")</f>
        <v/>
      </c>
      <c r="O6" s="51"/>
      <c r="P6" s="630"/>
      <c r="Q6" s="635"/>
      <c r="R6" s="629"/>
      <c r="S6" s="629"/>
      <c r="T6" s="631"/>
      <c r="U6" s="630"/>
      <c r="W6" s="629"/>
      <c r="X6" s="629"/>
      <c r="Y6" s="629"/>
      <c r="Z6" s="58" t="s">
        <v>374</v>
      </c>
      <c r="AA6" s="204"/>
      <c r="AB6" s="62" t="s">
        <v>68</v>
      </c>
      <c r="AD6" s="629"/>
      <c r="AE6" s="629"/>
      <c r="AF6" s="629"/>
      <c r="AH6" s="629"/>
      <c r="AI6" s="629"/>
      <c r="AJ6" s="629"/>
      <c r="AK6" s="629"/>
      <c r="AL6" s="629"/>
      <c r="AN6" s="214"/>
      <c r="AO6" s="214"/>
      <c r="AP6" s="214"/>
      <c r="AQ6" s="214"/>
      <c r="AR6" s="214"/>
      <c r="AS6" s="214"/>
      <c r="AT6" s="214"/>
      <c r="AU6" s="214"/>
      <c r="AV6" s="214"/>
    </row>
    <row r="7" spans="1:61">
      <c r="B7" s="119"/>
      <c r="D7" s="144"/>
      <c r="H7" s="119"/>
      <c r="L7" s="119"/>
      <c r="P7" s="119"/>
      <c r="AN7" s="215" t="s">
        <v>211</v>
      </c>
      <c r="AO7" s="214"/>
      <c r="AP7" s="214"/>
      <c r="AQ7" s="214"/>
      <c r="AR7" s="214"/>
      <c r="AS7" s="214"/>
      <c r="AT7" s="214"/>
      <c r="AU7" s="214"/>
      <c r="AV7" s="214"/>
    </row>
    <row r="8" spans="1:61">
      <c r="B8" s="119"/>
      <c r="D8" s="144"/>
      <c r="H8" s="119"/>
      <c r="L8" s="119"/>
      <c r="P8" s="119"/>
      <c r="AN8" s="215"/>
      <c r="AO8" s="214"/>
      <c r="AP8" s="214"/>
      <c r="AQ8" s="214"/>
      <c r="AR8" s="214"/>
      <c r="AS8" s="214"/>
      <c r="AT8" s="214"/>
      <c r="AU8" s="214"/>
      <c r="AV8" s="214"/>
    </row>
    <row r="9" spans="1:61" ht="12" hidden="1" customHeight="1" outlineLevel="1">
      <c r="A9" s="144"/>
      <c r="D9" t="str">
        <f>IF(C4=6,"Cyclone "&amp;General!I62,"do not fill in")</f>
        <v>do not fill in</v>
      </c>
      <c r="F9" t="s">
        <v>64</v>
      </c>
      <c r="P9" t="str">
        <f>IF(T4=6,"Cyclone "&amp;General!I76,"do not fill in")</f>
        <v>do not fill in</v>
      </c>
      <c r="R9" t="s">
        <v>152</v>
      </c>
      <c r="Z9" t="str">
        <f>IF(T4=6,"Cyclone "&amp;General!I76,"do not fill in")</f>
        <v>do not fill in</v>
      </c>
      <c r="AB9" t="s">
        <v>65</v>
      </c>
      <c r="AN9" s="214" t="s">
        <v>212</v>
      </c>
      <c r="AO9" s="214"/>
      <c r="AP9" s="214"/>
      <c r="AQ9" s="216">
        <f>IF(AK32="","",+(AA4+E4)/AK32)</f>
        <v>1.6140559857057772</v>
      </c>
      <c r="AR9" s="214" t="s">
        <v>194</v>
      </c>
      <c r="AS9" s="214"/>
      <c r="AT9" s="214"/>
      <c r="AU9" s="214"/>
      <c r="AV9" s="214"/>
    </row>
    <row r="10" spans="1:61" ht="12" hidden="1" customHeight="1" outlineLevel="1">
      <c r="A10" s="144"/>
      <c r="D10" s="41" t="s">
        <v>79</v>
      </c>
      <c r="E10" s="42"/>
      <c r="F10" s="43" t="s">
        <v>60</v>
      </c>
      <c r="G10" s="51"/>
      <c r="H10" s="54"/>
      <c r="I10" s="54"/>
      <c r="J10" s="54"/>
      <c r="K10" s="54"/>
      <c r="L10" s="54"/>
      <c r="M10" s="54"/>
      <c r="N10" s="54"/>
      <c r="P10" s="41" t="s">
        <v>79</v>
      </c>
      <c r="Q10" s="42"/>
      <c r="R10" s="43" t="s">
        <v>60</v>
      </c>
      <c r="S10" s="51"/>
      <c r="W10" s="144"/>
      <c r="Z10" s="41" t="s">
        <v>79</v>
      </c>
      <c r="AA10" s="42"/>
      <c r="AB10" s="43" t="s">
        <v>60</v>
      </c>
      <c r="AD10" s="54"/>
      <c r="AE10" s="54"/>
      <c r="AF10" s="54"/>
      <c r="AN10" s="214" t="s">
        <v>225</v>
      </c>
      <c r="AO10" s="214"/>
      <c r="AP10" s="214"/>
      <c r="AQ10" s="216">
        <f>+AA4/AQ9</f>
        <v>167.9</v>
      </c>
      <c r="AR10" s="214" t="s">
        <v>195</v>
      </c>
      <c r="AS10" s="214">
        <f>+AQ10*24</f>
        <v>4029.6000000000004</v>
      </c>
      <c r="AT10" s="214" t="s">
        <v>105</v>
      </c>
      <c r="AU10" s="214"/>
      <c r="AV10" s="214"/>
    </row>
    <row r="11" spans="1:61" ht="12" hidden="1" customHeight="1" outlineLevel="1">
      <c r="A11" s="144"/>
      <c r="D11" s="44" t="s">
        <v>37</v>
      </c>
      <c r="E11" s="45"/>
      <c r="F11" s="46" t="s">
        <v>29</v>
      </c>
      <c r="G11" s="51"/>
      <c r="H11" s="54"/>
      <c r="I11" s="54"/>
      <c r="J11" s="54"/>
      <c r="K11" s="54"/>
      <c r="L11" s="54"/>
      <c r="M11" s="54"/>
      <c r="N11" s="54"/>
      <c r="P11" s="44" t="s">
        <v>37</v>
      </c>
      <c r="Q11" s="45"/>
      <c r="R11" s="46" t="s">
        <v>29</v>
      </c>
      <c r="S11" s="51"/>
      <c r="W11" s="144"/>
      <c r="Z11" s="44" t="s">
        <v>37</v>
      </c>
      <c r="AA11" s="45"/>
      <c r="AB11" s="46" t="s">
        <v>29</v>
      </c>
      <c r="AD11" s="54"/>
      <c r="AE11" s="54"/>
      <c r="AF11" s="54"/>
      <c r="AN11" s="214" t="s">
        <v>226</v>
      </c>
      <c r="AO11" s="214"/>
      <c r="AP11" s="214"/>
      <c r="AQ11" s="216">
        <f>+E4/AQ9</f>
        <v>0</v>
      </c>
      <c r="AR11" s="214" t="s">
        <v>195</v>
      </c>
      <c r="AS11" s="214">
        <f>+AQ11*24</f>
        <v>0</v>
      </c>
      <c r="AT11" s="214" t="s">
        <v>105</v>
      </c>
      <c r="AU11" s="214"/>
      <c r="AV11" s="214"/>
    </row>
    <row r="12" spans="1:61" ht="12" hidden="1" customHeight="1" outlineLevel="1">
      <c r="A12" s="144"/>
      <c r="D12" s="44" t="s">
        <v>62</v>
      </c>
      <c r="E12" s="45"/>
      <c r="F12" s="47" t="s">
        <v>61</v>
      </c>
      <c r="G12" s="52"/>
      <c r="H12" s="54"/>
      <c r="I12" s="54"/>
      <c r="J12" s="55"/>
      <c r="K12" s="54"/>
      <c r="L12" s="54"/>
      <c r="M12" s="54"/>
      <c r="N12" s="55"/>
      <c r="P12" s="44" t="s">
        <v>62</v>
      </c>
      <c r="Q12" s="45"/>
      <c r="R12" s="47" t="s">
        <v>61</v>
      </c>
      <c r="S12" s="52"/>
      <c r="U12" s="108"/>
      <c r="W12" s="144"/>
      <c r="Z12" s="44" t="s">
        <v>62</v>
      </c>
      <c r="AA12" s="45"/>
      <c r="AB12" s="47" t="s">
        <v>61</v>
      </c>
      <c r="AD12" s="54"/>
      <c r="AE12" s="54"/>
      <c r="AF12" s="55"/>
      <c r="AN12" s="214"/>
      <c r="AO12" s="214"/>
      <c r="AP12" s="214"/>
      <c r="AQ12" s="214"/>
      <c r="AR12" s="214"/>
      <c r="AS12" s="214"/>
      <c r="AT12" s="214"/>
      <c r="AU12" s="214"/>
      <c r="AV12" s="214"/>
    </row>
    <row r="13" spans="1:61" ht="12" hidden="1" customHeight="1" outlineLevel="1">
      <c r="A13" s="144"/>
      <c r="D13" s="44" t="s">
        <v>58</v>
      </c>
      <c r="E13" s="610"/>
      <c r="F13" s="47" t="s">
        <v>61</v>
      </c>
      <c r="G13" s="52"/>
      <c r="H13" s="54"/>
      <c r="I13" s="54"/>
      <c r="J13" s="55"/>
      <c r="K13" s="54"/>
      <c r="L13" s="54"/>
      <c r="M13" s="54"/>
      <c r="N13" s="55"/>
      <c r="P13" s="44" t="s">
        <v>58</v>
      </c>
      <c r="Q13" s="610"/>
      <c r="R13" s="47" t="s">
        <v>61</v>
      </c>
      <c r="S13" s="52"/>
      <c r="U13" s="108"/>
      <c r="Z13" s="44" t="s">
        <v>58</v>
      </c>
      <c r="AA13" s="610"/>
      <c r="AB13" s="47" t="s">
        <v>61</v>
      </c>
      <c r="AD13" s="54"/>
      <c r="AE13" s="54"/>
      <c r="AF13" s="55"/>
      <c r="AN13" s="214"/>
      <c r="AO13" s="214"/>
      <c r="AP13" s="214"/>
      <c r="AQ13" s="214"/>
      <c r="AR13" s="214"/>
      <c r="AS13" s="214"/>
      <c r="AT13" s="214" t="s">
        <v>216</v>
      </c>
      <c r="AU13" s="214"/>
      <c r="AV13" s="214"/>
    </row>
    <row r="14" spans="1:61" ht="12" hidden="1" customHeight="1" outlineLevel="1">
      <c r="A14" s="144"/>
      <c r="D14" s="44" t="s">
        <v>59</v>
      </c>
      <c r="E14" s="610"/>
      <c r="F14" s="47" t="s">
        <v>340</v>
      </c>
      <c r="G14" s="52"/>
      <c r="H14" s="54"/>
      <c r="I14" s="54"/>
      <c r="J14" s="55"/>
      <c r="K14" s="54"/>
      <c r="L14" s="54"/>
      <c r="M14" s="54"/>
      <c r="N14" s="55"/>
      <c r="P14" s="44" t="s">
        <v>59</v>
      </c>
      <c r="Q14" s="610"/>
      <c r="R14" s="47" t="s">
        <v>340</v>
      </c>
      <c r="S14" s="52"/>
      <c r="Z14" s="44" t="s">
        <v>59</v>
      </c>
      <c r="AA14" s="610"/>
      <c r="AB14" s="627" t="s">
        <v>340</v>
      </c>
      <c r="AD14" s="54"/>
      <c r="AE14" s="54"/>
      <c r="AF14" s="55"/>
      <c r="AN14" s="214" t="s">
        <v>213</v>
      </c>
      <c r="AO14" s="217" t="s">
        <v>68</v>
      </c>
      <c r="AP14" s="217" t="s">
        <v>214</v>
      </c>
      <c r="AQ14" s="217" t="s">
        <v>188</v>
      </c>
      <c r="AR14" s="217" t="s">
        <v>110</v>
      </c>
      <c r="AS14" s="217" t="s">
        <v>118</v>
      </c>
      <c r="AT14" s="217" t="s">
        <v>215</v>
      </c>
      <c r="AU14" s="217" t="s">
        <v>61</v>
      </c>
      <c r="AV14" s="217"/>
      <c r="AW14" s="195"/>
      <c r="AX14" s="195"/>
    </row>
    <row r="15" spans="1:61" ht="12" hidden="1" customHeight="1" outlineLevel="1">
      <c r="A15" s="144"/>
      <c r="D15" s="48" t="s">
        <v>63</v>
      </c>
      <c r="E15" s="49"/>
      <c r="F15" s="50" t="s">
        <v>60</v>
      </c>
      <c r="G15" s="51"/>
      <c r="H15" s="54"/>
      <c r="I15" s="54"/>
      <c r="J15" s="54"/>
      <c r="K15" s="54"/>
      <c r="L15" s="54"/>
      <c r="M15" s="54"/>
      <c r="N15" s="54"/>
      <c r="P15" s="48" t="s">
        <v>63</v>
      </c>
      <c r="Q15" s="49"/>
      <c r="R15" s="50" t="s">
        <v>60</v>
      </c>
      <c r="S15" s="51"/>
      <c r="Z15" s="48" t="s">
        <v>63</v>
      </c>
      <c r="AA15" s="49"/>
      <c r="AB15" s="50" t="s">
        <v>60</v>
      </c>
      <c r="AD15" s="54"/>
      <c r="AE15" s="54"/>
      <c r="AF15" s="54"/>
      <c r="AN15" s="216" t="str">
        <f>AJ41</f>
        <v>Coal/Petcoke</v>
      </c>
      <c r="AO15" s="216">
        <f>AJ42</f>
        <v>7</v>
      </c>
      <c r="AP15" s="216">
        <f>AJ43</f>
        <v>26.19</v>
      </c>
      <c r="AQ15" s="216">
        <f>AJ44</f>
        <v>0.28000000000000003</v>
      </c>
      <c r="AR15" s="216">
        <f>AJ45</f>
        <v>0.25</v>
      </c>
      <c r="AS15" s="216">
        <f>AJ46</f>
        <v>0.26</v>
      </c>
      <c r="AT15" s="214">
        <f>AP15*1000*AO15</f>
        <v>183330</v>
      </c>
      <c r="AU15" s="218">
        <f>AT15/$AT$18*100</f>
        <v>81.468308392542255</v>
      </c>
      <c r="AV15" s="214"/>
    </row>
    <row r="16" spans="1:61" ht="12" hidden="1" customHeight="1" outlineLevel="1">
      <c r="A16" s="144"/>
      <c r="H16" s="54"/>
      <c r="I16" s="54"/>
      <c r="J16" s="54"/>
      <c r="K16" s="54"/>
      <c r="L16" s="54"/>
      <c r="M16" s="54"/>
      <c r="N16" s="54"/>
      <c r="Z16" s="210"/>
      <c r="AA16" s="210"/>
      <c r="AB16" s="879"/>
      <c r="AD16" s="54"/>
      <c r="AE16" s="54"/>
      <c r="AF16" s="54"/>
      <c r="AN16" s="216" t="str">
        <f>AK41</f>
        <v>Fluff</v>
      </c>
      <c r="AO16" s="216">
        <f>AK42</f>
        <v>2.0299999999999998</v>
      </c>
      <c r="AP16" s="216">
        <f>AK43</f>
        <v>20.542999999999999</v>
      </c>
      <c r="AQ16" s="216">
        <f>AK44</f>
        <v>0.28000000000000003</v>
      </c>
      <c r="AR16" s="216">
        <f>AK45</f>
        <v>0.25</v>
      </c>
      <c r="AS16" s="216">
        <f>AK46</f>
        <v>0.26</v>
      </c>
      <c r="AT16" s="214">
        <f>AP16*1000*AO16</f>
        <v>41702.289999999994</v>
      </c>
      <c r="AU16" s="218">
        <f>AT16/$AT$18*100</f>
        <v>18.531691607457756</v>
      </c>
      <c r="AV16" s="214"/>
    </row>
    <row r="17" spans="1:48" ht="9.75" customHeight="1" collapsed="1">
      <c r="A17" s="144"/>
      <c r="H17" s="54"/>
      <c r="I17" s="54"/>
      <c r="J17" s="54"/>
      <c r="K17" s="54"/>
      <c r="L17" s="54"/>
      <c r="M17" s="54"/>
      <c r="N17" s="54"/>
      <c r="AD17" s="54"/>
      <c r="AE17" s="54"/>
      <c r="AF17" s="54"/>
      <c r="AN17" s="216">
        <f>AL41</f>
        <v>0</v>
      </c>
      <c r="AO17" s="216">
        <f>AL42</f>
        <v>0</v>
      </c>
      <c r="AP17" s="216">
        <f>AL43</f>
        <v>0</v>
      </c>
      <c r="AQ17" s="216">
        <f>AL44</f>
        <v>0</v>
      </c>
      <c r="AR17" s="216">
        <f>AL45</f>
        <v>0</v>
      </c>
      <c r="AS17" s="216">
        <f>AL46</f>
        <v>0</v>
      </c>
      <c r="AT17" s="214">
        <f>AP17*1000*AO17</f>
        <v>0</v>
      </c>
      <c r="AU17" s="218">
        <f>AT17/$AT$18*100</f>
        <v>0</v>
      </c>
      <c r="AV17" s="214"/>
    </row>
    <row r="18" spans="1:48" ht="12" customHeight="1" outlineLevel="1">
      <c r="A18" s="144"/>
      <c r="D18" t="str">
        <f>IF(OR(C4=5,C4=6),"Cyclone "&amp;General!I63,"do not fill in")</f>
        <v>Cyclone 1</v>
      </c>
      <c r="F18" t="s">
        <v>64</v>
      </c>
      <c r="H18" s="54"/>
      <c r="I18" s="54"/>
      <c r="J18" s="54"/>
      <c r="K18" s="54"/>
      <c r="L18" s="54"/>
      <c r="M18" s="54"/>
      <c r="N18" s="54"/>
      <c r="P18" t="str">
        <f>IF(OR(T4=6,T4=5),"Cyclone "&amp;General!I77,"do not fill in")</f>
        <v>Cyclone 1</v>
      </c>
      <c r="R18" t="s">
        <v>152</v>
      </c>
      <c r="Z18" t="str">
        <f>IF(OR(T4=6,T4=5),"Cyclone "&amp;General!I77,"do not fill in")</f>
        <v>Cyclone 1</v>
      </c>
      <c r="AB18" t="s">
        <v>65</v>
      </c>
      <c r="AD18" s="54"/>
      <c r="AE18" s="54"/>
      <c r="AF18" s="54"/>
      <c r="AN18" s="214" t="s">
        <v>217</v>
      </c>
      <c r="AO18" s="214"/>
      <c r="AP18" s="214"/>
      <c r="AQ18" s="215">
        <f>SUMPRODUCT(AQ15:AQ17,$AU15:$AU17)/100</f>
        <v>0.28000000000000008</v>
      </c>
      <c r="AR18" s="215">
        <f>SUMPRODUCT(AR15:AR17,$AU15:$AU17)/100</f>
        <v>0.25000000000000006</v>
      </c>
      <c r="AS18" s="215">
        <f>SUMPRODUCT(AS15:AS17,$AU15:$AU17)/100</f>
        <v>0.26</v>
      </c>
      <c r="AT18" s="214">
        <f>SUM(AT15:AT17)</f>
        <v>225032.28999999998</v>
      </c>
      <c r="AU18" s="214"/>
      <c r="AV18" s="214"/>
    </row>
    <row r="19" spans="1:48" ht="12" customHeight="1" outlineLevel="1">
      <c r="A19" s="144"/>
      <c r="D19" s="41" t="s">
        <v>79</v>
      </c>
      <c r="E19" s="42"/>
      <c r="F19" s="43" t="s">
        <v>60</v>
      </c>
      <c r="G19" s="51"/>
      <c r="H19" s="54"/>
      <c r="I19" s="54"/>
      <c r="J19" s="54"/>
      <c r="K19" s="54"/>
      <c r="L19" s="54"/>
      <c r="M19" s="54"/>
      <c r="N19" s="54"/>
      <c r="P19" s="41" t="s">
        <v>79</v>
      </c>
      <c r="Q19" s="42"/>
      <c r="R19" s="43" t="s">
        <v>60</v>
      </c>
      <c r="S19" s="51"/>
      <c r="Z19" s="41" t="s">
        <v>79</v>
      </c>
      <c r="AA19" s="42">
        <v>340</v>
      </c>
      <c r="AB19" s="43" t="s">
        <v>60</v>
      </c>
      <c r="AD19" s="54"/>
      <c r="AE19" s="54"/>
      <c r="AF19" s="54"/>
      <c r="AN19" s="214"/>
      <c r="AO19" s="214"/>
      <c r="AP19" s="214"/>
      <c r="AQ19" s="214"/>
      <c r="AR19" s="214"/>
      <c r="AS19" s="214"/>
      <c r="AT19" s="214"/>
      <c r="AU19" s="214"/>
      <c r="AV19" s="214"/>
    </row>
    <row r="20" spans="1:48" ht="12" customHeight="1" outlineLevel="1">
      <c r="A20" s="144"/>
      <c r="D20" s="44" t="s">
        <v>37</v>
      </c>
      <c r="E20" s="45"/>
      <c r="F20" s="46" t="s">
        <v>29</v>
      </c>
      <c r="G20" s="51"/>
      <c r="H20" s="54"/>
      <c r="I20" s="54"/>
      <c r="J20" s="54"/>
      <c r="K20" s="54"/>
      <c r="L20" s="54"/>
      <c r="M20" s="54"/>
      <c r="N20" s="54"/>
      <c r="P20" s="44" t="s">
        <v>37</v>
      </c>
      <c r="Q20" s="45"/>
      <c r="R20" s="46" t="s">
        <v>29</v>
      </c>
      <c r="S20" s="51"/>
      <c r="Z20" s="44" t="s">
        <v>37</v>
      </c>
      <c r="AA20" s="45">
        <v>-59</v>
      </c>
      <c r="AB20" s="46" t="s">
        <v>29</v>
      </c>
      <c r="AD20" s="54"/>
      <c r="AE20" s="54"/>
      <c r="AF20" s="54"/>
      <c r="AN20" s="214"/>
      <c r="AO20" s="214"/>
      <c r="AP20" s="214"/>
      <c r="AQ20" s="214"/>
      <c r="AR20" s="214"/>
      <c r="AS20" s="214"/>
      <c r="AT20" s="214"/>
      <c r="AU20" s="214"/>
      <c r="AV20" s="214"/>
    </row>
    <row r="21" spans="1:48" ht="12" customHeight="1" outlineLevel="1">
      <c r="A21" s="144"/>
      <c r="D21" s="44" t="s">
        <v>62</v>
      </c>
      <c r="E21" s="45"/>
      <c r="F21" s="47" t="s">
        <v>61</v>
      </c>
      <c r="G21" s="52"/>
      <c r="H21" s="54"/>
      <c r="I21" s="54"/>
      <c r="J21" s="55"/>
      <c r="K21" s="54"/>
      <c r="L21" s="54"/>
      <c r="M21" s="54"/>
      <c r="N21" s="55"/>
      <c r="P21" s="44" t="s">
        <v>62</v>
      </c>
      <c r="Q21" s="45"/>
      <c r="R21" s="47" t="s">
        <v>61</v>
      </c>
      <c r="S21" s="52"/>
      <c r="Z21" s="44" t="s">
        <v>62</v>
      </c>
      <c r="AA21" s="884">
        <v>3</v>
      </c>
      <c r="AB21" s="47" t="s">
        <v>61</v>
      </c>
      <c r="AD21" s="54"/>
      <c r="AE21" s="54"/>
      <c r="AF21" s="55"/>
      <c r="AN21" s="214" t="s">
        <v>218</v>
      </c>
      <c r="AO21" s="214"/>
      <c r="AP21" s="214"/>
      <c r="AQ21" s="214"/>
      <c r="AR21" s="214"/>
      <c r="AS21" s="214"/>
      <c r="AT21" s="214"/>
      <c r="AU21" s="214"/>
      <c r="AV21" s="214"/>
    </row>
    <row r="22" spans="1:48" ht="12" customHeight="1" outlineLevel="1">
      <c r="A22" s="144"/>
      <c r="D22" s="44" t="s">
        <v>58</v>
      </c>
      <c r="E22" s="610"/>
      <c r="F22" s="47" t="s">
        <v>61</v>
      </c>
      <c r="G22" s="52"/>
      <c r="H22" s="54"/>
      <c r="I22" s="54"/>
      <c r="J22" s="55"/>
      <c r="K22" s="54"/>
      <c r="L22" s="54"/>
      <c r="M22" s="54"/>
      <c r="N22" s="55"/>
      <c r="P22" s="44" t="s">
        <v>58</v>
      </c>
      <c r="Q22" s="610"/>
      <c r="R22" s="47" t="s">
        <v>61</v>
      </c>
      <c r="S22" s="52"/>
      <c r="Z22" s="44" t="s">
        <v>58</v>
      </c>
      <c r="AA22" s="610">
        <v>7.0000000000000007E-2</v>
      </c>
      <c r="AB22" s="47" t="s">
        <v>61</v>
      </c>
      <c r="AD22" s="54"/>
      <c r="AE22" s="54"/>
      <c r="AF22" s="55"/>
      <c r="AN22" s="214"/>
      <c r="AO22" s="214"/>
      <c r="AP22" s="214"/>
      <c r="AQ22" s="214"/>
      <c r="AR22" s="214"/>
      <c r="AS22" s="214"/>
      <c r="AT22" s="214" t="s">
        <v>216</v>
      </c>
      <c r="AU22" s="214"/>
      <c r="AV22" s="214"/>
    </row>
    <row r="23" spans="1:48" ht="12" customHeight="1" outlineLevel="1">
      <c r="A23" s="144"/>
      <c r="D23" s="44" t="s">
        <v>59</v>
      </c>
      <c r="E23" s="610"/>
      <c r="F23" s="47" t="s">
        <v>340</v>
      </c>
      <c r="G23" s="52"/>
      <c r="H23" s="54"/>
      <c r="I23" s="54"/>
      <c r="J23" s="55"/>
      <c r="K23" s="54"/>
      <c r="L23" s="54"/>
      <c r="M23" s="54"/>
      <c r="N23" s="55"/>
      <c r="P23" s="44" t="s">
        <v>59</v>
      </c>
      <c r="Q23" s="610"/>
      <c r="R23" s="47" t="s">
        <v>340</v>
      </c>
      <c r="S23" s="52"/>
      <c r="Z23" s="44" t="s">
        <v>59</v>
      </c>
      <c r="AA23" s="610"/>
      <c r="AB23" s="627" t="s">
        <v>340</v>
      </c>
      <c r="AD23" s="54"/>
      <c r="AE23" s="54"/>
      <c r="AF23" s="55"/>
      <c r="AN23" s="214"/>
      <c r="AO23" s="217" t="s">
        <v>68</v>
      </c>
      <c r="AP23" s="217" t="s">
        <v>214</v>
      </c>
      <c r="AQ23" s="217" t="s">
        <v>188</v>
      </c>
      <c r="AR23" s="217" t="s">
        <v>110</v>
      </c>
      <c r="AS23" s="217" t="s">
        <v>118</v>
      </c>
      <c r="AT23" s="217" t="s">
        <v>215</v>
      </c>
      <c r="AU23" s="217" t="s">
        <v>61</v>
      </c>
      <c r="AV23" s="214"/>
    </row>
    <row r="24" spans="1:48" ht="12" customHeight="1" outlineLevel="1">
      <c r="A24" s="144"/>
      <c r="D24" s="48" t="s">
        <v>63</v>
      </c>
      <c r="E24" s="49"/>
      <c r="F24" s="50" t="s">
        <v>60</v>
      </c>
      <c r="G24" s="51"/>
      <c r="H24" s="54"/>
      <c r="I24" s="54"/>
      <c r="J24" s="54"/>
      <c r="K24" s="54"/>
      <c r="L24" s="54"/>
      <c r="M24" s="54"/>
      <c r="N24" s="54"/>
      <c r="P24" s="48" t="s">
        <v>63</v>
      </c>
      <c r="Q24" s="49"/>
      <c r="R24" s="50" t="s">
        <v>60</v>
      </c>
      <c r="S24" s="51"/>
      <c r="Z24" s="48" t="s">
        <v>63</v>
      </c>
      <c r="AA24" s="49">
        <v>322</v>
      </c>
      <c r="AB24" s="50" t="s">
        <v>60</v>
      </c>
      <c r="AD24" s="54"/>
      <c r="AE24" s="54"/>
      <c r="AF24" s="54"/>
      <c r="AN24" s="216" t="str">
        <f t="shared" ref="AN24:AS24" si="0">AN15</f>
        <v>Coal/Petcoke</v>
      </c>
      <c r="AO24" s="216">
        <f t="shared" si="0"/>
        <v>7</v>
      </c>
      <c r="AP24" s="216">
        <f t="shared" si="0"/>
        <v>26.19</v>
      </c>
      <c r="AQ24" s="216">
        <f t="shared" si="0"/>
        <v>0.28000000000000003</v>
      </c>
      <c r="AR24" s="216">
        <f t="shared" si="0"/>
        <v>0.25</v>
      </c>
      <c r="AS24" s="216">
        <f t="shared" si="0"/>
        <v>0.26</v>
      </c>
      <c r="AT24" s="216">
        <f t="shared" ref="AT24:AT29" si="1">AP24*1000*AO24</f>
        <v>183330</v>
      </c>
      <c r="AU24" s="218">
        <f t="shared" ref="AU24:AU29" si="2">AT24/$AT$30*100</f>
        <v>81.468308392542255</v>
      </c>
      <c r="AV24" s="214"/>
    </row>
    <row r="25" spans="1:48" ht="12" customHeight="1" outlineLevel="1">
      <c r="A25" s="144"/>
      <c r="H25" s="54"/>
      <c r="I25" s="54"/>
      <c r="J25" s="54"/>
      <c r="K25" s="54"/>
      <c r="L25" s="54"/>
      <c r="M25" s="54"/>
      <c r="N25" s="54"/>
      <c r="AD25" s="54"/>
      <c r="AE25" s="54"/>
      <c r="AF25" s="54"/>
      <c r="AN25" s="216" t="str">
        <f t="shared" ref="AN25:AS26" si="3">AN16</f>
        <v>Fluff</v>
      </c>
      <c r="AO25" s="216">
        <f t="shared" si="3"/>
        <v>2.0299999999999998</v>
      </c>
      <c r="AP25" s="216">
        <f t="shared" si="3"/>
        <v>20.542999999999999</v>
      </c>
      <c r="AQ25" s="216">
        <f t="shared" si="3"/>
        <v>0.28000000000000003</v>
      </c>
      <c r="AR25" s="216">
        <f t="shared" si="3"/>
        <v>0.25</v>
      </c>
      <c r="AS25" s="216">
        <f t="shared" si="3"/>
        <v>0.26</v>
      </c>
      <c r="AT25" s="216">
        <f t="shared" si="1"/>
        <v>41702.289999999994</v>
      </c>
      <c r="AU25" s="218">
        <f t="shared" si="2"/>
        <v>18.531691607457756</v>
      </c>
      <c r="AV25" s="214"/>
    </row>
    <row r="26" spans="1:48" ht="12" customHeight="1" outlineLevel="1">
      <c r="A26" s="144"/>
      <c r="H26" s="54"/>
      <c r="I26" s="54"/>
      <c r="J26" s="54"/>
      <c r="K26" s="54"/>
      <c r="L26" s="54"/>
      <c r="M26" s="54"/>
      <c r="N26" s="54"/>
      <c r="AD26" s="54"/>
      <c r="AE26" s="54"/>
      <c r="AF26" s="54"/>
      <c r="AN26" s="216">
        <f t="shared" si="3"/>
        <v>0</v>
      </c>
      <c r="AO26" s="216">
        <f t="shared" si="3"/>
        <v>0</v>
      </c>
      <c r="AP26" s="216">
        <f t="shared" si="3"/>
        <v>0</v>
      </c>
      <c r="AQ26" s="216">
        <f t="shared" si="3"/>
        <v>0</v>
      </c>
      <c r="AR26" s="216">
        <f t="shared" si="3"/>
        <v>0</v>
      </c>
      <c r="AS26" s="216">
        <f t="shared" si="3"/>
        <v>0</v>
      </c>
      <c r="AT26" s="216">
        <f t="shared" si="1"/>
        <v>0</v>
      </c>
      <c r="AU26" s="218">
        <f t="shared" si="2"/>
        <v>0</v>
      </c>
      <c r="AV26" s="214"/>
    </row>
    <row r="27" spans="1:48" ht="12" customHeight="1">
      <c r="A27" s="144"/>
      <c r="D27" t="str">
        <f>"Cyclone "&amp;General!I64</f>
        <v>Cyclone 2</v>
      </c>
      <c r="F27" t="s">
        <v>64</v>
      </c>
      <c r="H27" t="s">
        <v>66</v>
      </c>
      <c r="J27" t="s">
        <v>64</v>
      </c>
      <c r="L27" t="s">
        <v>66</v>
      </c>
      <c r="N27" t="s">
        <v>152</v>
      </c>
      <c r="P27" t="str">
        <f>"Cyclone "&amp;General!I78</f>
        <v>Cyclone 2</v>
      </c>
      <c r="R27" t="s">
        <v>152</v>
      </c>
      <c r="Z27" t="str">
        <f>"Cyclone "&amp;General!I78</f>
        <v>Cyclone 2</v>
      </c>
      <c r="AB27" t="s">
        <v>65</v>
      </c>
      <c r="AD27" t="s">
        <v>66</v>
      </c>
      <c r="AF27" t="s">
        <v>65</v>
      </c>
      <c r="AN27" s="219">
        <f>AJ50</f>
        <v>0</v>
      </c>
      <c r="AO27" s="219">
        <f>AJ51</f>
        <v>0</v>
      </c>
      <c r="AP27" s="219">
        <f>AJ52</f>
        <v>0</v>
      </c>
      <c r="AQ27" s="219">
        <f>AJ53</f>
        <v>0</v>
      </c>
      <c r="AR27" s="219">
        <f>AJ54</f>
        <v>0</v>
      </c>
      <c r="AS27" s="219">
        <f>AJ55</f>
        <v>0</v>
      </c>
      <c r="AT27" s="216">
        <f t="shared" si="1"/>
        <v>0</v>
      </c>
      <c r="AU27" s="218">
        <f t="shared" si="2"/>
        <v>0</v>
      </c>
      <c r="AV27" s="214"/>
    </row>
    <row r="28" spans="1:48" ht="12" customHeight="1">
      <c r="A28" s="144"/>
      <c r="D28" s="41" t="s">
        <v>79</v>
      </c>
      <c r="E28" s="42"/>
      <c r="F28" s="43" t="s">
        <v>60</v>
      </c>
      <c r="G28" s="51"/>
      <c r="H28" s="41" t="s">
        <v>79</v>
      </c>
      <c r="I28" s="42"/>
      <c r="J28" s="43" t="s">
        <v>60</v>
      </c>
      <c r="L28" s="41" t="s">
        <v>79</v>
      </c>
      <c r="M28" s="42"/>
      <c r="N28" s="43" t="s">
        <v>60</v>
      </c>
      <c r="P28" s="41" t="s">
        <v>79</v>
      </c>
      <c r="Q28" s="42"/>
      <c r="R28" s="43" t="s">
        <v>60</v>
      </c>
      <c r="S28" s="51"/>
      <c r="Z28" s="41" t="s">
        <v>79</v>
      </c>
      <c r="AA28" s="42">
        <v>529</v>
      </c>
      <c r="AB28" s="43" t="s">
        <v>60</v>
      </c>
      <c r="AD28" s="41" t="s">
        <v>79</v>
      </c>
      <c r="AE28" s="42">
        <v>340</v>
      </c>
      <c r="AF28" s="43" t="s">
        <v>60</v>
      </c>
      <c r="AI28" s="746"/>
      <c r="AN28" s="216">
        <f>AK50</f>
        <v>0</v>
      </c>
      <c r="AO28" s="216">
        <f>AK51</f>
        <v>0</v>
      </c>
      <c r="AP28" s="216">
        <f>AK52</f>
        <v>0</v>
      </c>
      <c r="AQ28" s="216">
        <f>AK53</f>
        <v>0</v>
      </c>
      <c r="AR28" s="216">
        <f>AK54</f>
        <v>0</v>
      </c>
      <c r="AS28" s="216">
        <f>AK55</f>
        <v>0</v>
      </c>
      <c r="AT28" s="216">
        <f t="shared" si="1"/>
        <v>0</v>
      </c>
      <c r="AU28" s="218">
        <f t="shared" si="2"/>
        <v>0</v>
      </c>
      <c r="AV28" s="214"/>
    </row>
    <row r="29" spans="1:48" ht="12" customHeight="1">
      <c r="A29" s="144"/>
      <c r="D29" s="44" t="s">
        <v>37</v>
      </c>
      <c r="E29" s="45"/>
      <c r="F29" s="46" t="s">
        <v>29</v>
      </c>
      <c r="G29" s="51"/>
      <c r="H29" s="44" t="s">
        <v>37</v>
      </c>
      <c r="I29" s="45"/>
      <c r="J29" s="46" t="s">
        <v>29</v>
      </c>
      <c r="L29" s="44" t="s">
        <v>37</v>
      </c>
      <c r="M29" s="45"/>
      <c r="N29" s="46" t="s">
        <v>29</v>
      </c>
      <c r="P29" s="44" t="s">
        <v>37</v>
      </c>
      <c r="Q29" s="45"/>
      <c r="R29" s="46" t="s">
        <v>29</v>
      </c>
      <c r="S29" s="51"/>
      <c r="Z29" s="44" t="s">
        <v>37</v>
      </c>
      <c r="AA29" s="45">
        <v>-45</v>
      </c>
      <c r="AB29" s="46" t="s">
        <v>29</v>
      </c>
      <c r="AD29" s="44" t="s">
        <v>37</v>
      </c>
      <c r="AE29" s="45">
        <v>-63</v>
      </c>
      <c r="AF29" s="46" t="s">
        <v>29</v>
      </c>
      <c r="AN29" s="216">
        <f>AL50</f>
        <v>0</v>
      </c>
      <c r="AO29" s="216">
        <f>AL51</f>
        <v>0</v>
      </c>
      <c r="AP29" s="216">
        <f>AL52</f>
        <v>0</v>
      </c>
      <c r="AQ29" s="216">
        <f>AL53</f>
        <v>0</v>
      </c>
      <c r="AR29" s="216">
        <f>AL54</f>
        <v>0</v>
      </c>
      <c r="AS29" s="216">
        <f>AL55</f>
        <v>0</v>
      </c>
      <c r="AT29" s="216">
        <f t="shared" si="1"/>
        <v>0</v>
      </c>
      <c r="AU29" s="218">
        <f t="shared" si="2"/>
        <v>0</v>
      </c>
      <c r="AV29" s="214"/>
    </row>
    <row r="30" spans="1:48" ht="12" customHeight="1">
      <c r="A30" s="144"/>
      <c r="D30" s="44" t="s">
        <v>62</v>
      </c>
      <c r="E30" s="45"/>
      <c r="F30" s="47" t="s">
        <v>61</v>
      </c>
      <c r="G30" s="52"/>
      <c r="H30" s="44" t="s">
        <v>62</v>
      </c>
      <c r="I30" s="45"/>
      <c r="J30" s="47" t="s">
        <v>61</v>
      </c>
      <c r="L30" s="44" t="s">
        <v>62</v>
      </c>
      <c r="M30" s="45"/>
      <c r="N30" s="47" t="s">
        <v>61</v>
      </c>
      <c r="P30" s="44" t="s">
        <v>62</v>
      </c>
      <c r="Q30" s="45"/>
      <c r="R30" s="47" t="s">
        <v>61</v>
      </c>
      <c r="S30" s="52"/>
      <c r="Z30" s="44" t="s">
        <v>62</v>
      </c>
      <c r="AA30" s="45">
        <v>2.8</v>
      </c>
      <c r="AB30" s="47" t="s">
        <v>61</v>
      </c>
      <c r="AD30" s="44" t="s">
        <v>62</v>
      </c>
      <c r="AE30" s="45">
        <v>3</v>
      </c>
      <c r="AF30" s="47" t="s">
        <v>61</v>
      </c>
      <c r="AN30" s="214" t="s">
        <v>220</v>
      </c>
      <c r="AO30" s="214"/>
      <c r="AP30" s="214"/>
      <c r="AQ30" s="215">
        <f>SUMPRODUCT(AQ24:AQ29,$AU24:$AU29)/100</f>
        <v>0.28000000000000008</v>
      </c>
      <c r="AR30" s="215">
        <f>SUMPRODUCT(AR24:AR29,$AU24:$AU29)/100</f>
        <v>0.25000000000000006</v>
      </c>
      <c r="AS30" s="215">
        <f>SUMPRODUCT(AS24:AS29,$AU24:$AU29)/100</f>
        <v>0.26</v>
      </c>
      <c r="AT30" s="214">
        <f>SUM(AT24:AT29)</f>
        <v>225032.28999999998</v>
      </c>
      <c r="AU30" s="214"/>
      <c r="AV30" s="214"/>
    </row>
    <row r="31" spans="1:48" ht="12" customHeight="1">
      <c r="A31" s="144"/>
      <c r="D31" s="44" t="s">
        <v>58</v>
      </c>
      <c r="E31" s="610"/>
      <c r="F31" s="47" t="s">
        <v>61</v>
      </c>
      <c r="G31" s="52"/>
      <c r="H31" s="44" t="s">
        <v>58</v>
      </c>
      <c r="I31" s="610"/>
      <c r="J31" s="47" t="s">
        <v>61</v>
      </c>
      <c r="L31" s="44" t="s">
        <v>58</v>
      </c>
      <c r="M31" s="610"/>
      <c r="N31" s="47" t="s">
        <v>61</v>
      </c>
      <c r="P31" s="44" t="s">
        <v>58</v>
      </c>
      <c r="Q31" s="610"/>
      <c r="R31" s="47" t="s">
        <v>61</v>
      </c>
      <c r="S31" s="52"/>
      <c r="Z31" s="44" t="s">
        <v>58</v>
      </c>
      <c r="AA31" s="610"/>
      <c r="AB31" s="47" t="s">
        <v>61</v>
      </c>
      <c r="AD31" s="44" t="s">
        <v>58</v>
      </c>
      <c r="AE31" s="610"/>
      <c r="AF31" s="47" t="s">
        <v>61</v>
      </c>
      <c r="AN31" s="214"/>
      <c r="AO31" s="214"/>
      <c r="AP31" s="214"/>
      <c r="AQ31" s="214"/>
      <c r="AR31" s="214"/>
      <c r="AS31" s="214"/>
      <c r="AT31" s="214"/>
      <c r="AU31" s="214"/>
      <c r="AV31" s="214"/>
    </row>
    <row r="32" spans="1:48" ht="12" customHeight="1">
      <c r="A32" s="144"/>
      <c r="D32" s="44" t="s">
        <v>59</v>
      </c>
      <c r="E32" s="610"/>
      <c r="F32" s="47" t="s">
        <v>340</v>
      </c>
      <c r="G32" s="52"/>
      <c r="H32" s="44" t="s">
        <v>59</v>
      </c>
      <c r="I32" s="610"/>
      <c r="J32" s="47" t="s">
        <v>340</v>
      </c>
      <c r="L32" s="44" t="s">
        <v>59</v>
      </c>
      <c r="M32" s="610"/>
      <c r="N32" s="47" t="s">
        <v>340</v>
      </c>
      <c r="P32" s="44" t="s">
        <v>59</v>
      </c>
      <c r="Q32" s="610"/>
      <c r="R32" s="47" t="s">
        <v>340</v>
      </c>
      <c r="S32" s="52"/>
      <c r="Z32" s="44" t="s">
        <v>59</v>
      </c>
      <c r="AA32" s="610"/>
      <c r="AB32" s="627" t="s">
        <v>340</v>
      </c>
      <c r="AD32" s="209" t="s">
        <v>59</v>
      </c>
      <c r="AE32" s="623"/>
      <c r="AF32" s="627" t="s">
        <v>340</v>
      </c>
      <c r="AI32" s="58" t="s">
        <v>208</v>
      </c>
      <c r="AJ32" s="224"/>
      <c r="AK32" s="192">
        <v>167.9</v>
      </c>
      <c r="AL32" s="61" t="s">
        <v>68</v>
      </c>
      <c r="AN32" s="214"/>
      <c r="AO32" s="214"/>
      <c r="AP32" s="214"/>
      <c r="AQ32" s="214"/>
      <c r="AR32" s="214"/>
      <c r="AS32" s="214"/>
      <c r="AT32" s="214"/>
      <c r="AU32" s="214"/>
      <c r="AV32" s="214"/>
    </row>
    <row r="33" spans="1:48" ht="12" customHeight="1">
      <c r="A33" s="144"/>
      <c r="D33" s="48" t="s">
        <v>63</v>
      </c>
      <c r="E33" s="49"/>
      <c r="F33" s="50" t="s">
        <v>60</v>
      </c>
      <c r="G33" s="51"/>
      <c r="H33" s="210"/>
      <c r="I33" s="210"/>
      <c r="J33" s="210"/>
      <c r="L33" s="210"/>
      <c r="M33" s="210"/>
      <c r="N33" s="210"/>
      <c r="P33" s="48" t="s">
        <v>63</v>
      </c>
      <c r="Q33" s="49"/>
      <c r="R33" s="50" t="s">
        <v>60</v>
      </c>
      <c r="S33" s="51"/>
      <c r="Z33" s="48" t="s">
        <v>63</v>
      </c>
      <c r="AA33" s="49">
        <v>519</v>
      </c>
      <c r="AB33" s="50" t="s">
        <v>60</v>
      </c>
      <c r="AD33" s="210"/>
      <c r="AE33" s="210"/>
      <c r="AF33" s="210"/>
      <c r="AI33" s="54" t="s">
        <v>320</v>
      </c>
      <c r="AK33" s="226">
        <f>IF(AK32="","",AK32*24)</f>
        <v>4029.6000000000004</v>
      </c>
      <c r="AL33" t="s">
        <v>209</v>
      </c>
      <c r="AN33" s="214" t="s">
        <v>230</v>
      </c>
      <c r="AO33" s="214"/>
      <c r="AP33" s="214"/>
      <c r="AQ33" s="214"/>
      <c r="AR33" s="214"/>
      <c r="AS33" s="214"/>
      <c r="AT33" s="214" t="s">
        <v>216</v>
      </c>
      <c r="AU33" s="214"/>
      <c r="AV33" s="214"/>
    </row>
    <row r="34" spans="1:48" ht="12" customHeight="1">
      <c r="A34" s="144"/>
      <c r="AI34" s="54" t="s">
        <v>321</v>
      </c>
      <c r="AK34" s="226">
        <f>+Evaluation!D10</f>
        <v>3349.5860035735554</v>
      </c>
      <c r="AL34" t="s">
        <v>319</v>
      </c>
      <c r="AN34" s="214"/>
      <c r="AO34" s="217" t="s">
        <v>68</v>
      </c>
      <c r="AP34" s="217" t="s">
        <v>214</v>
      </c>
      <c r="AQ34" s="217" t="s">
        <v>188</v>
      </c>
      <c r="AR34" s="217" t="s">
        <v>110</v>
      </c>
      <c r="AS34" s="217" t="s">
        <v>118</v>
      </c>
      <c r="AT34" s="217" t="s">
        <v>215</v>
      </c>
      <c r="AU34" s="217" t="s">
        <v>61</v>
      </c>
      <c r="AV34" s="214"/>
    </row>
    <row r="35" spans="1:48" ht="12" customHeight="1">
      <c r="A35" s="144"/>
      <c r="AN35" s="214" t="str">
        <f t="shared" ref="AN35:AS35" si="4">AN24</f>
        <v>Coal/Petcoke</v>
      </c>
      <c r="AO35" s="216">
        <f t="shared" si="4"/>
        <v>7</v>
      </c>
      <c r="AP35" s="216">
        <f t="shared" si="4"/>
        <v>26.19</v>
      </c>
      <c r="AQ35" s="216">
        <f t="shared" si="4"/>
        <v>0.28000000000000003</v>
      </c>
      <c r="AR35" s="216">
        <f t="shared" si="4"/>
        <v>0.25</v>
      </c>
      <c r="AS35" s="216">
        <f t="shared" si="4"/>
        <v>0.26</v>
      </c>
      <c r="AT35" s="216">
        <f t="shared" ref="AT35:AT43" si="5">AP35*1000*AO35</f>
        <v>183330</v>
      </c>
      <c r="AU35" s="218">
        <f>AT35/$AT$44*100</f>
        <v>32.598056574031204</v>
      </c>
      <c r="AV35" s="214" t="s">
        <v>222</v>
      </c>
    </row>
    <row r="36" spans="1:48" ht="12" customHeight="1">
      <c r="A36" s="144"/>
      <c r="D36" t="str">
        <f>"Cyclone "&amp;General!I65</f>
        <v>Cyclone 3</v>
      </c>
      <c r="F36" t="s">
        <v>64</v>
      </c>
      <c r="H36" t="s">
        <v>69</v>
      </c>
      <c r="L36" t="s">
        <v>69</v>
      </c>
      <c r="P36" t="str">
        <f>"Cyclone "&amp;General!I79</f>
        <v>Cyclone 3</v>
      </c>
      <c r="R36" t="s">
        <v>152</v>
      </c>
      <c r="Z36" t="str">
        <f>"Cyclone "&amp;General!I79</f>
        <v>Cyclone 3</v>
      </c>
      <c r="AB36" t="s">
        <v>65</v>
      </c>
      <c r="AD36" t="s">
        <v>69</v>
      </c>
      <c r="AN36" s="214" t="str">
        <f t="shared" ref="AN36:AS40" si="6">AN25</f>
        <v>Fluff</v>
      </c>
      <c r="AO36" s="216">
        <f t="shared" si="6"/>
        <v>2.0299999999999998</v>
      </c>
      <c r="AP36" s="216">
        <f t="shared" si="6"/>
        <v>20.542999999999999</v>
      </c>
      <c r="AQ36" s="216">
        <f t="shared" si="6"/>
        <v>0.28000000000000003</v>
      </c>
      <c r="AR36" s="216">
        <f t="shared" si="6"/>
        <v>0.25</v>
      </c>
      <c r="AS36" s="216">
        <f t="shared" si="6"/>
        <v>0.26</v>
      </c>
      <c r="AT36" s="216">
        <f t="shared" si="5"/>
        <v>41702.289999999994</v>
      </c>
      <c r="AU36" s="218">
        <f t="shared" ref="AU36:AU43" si="7">AT36/$AT$44*100</f>
        <v>7.4151181404388558</v>
      </c>
      <c r="AV36" s="214" t="s">
        <v>222</v>
      </c>
    </row>
    <row r="37" spans="1:48" ht="12" customHeight="1">
      <c r="D37" s="41" t="s">
        <v>79</v>
      </c>
      <c r="E37" s="42"/>
      <c r="F37" s="43" t="s">
        <v>60</v>
      </c>
      <c r="G37" s="51"/>
      <c r="H37" s="58" t="s">
        <v>67</v>
      </c>
      <c r="I37" s="204"/>
      <c r="J37" s="62" t="s">
        <v>172</v>
      </c>
      <c r="L37" s="58" t="s">
        <v>67</v>
      </c>
      <c r="M37" s="204"/>
      <c r="N37" s="62" t="s">
        <v>172</v>
      </c>
      <c r="P37" s="41" t="s">
        <v>79</v>
      </c>
      <c r="Q37" s="42"/>
      <c r="R37" s="43" t="s">
        <v>60</v>
      </c>
      <c r="S37" s="51"/>
      <c r="Z37" s="41" t="s">
        <v>79</v>
      </c>
      <c r="AA37" s="883">
        <v>650</v>
      </c>
      <c r="AB37" s="43" t="s">
        <v>60</v>
      </c>
      <c r="AD37" s="58" t="s">
        <v>67</v>
      </c>
      <c r="AE37" s="204">
        <v>1E-3</v>
      </c>
      <c r="AF37" s="62" t="s">
        <v>172</v>
      </c>
      <c r="AI37" s="58" t="s">
        <v>232</v>
      </c>
      <c r="AJ37" s="224"/>
      <c r="AK37" s="192">
        <v>980</v>
      </c>
      <c r="AL37" s="62" t="s">
        <v>29</v>
      </c>
      <c r="AN37" s="214">
        <f t="shared" si="6"/>
        <v>0</v>
      </c>
      <c r="AO37" s="216">
        <f t="shared" si="6"/>
        <v>0</v>
      </c>
      <c r="AP37" s="216">
        <f t="shared" si="6"/>
        <v>0</v>
      </c>
      <c r="AQ37" s="216">
        <f t="shared" si="6"/>
        <v>0</v>
      </c>
      <c r="AR37" s="216">
        <f t="shared" si="6"/>
        <v>0</v>
      </c>
      <c r="AS37" s="216">
        <f t="shared" si="6"/>
        <v>0</v>
      </c>
      <c r="AT37" s="216">
        <f t="shared" si="5"/>
        <v>0</v>
      </c>
      <c r="AU37" s="218">
        <f t="shared" si="7"/>
        <v>0</v>
      </c>
      <c r="AV37" s="214" t="s">
        <v>222</v>
      </c>
    </row>
    <row r="38" spans="1:48" ht="12" customHeight="1">
      <c r="D38" s="44" t="s">
        <v>37</v>
      </c>
      <c r="E38" s="45"/>
      <c r="F38" s="46" t="s">
        <v>29</v>
      </c>
      <c r="G38" s="51"/>
      <c r="K38" s="54"/>
      <c r="P38" s="44" t="s">
        <v>37</v>
      </c>
      <c r="Q38" s="45"/>
      <c r="R38" s="46" t="s">
        <v>29</v>
      </c>
      <c r="S38" s="51"/>
      <c r="Z38" s="44" t="s">
        <v>37</v>
      </c>
      <c r="AA38" s="45">
        <v>-38</v>
      </c>
      <c r="AB38" s="46" t="s">
        <v>29</v>
      </c>
      <c r="AI38" s="59" t="s">
        <v>376</v>
      </c>
      <c r="AJ38" s="224"/>
      <c r="AK38" s="192">
        <v>30</v>
      </c>
      <c r="AL38" s="61" t="s">
        <v>60</v>
      </c>
      <c r="AN38" s="214">
        <f t="shared" si="6"/>
        <v>0</v>
      </c>
      <c r="AO38" s="216">
        <f t="shared" si="6"/>
        <v>0</v>
      </c>
      <c r="AP38" s="216">
        <f t="shared" si="6"/>
        <v>0</v>
      </c>
      <c r="AQ38" s="216">
        <f t="shared" si="6"/>
        <v>0</v>
      </c>
      <c r="AR38" s="216">
        <f t="shared" si="6"/>
        <v>0</v>
      </c>
      <c r="AS38" s="216">
        <f t="shared" si="6"/>
        <v>0</v>
      </c>
      <c r="AT38" s="216">
        <f t="shared" si="5"/>
        <v>0</v>
      </c>
      <c r="AU38" s="218">
        <f t="shared" si="7"/>
        <v>0</v>
      </c>
      <c r="AV38" s="214" t="s">
        <v>223</v>
      </c>
    </row>
    <row r="39" spans="1:48" ht="12" customHeight="1" thickBot="1">
      <c r="D39" s="44" t="s">
        <v>62</v>
      </c>
      <c r="E39" s="45"/>
      <c r="F39" s="47" t="s">
        <v>61</v>
      </c>
      <c r="G39" s="52"/>
      <c r="K39" s="54"/>
      <c r="P39" s="44" t="s">
        <v>62</v>
      </c>
      <c r="Q39" s="45"/>
      <c r="R39" s="47" t="s">
        <v>61</v>
      </c>
      <c r="S39" s="52"/>
      <c r="Z39" s="44" t="s">
        <v>62</v>
      </c>
      <c r="AA39" s="45">
        <v>2.6</v>
      </c>
      <c r="AB39" s="47" t="s">
        <v>61</v>
      </c>
      <c r="AN39" s="214">
        <f t="shared" si="6"/>
        <v>0</v>
      </c>
      <c r="AO39" s="216">
        <f t="shared" si="6"/>
        <v>0</v>
      </c>
      <c r="AP39" s="216">
        <f t="shared" si="6"/>
        <v>0</v>
      </c>
      <c r="AQ39" s="216">
        <f t="shared" si="6"/>
        <v>0</v>
      </c>
      <c r="AR39" s="216">
        <f t="shared" si="6"/>
        <v>0</v>
      </c>
      <c r="AS39" s="216">
        <f t="shared" si="6"/>
        <v>0</v>
      </c>
      <c r="AT39" s="216">
        <f t="shared" si="5"/>
        <v>0</v>
      </c>
      <c r="AU39" s="218">
        <f t="shared" si="7"/>
        <v>0</v>
      </c>
      <c r="AV39" s="214" t="s">
        <v>223</v>
      </c>
    </row>
    <row r="40" spans="1:48" ht="12" customHeight="1" thickBot="1">
      <c r="D40" s="44" t="s">
        <v>58</v>
      </c>
      <c r="E40" s="610"/>
      <c r="F40" s="47" t="s">
        <v>61</v>
      </c>
      <c r="G40" s="52"/>
      <c r="P40" s="44" t="s">
        <v>58</v>
      </c>
      <c r="Q40" s="610"/>
      <c r="R40" s="47" t="s">
        <v>61</v>
      </c>
      <c r="S40" s="52"/>
      <c r="Z40" s="44" t="s">
        <v>58</v>
      </c>
      <c r="AA40" s="610"/>
      <c r="AB40" s="47" t="s">
        <v>61</v>
      </c>
      <c r="AH40" s="740" t="s">
        <v>99</v>
      </c>
      <c r="AK40" s="822">
        <f>+Evaluation!D11</f>
        <v>40.013174714470054</v>
      </c>
      <c r="AL40" t="s">
        <v>322</v>
      </c>
      <c r="AN40" s="214">
        <f t="shared" si="6"/>
        <v>0</v>
      </c>
      <c r="AO40" s="216">
        <f t="shared" si="6"/>
        <v>0</v>
      </c>
      <c r="AP40" s="216">
        <f t="shared" si="6"/>
        <v>0</v>
      </c>
      <c r="AQ40" s="216">
        <f t="shared" si="6"/>
        <v>0</v>
      </c>
      <c r="AR40" s="216">
        <f t="shared" si="6"/>
        <v>0</v>
      </c>
      <c r="AS40" s="216">
        <f t="shared" si="6"/>
        <v>0</v>
      </c>
      <c r="AT40" s="216">
        <f t="shared" si="5"/>
        <v>0</v>
      </c>
      <c r="AU40" s="218">
        <f t="shared" si="7"/>
        <v>0</v>
      </c>
      <c r="AV40" s="214" t="s">
        <v>223</v>
      </c>
    </row>
    <row r="41" spans="1:48" ht="12" customHeight="1">
      <c r="D41" s="44" t="s">
        <v>59</v>
      </c>
      <c r="E41" s="610"/>
      <c r="F41" s="47" t="s">
        <v>340</v>
      </c>
      <c r="G41" s="52"/>
      <c r="H41" t="s">
        <v>70</v>
      </c>
      <c r="L41" t="s">
        <v>70</v>
      </c>
      <c r="P41" s="44" t="s">
        <v>59</v>
      </c>
      <c r="Q41" s="610"/>
      <c r="R41" s="47" t="s">
        <v>340</v>
      </c>
      <c r="S41" s="52"/>
      <c r="Z41" s="44" t="s">
        <v>59</v>
      </c>
      <c r="AA41" s="610"/>
      <c r="AB41" s="627" t="s">
        <v>340</v>
      </c>
      <c r="AD41" t="s">
        <v>70</v>
      </c>
      <c r="AH41" s="205" t="s">
        <v>186</v>
      </c>
      <c r="AI41" s="206" t="s">
        <v>194</v>
      </c>
      <c r="AJ41" s="196" t="s">
        <v>571</v>
      </c>
      <c r="AK41" s="615" t="s">
        <v>573</v>
      </c>
      <c r="AL41" s="616"/>
      <c r="AN41" s="214" t="str">
        <f>AJ59</f>
        <v>Coal/Petcoke</v>
      </c>
      <c r="AO41" s="216">
        <f>AJ60</f>
        <v>10.3</v>
      </c>
      <c r="AP41" s="216">
        <f>AJ61</f>
        <v>26.19</v>
      </c>
      <c r="AQ41" s="216">
        <f>AJ62</f>
        <v>0.28000000000000003</v>
      </c>
      <c r="AR41" s="216">
        <f>AJ63</f>
        <v>0.25</v>
      </c>
      <c r="AS41" s="216">
        <f>AJ64</f>
        <v>0.26</v>
      </c>
      <c r="AT41" s="216">
        <f t="shared" si="5"/>
        <v>269757</v>
      </c>
      <c r="AU41" s="218">
        <f t="shared" si="7"/>
        <v>47.965711816074489</v>
      </c>
      <c r="AV41" s="214" t="s">
        <v>219</v>
      </c>
    </row>
    <row r="42" spans="1:48" ht="12" customHeight="1" thickBot="1">
      <c r="D42" s="48" t="s">
        <v>63</v>
      </c>
      <c r="E42" s="49"/>
      <c r="F42" s="50" t="s">
        <v>60</v>
      </c>
      <c r="G42" s="51"/>
      <c r="H42" s="59" t="s">
        <v>67</v>
      </c>
      <c r="I42" s="611"/>
      <c r="J42" s="61" t="s">
        <v>68</v>
      </c>
      <c r="K42" s="54"/>
      <c r="L42" s="59" t="s">
        <v>67</v>
      </c>
      <c r="M42" s="611"/>
      <c r="N42" s="61" t="s">
        <v>68</v>
      </c>
      <c r="P42" s="48" t="s">
        <v>63</v>
      </c>
      <c r="Q42" s="49"/>
      <c r="R42" s="50" t="s">
        <v>60</v>
      </c>
      <c r="S42" s="51"/>
      <c r="Z42" s="48" t="s">
        <v>63</v>
      </c>
      <c r="AA42" s="49">
        <v>640</v>
      </c>
      <c r="AB42" s="50" t="s">
        <v>60</v>
      </c>
      <c r="AD42" s="59" t="s">
        <v>67</v>
      </c>
      <c r="AE42" s="611">
        <v>1E-4</v>
      </c>
      <c r="AF42" s="61" t="s">
        <v>68</v>
      </c>
      <c r="AH42" s="205" t="s">
        <v>187</v>
      </c>
      <c r="AI42" s="206" t="s">
        <v>195</v>
      </c>
      <c r="AJ42" s="199">
        <v>7</v>
      </c>
      <c r="AK42" s="618">
        <v>2.0299999999999998</v>
      </c>
      <c r="AL42" s="619"/>
      <c r="AN42" s="214" t="str">
        <f>AK59</f>
        <v>Plastics</v>
      </c>
      <c r="AO42" s="216">
        <f>AK60</f>
        <v>4.26</v>
      </c>
      <c r="AP42" s="216">
        <f>AK61</f>
        <v>15.87</v>
      </c>
      <c r="AQ42" s="216">
        <f>AK62</f>
        <v>0.28000000000000003</v>
      </c>
      <c r="AR42" s="216">
        <f>AK63</f>
        <v>0.25</v>
      </c>
      <c r="AS42" s="216">
        <f>AK64</f>
        <v>0.26</v>
      </c>
      <c r="AT42" s="216">
        <f t="shared" si="5"/>
        <v>67606.2</v>
      </c>
      <c r="AU42" s="218">
        <f t="shared" si="7"/>
        <v>12.021113469455454</v>
      </c>
      <c r="AV42" s="214" t="s">
        <v>219</v>
      </c>
    </row>
    <row r="43" spans="1:48" ht="12" customHeight="1" thickBot="1">
      <c r="H43" s="54" t="s">
        <v>81</v>
      </c>
      <c r="I43" s="669">
        <f>+IF(I42="",I28,AP99)</f>
        <v>0</v>
      </c>
      <c r="J43" t="s">
        <v>60</v>
      </c>
      <c r="K43" s="54"/>
      <c r="L43" s="54" t="s">
        <v>81</v>
      </c>
      <c r="M43" s="670">
        <f>IF(M42="",M28,AW99)</f>
        <v>0</v>
      </c>
      <c r="N43" t="s">
        <v>60</v>
      </c>
      <c r="AD43" s="54" t="s">
        <v>81</v>
      </c>
      <c r="AE43" s="670" t="e">
        <f ca="1">IF(AE42="",AE28,BD99)</f>
        <v>#VALUE!</v>
      </c>
      <c r="AF43" t="s">
        <v>60</v>
      </c>
      <c r="AH43" s="205" t="s">
        <v>191</v>
      </c>
      <c r="AI43" s="206" t="s">
        <v>196</v>
      </c>
      <c r="AJ43" s="199">
        <v>26.19</v>
      </c>
      <c r="AK43" s="618">
        <v>20.542999999999999</v>
      </c>
      <c r="AL43" s="619"/>
      <c r="AN43" s="214">
        <f>AL59</f>
        <v>0</v>
      </c>
      <c r="AO43" s="216">
        <f>AL60</f>
        <v>0</v>
      </c>
      <c r="AP43" s="216">
        <f>AL61</f>
        <v>0</v>
      </c>
      <c r="AQ43" s="216">
        <f>AL62</f>
        <v>0</v>
      </c>
      <c r="AR43" s="216">
        <f>AL63</f>
        <v>0</v>
      </c>
      <c r="AS43" s="216">
        <f>AL64</f>
        <v>0</v>
      </c>
      <c r="AT43" s="216">
        <f t="shared" si="5"/>
        <v>0</v>
      </c>
      <c r="AU43" s="218">
        <f t="shared" si="7"/>
        <v>0</v>
      </c>
      <c r="AV43" s="214" t="s">
        <v>219</v>
      </c>
    </row>
    <row r="44" spans="1:48" ht="12" customHeight="1">
      <c r="K44" s="54"/>
      <c r="AH44" s="205" t="s">
        <v>188</v>
      </c>
      <c r="AI44" s="206" t="s">
        <v>318</v>
      </c>
      <c r="AJ44" s="199">
        <v>0.28000000000000003</v>
      </c>
      <c r="AK44" s="618">
        <v>0.28000000000000003</v>
      </c>
      <c r="AL44" s="619"/>
      <c r="AN44" s="214"/>
      <c r="AO44" s="214"/>
      <c r="AP44" s="214"/>
      <c r="AQ44" s="215">
        <f>SUMPRODUCT(AQ35:AQ43,$AU35:$AU43)/100</f>
        <v>0.28000000000000003</v>
      </c>
      <c r="AR44" s="215">
        <f>SUMPRODUCT(AR35:AR43,$AU35:$AU43)/100</f>
        <v>0.25</v>
      </c>
      <c r="AS44" s="215">
        <f>SUMPRODUCT(AS35:AS43,$AU35:$AU43)/100</f>
        <v>0.26</v>
      </c>
      <c r="AT44" s="216">
        <f>SUM(AT35:AT43)</f>
        <v>562395.49</v>
      </c>
      <c r="AU44" s="218"/>
      <c r="AV44" s="214"/>
    </row>
    <row r="45" spans="1:48" ht="12" customHeight="1">
      <c r="D45" t="str">
        <f>"Cyclone "&amp;General!I66</f>
        <v>Cyclone 4</v>
      </c>
      <c r="F45" t="s">
        <v>64</v>
      </c>
      <c r="P45" t="str">
        <f>"Cyclone "&amp;General!I80</f>
        <v>Cyclone 4</v>
      </c>
      <c r="R45" t="s">
        <v>152</v>
      </c>
      <c r="Z45" t="str">
        <f>"Cyclone "&amp;General!I80</f>
        <v>Cyclone 4</v>
      </c>
      <c r="AB45" t="s">
        <v>65</v>
      </c>
      <c r="AH45" s="205" t="s">
        <v>207</v>
      </c>
      <c r="AI45" s="206" t="s">
        <v>318</v>
      </c>
      <c r="AJ45" s="199">
        <v>0.25</v>
      </c>
      <c r="AK45" s="618">
        <v>0.25</v>
      </c>
      <c r="AL45" s="619"/>
      <c r="AN45" s="214" t="s">
        <v>239</v>
      </c>
      <c r="AO45" s="214"/>
      <c r="AP45" s="214"/>
      <c r="AQ45" s="214"/>
      <c r="AR45" s="214"/>
      <c r="AS45" s="215">
        <f>SUMPRODUCT(AS41:AS43,$AU41:$AU43)/SUM(AU41:AU43)</f>
        <v>0.25999999999999995</v>
      </c>
      <c r="AT45" s="214"/>
      <c r="AU45" s="214"/>
      <c r="AV45" s="214"/>
    </row>
    <row r="46" spans="1:48" ht="12" customHeight="1">
      <c r="D46" s="41" t="s">
        <v>79</v>
      </c>
      <c r="E46" s="42"/>
      <c r="F46" s="43" t="s">
        <v>60</v>
      </c>
      <c r="G46" s="51"/>
      <c r="P46" s="41" t="s">
        <v>79</v>
      </c>
      <c r="Q46" s="42"/>
      <c r="R46" s="43" t="s">
        <v>60</v>
      </c>
      <c r="S46" s="51"/>
      <c r="Z46" s="41" t="s">
        <v>79</v>
      </c>
      <c r="AA46" s="42">
        <v>795</v>
      </c>
      <c r="AB46" s="43" t="s">
        <v>60</v>
      </c>
      <c r="AH46" s="205" t="s">
        <v>118</v>
      </c>
      <c r="AI46" s="206" t="s">
        <v>318</v>
      </c>
      <c r="AJ46" s="199">
        <v>0.26</v>
      </c>
      <c r="AK46" s="618">
        <v>0.26</v>
      </c>
      <c r="AL46" s="619"/>
      <c r="AN46" s="214"/>
      <c r="AO46" s="214"/>
      <c r="AP46" s="214"/>
      <c r="AQ46" s="214"/>
      <c r="AR46" s="214"/>
      <c r="AS46" s="214"/>
      <c r="AT46" s="214"/>
      <c r="AU46" s="214"/>
      <c r="AV46" s="214"/>
    </row>
    <row r="47" spans="1:48" ht="12" customHeight="1" thickBot="1">
      <c r="D47" s="44" t="s">
        <v>37</v>
      </c>
      <c r="E47" s="45"/>
      <c r="F47" s="46" t="s">
        <v>29</v>
      </c>
      <c r="G47" s="51"/>
      <c r="H47" s="54" t="s">
        <v>496</v>
      </c>
      <c r="I47" s="54"/>
      <c r="J47" s="54"/>
      <c r="L47" s="54" t="s">
        <v>496</v>
      </c>
      <c r="M47" s="54"/>
      <c r="N47" s="54"/>
      <c r="P47" s="44" t="s">
        <v>37</v>
      </c>
      <c r="Q47" s="45"/>
      <c r="R47" s="46" t="s">
        <v>29</v>
      </c>
      <c r="S47" s="51"/>
      <c r="Z47" s="44" t="s">
        <v>37</v>
      </c>
      <c r="AA47" s="884">
        <v>-29</v>
      </c>
      <c r="AB47" s="46" t="s">
        <v>29</v>
      </c>
      <c r="AD47" s="54" t="s">
        <v>496</v>
      </c>
      <c r="AE47" s="54"/>
      <c r="AF47" s="54"/>
      <c r="AH47" s="205" t="s">
        <v>429</v>
      </c>
      <c r="AI47" s="207" t="s">
        <v>112</v>
      </c>
      <c r="AJ47" s="202"/>
      <c r="AK47" s="621"/>
      <c r="AL47" s="622"/>
      <c r="AN47" s="214"/>
      <c r="AO47" s="214"/>
      <c r="AP47" s="214"/>
      <c r="AQ47" s="214"/>
      <c r="AR47" s="214"/>
      <c r="AS47" s="214"/>
      <c r="AT47" s="214"/>
      <c r="AU47" s="214"/>
      <c r="AV47" s="214"/>
    </row>
    <row r="48" spans="1:48" ht="12" customHeight="1" thickBot="1">
      <c r="D48" s="44" t="s">
        <v>62</v>
      </c>
      <c r="E48" s="45"/>
      <c r="F48" s="47" t="s">
        <v>61</v>
      </c>
      <c r="G48" s="52"/>
      <c r="H48" s="58" t="s">
        <v>62</v>
      </c>
      <c r="I48" s="611"/>
      <c r="J48" s="256" t="s">
        <v>377</v>
      </c>
      <c r="L48" s="58" t="s">
        <v>62</v>
      </c>
      <c r="M48" s="611"/>
      <c r="N48" s="256" t="s">
        <v>377</v>
      </c>
      <c r="P48" s="44" t="s">
        <v>62</v>
      </c>
      <c r="Q48" s="45"/>
      <c r="R48" s="47" t="s">
        <v>61</v>
      </c>
      <c r="S48" s="52"/>
      <c r="Z48" s="44" t="s">
        <v>62</v>
      </c>
      <c r="AA48" s="45">
        <v>2.4</v>
      </c>
      <c r="AB48" s="47" t="s">
        <v>61</v>
      </c>
      <c r="AD48" s="58" t="s">
        <v>62</v>
      </c>
      <c r="AE48" s="611">
        <f>+AE30</f>
        <v>3</v>
      </c>
      <c r="AF48" s="256" t="s">
        <v>326</v>
      </c>
      <c r="AN48" s="220" t="s">
        <v>64</v>
      </c>
      <c r="AO48" s="214"/>
      <c r="AP48" s="214"/>
      <c r="AQ48" s="214"/>
      <c r="AR48" s="214"/>
      <c r="AS48" s="214"/>
      <c r="AT48" s="214" t="s">
        <v>216</v>
      </c>
      <c r="AU48" s="214"/>
      <c r="AV48" s="214"/>
    </row>
    <row r="49" spans="2:48" ht="12" customHeight="1" thickBot="1">
      <c r="D49" s="44" t="s">
        <v>58</v>
      </c>
      <c r="E49" s="610"/>
      <c r="F49" s="47" t="s">
        <v>61</v>
      </c>
      <c r="G49" s="52"/>
      <c r="H49" s="54" t="s">
        <v>57</v>
      </c>
      <c r="I49" s="672">
        <f>IF(I48="",I43,AP117)</f>
        <v>0</v>
      </c>
      <c r="J49" s="51" t="s">
        <v>60</v>
      </c>
      <c r="K49" s="54"/>
      <c r="L49" s="54" t="s">
        <v>57</v>
      </c>
      <c r="M49" s="672">
        <f>IF(M48="",M43,AW117)</f>
        <v>0</v>
      </c>
      <c r="N49" s="51" t="s">
        <v>60</v>
      </c>
      <c r="P49" s="44" t="s">
        <v>58</v>
      </c>
      <c r="Q49" s="610"/>
      <c r="R49" s="47" t="s">
        <v>61</v>
      </c>
      <c r="S49" s="52"/>
      <c r="Z49" s="44" t="s">
        <v>58</v>
      </c>
      <c r="AA49" s="610"/>
      <c r="AB49" s="47" t="s">
        <v>61</v>
      </c>
      <c r="AD49" s="54" t="s">
        <v>57</v>
      </c>
      <c r="AE49" s="672" t="e">
        <f ca="1">IF(AE48="",AE43,BD117)</f>
        <v>#VALUE!</v>
      </c>
      <c r="AF49" s="51" t="s">
        <v>60</v>
      </c>
      <c r="AH49" s="740" t="s">
        <v>100</v>
      </c>
      <c r="AI49" s="207"/>
      <c r="AK49" s="822" t="str">
        <f>+Evaluation!D12</f>
        <v/>
      </c>
      <c r="AL49" t="s">
        <v>323</v>
      </c>
      <c r="AN49" s="214"/>
      <c r="AO49" s="217" t="s">
        <v>68</v>
      </c>
      <c r="AP49" s="217" t="s">
        <v>214</v>
      </c>
      <c r="AQ49" s="217" t="s">
        <v>188</v>
      </c>
      <c r="AR49" s="217" t="s">
        <v>110</v>
      </c>
      <c r="AS49" s="217" t="s">
        <v>118</v>
      </c>
      <c r="AT49" s="217" t="s">
        <v>215</v>
      </c>
      <c r="AU49" s="217" t="s">
        <v>61</v>
      </c>
      <c r="AV49" s="214"/>
    </row>
    <row r="50" spans="2:48" ht="12" customHeight="1">
      <c r="D50" s="44" t="s">
        <v>59</v>
      </c>
      <c r="E50" s="610"/>
      <c r="F50" s="47" t="s">
        <v>340</v>
      </c>
      <c r="G50" s="52"/>
      <c r="H50" s="54" t="s">
        <v>499</v>
      </c>
      <c r="L50" s="54" t="s">
        <v>499</v>
      </c>
      <c r="P50" s="44" t="s">
        <v>59</v>
      </c>
      <c r="Q50" s="610"/>
      <c r="R50" s="47" t="s">
        <v>340</v>
      </c>
      <c r="S50" s="52"/>
      <c r="Z50" s="44" t="s">
        <v>59</v>
      </c>
      <c r="AA50" s="610"/>
      <c r="AB50" s="627" t="s">
        <v>340</v>
      </c>
      <c r="AD50" s="54" t="s">
        <v>499</v>
      </c>
      <c r="AH50" s="205" t="s">
        <v>186</v>
      </c>
      <c r="AI50" s="206" t="s">
        <v>194</v>
      </c>
      <c r="AJ50" s="614"/>
      <c r="AK50" s="615"/>
      <c r="AL50" s="616"/>
      <c r="AN50" s="214">
        <f>D75</f>
        <v>0</v>
      </c>
      <c r="AO50" s="216">
        <f>D76</f>
        <v>0</v>
      </c>
      <c r="AP50" s="216">
        <f>D77</f>
        <v>0</v>
      </c>
      <c r="AQ50" s="216">
        <f>D78</f>
        <v>0</v>
      </c>
      <c r="AR50" s="216">
        <f>D79</f>
        <v>0</v>
      </c>
      <c r="AS50" s="216">
        <f>D80</f>
        <v>0</v>
      </c>
      <c r="AT50" s="216">
        <f>AP50*1000*AO50</f>
        <v>0</v>
      </c>
      <c r="AU50" s="218" t="e">
        <f>AT50/$AT$53*100</f>
        <v>#DIV/0!</v>
      </c>
      <c r="AV50" s="214" t="s">
        <v>64</v>
      </c>
    </row>
    <row r="51" spans="2:48" ht="12" customHeight="1">
      <c r="D51" s="48" t="s">
        <v>63</v>
      </c>
      <c r="E51" s="49"/>
      <c r="F51" s="50" t="s">
        <v>60</v>
      </c>
      <c r="G51" s="51"/>
      <c r="H51" t="s">
        <v>495</v>
      </c>
      <c r="L51" t="s">
        <v>495</v>
      </c>
      <c r="P51" s="48" t="s">
        <v>63</v>
      </c>
      <c r="Q51" s="49"/>
      <c r="R51" s="50" t="s">
        <v>60</v>
      </c>
      <c r="S51" s="51"/>
      <c r="Z51" s="48" t="s">
        <v>63</v>
      </c>
      <c r="AA51" s="49">
        <v>785</v>
      </c>
      <c r="AB51" s="50" t="s">
        <v>60</v>
      </c>
      <c r="AD51" t="s">
        <v>495</v>
      </c>
      <c r="AH51" s="205" t="s">
        <v>187</v>
      </c>
      <c r="AI51" s="206" t="s">
        <v>195</v>
      </c>
      <c r="AJ51" s="617"/>
      <c r="AK51" s="618"/>
      <c r="AL51" s="619"/>
      <c r="AN51" s="214">
        <f>E75</f>
        <v>0</v>
      </c>
      <c r="AO51" s="216">
        <f>E76</f>
        <v>0</v>
      </c>
      <c r="AP51" s="216">
        <f>E77</f>
        <v>0</v>
      </c>
      <c r="AQ51" s="216">
        <f>E78</f>
        <v>0</v>
      </c>
      <c r="AR51" s="216">
        <f>E79</f>
        <v>0</v>
      </c>
      <c r="AS51" s="216">
        <f>E80</f>
        <v>0</v>
      </c>
      <c r="AT51" s="216">
        <f>AP51*1000*AO51</f>
        <v>0</v>
      </c>
      <c r="AU51" s="218" t="e">
        <f>AT51/$AT$53*100</f>
        <v>#DIV/0!</v>
      </c>
      <c r="AV51" s="214" t="s">
        <v>64</v>
      </c>
    </row>
    <row r="52" spans="2:48" ht="12" customHeight="1">
      <c r="AH52" s="205" t="s">
        <v>191</v>
      </c>
      <c r="AI52" s="206" t="s">
        <v>196</v>
      </c>
      <c r="AJ52" s="617"/>
      <c r="AK52" s="618"/>
      <c r="AL52" s="619"/>
      <c r="AN52" s="214">
        <f>F75</f>
        <v>0</v>
      </c>
      <c r="AO52" s="216">
        <f>F76</f>
        <v>0</v>
      </c>
      <c r="AP52" s="216">
        <f>F77</f>
        <v>0</v>
      </c>
      <c r="AQ52" s="216">
        <f>F78</f>
        <v>0</v>
      </c>
      <c r="AR52" s="216">
        <f>F79</f>
        <v>0</v>
      </c>
      <c r="AS52" s="216">
        <f>F80</f>
        <v>0</v>
      </c>
      <c r="AT52" s="216">
        <f>AP52*1000*AO52</f>
        <v>0</v>
      </c>
      <c r="AU52" s="218" t="e">
        <f>AT52/$AT$53*100</f>
        <v>#DIV/0!</v>
      </c>
      <c r="AV52" s="214" t="s">
        <v>64</v>
      </c>
    </row>
    <row r="53" spans="2:48" ht="12" customHeight="1">
      <c r="L53" s="144"/>
      <c r="M53" s="144"/>
      <c r="N53" s="144"/>
      <c r="AH53" s="205" t="s">
        <v>188</v>
      </c>
      <c r="AI53" s="206" t="s">
        <v>318</v>
      </c>
      <c r="AJ53" s="617"/>
      <c r="AK53" s="618"/>
      <c r="AL53" s="619"/>
      <c r="AN53" s="214"/>
      <c r="AO53" s="214"/>
      <c r="AP53" s="214"/>
      <c r="AQ53" s="215" t="e">
        <f>SUMPRODUCT(AQ50:AQ52,$AU50:$AU52)/100</f>
        <v>#DIV/0!</v>
      </c>
      <c r="AR53" s="215" t="e">
        <f>SUMPRODUCT(AR50:AR52,$AU50:$AU52)/100</f>
        <v>#DIV/0!</v>
      </c>
      <c r="AS53" s="215" t="e">
        <f>SUMPRODUCT(AS50:AS52,$AU50:$AU52)/100</f>
        <v>#DIV/0!</v>
      </c>
      <c r="AT53" s="214">
        <f>SUM(AT50:AT52)</f>
        <v>0</v>
      </c>
      <c r="AU53" s="214"/>
      <c r="AV53" s="214"/>
    </row>
    <row r="54" spans="2:48" ht="12" customHeight="1">
      <c r="D54" t="str">
        <f>"Cyclone "&amp;General!I67</f>
        <v>Cyclone 5</v>
      </c>
      <c r="F54" t="s">
        <v>64</v>
      </c>
      <c r="P54" t="str">
        <f>"Cyclone "&amp;General!I81</f>
        <v>Cyclone 5</v>
      </c>
      <c r="R54" t="s">
        <v>152</v>
      </c>
      <c r="Z54" t="str">
        <f>"Cyclone "&amp;General!I81</f>
        <v>Cyclone 5</v>
      </c>
      <c r="AB54" t="s">
        <v>65</v>
      </c>
      <c r="AH54" s="205" t="s">
        <v>207</v>
      </c>
      <c r="AI54" s="206" t="s">
        <v>318</v>
      </c>
      <c r="AJ54" s="617"/>
      <c r="AK54" s="618"/>
      <c r="AL54" s="619"/>
      <c r="AN54" s="214"/>
      <c r="AO54" s="214"/>
      <c r="AP54" s="214"/>
      <c r="AQ54" s="214"/>
      <c r="AR54" s="214"/>
      <c r="AS54" s="214"/>
      <c r="AT54" s="214"/>
      <c r="AU54" s="214"/>
      <c r="AV54" s="214"/>
    </row>
    <row r="55" spans="2:48" ht="12" customHeight="1">
      <c r="D55" s="41" t="s">
        <v>79</v>
      </c>
      <c r="E55" s="42"/>
      <c r="F55" s="43" t="s">
        <v>60</v>
      </c>
      <c r="G55" s="51"/>
      <c r="H55" t="s">
        <v>497</v>
      </c>
      <c r="K55" s="54"/>
      <c r="L55" s="54" t="s">
        <v>497</v>
      </c>
      <c r="P55" s="41" t="s">
        <v>79</v>
      </c>
      <c r="Q55" s="42"/>
      <c r="R55" s="43" t="s">
        <v>60</v>
      </c>
      <c r="S55" s="51"/>
      <c r="Z55" s="41" t="s">
        <v>79</v>
      </c>
      <c r="AA55" s="42">
        <v>870</v>
      </c>
      <c r="AB55" s="43" t="s">
        <v>60</v>
      </c>
      <c r="AD55" t="s">
        <v>497</v>
      </c>
      <c r="AH55" s="205" t="s">
        <v>118</v>
      </c>
      <c r="AI55" s="206" t="s">
        <v>318</v>
      </c>
      <c r="AJ55" s="617"/>
      <c r="AK55" s="618"/>
      <c r="AL55" s="619"/>
      <c r="AN55" s="214"/>
      <c r="AO55" s="214"/>
      <c r="AP55" s="214"/>
      <c r="AQ55" s="214"/>
      <c r="AR55" s="214"/>
      <c r="AS55" s="214"/>
      <c r="AT55" s="214"/>
      <c r="AU55" s="214"/>
      <c r="AV55" s="214"/>
    </row>
    <row r="56" spans="2:48" ht="12" customHeight="1" thickBot="1">
      <c r="D56" s="44" t="s">
        <v>37</v>
      </c>
      <c r="E56" s="45"/>
      <c r="F56" s="46" t="s">
        <v>29</v>
      </c>
      <c r="G56" s="51"/>
      <c r="H56" s="58" t="s">
        <v>498</v>
      </c>
      <c r="I56" s="611"/>
      <c r="J56" s="256" t="s">
        <v>215</v>
      </c>
      <c r="K56" s="54"/>
      <c r="L56" s="58" t="s">
        <v>498</v>
      </c>
      <c r="M56" s="611"/>
      <c r="N56" s="256" t="s">
        <v>215</v>
      </c>
      <c r="P56" s="44" t="s">
        <v>37</v>
      </c>
      <c r="Q56" s="45"/>
      <c r="R56" s="46" t="s">
        <v>29</v>
      </c>
      <c r="S56" s="51"/>
      <c r="Z56" s="44" t="s">
        <v>37</v>
      </c>
      <c r="AA56" s="45">
        <v>-21</v>
      </c>
      <c r="AB56" s="46" t="s">
        <v>29</v>
      </c>
      <c r="AD56" s="763" t="s">
        <v>498</v>
      </c>
      <c r="AE56" s="841">
        <v>1E-3</v>
      </c>
      <c r="AF56" s="842" t="s">
        <v>215</v>
      </c>
      <c r="AH56" s="205" t="s">
        <v>429</v>
      </c>
      <c r="AI56" s="207" t="s">
        <v>112</v>
      </c>
      <c r="AJ56" s="620"/>
      <c r="AK56" s="621"/>
      <c r="AL56" s="622"/>
      <c r="AN56" s="214"/>
      <c r="AO56" s="214"/>
      <c r="AP56" s="214"/>
      <c r="AQ56" s="214"/>
      <c r="AR56" s="214"/>
      <c r="AS56" s="214"/>
      <c r="AT56" s="214"/>
      <c r="AU56" s="214"/>
      <c r="AV56" s="214"/>
    </row>
    <row r="57" spans="2:48" ht="12" customHeight="1" thickBot="1">
      <c r="D57" s="44" t="s">
        <v>62</v>
      </c>
      <c r="E57" s="45"/>
      <c r="F57" s="47" t="s">
        <v>61</v>
      </c>
      <c r="G57" s="52"/>
      <c r="H57" s="54" t="s">
        <v>57</v>
      </c>
      <c r="I57" s="821">
        <f>IF(I56="",I49,AP131)</f>
        <v>0</v>
      </c>
      <c r="J57" s="51" t="s">
        <v>60</v>
      </c>
      <c r="L57" s="54" t="s">
        <v>57</v>
      </c>
      <c r="M57" s="821">
        <f>IF(M56="",M49,AW131)</f>
        <v>0</v>
      </c>
      <c r="N57" s="51" t="s">
        <v>60</v>
      </c>
      <c r="P57" s="44" t="s">
        <v>62</v>
      </c>
      <c r="Q57" s="45"/>
      <c r="R57" s="47" t="s">
        <v>61</v>
      </c>
      <c r="S57" s="52"/>
      <c r="Z57" s="44" t="s">
        <v>62</v>
      </c>
      <c r="AA57" s="45">
        <v>2</v>
      </c>
      <c r="AB57" s="47" t="s">
        <v>61</v>
      </c>
      <c r="AD57" s="69" t="s">
        <v>57</v>
      </c>
      <c r="AE57" s="821" t="e">
        <f ca="1">IF(AE56="",AE49,BD131)</f>
        <v>#VALUE!</v>
      </c>
      <c r="AF57" s="736" t="s">
        <v>60</v>
      </c>
      <c r="AN57" s="221" t="s">
        <v>227</v>
      </c>
      <c r="AO57" s="214"/>
      <c r="AP57" s="214" t="s">
        <v>211</v>
      </c>
      <c r="AQ57" s="222">
        <f>AT44/AQ10</f>
        <v>3349.5860035735554</v>
      </c>
      <c r="AR57" s="214" t="s">
        <v>229</v>
      </c>
      <c r="AS57" s="214"/>
      <c r="AT57" s="214"/>
      <c r="AU57" s="214"/>
      <c r="AV57" s="214"/>
    </row>
    <row r="58" spans="2:48" ht="12" customHeight="1" thickBot="1">
      <c r="D58" s="44" t="s">
        <v>58</v>
      </c>
      <c r="E58" s="610"/>
      <c r="F58" s="47" t="s">
        <v>61</v>
      </c>
      <c r="G58" s="52"/>
      <c r="P58" s="44" t="s">
        <v>58</v>
      </c>
      <c r="Q58" s="610"/>
      <c r="R58" s="47" t="s">
        <v>61</v>
      </c>
      <c r="S58" s="52"/>
      <c r="Z58" s="44" t="s">
        <v>58</v>
      </c>
      <c r="AA58" s="610">
        <v>0.1</v>
      </c>
      <c r="AB58" s="47" t="s">
        <v>61</v>
      </c>
      <c r="AH58" s="740" t="s">
        <v>101</v>
      </c>
      <c r="AI58" s="207"/>
      <c r="AK58" s="822">
        <f>+Evaluation!D13</f>
        <v>59.986825285529946</v>
      </c>
      <c r="AL58" t="s">
        <v>324</v>
      </c>
      <c r="AN58" s="214"/>
      <c r="AO58" s="214"/>
      <c r="AP58" s="214" t="s">
        <v>64</v>
      </c>
      <c r="AQ58" s="222" t="e">
        <f>AT53/AQ11</f>
        <v>#DIV/0!</v>
      </c>
      <c r="AR58" s="214" t="s">
        <v>229</v>
      </c>
      <c r="AS58" s="214"/>
      <c r="AT58" s="214"/>
      <c r="AU58" s="214"/>
      <c r="AV58" s="214"/>
    </row>
    <row r="59" spans="2:48" ht="12" customHeight="1">
      <c r="D59" s="44" t="s">
        <v>59</v>
      </c>
      <c r="E59" s="610"/>
      <c r="F59" s="47" t="s">
        <v>340</v>
      </c>
      <c r="G59" s="52"/>
      <c r="H59" t="s">
        <v>89</v>
      </c>
      <c r="L59" t="s">
        <v>89</v>
      </c>
      <c r="P59" s="44" t="s">
        <v>59</v>
      </c>
      <c r="Q59" s="610"/>
      <c r="R59" s="47" t="s">
        <v>340</v>
      </c>
      <c r="S59" s="52"/>
      <c r="U59" s="195"/>
      <c r="Z59" s="44" t="s">
        <v>59</v>
      </c>
      <c r="AA59" s="610"/>
      <c r="AB59" s="627" t="s">
        <v>340</v>
      </c>
      <c r="AD59" t="s">
        <v>89</v>
      </c>
      <c r="AH59" s="205" t="s">
        <v>186</v>
      </c>
      <c r="AI59" s="206" t="s">
        <v>194</v>
      </c>
      <c r="AJ59" s="851" t="s">
        <v>571</v>
      </c>
      <c r="AK59" s="615" t="s">
        <v>572</v>
      </c>
      <c r="AL59" s="616"/>
      <c r="AN59" s="214"/>
      <c r="AO59" s="214"/>
      <c r="AP59" s="214" t="s">
        <v>228</v>
      </c>
      <c r="AQ59" s="222">
        <f>+(AT44+AT53)/AK32</f>
        <v>3349.5860035735554</v>
      </c>
      <c r="AR59" s="214" t="s">
        <v>229</v>
      </c>
      <c r="AS59" s="214"/>
      <c r="AT59" s="214"/>
      <c r="AU59" s="214"/>
      <c r="AV59" s="214"/>
    </row>
    <row r="60" spans="2:48" ht="12" customHeight="1">
      <c r="D60" s="44" t="s">
        <v>63</v>
      </c>
      <c r="E60" s="45"/>
      <c r="F60" s="47" t="s">
        <v>60</v>
      </c>
      <c r="G60" s="51"/>
      <c r="H60" s="41" t="s">
        <v>87</v>
      </c>
      <c r="I60" s="612"/>
      <c r="J60" s="43" t="s">
        <v>29</v>
      </c>
      <c r="K60" s="54"/>
      <c r="L60" s="41" t="s">
        <v>87</v>
      </c>
      <c r="M60" s="612"/>
      <c r="N60" s="43" t="s">
        <v>29</v>
      </c>
      <c r="P60" s="44" t="s">
        <v>63</v>
      </c>
      <c r="Q60" s="45"/>
      <c r="R60" s="47" t="s">
        <v>60</v>
      </c>
      <c r="S60" s="52"/>
      <c r="Z60" s="44" t="s">
        <v>63</v>
      </c>
      <c r="AA60" s="884">
        <v>860</v>
      </c>
      <c r="AB60" s="47" t="s">
        <v>60</v>
      </c>
      <c r="AD60" s="41" t="s">
        <v>87</v>
      </c>
      <c r="AE60" s="612"/>
      <c r="AF60" s="43" t="s">
        <v>29</v>
      </c>
      <c r="AH60" s="205" t="s">
        <v>187</v>
      </c>
      <c r="AI60" s="206" t="s">
        <v>195</v>
      </c>
      <c r="AJ60" s="852">
        <v>10.3</v>
      </c>
      <c r="AK60" s="618">
        <v>4.26</v>
      </c>
      <c r="AL60" s="619"/>
      <c r="AN60" s="214"/>
      <c r="AO60" s="214"/>
      <c r="AP60" s="214"/>
      <c r="AQ60" s="214"/>
      <c r="AR60" s="214"/>
      <c r="AS60" s="214"/>
      <c r="AT60" s="214"/>
      <c r="AU60" s="214"/>
      <c r="AV60" s="214"/>
    </row>
    <row r="61" spans="2:48" ht="16.5" thickBot="1">
      <c r="D61" s="66" t="s">
        <v>160</v>
      </c>
      <c r="E61" s="193"/>
      <c r="F61" s="67" t="s">
        <v>61</v>
      </c>
      <c r="H61" s="48" t="s">
        <v>88</v>
      </c>
      <c r="I61" s="613"/>
      <c r="J61" s="50" t="s">
        <v>29</v>
      </c>
      <c r="L61" s="48" t="s">
        <v>88</v>
      </c>
      <c r="M61" s="613"/>
      <c r="N61" s="50" t="s">
        <v>29</v>
      </c>
      <c r="P61" s="66" t="s">
        <v>160</v>
      </c>
      <c r="Q61" s="193"/>
      <c r="R61" s="67" t="s">
        <v>61</v>
      </c>
      <c r="S61" s="55"/>
      <c r="Z61" s="66" t="s">
        <v>545</v>
      </c>
      <c r="AA61" s="193">
        <v>95</v>
      </c>
      <c r="AB61" s="67" t="s">
        <v>61</v>
      </c>
      <c r="AD61" s="48" t="s">
        <v>88</v>
      </c>
      <c r="AE61" s="623"/>
      <c r="AF61" s="50" t="s">
        <v>29</v>
      </c>
      <c r="AH61" s="205" t="s">
        <v>191</v>
      </c>
      <c r="AI61" s="206" t="s">
        <v>196</v>
      </c>
      <c r="AJ61" s="852">
        <v>26.19</v>
      </c>
      <c r="AK61" s="618">
        <v>15.87</v>
      </c>
      <c r="AL61" s="619"/>
      <c r="AN61" s="214"/>
      <c r="AO61" s="214"/>
      <c r="AP61" s="214"/>
      <c r="AQ61" s="214"/>
      <c r="AR61" s="214"/>
      <c r="AS61" s="214"/>
      <c r="AT61" s="214"/>
      <c r="AU61" s="214"/>
      <c r="AV61" s="214"/>
    </row>
    <row r="62" spans="2:48" ht="15.75" thickBot="1">
      <c r="D62" s="210" t="s">
        <v>337</v>
      </c>
      <c r="E62" s="605" t="str">
        <f>+AT82</f>
        <v/>
      </c>
      <c r="F62" s="624" t="s">
        <v>61</v>
      </c>
      <c r="I62" s="604" t="str">
        <f>IF(I60="","",ABS(I61-I60))</f>
        <v/>
      </c>
      <c r="M62" s="604" t="str">
        <f>IF(M60="","",ABS(M61-M60))</f>
        <v/>
      </c>
      <c r="P62" s="210" t="s">
        <v>337</v>
      </c>
      <c r="Q62" s="605">
        <f>+AA62</f>
        <v>93.523872934518224</v>
      </c>
      <c r="R62" s="734" t="s">
        <v>61</v>
      </c>
      <c r="S62" s="55"/>
      <c r="Z62" s="210" t="s">
        <v>337</v>
      </c>
      <c r="AA62" s="605">
        <f>+AT81</f>
        <v>93.523872934518224</v>
      </c>
      <c r="AB62" s="734" t="s">
        <v>61</v>
      </c>
      <c r="AE62" s="604" t="str">
        <f>IF(AE60="","",ABS(AE61-AE60))</f>
        <v/>
      </c>
      <c r="AH62" s="205" t="s">
        <v>188</v>
      </c>
      <c r="AI62" s="206" t="s">
        <v>318</v>
      </c>
      <c r="AJ62" s="852">
        <v>0.28000000000000003</v>
      </c>
      <c r="AK62" s="618">
        <v>0.28000000000000003</v>
      </c>
      <c r="AL62" s="619"/>
      <c r="AN62" s="214" t="s">
        <v>224</v>
      </c>
      <c r="AO62" s="214"/>
      <c r="AP62" s="214" t="s">
        <v>222</v>
      </c>
      <c r="AQ62" s="223">
        <f>SUM(AU35:AU37)</f>
        <v>40.013174714470061</v>
      </c>
      <c r="AR62" s="214"/>
      <c r="AS62" s="214"/>
      <c r="AT62" s="214"/>
      <c r="AU62" s="214"/>
      <c r="AV62" s="214"/>
    </row>
    <row r="63" spans="2:48" ht="15">
      <c r="B63" s="641" t="s">
        <v>354</v>
      </c>
      <c r="D63" s="625" t="s">
        <v>338</v>
      </c>
      <c r="E63" s="51"/>
      <c r="F63" s="51"/>
      <c r="P63" s="625" t="s">
        <v>338</v>
      </c>
      <c r="Z63" s="625" t="s">
        <v>338</v>
      </c>
      <c r="AH63" s="205" t="s">
        <v>207</v>
      </c>
      <c r="AI63" s="206" t="s">
        <v>318</v>
      </c>
      <c r="AJ63" s="852">
        <v>0.25</v>
      </c>
      <c r="AK63" s="618">
        <v>0.25</v>
      </c>
      <c r="AL63" s="619"/>
      <c r="AN63" s="214"/>
      <c r="AO63" s="214"/>
      <c r="AP63" s="214" t="s">
        <v>223</v>
      </c>
      <c r="AQ63" s="223">
        <f>SUM(AU38:AU40)</f>
        <v>0</v>
      </c>
      <c r="AR63" s="214"/>
      <c r="AS63" s="214"/>
      <c r="AT63" s="214"/>
      <c r="AU63" s="214"/>
      <c r="AV63" s="214"/>
    </row>
    <row r="64" spans="2:48" ht="15">
      <c r="B64" s="641" t="s">
        <v>353</v>
      </c>
      <c r="D64" s="625" t="s">
        <v>330</v>
      </c>
      <c r="E64" s="51"/>
      <c r="F64" s="51"/>
      <c r="P64" s="625" t="s">
        <v>330</v>
      </c>
      <c r="AH64" s="205" t="s">
        <v>118</v>
      </c>
      <c r="AI64" s="206" t="s">
        <v>318</v>
      </c>
      <c r="AJ64" s="852">
        <v>0.26</v>
      </c>
      <c r="AK64" s="618">
        <v>0.26</v>
      </c>
      <c r="AL64" s="619"/>
      <c r="AN64" s="214"/>
      <c r="AO64" s="214"/>
      <c r="AP64" s="214" t="s">
        <v>219</v>
      </c>
      <c r="AQ64" s="223">
        <f>SUM(AU41:AU43)</f>
        <v>59.986825285529946</v>
      </c>
      <c r="AR64" s="214"/>
      <c r="AS64" s="214"/>
      <c r="AT64" s="214"/>
      <c r="AU64" s="214"/>
      <c r="AV64" s="214"/>
    </row>
    <row r="65" spans="2:48" ht="13.5" thickBot="1">
      <c r="B65" s="641" t="s">
        <v>355</v>
      </c>
      <c r="AH65" s="205" t="s">
        <v>429</v>
      </c>
      <c r="AI65" s="207" t="s">
        <v>112</v>
      </c>
      <c r="AJ65" s="853"/>
      <c r="AK65" s="621"/>
      <c r="AL65" s="622"/>
      <c r="AN65" s="214"/>
      <c r="AO65" s="214"/>
      <c r="AP65" s="214"/>
      <c r="AQ65" s="214"/>
      <c r="AR65" s="214"/>
      <c r="AS65" s="214"/>
      <c r="AT65" s="214"/>
      <c r="AU65" s="214"/>
      <c r="AV65" s="214"/>
    </row>
    <row r="66" spans="2:48">
      <c r="D66" t="s">
        <v>193</v>
      </c>
      <c r="H66" t="s">
        <v>80</v>
      </c>
      <c r="L66" t="s">
        <v>80</v>
      </c>
      <c r="T66" s="642" t="s">
        <v>354</v>
      </c>
      <c r="X66" s="641" t="s">
        <v>354</v>
      </c>
      <c r="Y66" s="641"/>
      <c r="Z66" t="s">
        <v>193</v>
      </c>
      <c r="AD66" t="s">
        <v>80</v>
      </c>
      <c r="AN66" s="214"/>
      <c r="AO66" s="214"/>
      <c r="AP66" s="214"/>
      <c r="AQ66" s="214"/>
      <c r="AR66" s="214"/>
      <c r="AS66" s="214"/>
      <c r="AT66" s="214"/>
      <c r="AU66" s="214"/>
      <c r="AV66" s="214"/>
    </row>
    <row r="67" spans="2:48" ht="15.75">
      <c r="D67" s="41" t="s">
        <v>192</v>
      </c>
      <c r="E67" s="42"/>
      <c r="F67" s="43" t="s">
        <v>60</v>
      </c>
      <c r="H67" s="41" t="s">
        <v>79</v>
      </c>
      <c r="I67" s="673"/>
      <c r="J67" s="65" t="s">
        <v>60</v>
      </c>
      <c r="L67" s="41" t="s">
        <v>79</v>
      </c>
      <c r="M67" s="673"/>
      <c r="N67" s="65" t="s">
        <v>60</v>
      </c>
      <c r="T67" s="642" t="str">
        <f>IF(General!D61="y","to SLC","to kiln")</f>
        <v>to kiln</v>
      </c>
      <c r="X67" s="641" t="str">
        <f>IF(General!D61="y","to SLC","to kiln")</f>
        <v>to kiln</v>
      </c>
      <c r="Y67" s="641"/>
      <c r="Z67" s="41" t="s">
        <v>192</v>
      </c>
      <c r="AA67" s="42">
        <v>910</v>
      </c>
      <c r="AB67" s="43" t="s">
        <v>60</v>
      </c>
      <c r="AD67" s="41" t="s">
        <v>79</v>
      </c>
      <c r="AE67" s="673" t="e">
        <f ca="1">+AE57</f>
        <v>#VALUE!</v>
      </c>
      <c r="AF67" s="65" t="s">
        <v>60</v>
      </c>
      <c r="AJ67" t="s">
        <v>210</v>
      </c>
      <c r="AN67" s="214"/>
      <c r="AO67" s="214"/>
      <c r="AP67" s="214"/>
      <c r="AQ67" s="214"/>
      <c r="AR67" s="214"/>
      <c r="AS67" s="214"/>
      <c r="AT67" s="214"/>
      <c r="AU67" s="214"/>
      <c r="AV67" s="214"/>
    </row>
    <row r="68" spans="2:48" ht="15.75">
      <c r="D68" s="48" t="s">
        <v>37</v>
      </c>
      <c r="E68" s="49"/>
      <c r="F68" s="50" t="s">
        <v>29</v>
      </c>
      <c r="H68" s="44" t="s">
        <v>82</v>
      </c>
      <c r="I68" s="45"/>
      <c r="J68" s="46" t="s">
        <v>29</v>
      </c>
      <c r="L68" s="44" t="s">
        <v>82</v>
      </c>
      <c r="M68" s="45"/>
      <c r="N68" s="46" t="s">
        <v>29</v>
      </c>
      <c r="Z68" s="48" t="s">
        <v>37</v>
      </c>
      <c r="AA68" s="49">
        <v>-7</v>
      </c>
      <c r="AB68" s="50" t="s">
        <v>29</v>
      </c>
      <c r="AD68" s="44" t="s">
        <v>82</v>
      </c>
      <c r="AE68" s="45"/>
      <c r="AF68" s="46" t="s">
        <v>29</v>
      </c>
      <c r="AJ68" s="41" t="s">
        <v>192</v>
      </c>
      <c r="AK68" s="42">
        <v>1200</v>
      </c>
      <c r="AL68" s="43" t="s">
        <v>60</v>
      </c>
      <c r="AN68" s="214"/>
      <c r="AO68" s="214"/>
      <c r="AP68" s="214"/>
      <c r="AQ68" s="214"/>
      <c r="AR68" s="214"/>
      <c r="AS68" s="214"/>
      <c r="AT68" s="214"/>
      <c r="AU68" s="214"/>
      <c r="AV68" s="214"/>
    </row>
    <row r="69" spans="2:48" ht="15.75">
      <c r="H69" s="44" t="s">
        <v>62</v>
      </c>
      <c r="I69" s="45"/>
      <c r="J69" s="47" t="s">
        <v>61</v>
      </c>
      <c r="L69" s="44" t="s">
        <v>62</v>
      </c>
      <c r="M69" s="45"/>
      <c r="N69" s="47" t="s">
        <v>61</v>
      </c>
      <c r="AD69" s="44" t="s">
        <v>62</v>
      </c>
      <c r="AE69" s="45"/>
      <c r="AF69" s="47" t="s">
        <v>61</v>
      </c>
      <c r="AJ69" s="48" t="s">
        <v>37</v>
      </c>
      <c r="AK69" s="49">
        <v>-2</v>
      </c>
      <c r="AL69" s="50" t="s">
        <v>29</v>
      </c>
      <c r="AN69" s="214" t="s">
        <v>80</v>
      </c>
      <c r="AO69" s="214"/>
      <c r="AP69" s="214"/>
      <c r="AQ69" s="214"/>
      <c r="AR69" s="214"/>
      <c r="AS69" s="214"/>
      <c r="AT69" s="214"/>
      <c r="AU69" s="214"/>
      <c r="AV69" s="214"/>
    </row>
    <row r="70" spans="2:48" ht="15.75">
      <c r="D70" s="54" t="s">
        <v>241</v>
      </c>
      <c r="H70" s="44" t="s">
        <v>83</v>
      </c>
      <c r="I70" s="45"/>
      <c r="J70" s="46" t="s">
        <v>29</v>
      </c>
      <c r="L70" s="44" t="s">
        <v>83</v>
      </c>
      <c r="M70" s="45"/>
      <c r="N70" s="46" t="s">
        <v>29</v>
      </c>
      <c r="Z70" s="54" t="s">
        <v>241</v>
      </c>
      <c r="AD70" s="44" t="s">
        <v>83</v>
      </c>
      <c r="AE70" s="45"/>
      <c r="AF70" s="46" t="s">
        <v>29</v>
      </c>
      <c r="AJ70" s="41" t="s">
        <v>62</v>
      </c>
      <c r="AK70" s="883">
        <v>1</v>
      </c>
      <c r="AL70" s="238" t="s">
        <v>61</v>
      </c>
      <c r="AN70" s="214" t="s">
        <v>64</v>
      </c>
      <c r="AO70" s="214"/>
      <c r="AP70" s="214"/>
      <c r="AQ70" s="214" t="s">
        <v>152</v>
      </c>
      <c r="AR70" s="214"/>
      <c r="AS70" s="214"/>
      <c r="AT70" s="214" t="s">
        <v>65</v>
      </c>
      <c r="AU70" s="214"/>
      <c r="AV70" s="214"/>
    </row>
    <row r="71" spans="2:48" ht="16.5" thickBot="1">
      <c r="D71" s="54" t="s">
        <v>242</v>
      </c>
      <c r="H71" s="66" t="s">
        <v>85</v>
      </c>
      <c r="I71" s="53"/>
      <c r="J71" s="67" t="s">
        <v>84</v>
      </c>
      <c r="L71" s="66" t="s">
        <v>85</v>
      </c>
      <c r="M71" s="53"/>
      <c r="N71" s="67" t="s">
        <v>84</v>
      </c>
      <c r="Z71" s="54" t="s">
        <v>527</v>
      </c>
      <c r="AD71" s="66" t="s">
        <v>85</v>
      </c>
      <c r="AE71" s="53"/>
      <c r="AF71" s="67" t="s">
        <v>84</v>
      </c>
      <c r="AJ71" s="48" t="s">
        <v>58</v>
      </c>
      <c r="AK71" s="613">
        <v>0.55000000000000004</v>
      </c>
      <c r="AL71" s="241" t="s">
        <v>61</v>
      </c>
      <c r="AN71" s="214" t="s">
        <v>314</v>
      </c>
      <c r="AO71" s="218" t="e">
        <f>+Calculations!O158</f>
        <v>#DIV/0!</v>
      </c>
      <c r="AP71" s="214" t="s">
        <v>316</v>
      </c>
      <c r="AQ71" s="214" t="s">
        <v>314</v>
      </c>
      <c r="AR71" s="218">
        <f>+Calculations!O102</f>
        <v>0</v>
      </c>
      <c r="AS71" s="214" t="s">
        <v>316</v>
      </c>
      <c r="AT71" s="214" t="s">
        <v>314</v>
      </c>
      <c r="AU71" s="218" t="e">
        <f ca="1">Calculations!O51</f>
        <v>#VALUE!</v>
      </c>
      <c r="AV71" s="214" t="s">
        <v>316</v>
      </c>
    </row>
    <row r="72" spans="2:48" ht="15" thickBot="1">
      <c r="D72" s="58"/>
      <c r="E72" s="192"/>
      <c r="F72" s="62" t="s">
        <v>243</v>
      </c>
      <c r="H72" s="69" t="s">
        <v>86</v>
      </c>
      <c r="I72" s="439" t="str">
        <f>IF(I71="","",AO73/I71*100)</f>
        <v/>
      </c>
      <c r="J72" s="54" t="s">
        <v>61</v>
      </c>
      <c r="L72" s="69" t="s">
        <v>86</v>
      </c>
      <c r="M72" s="439" t="str">
        <f>IF(M71="","",AR73/M71*100)</f>
        <v/>
      </c>
      <c r="N72" s="54" t="s">
        <v>61</v>
      </c>
      <c r="W72" s="674"/>
      <c r="X72" s="674"/>
      <c r="Z72" s="58"/>
      <c r="AA72" s="192">
        <v>5000</v>
      </c>
      <c r="AB72" s="62" t="s">
        <v>243</v>
      </c>
      <c r="AD72" s="69" t="s">
        <v>86</v>
      </c>
      <c r="AE72" s="439" t="str">
        <f>IF(AE71="","",AU73/AE71*100)</f>
        <v/>
      </c>
      <c r="AF72" s="54" t="s">
        <v>61</v>
      </c>
      <c r="AJ72" s="54" t="s">
        <v>431</v>
      </c>
      <c r="AN72" s="214" t="s">
        <v>296</v>
      </c>
      <c r="AO72" s="214">
        <f>(-I68+I70)*100</f>
        <v>0</v>
      </c>
      <c r="AP72" s="214" t="s">
        <v>315</v>
      </c>
      <c r="AQ72" s="214" t="s">
        <v>296</v>
      </c>
      <c r="AR72" s="214">
        <f>(-M68+M70)*100</f>
        <v>0</v>
      </c>
      <c r="AS72" s="214" t="s">
        <v>315</v>
      </c>
      <c r="AT72" s="214" t="s">
        <v>296</v>
      </c>
      <c r="AU72" s="214">
        <f>(-AE68+AE70)*100</f>
        <v>0</v>
      </c>
      <c r="AV72" s="214" t="s">
        <v>315</v>
      </c>
    </row>
    <row r="73" spans="2:48">
      <c r="W73" s="675" t="s">
        <v>428</v>
      </c>
      <c r="X73" s="674"/>
      <c r="Z73" s="731" t="s">
        <v>528</v>
      </c>
      <c r="AN73" s="214" t="s">
        <v>317</v>
      </c>
      <c r="AO73" s="218" t="e">
        <f>AO72*AO71*10^-3</f>
        <v>#DIV/0!</v>
      </c>
      <c r="AP73" s="214" t="s">
        <v>84</v>
      </c>
      <c r="AQ73" s="214" t="s">
        <v>317</v>
      </c>
      <c r="AR73" s="218">
        <f>AR72*AR71*10^-3</f>
        <v>0</v>
      </c>
      <c r="AS73" s="214" t="s">
        <v>84</v>
      </c>
      <c r="AT73" s="214" t="s">
        <v>317</v>
      </c>
      <c r="AU73" s="218" t="e">
        <f ca="1">AU72*AU71*10^-3</f>
        <v>#VALUE!</v>
      </c>
      <c r="AV73" s="214" t="s">
        <v>84</v>
      </c>
    </row>
    <row r="74" spans="2:48" ht="13.5" thickBot="1">
      <c r="D74" t="s">
        <v>185</v>
      </c>
      <c r="W74" s="674"/>
      <c r="X74" s="674" t="s">
        <v>149</v>
      </c>
      <c r="Z74" t="s">
        <v>532</v>
      </c>
      <c r="AJ74" t="s">
        <v>430</v>
      </c>
      <c r="AN74" s="214"/>
      <c r="AO74" s="214"/>
      <c r="AP74" s="214"/>
      <c r="AQ74" s="214"/>
      <c r="AR74" s="214"/>
      <c r="AS74" s="214"/>
      <c r="AT74" s="214"/>
      <c r="AU74" s="214"/>
      <c r="AV74" s="214"/>
    </row>
    <row r="75" spans="2:48">
      <c r="B75" s="108" t="s">
        <v>186</v>
      </c>
      <c r="C75" s="195" t="s">
        <v>194</v>
      </c>
      <c r="D75" s="196"/>
      <c r="E75" s="197"/>
      <c r="F75" s="198"/>
      <c r="I75" s="5"/>
      <c r="J75" s="188"/>
      <c r="K75" s="120"/>
      <c r="L75" s="189"/>
      <c r="M75" s="120"/>
      <c r="W75" s="674"/>
      <c r="X75" s="674"/>
      <c r="Z75" s="41" t="s">
        <v>192</v>
      </c>
      <c r="AA75" s="42">
        <v>900</v>
      </c>
      <c r="AB75" s="43" t="s">
        <v>60</v>
      </c>
      <c r="AJ75" s="41" t="s">
        <v>192</v>
      </c>
      <c r="AK75" s="42">
        <v>1200</v>
      </c>
      <c r="AL75" s="43" t="s">
        <v>60</v>
      </c>
      <c r="AN75" s="214"/>
      <c r="AO75" s="214"/>
      <c r="AP75" s="214"/>
      <c r="AQ75" s="214"/>
      <c r="AR75" s="214"/>
      <c r="AS75" s="214"/>
      <c r="AT75" s="214"/>
      <c r="AU75" s="214"/>
      <c r="AV75" s="214"/>
    </row>
    <row r="76" spans="2:48">
      <c r="B76" s="108" t="s">
        <v>187</v>
      </c>
      <c r="C76" s="195" t="s">
        <v>195</v>
      </c>
      <c r="D76" s="199"/>
      <c r="E76" s="200"/>
      <c r="F76" s="201"/>
      <c r="I76" s="5"/>
      <c r="J76" s="75"/>
      <c r="K76" s="75"/>
      <c r="L76" s="190"/>
      <c r="M76" s="120"/>
      <c r="W76" s="674"/>
      <c r="X76" s="674"/>
      <c r="Z76" s="48" t="s">
        <v>544</v>
      </c>
      <c r="AA76" s="49">
        <v>-7</v>
      </c>
      <c r="AB76" s="50" t="s">
        <v>29</v>
      </c>
      <c r="AJ76" s="48" t="s">
        <v>37</v>
      </c>
      <c r="AK76" s="49">
        <v>-2</v>
      </c>
      <c r="AL76" s="50" t="s">
        <v>29</v>
      </c>
      <c r="AN76" s="215" t="s">
        <v>332</v>
      </c>
      <c r="AO76" s="214"/>
      <c r="AP76" s="214"/>
      <c r="AQ76" s="214"/>
      <c r="AR76" s="214"/>
      <c r="AS76" s="214"/>
      <c r="AT76" s="214"/>
      <c r="AU76" s="214"/>
      <c r="AV76" s="214"/>
    </row>
    <row r="77" spans="2:48" ht="15.75">
      <c r="B77" s="108" t="s">
        <v>191</v>
      </c>
      <c r="C77" s="195" t="s">
        <v>196</v>
      </c>
      <c r="D77" s="199"/>
      <c r="E77" s="200"/>
      <c r="F77" s="201"/>
      <c r="I77" s="5"/>
      <c r="J77" s="75"/>
      <c r="K77" s="75"/>
      <c r="L77" s="190"/>
      <c r="M77" s="120"/>
      <c r="W77" s="676" t="s">
        <v>384</v>
      </c>
      <c r="X77" s="674"/>
      <c r="AJ77" s="41" t="s">
        <v>62</v>
      </c>
      <c r="AK77" s="42">
        <v>1</v>
      </c>
      <c r="AL77" s="238" t="s">
        <v>61</v>
      </c>
      <c r="AN77" s="214" t="s">
        <v>333</v>
      </c>
      <c r="AO77" s="214"/>
      <c r="AP77" s="214"/>
      <c r="AQ77" s="214"/>
      <c r="AR77" s="214"/>
      <c r="AS77" s="214"/>
      <c r="AT77" s="214"/>
      <c r="AU77" s="214"/>
      <c r="AV77" s="214"/>
    </row>
    <row r="78" spans="2:48" ht="14.25">
      <c r="B78" s="108" t="s">
        <v>188</v>
      </c>
      <c r="C78" s="195" t="s">
        <v>197</v>
      </c>
      <c r="D78" s="199"/>
      <c r="E78" s="200"/>
      <c r="F78" s="201"/>
      <c r="I78" s="5"/>
      <c r="J78" s="75"/>
      <c r="K78" s="75"/>
      <c r="L78" s="191"/>
      <c r="M78" s="120"/>
      <c r="Z78" t="s">
        <v>149</v>
      </c>
      <c r="AJ78" s="48" t="s">
        <v>58</v>
      </c>
      <c r="AK78" s="613">
        <v>0.55000000000000004</v>
      </c>
      <c r="AL78" s="241" t="s">
        <v>61</v>
      </c>
      <c r="AN78" s="214" t="s">
        <v>327</v>
      </c>
      <c r="AO78" s="214">
        <f>+General!D76</f>
        <v>35</v>
      </c>
      <c r="AP78" s="214"/>
      <c r="AQ78" s="214"/>
      <c r="AR78" s="214"/>
      <c r="AS78" s="214"/>
      <c r="AT78" s="214"/>
      <c r="AU78" s="214"/>
      <c r="AV78" s="214"/>
    </row>
    <row r="79" spans="2:48" ht="14.25">
      <c r="B79" s="108" t="s">
        <v>110</v>
      </c>
      <c r="C79" s="195" t="s">
        <v>197</v>
      </c>
      <c r="D79" s="199"/>
      <c r="E79" s="200"/>
      <c r="F79" s="201"/>
      <c r="I79" s="5"/>
      <c r="J79" s="900"/>
      <c r="K79" s="900"/>
      <c r="L79" s="190"/>
      <c r="M79" s="120"/>
      <c r="Z79" s="58"/>
      <c r="AA79" s="204"/>
      <c r="AB79" s="62" t="s">
        <v>61</v>
      </c>
      <c r="AJ79" s="54" t="s">
        <v>432</v>
      </c>
      <c r="AN79" s="214" t="s">
        <v>334</v>
      </c>
      <c r="AO79" s="214">
        <f>SUM('T,P, O2'!AT27:AT29)/('T,P, O2'!AT44+'T,P, O2'!AT53)*100+Evaluation!D13</f>
        <v>59.986825285529946</v>
      </c>
      <c r="AP79" s="214"/>
      <c r="AQ79" s="214"/>
      <c r="AR79" s="214"/>
      <c r="AS79" s="214"/>
      <c r="AT79" s="214"/>
      <c r="AU79" s="214"/>
      <c r="AV79" s="214"/>
    </row>
    <row r="80" spans="2:48" ht="15" thickBot="1">
      <c r="B80" s="108" t="s">
        <v>118</v>
      </c>
      <c r="C80" s="195" t="s">
        <v>197</v>
      </c>
      <c r="D80" s="199"/>
      <c r="E80" s="200"/>
      <c r="F80" s="201"/>
      <c r="I80" s="5"/>
      <c r="J80" s="75"/>
      <c r="K80" s="120"/>
      <c r="L80" s="190"/>
      <c r="M80" s="120"/>
      <c r="AN80" s="214" t="s">
        <v>335</v>
      </c>
      <c r="AO80" s="214" t="str">
        <f>+Evaluation!D14</f>
        <v/>
      </c>
      <c r="AP80" s="214"/>
      <c r="AQ80" s="214"/>
      <c r="AR80" s="214"/>
      <c r="AS80" s="214" t="s">
        <v>336</v>
      </c>
      <c r="AT80" s="214" t="s">
        <v>331</v>
      </c>
      <c r="AU80" s="214" t="s">
        <v>339</v>
      </c>
      <c r="AV80" s="214"/>
    </row>
    <row r="81" spans="2:60" ht="13.5" thickBot="1">
      <c r="B81" s="108" t="s">
        <v>427</v>
      </c>
      <c r="C81" s="195" t="s">
        <v>112</v>
      </c>
      <c r="D81" s="202"/>
      <c r="E81" s="738"/>
      <c r="F81" s="739"/>
      <c r="Z81" s="625" t="s">
        <v>537</v>
      </c>
      <c r="AN81" s="214"/>
      <c r="AO81" s="214"/>
      <c r="AP81" s="214" t="s">
        <v>336</v>
      </c>
      <c r="AQ81" s="214" t="s">
        <v>211</v>
      </c>
      <c r="AR81" s="214"/>
      <c r="AS81" s="606">
        <f>+$AO$78-(($AO$78/100)+(0.6*(AO79/65)))*$AO$78</f>
        <v>3.369641061598017</v>
      </c>
      <c r="AT81" s="606">
        <f>100*($AO$78-AS81)/($AO$78*(1-AS81/100))</f>
        <v>93.523872934518224</v>
      </c>
      <c r="AU81" s="607">
        <f>+AA61</f>
        <v>95</v>
      </c>
      <c r="AV81" s="608">
        <f>ABS(AU81-AT81)</f>
        <v>1.4761270654817764</v>
      </c>
    </row>
    <row r="82" spans="2:60" ht="13.5" thickBot="1">
      <c r="Z82" s="731" t="s">
        <v>536</v>
      </c>
      <c r="AN82" s="214"/>
      <c r="AO82" s="214"/>
      <c r="AP82" s="214" t="s">
        <v>336</v>
      </c>
      <c r="AQ82" s="214" t="s">
        <v>64</v>
      </c>
      <c r="AR82" s="214"/>
      <c r="AS82" s="606" t="str">
        <f>IF(AO80="","",+$AO$78-(($AO$78/100)+(0.6*(AO80/65)))*$AO$78)</f>
        <v/>
      </c>
      <c r="AT82" s="606" t="str">
        <f>IF(AS82="","",100*($AO$78-AS82)/($AO$78*(1-AS82/100)))</f>
        <v/>
      </c>
      <c r="AU82" s="607">
        <f>+E61</f>
        <v>0</v>
      </c>
      <c r="AV82" s="609" t="str">
        <f>IF(AS82="","",ABS(AU82-AT82))</f>
        <v/>
      </c>
    </row>
    <row r="83" spans="2:60">
      <c r="Z83" s="854" t="s">
        <v>533</v>
      </c>
      <c r="AN83" s="214"/>
      <c r="AO83" s="214"/>
      <c r="AP83" s="214"/>
      <c r="AQ83" s="214"/>
      <c r="AR83" s="214"/>
      <c r="AS83" s="214"/>
      <c r="AT83" s="214"/>
      <c r="AU83" s="214"/>
      <c r="AV83" s="214"/>
      <c r="AW83" s="214"/>
      <c r="AX83" s="214"/>
      <c r="AY83" s="214"/>
      <c r="AZ83" s="214"/>
      <c r="BA83" s="214"/>
      <c r="BB83" s="214"/>
      <c r="BC83" s="214"/>
      <c r="BD83" s="214"/>
      <c r="BE83" s="214"/>
      <c r="BF83" s="214"/>
      <c r="BG83" s="214"/>
      <c r="BH83" s="214"/>
    </row>
    <row r="84" spans="2:60">
      <c r="Z84" s="731" t="s">
        <v>534</v>
      </c>
      <c r="AN84" s="215" t="s">
        <v>70</v>
      </c>
      <c r="AO84" s="215"/>
      <c r="AP84" s="215" t="s">
        <v>64</v>
      </c>
      <c r="AQ84" s="214"/>
      <c r="AR84" s="214"/>
      <c r="AS84" s="214"/>
      <c r="AT84" s="214"/>
      <c r="AU84" s="215" t="s">
        <v>70</v>
      </c>
      <c r="AV84" s="215"/>
      <c r="AW84" s="215" t="s">
        <v>152</v>
      </c>
      <c r="AX84" s="214"/>
      <c r="AY84" s="214"/>
      <c r="AZ84" s="214"/>
      <c r="BA84" s="214"/>
      <c r="BB84" s="215" t="s">
        <v>70</v>
      </c>
      <c r="BC84" s="215"/>
      <c r="BD84" s="215" t="s">
        <v>65</v>
      </c>
      <c r="BE84" s="214"/>
      <c r="BF84" s="214"/>
      <c r="BG84" s="214"/>
      <c r="BH84" s="214"/>
    </row>
    <row r="85" spans="2:60">
      <c r="Z85" s="731" t="s">
        <v>535</v>
      </c>
      <c r="AN85" s="214"/>
      <c r="AO85" s="214"/>
      <c r="AP85" s="214" t="s">
        <v>365</v>
      </c>
      <c r="AQ85" s="214" t="s">
        <v>366</v>
      </c>
      <c r="AR85" s="214" t="s">
        <v>367</v>
      </c>
      <c r="AS85" s="214" t="s">
        <v>369</v>
      </c>
      <c r="AT85" s="214"/>
      <c r="AU85" s="214"/>
      <c r="AV85" s="214"/>
      <c r="AW85" s="214" t="s">
        <v>365</v>
      </c>
      <c r="AX85" s="214" t="s">
        <v>366</v>
      </c>
      <c r="AY85" s="214" t="s">
        <v>367</v>
      </c>
      <c r="AZ85" s="214" t="s">
        <v>369</v>
      </c>
      <c r="BA85" s="214"/>
      <c r="BB85" s="214"/>
      <c r="BC85" s="214"/>
      <c r="BD85" s="214" t="s">
        <v>365</v>
      </c>
      <c r="BE85" s="214" t="s">
        <v>366</v>
      </c>
      <c r="BF85" s="214" t="s">
        <v>367</v>
      </c>
      <c r="BG85" s="214" t="s">
        <v>369</v>
      </c>
      <c r="BH85" s="214"/>
    </row>
    <row r="86" spans="2:60">
      <c r="AN86" s="214" t="s">
        <v>373</v>
      </c>
      <c r="AO86" s="214"/>
      <c r="AP86" s="214" t="s">
        <v>490</v>
      </c>
      <c r="AQ86" s="214" t="s">
        <v>172</v>
      </c>
      <c r="AR86" s="214" t="s">
        <v>60</v>
      </c>
      <c r="AS86" s="214"/>
      <c r="AT86" s="214"/>
      <c r="AU86" s="214" t="s">
        <v>373</v>
      </c>
      <c r="AV86" s="214"/>
      <c r="AW86" s="214" t="s">
        <v>490</v>
      </c>
      <c r="AX86" s="214" t="s">
        <v>172</v>
      </c>
      <c r="AY86" s="214" t="s">
        <v>60</v>
      </c>
      <c r="AZ86" s="214"/>
      <c r="BA86" s="214"/>
      <c r="BB86" s="214" t="s">
        <v>373</v>
      </c>
      <c r="BC86" s="214"/>
      <c r="BD86" s="214" t="s">
        <v>490</v>
      </c>
      <c r="BE86" s="214" t="s">
        <v>172</v>
      </c>
      <c r="BF86" s="214" t="s">
        <v>60</v>
      </c>
      <c r="BG86" s="214"/>
      <c r="BH86" s="214"/>
    </row>
    <row r="87" spans="2:60">
      <c r="AN87" s="214"/>
      <c r="AO87" s="214"/>
      <c r="AP87" s="214" t="s">
        <v>489</v>
      </c>
      <c r="AQ87" s="214" t="s">
        <v>368</v>
      </c>
      <c r="AR87" s="214"/>
      <c r="AS87" s="214" t="s">
        <v>215</v>
      </c>
      <c r="AT87" s="214"/>
      <c r="AU87" s="214"/>
      <c r="AV87" s="214"/>
      <c r="AW87" s="214" t="s">
        <v>489</v>
      </c>
      <c r="AX87" s="214" t="s">
        <v>368</v>
      </c>
      <c r="AY87" s="214"/>
      <c r="AZ87" s="214" t="s">
        <v>215</v>
      </c>
      <c r="BA87" s="214"/>
      <c r="BB87" s="214"/>
      <c r="BC87" s="214"/>
      <c r="BD87" s="214" t="s">
        <v>489</v>
      </c>
      <c r="BE87" s="214" t="s">
        <v>368</v>
      </c>
      <c r="BF87" s="214"/>
      <c r="BG87" s="214" t="s">
        <v>215</v>
      </c>
      <c r="BH87" s="214"/>
    </row>
    <row r="88" spans="2:60">
      <c r="AN88" s="214" t="s">
        <v>361</v>
      </c>
      <c r="AO88" s="216" t="s">
        <v>362</v>
      </c>
      <c r="AP88" s="216">
        <f>-0.0000000000012626 * AR88 ^ 3 - 0.000000018696 * AR88 ^ 2 + 0.00026402 * AR88 + 1.414</f>
        <v>1.4139999999999999</v>
      </c>
      <c r="AQ88" s="222" t="e">
        <f>(Calculations!M156+Calculations!N154)*Calculations!E115/24*1000</f>
        <v>#DIV/0!</v>
      </c>
      <c r="AR88" s="216">
        <f>+I28</f>
        <v>0</v>
      </c>
      <c r="AS88" s="222" t="e">
        <f>+AP88*AQ88/1000*AR88</f>
        <v>#DIV/0!</v>
      </c>
      <c r="AT88" s="214"/>
      <c r="AU88" s="214" t="s">
        <v>361</v>
      </c>
      <c r="AV88" s="216" t="s">
        <v>362</v>
      </c>
      <c r="AW88" s="216">
        <f>-0.0000000000012626 * AY88 ^ 3 - 0.000000018696 * AY88 ^ 2 + 0.00026402 * AY88 + 1.414</f>
        <v>1.4139999999999999</v>
      </c>
      <c r="AX88" s="222">
        <f>+(Calculations!M100+Calculations!N98)*Calculations!E7/24*1000</f>
        <v>0</v>
      </c>
      <c r="AY88" s="216">
        <f>+M28</f>
        <v>0</v>
      </c>
      <c r="AZ88" s="222">
        <f>+AW88*AX88/1000*AY88</f>
        <v>0</v>
      </c>
      <c r="BA88" s="214"/>
      <c r="BB88" s="214" t="s">
        <v>361</v>
      </c>
      <c r="BC88" s="216" t="s">
        <v>362</v>
      </c>
      <c r="BD88" s="216">
        <f>-0.0000000000012626 * BF88 ^ 3 - 0.000000018696 * BF88 ^ 2 + 0.00026402 * BF88 + 1.414</f>
        <v>1.5015559171696</v>
      </c>
      <c r="BE88" s="222">
        <f>+(Calculations!M49+Calculations!N47)*Calculations!E7/24*1000</f>
        <v>235471.38161666665</v>
      </c>
      <c r="BF88" s="216">
        <f>AE28</f>
        <v>340</v>
      </c>
      <c r="BG88" s="222">
        <f>+BD88*BE88/1000*BF88</f>
        <v>120214.97177280631</v>
      </c>
      <c r="BH88" s="677"/>
    </row>
    <row r="89" spans="2:60">
      <c r="AN89" s="214"/>
      <c r="AO89" s="216" t="s">
        <v>363</v>
      </c>
      <c r="AP89" s="216">
        <f>IF(AR89=20,0.83,((0.8+7.3*10^-4*AR89-4.6*10^-7*AR89^2+5.2*10^-11*AR89^3)*AR89-(0.8+7.3*10^-4*20-4.6*10^-7*20^2+5.2*10^-11*20^3)*20)/(AR89-20))</f>
        <v>0.81441641600000003</v>
      </c>
      <c r="AQ89" s="216">
        <f>+E6*1000</f>
        <v>0</v>
      </c>
      <c r="AR89" s="216">
        <f>AR88</f>
        <v>0</v>
      </c>
      <c r="AS89" s="222">
        <f>+AP89*AQ89*AR89/1000</f>
        <v>0</v>
      </c>
      <c r="AT89" s="214"/>
      <c r="AU89" s="214"/>
      <c r="AV89" s="216" t="s">
        <v>363</v>
      </c>
      <c r="AW89" s="216">
        <f>IF(AY89=20,0.83,((0.8+7.3*10^-4*AY89-4.6*10^-7*AY89^2+5.2*10^-11*AY89^3)*AY89-(0.8+7.3*10^-4*20-4.6*10^-7*20^2+5.2*10^-11*20^3)*20)/(AY89-20))</f>
        <v>0.81441641600000003</v>
      </c>
      <c r="AX89" s="216">
        <f>+AA6*General!F67*1000</f>
        <v>0</v>
      </c>
      <c r="AY89" s="216">
        <f>AY88</f>
        <v>0</v>
      </c>
      <c r="AZ89" s="222">
        <f>+AW89*AX89*AY89/1000</f>
        <v>0</v>
      </c>
      <c r="BA89" s="214"/>
      <c r="BB89" s="214"/>
      <c r="BC89" s="216" t="s">
        <v>363</v>
      </c>
      <c r="BD89" s="216">
        <f>IF(BF89=20,0.83,((0.8+7.3*10^-4*BF89-4.6*10^-7*BF89^2+5.2*10^-11*BF89^3)*BF89-(0.8+7.3*10^-4*20-4.6*10^-7*20^2+5.2*10^-11*20^3)*20)/(BF89-20))</f>
        <v>1.00848352</v>
      </c>
      <c r="BE89" s="216">
        <f>+AX89</f>
        <v>0</v>
      </c>
      <c r="BF89" s="216">
        <f>BF88</f>
        <v>340</v>
      </c>
      <c r="BG89" s="222">
        <f>+BD89*BE89*BF89/1000</f>
        <v>0</v>
      </c>
      <c r="BH89" s="677"/>
    </row>
    <row r="90" spans="2:60">
      <c r="AN90" s="214"/>
      <c r="AO90" s="216" t="s">
        <v>364</v>
      </c>
      <c r="AP90" s="216">
        <v>2450</v>
      </c>
      <c r="AQ90" s="216">
        <f>+I42*1000</f>
        <v>0</v>
      </c>
      <c r="AR90" s="216"/>
      <c r="AS90" s="222">
        <f>+AQ90/1000*AP90</f>
        <v>0</v>
      </c>
      <c r="AT90" s="214"/>
      <c r="AU90" s="214"/>
      <c r="AV90" s="216" t="s">
        <v>364</v>
      </c>
      <c r="AW90" s="216">
        <v>2450</v>
      </c>
      <c r="AX90" s="216">
        <f>+M42*1000</f>
        <v>0</v>
      </c>
      <c r="AY90" s="216"/>
      <c r="AZ90" s="222">
        <f>+AX90/1000*AW90</f>
        <v>0</v>
      </c>
      <c r="BA90" s="214"/>
      <c r="BB90" s="214"/>
      <c r="BC90" s="216" t="s">
        <v>364</v>
      </c>
      <c r="BD90" s="216">
        <v>2450</v>
      </c>
      <c r="BE90" s="216">
        <f>+AE42*1000</f>
        <v>0.1</v>
      </c>
      <c r="BF90" s="216"/>
      <c r="BG90" s="222">
        <f>+BE90/1000*BD90</f>
        <v>0.24500000000000002</v>
      </c>
      <c r="BH90" s="677"/>
    </row>
    <row r="91" spans="2:60">
      <c r="AN91" s="214"/>
      <c r="AO91" s="216" t="s">
        <v>488</v>
      </c>
      <c r="AP91" s="216">
        <v>4.1813000000000002</v>
      </c>
      <c r="AQ91" s="216">
        <f>+AQ90</f>
        <v>0</v>
      </c>
      <c r="AR91" s="216">
        <f>100-General!$E$82</f>
        <v>80</v>
      </c>
      <c r="AS91" s="222">
        <f>+AP91*AQ91*AR91/1000</f>
        <v>0</v>
      </c>
      <c r="AT91" s="214"/>
      <c r="AU91" s="214"/>
      <c r="AV91" s="216" t="s">
        <v>488</v>
      </c>
      <c r="AW91" s="216">
        <v>4.1813000000000002</v>
      </c>
      <c r="AX91" s="216">
        <f>+AX90</f>
        <v>0</v>
      </c>
      <c r="AY91" s="216">
        <f>100-General!$E$82</f>
        <v>80</v>
      </c>
      <c r="AZ91" s="222">
        <f>+AW91*AX91*AY91/1000</f>
        <v>0</v>
      </c>
      <c r="BA91" s="214"/>
      <c r="BB91" s="214"/>
      <c r="BC91" s="216" t="s">
        <v>488</v>
      </c>
      <c r="BD91" s="216">
        <v>4.1813000000000002</v>
      </c>
      <c r="BE91" s="216">
        <f>+BE90</f>
        <v>0.1</v>
      </c>
      <c r="BF91" s="216">
        <f>100-General!$E$82</f>
        <v>80</v>
      </c>
      <c r="BG91" s="222">
        <f>+BD91*BE91*BF91/1000</f>
        <v>3.3450400000000005E-2</v>
      </c>
      <c r="BH91" s="677"/>
    </row>
    <row r="92" spans="2:60">
      <c r="AN92" s="214"/>
      <c r="AO92" s="216" t="s">
        <v>501</v>
      </c>
      <c r="AP92" s="216">
        <f>1.49+AR92/4700</f>
        <v>1.49</v>
      </c>
      <c r="AQ92" s="216">
        <f>+AQ91*1.224</f>
        <v>0</v>
      </c>
      <c r="AR92" s="681">
        <f>+AP99</f>
        <v>0</v>
      </c>
      <c r="AS92" s="222">
        <f t="shared" ref="AS92:AS93" si="8">+AP92*AQ92*AR92/1000</f>
        <v>0</v>
      </c>
      <c r="AT92" s="214"/>
      <c r="AU92" s="214"/>
      <c r="AV92" s="216" t="s">
        <v>501</v>
      </c>
      <c r="AW92" s="216">
        <f>1.49+AY92/4700</f>
        <v>1.49</v>
      </c>
      <c r="AX92" s="216">
        <f>+AX91*1.224</f>
        <v>0</v>
      </c>
      <c r="AY92" s="681">
        <f>+AW99</f>
        <v>0</v>
      </c>
      <c r="AZ92" s="222">
        <f t="shared" ref="AZ92:AZ93" si="9">+AW92*AX92*AY92/1000</f>
        <v>0</v>
      </c>
      <c r="BA92" s="214"/>
      <c r="BB92" s="214"/>
      <c r="BC92" s="216" t="s">
        <v>501</v>
      </c>
      <c r="BD92" s="216" t="e">
        <f ca="1">1.49+BF92/4700</f>
        <v>#VALUE!</v>
      </c>
      <c r="BE92" s="216">
        <f>+BE91*1.224</f>
        <v>0.12240000000000001</v>
      </c>
      <c r="BF92" s="681" t="e">
        <f ca="1">+BD99</f>
        <v>#VALUE!</v>
      </c>
      <c r="BG92" s="222" t="e">
        <f t="shared" ref="BG92:BG93" ca="1" si="10">+BD92*BE92*BF92/1000</f>
        <v>#VALUE!</v>
      </c>
      <c r="BH92" s="677"/>
    </row>
    <row r="93" spans="2:60">
      <c r="AN93" s="214"/>
      <c r="AO93" s="216" t="s">
        <v>502</v>
      </c>
      <c r="AP93" s="216">
        <f>1.49+100/4700</f>
        <v>1.5112765957446808</v>
      </c>
      <c r="AQ93" s="216">
        <f>+AQ92</f>
        <v>0</v>
      </c>
      <c r="AR93" s="681">
        <v>100</v>
      </c>
      <c r="AS93" s="222">
        <f t="shared" si="8"/>
        <v>0</v>
      </c>
      <c r="AT93" s="216">
        <f>AS92-AS93</f>
        <v>0</v>
      </c>
      <c r="AU93" s="214"/>
      <c r="AV93" s="216" t="s">
        <v>502</v>
      </c>
      <c r="AW93" s="216">
        <f>1.49+100/4700</f>
        <v>1.5112765957446808</v>
      </c>
      <c r="AX93" s="216">
        <f>+AX92</f>
        <v>0</v>
      </c>
      <c r="AY93" s="681">
        <v>100</v>
      </c>
      <c r="AZ93" s="222">
        <f t="shared" si="9"/>
        <v>0</v>
      </c>
      <c r="BA93" s="681">
        <f>AZ92-AZ93</f>
        <v>0</v>
      </c>
      <c r="BB93" s="214"/>
      <c r="BC93" s="216" t="s">
        <v>502</v>
      </c>
      <c r="BD93" s="216">
        <f>1.49+100/4700</f>
        <v>1.5112765957446808</v>
      </c>
      <c r="BE93" s="216">
        <f>+BE92</f>
        <v>0.12240000000000001</v>
      </c>
      <c r="BF93" s="681">
        <v>100</v>
      </c>
      <c r="BG93" s="222">
        <f t="shared" si="10"/>
        <v>1.8498025531914895E-2</v>
      </c>
      <c r="BH93" s="222" t="e">
        <f ca="1">BG92-BG93</f>
        <v>#VALUE!</v>
      </c>
    </row>
    <row r="94" spans="2:60">
      <c r="AN94" s="214"/>
      <c r="AO94" s="214"/>
      <c r="AP94" s="214"/>
      <c r="AQ94" s="214"/>
      <c r="AR94" s="214"/>
      <c r="AS94" s="222" t="e">
        <f>AS88+AS89-AS90-AS91-AT93</f>
        <v>#DIV/0!</v>
      </c>
      <c r="AT94" s="214"/>
      <c r="AU94" s="214"/>
      <c r="AV94" s="214"/>
      <c r="AW94" s="214"/>
      <c r="AX94" s="214"/>
      <c r="AY94" s="214"/>
      <c r="AZ94" s="222">
        <f>AZ88+AZ89-AZ90-AZ91-BA93</f>
        <v>0</v>
      </c>
      <c r="BA94" s="214"/>
      <c r="BB94" s="214"/>
      <c r="BC94" s="214"/>
      <c r="BD94" s="214"/>
      <c r="BE94" s="214"/>
      <c r="BF94" s="214"/>
      <c r="BG94" s="222" t="e">
        <f ca="1">BG88+BG89-BG90-BG91-BH93</f>
        <v>#VALUE!</v>
      </c>
      <c r="BH94" s="677"/>
    </row>
    <row r="95" spans="2:60">
      <c r="AN95" s="214"/>
      <c r="AO95" s="216" t="s">
        <v>370</v>
      </c>
      <c r="AP95" s="216">
        <f>-0.0000000000012626 * AR95 ^ 3 - 0.000000018696 * AR95 ^ 2 + 0.00026402 * AR95 + 1.414</f>
        <v>1.4139999999999999</v>
      </c>
      <c r="AQ95" s="216"/>
      <c r="AR95" s="819">
        <f>+AP99</f>
        <v>0</v>
      </c>
      <c r="AS95" s="678"/>
      <c r="AT95" s="214"/>
      <c r="AU95" s="214"/>
      <c r="AV95" s="216" t="s">
        <v>370</v>
      </c>
      <c r="AW95" s="216">
        <f>-0.0000000000012626 * AY95 ^ 3 - 0.000000018696 * AY95 ^ 2 + 0.00026402 * AY95 + 1.414</f>
        <v>1.4139999999999999</v>
      </c>
      <c r="AX95" s="216"/>
      <c r="AY95" s="819">
        <f>AW99</f>
        <v>0</v>
      </c>
      <c r="AZ95" s="678"/>
      <c r="BA95" s="214"/>
      <c r="BB95" s="214"/>
      <c r="BC95" s="216" t="s">
        <v>370</v>
      </c>
      <c r="BD95" s="216" t="e">
        <f ca="1">-0.0000000000012626 * BF95 ^ 3 - 0.000000018696 * BF95 ^ 2 + 0.00026402 * BF95 + 1.414</f>
        <v>#VALUE!</v>
      </c>
      <c r="BE95" s="216"/>
      <c r="BF95" s="819" t="e">
        <f ca="1">BD99</f>
        <v>#VALUE!</v>
      </c>
      <c r="BG95" s="678"/>
      <c r="BH95" s="214"/>
    </row>
    <row r="96" spans="2:60">
      <c r="AN96" s="214"/>
      <c r="AO96" s="216" t="s">
        <v>371</v>
      </c>
      <c r="AP96" s="216">
        <f>IF(AR96=20,0.83,((0.8+7.3*10^-4*AR96-4.6*10^-7*AR96^2+5.2*10^-11*AR96^3)*AR96-(0.8+7.3*10^-4*20-4.6*10^-7*20^2+5.2*10^-11*20^3)*20)/(AR96-20))</f>
        <v>0.81441641600000003</v>
      </c>
      <c r="AQ96" s="216">
        <f>AQ89</f>
        <v>0</v>
      </c>
      <c r="AR96" s="819">
        <f>+AP99</f>
        <v>0</v>
      </c>
      <c r="AS96" s="678"/>
      <c r="AT96" s="214"/>
      <c r="AU96" s="214"/>
      <c r="AV96" s="216" t="s">
        <v>371</v>
      </c>
      <c r="AW96" s="216">
        <f>IF(AY96=20,0.83,((0.8+7.3*10^-4*AY96-4.6*10^-7*AY96^2+5.2*10^-11*AY96^3)*AY96-(0.8+7.3*10^-4*20-4.6*10^-7*20^2+5.2*10^-11*20^3)*20)/(AY96-20))</f>
        <v>0.81441641600000003</v>
      </c>
      <c r="AX96" s="216">
        <f>AX89</f>
        <v>0</v>
      </c>
      <c r="AY96" s="819">
        <f>AW99</f>
        <v>0</v>
      </c>
      <c r="AZ96" s="678"/>
      <c r="BA96" s="214"/>
      <c r="BB96" s="214"/>
      <c r="BC96" s="216" t="s">
        <v>371</v>
      </c>
      <c r="BD96" s="216" t="e">
        <f ca="1">IF(BF96=20,0.83,((0.8+7.3*10^-4*BF96-4.6*10^-7*BF96^2+5.2*10^-11*BF96^3)*BF96-(0.8+7.3*10^-4*20-4.6*10^-7*20^2+5.2*10^-11*20^3)*20)/(BF96-20))</f>
        <v>#VALUE!</v>
      </c>
      <c r="BE96" s="216">
        <f>BE89</f>
        <v>0</v>
      </c>
      <c r="BF96" s="819" t="e">
        <f ca="1">BD99</f>
        <v>#VALUE!</v>
      </c>
      <c r="BG96" s="678"/>
      <c r="BH96" s="214"/>
    </row>
    <row r="97" spans="22:60">
      <c r="V97" s="54"/>
      <c r="AN97" s="214"/>
      <c r="AO97" s="216" t="s">
        <v>372</v>
      </c>
      <c r="AP97" s="216"/>
      <c r="AQ97" s="222" t="e">
        <f>+AQ88+AQ90*1.24</f>
        <v>#DIV/0!</v>
      </c>
      <c r="AR97" s="214"/>
      <c r="AS97" s="214"/>
      <c r="AT97" s="214"/>
      <c r="AU97" s="214"/>
      <c r="AV97" s="216" t="s">
        <v>372</v>
      </c>
      <c r="AW97" s="216"/>
      <c r="AX97" s="222">
        <f>+AX88+AX90*1.24</f>
        <v>0</v>
      </c>
      <c r="AY97" s="214"/>
      <c r="AZ97" s="214"/>
      <c r="BA97" s="214"/>
      <c r="BB97" s="214"/>
      <c r="BC97" s="216" t="s">
        <v>383</v>
      </c>
      <c r="BD97" s="216"/>
      <c r="BE97" s="222">
        <f>+BE88+BE90*1.24</f>
        <v>235471.50561666666</v>
      </c>
      <c r="BF97" s="214"/>
      <c r="BG97" s="214"/>
      <c r="BH97" s="214"/>
    </row>
    <row r="98" spans="22:60" ht="13.5" thickBot="1">
      <c r="V98" s="54"/>
      <c r="AN98" s="214"/>
      <c r="AO98" s="214"/>
      <c r="AP98" s="214"/>
      <c r="AQ98" s="214"/>
      <c r="AR98" s="214"/>
      <c r="AS98" s="214"/>
      <c r="AT98" s="214"/>
      <c r="AU98" s="214"/>
      <c r="AV98" s="214"/>
      <c r="AW98" s="214"/>
      <c r="AX98" s="214"/>
      <c r="AY98" s="214"/>
      <c r="AZ98" s="214"/>
      <c r="BA98" s="214"/>
      <c r="BB98" s="214"/>
      <c r="BC98" s="214"/>
      <c r="BD98" s="214"/>
      <c r="BE98" s="214"/>
      <c r="BF98" s="214"/>
      <c r="BG98" s="214"/>
      <c r="BH98" s="214"/>
    </row>
    <row r="99" spans="22:60" ht="13.5" thickBot="1">
      <c r="V99" s="54"/>
      <c r="AN99" s="214"/>
      <c r="AO99" s="214" t="s">
        <v>370</v>
      </c>
      <c r="AP99" s="679">
        <f>IF(AQ90=0,AR88,AS94/(AP95*AQ97/1000+AP96*AQ96/1000))</f>
        <v>0</v>
      </c>
      <c r="AQ99" s="214" t="s">
        <v>60</v>
      </c>
      <c r="AR99" s="214"/>
      <c r="AS99" s="214"/>
      <c r="AT99" s="214"/>
      <c r="AU99" s="214"/>
      <c r="AV99" s="214" t="s">
        <v>370</v>
      </c>
      <c r="AW99" s="679">
        <f>IF(AX90=0,AY88,AZ94/(AW95*AX97/1000+AW96*AX96/1000))</f>
        <v>0</v>
      </c>
      <c r="AX99" s="214" t="s">
        <v>60</v>
      </c>
      <c r="AY99" s="214"/>
      <c r="AZ99" s="214"/>
      <c r="BA99" s="214"/>
      <c r="BB99" s="214"/>
      <c r="BC99" s="214" t="s">
        <v>370</v>
      </c>
      <c r="BD99" s="679" t="e">
        <f ca="1">IF(BE90=0,BF88,BG94/(BD95*BE97/1000+BD96*BE96/1000))</f>
        <v>#VALUE!</v>
      </c>
      <c r="BE99" s="214" t="s">
        <v>60</v>
      </c>
      <c r="BF99" s="214"/>
      <c r="BG99" s="214"/>
      <c r="BH99" s="214"/>
    </row>
    <row r="100" spans="22:60">
      <c r="V100" s="54"/>
      <c r="AN100" s="214"/>
      <c r="AO100" s="214"/>
      <c r="AP100" s="214"/>
      <c r="AQ100" s="214"/>
      <c r="AR100" s="214"/>
      <c r="AS100" s="214"/>
      <c r="AT100" s="214"/>
      <c r="AU100" s="214"/>
      <c r="AV100" s="214"/>
      <c r="AW100" s="214"/>
      <c r="AX100" s="214"/>
      <c r="AY100" s="214"/>
      <c r="AZ100" s="214"/>
      <c r="BA100" s="214"/>
      <c r="BB100" s="214"/>
      <c r="BC100" s="214"/>
      <c r="BD100" s="214"/>
      <c r="BE100" s="214"/>
      <c r="BF100" s="214"/>
      <c r="BG100" s="214"/>
      <c r="BH100" s="214"/>
    </row>
    <row r="101" spans="22:60">
      <c r="V101" s="54"/>
      <c r="AN101" s="214"/>
      <c r="AO101" s="214"/>
      <c r="AP101" s="214"/>
      <c r="AQ101" s="214"/>
      <c r="AR101" s="214"/>
      <c r="AS101" s="214"/>
      <c r="AT101" s="214"/>
      <c r="AU101" s="214"/>
      <c r="AV101" s="214"/>
      <c r="AW101" s="214"/>
      <c r="AX101" s="214"/>
      <c r="AY101" s="214"/>
      <c r="AZ101" s="214"/>
      <c r="BA101" s="214"/>
      <c r="BB101" s="214"/>
      <c r="BC101" s="214"/>
      <c r="BD101" s="214"/>
      <c r="BE101" s="214"/>
      <c r="BF101" s="214"/>
      <c r="BG101" s="214"/>
      <c r="BH101" s="214"/>
    </row>
    <row r="102" spans="22:60">
      <c r="V102" s="54"/>
      <c r="AN102" s="215" t="s">
        <v>378</v>
      </c>
      <c r="AO102" s="215"/>
      <c r="AP102" s="215"/>
      <c r="AQ102" s="215"/>
      <c r="AR102" s="215"/>
      <c r="AS102" s="215"/>
      <c r="AT102" s="215"/>
      <c r="AU102" s="215" t="s">
        <v>378</v>
      </c>
      <c r="AV102" s="215"/>
      <c r="AW102" s="215"/>
      <c r="AX102" s="215"/>
      <c r="AY102" s="215"/>
      <c r="AZ102" s="215"/>
      <c r="BA102" s="215"/>
      <c r="BB102" s="215" t="s">
        <v>378</v>
      </c>
      <c r="BC102" s="214"/>
      <c r="BD102" s="214"/>
      <c r="BE102" s="214"/>
      <c r="BF102" s="214"/>
      <c r="BG102" s="214"/>
      <c r="BH102" s="214"/>
    </row>
    <row r="103" spans="22:60">
      <c r="V103" s="54"/>
      <c r="AN103" s="214"/>
      <c r="AO103" s="214"/>
      <c r="AP103" s="214"/>
      <c r="AQ103" s="214"/>
      <c r="AR103" s="214"/>
      <c r="AS103" s="214"/>
      <c r="AT103" s="214"/>
      <c r="AU103" s="214"/>
      <c r="AV103" s="214"/>
      <c r="AW103" s="214"/>
      <c r="AX103" s="214"/>
      <c r="AY103" s="214"/>
      <c r="AZ103" s="214"/>
      <c r="BA103" s="214"/>
      <c r="BB103" s="214"/>
      <c r="BC103" s="214"/>
      <c r="BD103" s="214"/>
      <c r="BE103" s="214"/>
      <c r="BF103" s="214"/>
      <c r="BG103" s="214"/>
      <c r="BH103" s="214"/>
    </row>
    <row r="104" spans="22:60">
      <c r="V104" s="54"/>
      <c r="AN104" s="214"/>
      <c r="AO104" s="215" t="s">
        <v>64</v>
      </c>
      <c r="AP104" s="214"/>
      <c r="AQ104" s="214"/>
      <c r="AR104" s="214"/>
      <c r="AS104" s="214"/>
      <c r="AT104" s="214"/>
      <c r="AU104" s="214"/>
      <c r="AV104" s="215" t="s">
        <v>152</v>
      </c>
      <c r="AW104" s="214"/>
      <c r="AX104" s="214"/>
      <c r="AY104" s="214"/>
      <c r="AZ104" s="214"/>
      <c r="BA104" s="214"/>
      <c r="BB104" s="214"/>
      <c r="BC104" s="215" t="s">
        <v>65</v>
      </c>
      <c r="BD104" s="214"/>
      <c r="BE104" s="214"/>
      <c r="BF104" s="214"/>
      <c r="BG104" s="214"/>
      <c r="BH104" s="214"/>
    </row>
    <row r="105" spans="22:60">
      <c r="V105" s="54"/>
      <c r="AN105" s="214"/>
      <c r="AO105" s="214"/>
      <c r="AP105" s="214" t="s">
        <v>365</v>
      </c>
      <c r="AQ105" s="214" t="s">
        <v>366</v>
      </c>
      <c r="AR105" s="214" t="s">
        <v>367</v>
      </c>
      <c r="AS105" s="214" t="s">
        <v>369</v>
      </c>
      <c r="AT105" s="214"/>
      <c r="AU105" s="214"/>
      <c r="AV105" s="214"/>
      <c r="AW105" s="214" t="s">
        <v>365</v>
      </c>
      <c r="AX105" s="214" t="s">
        <v>366</v>
      </c>
      <c r="AY105" s="214" t="s">
        <v>367</v>
      </c>
      <c r="AZ105" s="214" t="s">
        <v>369</v>
      </c>
      <c r="BA105" s="214"/>
      <c r="BB105" s="214"/>
      <c r="BC105" s="214"/>
      <c r="BD105" s="214" t="s">
        <v>365</v>
      </c>
      <c r="BE105" s="214" t="s">
        <v>366</v>
      </c>
      <c r="BF105" s="214" t="s">
        <v>367</v>
      </c>
      <c r="BG105" s="214" t="s">
        <v>369</v>
      </c>
      <c r="BH105" s="214"/>
    </row>
    <row r="106" spans="22:60">
      <c r="V106" s="54"/>
      <c r="W106" s="54"/>
      <c r="X106" s="135"/>
      <c r="Y106" s="135"/>
      <c r="Z106" s="135"/>
      <c r="AA106" s="186"/>
      <c r="AB106" s="136"/>
      <c r="AC106" s="187"/>
      <c r="AD106" s="54"/>
      <c r="AE106" s="54"/>
      <c r="AN106" s="214"/>
      <c r="AO106" s="214"/>
      <c r="AP106" s="214" t="s">
        <v>490</v>
      </c>
      <c r="AQ106" s="214" t="s">
        <v>172</v>
      </c>
      <c r="AR106" s="214" t="s">
        <v>60</v>
      </c>
      <c r="AS106" s="214"/>
      <c r="AT106" s="214"/>
      <c r="AU106" s="214"/>
      <c r="AV106" s="214"/>
      <c r="AW106" s="214" t="s">
        <v>490</v>
      </c>
      <c r="AX106" s="214" t="s">
        <v>172</v>
      </c>
      <c r="AY106" s="214" t="s">
        <v>60</v>
      </c>
      <c r="AZ106" s="214"/>
      <c r="BA106" s="214"/>
      <c r="BB106" s="214"/>
      <c r="BC106" s="214"/>
      <c r="BD106" s="214" t="s">
        <v>490</v>
      </c>
      <c r="BE106" s="214" t="s">
        <v>172</v>
      </c>
      <c r="BF106" s="214" t="s">
        <v>60</v>
      </c>
      <c r="BG106" s="214"/>
      <c r="BH106" s="214"/>
    </row>
    <row r="107" spans="22:60"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N107" s="214"/>
      <c r="AO107" s="214"/>
      <c r="AP107" s="214" t="s">
        <v>489</v>
      </c>
      <c r="AQ107" s="214" t="s">
        <v>368</v>
      </c>
      <c r="AR107" s="214"/>
      <c r="AS107" s="214" t="s">
        <v>215</v>
      </c>
      <c r="AT107" s="214"/>
      <c r="AU107" s="214"/>
      <c r="AV107" s="214"/>
      <c r="AW107" s="214" t="s">
        <v>489</v>
      </c>
      <c r="AX107" s="214" t="s">
        <v>368</v>
      </c>
      <c r="AY107" s="214"/>
      <c r="AZ107" s="214" t="s">
        <v>215</v>
      </c>
      <c r="BA107" s="214"/>
      <c r="BB107" s="214"/>
      <c r="BC107" s="214"/>
      <c r="BD107" s="214" t="s">
        <v>489</v>
      </c>
      <c r="BE107" s="214" t="s">
        <v>368</v>
      </c>
      <c r="BF107" s="214"/>
      <c r="BG107" s="214" t="s">
        <v>215</v>
      </c>
      <c r="BH107" s="214"/>
    </row>
    <row r="108" spans="22:60">
      <c r="AN108" s="214"/>
      <c r="AO108" s="216" t="s">
        <v>380</v>
      </c>
      <c r="AP108" s="216">
        <f>+AP95</f>
        <v>1.4139999999999999</v>
      </c>
      <c r="AQ108" s="680" t="e">
        <f>+AQ97</f>
        <v>#DIV/0!</v>
      </c>
      <c r="AR108" s="681">
        <f>+AP99</f>
        <v>0</v>
      </c>
      <c r="AS108" s="222" t="e">
        <f>+AP108*AQ108/1000*AR108</f>
        <v>#DIV/0!</v>
      </c>
      <c r="AT108" s="214"/>
      <c r="AU108" s="214"/>
      <c r="AV108" s="216" t="s">
        <v>380</v>
      </c>
      <c r="AW108" s="216">
        <f>+AW95</f>
        <v>1.4139999999999999</v>
      </c>
      <c r="AX108" s="680">
        <f>+AX97</f>
        <v>0</v>
      </c>
      <c r="AY108" s="681">
        <f>+AW99</f>
        <v>0</v>
      </c>
      <c r="AZ108" s="222">
        <f>+AW108*AX108/1000*AY108</f>
        <v>0</v>
      </c>
      <c r="BA108" s="214"/>
      <c r="BB108" s="214"/>
      <c r="BC108" s="216" t="s">
        <v>380</v>
      </c>
      <c r="BD108" s="216" t="e">
        <f ca="1">+BD95</f>
        <v>#VALUE!</v>
      </c>
      <c r="BE108" s="680">
        <f>+BE97</f>
        <v>235471.50561666666</v>
      </c>
      <c r="BF108" s="681" t="e">
        <f ca="1">+BD99</f>
        <v>#VALUE!</v>
      </c>
      <c r="BG108" s="222" t="e">
        <f ca="1">+BD108*BE108/1000*BF108</f>
        <v>#VALUE!</v>
      </c>
      <c r="BH108" s="214"/>
    </row>
    <row r="109" spans="22:60">
      <c r="AN109" s="214"/>
      <c r="AO109" s="216" t="s">
        <v>379</v>
      </c>
      <c r="AP109" s="216">
        <f>IF(AR109=20,1.29,((1.297+0.0000575*AR109+0.0000000806*AR109^2-0.0000000000286*AR109^3)*AR109-(1.297+0.0000575*20+0.0000000806*20^2-0.0000000000286*20^3)*20)/(AR109-20))</f>
        <v>1.3000262810000003</v>
      </c>
      <c r="AQ109" s="681">
        <f>IF(I48="",0,AQ97*(I48-I30)/(21-I48))</f>
        <v>0</v>
      </c>
      <c r="AR109" s="216">
        <f>+AK38</f>
        <v>30</v>
      </c>
      <c r="AS109" s="222">
        <f>+AP109*AQ109/1000*AR109</f>
        <v>0</v>
      </c>
      <c r="AT109" s="214"/>
      <c r="AU109" s="214"/>
      <c r="AV109" s="216" t="s">
        <v>379</v>
      </c>
      <c r="AW109" s="216">
        <f>IF(AY109=20,1.29,((1.297+0.0000575*AY109+0.0000000806*AY109^2-0.0000000000286*AY109^3)*AY109-(1.297+0.0000575*20+0.0000000806*20^2-0.0000000000286*20^3)*20)/(AY109-20))</f>
        <v>1.3000262810000003</v>
      </c>
      <c r="AX109" s="681">
        <f>IF(M48="",0,+AX97*(M48-M30)/(21-M48))</f>
        <v>0</v>
      </c>
      <c r="AY109" s="216">
        <f>+AR109</f>
        <v>30</v>
      </c>
      <c r="AZ109" s="222">
        <f>+AW109*AX109/1000*AY109</f>
        <v>0</v>
      </c>
      <c r="BA109" s="214"/>
      <c r="BB109" s="214"/>
      <c r="BC109" s="216" t="s">
        <v>379</v>
      </c>
      <c r="BD109" s="216">
        <f>IF(BF109=20,1.29,((1.297+0.0000575*BF109+0.0000000806*BF109^2-0.0000000000286*BF109^3)*BF109-(1.297+0.0000575*20+0.0000000806*20^2-0.0000000000286*20^3)*20)/(BF109-20))</f>
        <v>1.3000262810000003</v>
      </c>
      <c r="BE109" s="681">
        <f>IF(AE48="",0,+BE97*(AE48-AE30)/(21-AE48))</f>
        <v>0</v>
      </c>
      <c r="BF109" s="216">
        <f>+AY109</f>
        <v>30</v>
      </c>
      <c r="BG109" s="222">
        <f>+BD109*BE109/1000*BF109</f>
        <v>0</v>
      </c>
      <c r="BH109" s="214"/>
    </row>
    <row r="110" spans="22:60">
      <c r="AN110" s="214"/>
      <c r="AO110" s="216" t="s">
        <v>381</v>
      </c>
      <c r="AP110" s="216">
        <f>IF(AR110=20,0.83,((0.8+7.3*10^-4*AR110-4.6*10^-7*AR110^2+5.2*10^-11*AR110^3)*AR110-(0.8+7.3*10^-4*20-4.6*10^-7*20^2+5.2*10^-11*20^3)*20)/(AR110-20))</f>
        <v>0.81441641600000003</v>
      </c>
      <c r="AQ110" s="216">
        <f>+AQ89</f>
        <v>0</v>
      </c>
      <c r="AR110" s="681">
        <f>+AR108</f>
        <v>0</v>
      </c>
      <c r="AS110" s="222">
        <f>+AP110*AQ110*AR110/1000</f>
        <v>0</v>
      </c>
      <c r="AT110" s="214"/>
      <c r="AU110" s="214"/>
      <c r="AV110" s="216" t="s">
        <v>381</v>
      </c>
      <c r="AW110" s="216">
        <f>IF(AY110=20,0.83,((0.8+7.3*10^-4*AY110-4.6*10^-7*AY110^2+5.2*10^-11*AY110^3)*AY110-(0.8+7.3*10^-4*20-4.6*10^-7*20^2+5.2*10^-11*20^3)*20)/(AY110-20))</f>
        <v>0.81441641600000003</v>
      </c>
      <c r="AX110" s="216">
        <f>+AX89</f>
        <v>0</v>
      </c>
      <c r="AY110" s="681">
        <f>+AY108</f>
        <v>0</v>
      </c>
      <c r="AZ110" s="222">
        <f>+AW110*AX110*AY110/1000</f>
        <v>0</v>
      </c>
      <c r="BA110" s="214"/>
      <c r="BB110" s="214"/>
      <c r="BC110" s="216" t="s">
        <v>381</v>
      </c>
      <c r="BD110" s="216" t="e">
        <f ca="1">IF(BF110=20,0.83,((0.8+7.3*10^-4*BF110-4.6*10^-7*BF110^2+5.2*10^-11*BF110^3)*BF110-(0.8+7.3*10^-4*20-4.6*10^-7*20^2+5.2*10^-11*20^3)*20)/(BF110-20))</f>
        <v>#VALUE!</v>
      </c>
      <c r="BE110" s="216">
        <f>+BE89</f>
        <v>0</v>
      </c>
      <c r="BF110" s="681" t="e">
        <f ca="1">+BF108</f>
        <v>#VALUE!</v>
      </c>
      <c r="BG110" s="222" t="e">
        <f ca="1">+BD110*BE110*BF110/1000</f>
        <v>#VALUE!</v>
      </c>
      <c r="BH110" s="214"/>
    </row>
    <row r="111" spans="22:60">
      <c r="AN111" s="214"/>
      <c r="AO111" s="214"/>
      <c r="AP111" s="214"/>
      <c r="AQ111" s="214"/>
      <c r="AR111" s="214"/>
      <c r="AS111" s="214"/>
      <c r="AT111" s="214"/>
      <c r="AU111" s="214"/>
      <c r="AV111" s="214"/>
      <c r="AW111" s="214"/>
      <c r="AX111" s="214"/>
      <c r="AY111" s="214"/>
      <c r="AZ111" s="214"/>
      <c r="BA111" s="214"/>
      <c r="BB111" s="214"/>
      <c r="BC111" s="214"/>
      <c r="BD111" s="214"/>
      <c r="BE111" s="214"/>
      <c r="BF111" s="214"/>
      <c r="BG111" s="214"/>
      <c r="BH111" s="214"/>
    </row>
    <row r="112" spans="22:60">
      <c r="AN112" s="214"/>
      <c r="AO112" s="214" t="s">
        <v>382</v>
      </c>
      <c r="AP112" s="214"/>
      <c r="AQ112" s="214"/>
      <c r="AR112" s="214"/>
      <c r="AS112" s="680" t="e">
        <f>SUM(AS108:AS110)</f>
        <v>#DIV/0!</v>
      </c>
      <c r="AT112" s="214"/>
      <c r="AU112" s="214"/>
      <c r="AV112" s="214" t="s">
        <v>382</v>
      </c>
      <c r="AW112" s="214"/>
      <c r="AX112" s="214"/>
      <c r="AY112" s="214"/>
      <c r="AZ112" s="680">
        <f>SUM(AZ108:AZ110)</f>
        <v>0</v>
      </c>
      <c r="BA112" s="214"/>
      <c r="BB112" s="214"/>
      <c r="BC112" s="214" t="s">
        <v>382</v>
      </c>
      <c r="BD112" s="214"/>
      <c r="BE112" s="214"/>
      <c r="BF112" s="214"/>
      <c r="BG112" s="680" t="e">
        <f ca="1">SUM(BG108:BG110)</f>
        <v>#VALUE!</v>
      </c>
      <c r="BH112" s="214"/>
    </row>
    <row r="113" spans="40:60"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  <c r="AY113" s="214"/>
      <c r="AZ113" s="214"/>
      <c r="BA113" s="214"/>
      <c r="BB113" s="214"/>
      <c r="BC113" s="214"/>
      <c r="BD113" s="214"/>
      <c r="BE113" s="214"/>
      <c r="BF113" s="214"/>
      <c r="BG113" s="214"/>
      <c r="BH113" s="214"/>
    </row>
    <row r="114" spans="40:60">
      <c r="AN114" s="214"/>
      <c r="AO114" s="216" t="s">
        <v>370</v>
      </c>
      <c r="AP114" s="216" t="e">
        <f ca="1">-0.0000000000012626 * AR114 ^ 3 - 0.000000018696 * AR114 ^ 2 + 0.00026402 * AR114 + 1.414</f>
        <v>#DIV/0!</v>
      </c>
      <c r="AQ114" s="681" t="e">
        <f>+AQ109+AQ108</f>
        <v>#DIV/0!</v>
      </c>
      <c r="AR114" s="819" t="e">
        <f ca="1">+AP117</f>
        <v>#DIV/0!</v>
      </c>
      <c r="AS114" s="678"/>
      <c r="AT114" s="214"/>
      <c r="AU114" s="214"/>
      <c r="AV114" s="216" t="s">
        <v>370</v>
      </c>
      <c r="AW114" s="682" t="e">
        <f ca="1">-0.0000000000012626 * AY114 ^ 3 - 0.000000018696 * AY114 ^ 2 + 0.00026402 * AY114 + 1.414</f>
        <v>#VALUE!</v>
      </c>
      <c r="AX114" s="681">
        <f>+AX109+AX108</f>
        <v>0</v>
      </c>
      <c r="AY114" s="817" t="e">
        <f ca="1">+AW117</f>
        <v>#VALUE!</v>
      </c>
      <c r="AZ114" s="678"/>
      <c r="BA114" s="214"/>
      <c r="BB114" s="214"/>
      <c r="BC114" s="216" t="s">
        <v>370</v>
      </c>
      <c r="BD114" s="216" t="e">
        <f ca="1">-0.0000000000012626 * BF114 ^ 3 - 0.000000018696 * BF114 ^ 2 + 0.00026402 * BF114 + 1.414</f>
        <v>#VALUE!</v>
      </c>
      <c r="BE114" s="681">
        <f>+BE109+BE108</f>
        <v>235471.50561666666</v>
      </c>
      <c r="BF114" s="820" t="e">
        <f ca="1">+BD117</f>
        <v>#VALUE!</v>
      </c>
      <c r="BG114" s="678"/>
      <c r="BH114" s="214"/>
    </row>
    <row r="115" spans="40:60">
      <c r="AN115" s="214"/>
      <c r="AO115" s="216" t="s">
        <v>371</v>
      </c>
      <c r="AP115" s="216" t="e">
        <f ca="1">IF(AR115=20,0.83,((0.8+7.3*10^-4*AR115-4.6*10^-7*AR115^2+5.2*10^-11*AR115^3)*AR115-(0.8+7.3*10^-4*20-4.6*10^-7*20^2+5.2*10^-11*20^3)*20)/(AR115-20))</f>
        <v>#DIV/0!</v>
      </c>
      <c r="AQ115" s="216">
        <f>AQ110</f>
        <v>0</v>
      </c>
      <c r="AR115" s="819" t="e">
        <f ca="1">+AR114</f>
        <v>#DIV/0!</v>
      </c>
      <c r="AS115" s="678"/>
      <c r="AT115" s="214"/>
      <c r="AU115" s="214"/>
      <c r="AV115" s="216" t="s">
        <v>371</v>
      </c>
      <c r="AW115" s="682" t="e">
        <f ca="1">IF(AY115=20,0.83,((0.8+7.3*10^-4*AY115-4.6*10^-7*AY115^2+5.2*10^-11*AY115^3)*AY115-(0.8+7.3*10^-4*20-4.6*10^-7*20^2+5.2*10^-11*20^3)*20)/(AY115-20))</f>
        <v>#VALUE!</v>
      </c>
      <c r="AX115" s="216">
        <f>AX110</f>
        <v>0</v>
      </c>
      <c r="AY115" s="817" t="e">
        <f ca="1">+AW117</f>
        <v>#VALUE!</v>
      </c>
      <c r="AZ115" s="678"/>
      <c r="BA115" s="214"/>
      <c r="BB115" s="214"/>
      <c r="BC115" s="216" t="s">
        <v>371</v>
      </c>
      <c r="BD115" s="216" t="e">
        <f ca="1">IF(BF115=20,0.83,((0.8+7.3*10^-4*BF115-4.6*10^-7*BF115^2+5.2*10^-11*BF115^3)*BF115-(0.8+7.3*10^-4*20-4.6*10^-7*20^2+5.2*10^-11*20^3)*20)/(BF115-20))</f>
        <v>#VALUE!</v>
      </c>
      <c r="BE115" s="216">
        <f>BE110</f>
        <v>0</v>
      </c>
      <c r="BF115" s="820" t="e">
        <f ca="1">+BD117</f>
        <v>#VALUE!</v>
      </c>
      <c r="BG115" s="678"/>
      <c r="BH115" s="214"/>
    </row>
    <row r="116" spans="40:60" ht="13.5" thickBot="1">
      <c r="AN116" s="214"/>
      <c r="AO116" s="214"/>
      <c r="AP116" s="214"/>
      <c r="AQ116" s="214"/>
      <c r="AR116" s="214"/>
      <c r="AS116" s="214"/>
      <c r="AT116" s="214"/>
      <c r="AU116" s="214"/>
      <c r="AV116" s="214"/>
      <c r="AW116" s="214"/>
      <c r="AX116" s="214"/>
      <c r="AY116" s="214"/>
      <c r="AZ116" s="214"/>
      <c r="BA116" s="214"/>
      <c r="BB116" s="214"/>
      <c r="BC116" s="214"/>
      <c r="BD116" s="214"/>
      <c r="BE116" s="214"/>
      <c r="BF116" s="214"/>
      <c r="BG116" s="214"/>
      <c r="BH116" s="214"/>
    </row>
    <row r="117" spans="40:60" ht="13.5" thickBot="1">
      <c r="AN117" s="214"/>
      <c r="AO117" s="214" t="s">
        <v>370</v>
      </c>
      <c r="AP117" s="679" t="e">
        <f ca="1">AS112/(AP115*AQ115/1000+AP114*AQ114/1000)</f>
        <v>#DIV/0!</v>
      </c>
      <c r="AQ117" s="214" t="s">
        <v>60</v>
      </c>
      <c r="AR117" s="214"/>
      <c r="AS117" s="214"/>
      <c r="AT117" s="214"/>
      <c r="AU117" s="214"/>
      <c r="AV117" s="214" t="s">
        <v>370</v>
      </c>
      <c r="AW117" s="683" t="e">
        <f ca="1">AZ112/(AW115*AX115/1000+AW114*AX114/1000)</f>
        <v>#VALUE!</v>
      </c>
      <c r="AX117" s="214" t="s">
        <v>60</v>
      </c>
      <c r="AY117" s="214"/>
      <c r="AZ117" s="214"/>
      <c r="BA117" s="214"/>
      <c r="BB117" s="214"/>
      <c r="BC117" s="214" t="s">
        <v>370</v>
      </c>
      <c r="BD117" s="683" t="e">
        <f ca="1">BG112/(BD115*BE115/1000+BD114*BE114/1000)</f>
        <v>#VALUE!</v>
      </c>
      <c r="BE117" s="214" t="s">
        <v>60</v>
      </c>
      <c r="BF117" s="214"/>
      <c r="BG117" s="214"/>
      <c r="BH117" s="214"/>
    </row>
    <row r="118" spans="40:60">
      <c r="AN118" s="214"/>
      <c r="AO118" s="214"/>
      <c r="AP118" s="214"/>
      <c r="AQ118" s="214"/>
      <c r="AR118" s="214"/>
      <c r="AS118" s="214"/>
      <c r="AT118" s="214"/>
      <c r="AU118" s="214"/>
      <c r="AV118" s="214"/>
      <c r="AW118" s="214"/>
      <c r="AX118" s="214"/>
      <c r="AY118" s="214"/>
      <c r="AZ118" s="214"/>
      <c r="BA118" s="214"/>
      <c r="BB118" s="214"/>
      <c r="BC118" s="214"/>
      <c r="BD118" s="214"/>
      <c r="BE118" s="214"/>
      <c r="BF118" s="214"/>
      <c r="BG118" s="214"/>
      <c r="BH118" s="214"/>
    </row>
    <row r="119" spans="40:60">
      <c r="AN119" s="214"/>
      <c r="AO119" s="214"/>
      <c r="AP119" s="214"/>
      <c r="AQ119" s="214"/>
      <c r="AR119" s="214"/>
      <c r="AS119" s="214"/>
      <c r="AT119" s="214"/>
      <c r="AU119" s="214"/>
      <c r="AV119" s="214"/>
      <c r="AW119" s="214"/>
      <c r="AX119" s="214"/>
      <c r="AY119" s="214"/>
      <c r="AZ119" s="214"/>
      <c r="BA119" s="214"/>
      <c r="BB119" s="214"/>
      <c r="BC119" s="214"/>
      <c r="BD119" s="214"/>
      <c r="BE119" s="214"/>
      <c r="BF119" s="214"/>
      <c r="BG119" s="214"/>
      <c r="BH119" s="214"/>
    </row>
    <row r="120" spans="40:60">
      <c r="AN120" s="829" t="s">
        <v>487</v>
      </c>
      <c r="AO120" s="830"/>
      <c r="AP120" s="830" t="s">
        <v>365</v>
      </c>
      <c r="AQ120" s="830" t="s">
        <v>366</v>
      </c>
      <c r="AR120" s="830" t="s">
        <v>367</v>
      </c>
      <c r="AS120" s="830" t="s">
        <v>369</v>
      </c>
      <c r="AT120" s="830"/>
      <c r="AU120" s="830"/>
      <c r="AV120" s="830"/>
      <c r="AW120" s="830" t="s">
        <v>365</v>
      </c>
      <c r="AX120" s="830" t="s">
        <v>366</v>
      </c>
      <c r="AY120" s="830" t="s">
        <v>367</v>
      </c>
      <c r="AZ120" s="830" t="s">
        <v>369</v>
      </c>
      <c r="BA120" s="830"/>
      <c r="BB120" s="830"/>
      <c r="BC120" s="830"/>
      <c r="BD120" s="830" t="s">
        <v>365</v>
      </c>
      <c r="BE120" s="830" t="s">
        <v>366</v>
      </c>
      <c r="BF120" s="830" t="s">
        <v>367</v>
      </c>
      <c r="BG120" s="830" t="s">
        <v>369</v>
      </c>
      <c r="BH120" s="830"/>
    </row>
    <row r="121" spans="40:60">
      <c r="AN121" s="830"/>
      <c r="AO121" s="830"/>
      <c r="AP121" s="830" t="s">
        <v>490</v>
      </c>
      <c r="AQ121" s="830" t="s">
        <v>172</v>
      </c>
      <c r="AR121" s="830" t="s">
        <v>60</v>
      </c>
      <c r="AS121" s="830"/>
      <c r="AT121" s="830"/>
      <c r="AU121" s="830"/>
      <c r="AV121" s="830"/>
      <c r="AW121" s="830" t="s">
        <v>490</v>
      </c>
      <c r="AX121" s="830" t="s">
        <v>172</v>
      </c>
      <c r="AY121" s="830" t="s">
        <v>60</v>
      </c>
      <c r="AZ121" s="830"/>
      <c r="BA121" s="830"/>
      <c r="BB121" s="830"/>
      <c r="BC121" s="830"/>
      <c r="BD121" s="830" t="s">
        <v>490</v>
      </c>
      <c r="BE121" s="830" t="s">
        <v>172</v>
      </c>
      <c r="BF121" s="830" t="s">
        <v>60</v>
      </c>
      <c r="BG121" s="830"/>
      <c r="BH121" s="830"/>
    </row>
    <row r="122" spans="40:60">
      <c r="AN122" s="830"/>
      <c r="AO122" s="830"/>
      <c r="AP122" s="830" t="s">
        <v>489</v>
      </c>
      <c r="AQ122" s="830" t="s">
        <v>368</v>
      </c>
      <c r="AR122" s="830"/>
      <c r="AS122" s="830" t="s">
        <v>215</v>
      </c>
      <c r="AT122" s="830"/>
      <c r="AU122" s="830"/>
      <c r="AV122" s="830"/>
      <c r="AW122" s="830" t="s">
        <v>489</v>
      </c>
      <c r="AX122" s="830" t="s">
        <v>368</v>
      </c>
      <c r="AY122" s="830"/>
      <c r="AZ122" s="830" t="s">
        <v>215</v>
      </c>
      <c r="BA122" s="830"/>
      <c r="BB122" s="830"/>
      <c r="BC122" s="830"/>
      <c r="BD122" s="830" t="s">
        <v>489</v>
      </c>
      <c r="BE122" s="830" t="s">
        <v>368</v>
      </c>
      <c r="BF122" s="830"/>
      <c r="BG122" s="830" t="s">
        <v>215</v>
      </c>
      <c r="BH122" s="830"/>
    </row>
    <row r="123" spans="40:60">
      <c r="AN123" s="830"/>
      <c r="AO123" s="831" t="s">
        <v>362</v>
      </c>
      <c r="AP123" s="831" t="e">
        <f ca="1">-0.0000000000012626 * AR123 ^ 3 - 0.000000018696 * AR123 ^ 2 + 0.00026402 * AR123 + 1.414</f>
        <v>#DIV/0!</v>
      </c>
      <c r="AQ123" s="832" t="e">
        <f>+AQ114</f>
        <v>#DIV/0!</v>
      </c>
      <c r="AR123" s="833" t="e">
        <f ca="1">+AP117</f>
        <v>#DIV/0!</v>
      </c>
      <c r="AS123" s="831" t="e">
        <f ca="1">+AP123*AQ123/1000*AR123</f>
        <v>#DIV/0!</v>
      </c>
      <c r="AT123" s="830"/>
      <c r="AU123" s="830"/>
      <c r="AV123" s="831" t="s">
        <v>362</v>
      </c>
      <c r="AW123" s="831" t="e">
        <f ca="1">-0.0000000000012626 * AY123 ^ 3 - 0.000000018696 * AY123 ^ 2 + 0.00026402 * AY123 + 1.414</f>
        <v>#VALUE!</v>
      </c>
      <c r="AX123" s="832">
        <f>+AX114</f>
        <v>0</v>
      </c>
      <c r="AY123" s="833" t="e">
        <f ca="1">+AW117</f>
        <v>#VALUE!</v>
      </c>
      <c r="AZ123" s="831" t="e">
        <f ca="1">+AW123*AX123/1000*AY123</f>
        <v>#VALUE!</v>
      </c>
      <c r="BA123" s="830"/>
      <c r="BB123" s="830"/>
      <c r="BC123" s="831" t="s">
        <v>362</v>
      </c>
      <c r="BD123" s="831" t="e">
        <f ca="1">-0.0000000000012626 * BF123 ^ 3 - 0.000000018696 * BF123 ^ 2 + 0.00026402 * BF123 + 1.414</f>
        <v>#VALUE!</v>
      </c>
      <c r="BE123" s="832">
        <f>+BE114</f>
        <v>235471.50561666666</v>
      </c>
      <c r="BF123" s="833" t="e">
        <f ca="1">+BD117</f>
        <v>#VALUE!</v>
      </c>
      <c r="BG123" s="831" t="e">
        <f ca="1">+BD123*BE123/1000*BF123</f>
        <v>#VALUE!</v>
      </c>
      <c r="BH123" s="830"/>
    </row>
    <row r="124" spans="40:60">
      <c r="AN124" s="830"/>
      <c r="AO124" s="831" t="s">
        <v>363</v>
      </c>
      <c r="AP124" s="831" t="e">
        <f ca="1">IF(AR124=20,0.83,((0.8+7.3*10^-4*AR124-4.6*10^-7*AR124^2+5.2*10^-11*AR124^3)*AR124-(0.8+7.3*10^-4*20-4.6*10^-7*20^2+5.2*10^-11*20^3)*20)/(AR124-20))</f>
        <v>#DIV/0!</v>
      </c>
      <c r="AQ124" s="831">
        <f>+AQ115</f>
        <v>0</v>
      </c>
      <c r="AR124" s="833" t="e">
        <f ca="1">+AP117</f>
        <v>#DIV/0!</v>
      </c>
      <c r="AS124" s="831" t="e">
        <f ca="1">+AP124*AQ124*AR124/1000</f>
        <v>#DIV/0!</v>
      </c>
      <c r="AT124" s="830"/>
      <c r="AU124" s="830"/>
      <c r="AV124" s="831" t="s">
        <v>363</v>
      </c>
      <c r="AW124" s="831" t="e">
        <f ca="1">IF(AY124=20,0.83,((0.8+7.3*10^-4*AY124-4.6*10^-7*AY124^2+5.2*10^-11*AY124^3)*AY124-(0.8+7.3*10^-4*20-4.6*10^-7*20^2+5.2*10^-11*20^3)*20)/(AY124-20))</f>
        <v>#VALUE!</v>
      </c>
      <c r="AX124" s="831">
        <f>+AX115</f>
        <v>0</v>
      </c>
      <c r="AY124" s="833" t="e">
        <f ca="1">+AW117</f>
        <v>#VALUE!</v>
      </c>
      <c r="AZ124" s="831" t="e">
        <f ca="1">+AW124*AX124*AY124/1000</f>
        <v>#VALUE!</v>
      </c>
      <c r="BA124" s="830"/>
      <c r="BB124" s="830"/>
      <c r="BC124" s="831" t="s">
        <v>363</v>
      </c>
      <c r="BD124" s="831" t="e">
        <f ca="1">IF(BF124=20,0.83,((0.8+7.3*10^-4*BF124-4.6*10^-7*BF124^2+5.2*10^-11*BF124^3)*BF124-(0.8+7.3*10^-4*20-4.6*10^-7*20^2+5.2*10^-11*20^3)*20)/(BF124-20))</f>
        <v>#VALUE!</v>
      </c>
      <c r="BE124" s="831">
        <f>+BE115</f>
        <v>0</v>
      </c>
      <c r="BF124" s="833" t="e">
        <f ca="1">+BD117</f>
        <v>#VALUE!</v>
      </c>
      <c r="BG124" s="831" t="e">
        <f ca="1">+BD124*BE124*BF124/1000</f>
        <v>#VALUE!</v>
      </c>
      <c r="BH124" s="830"/>
    </row>
    <row r="125" spans="40:60">
      <c r="AN125" s="830"/>
      <c r="AO125" s="834" t="s">
        <v>500</v>
      </c>
      <c r="AP125" s="835"/>
      <c r="AQ125" s="835"/>
      <c r="AR125" s="836"/>
      <c r="AS125" s="831">
        <f>-I56</f>
        <v>0</v>
      </c>
      <c r="AT125" s="830"/>
      <c r="AU125" s="830"/>
      <c r="AV125" s="834" t="s">
        <v>500</v>
      </c>
      <c r="AW125" s="835"/>
      <c r="AX125" s="835"/>
      <c r="AY125" s="836"/>
      <c r="AZ125" s="831">
        <f>-M56</f>
        <v>0</v>
      </c>
      <c r="BA125" s="830"/>
      <c r="BB125" s="830"/>
      <c r="BC125" s="834" t="s">
        <v>500</v>
      </c>
      <c r="BD125" s="835"/>
      <c r="BE125" s="835"/>
      <c r="BF125" s="836"/>
      <c r="BG125" s="831">
        <f>+-AE56</f>
        <v>-1E-3</v>
      </c>
      <c r="BH125" s="830"/>
    </row>
    <row r="126" spans="40:60">
      <c r="AN126" s="830"/>
      <c r="AO126" s="830"/>
      <c r="AP126" s="830"/>
      <c r="AQ126" s="830"/>
      <c r="AR126" s="830"/>
      <c r="AS126" s="831" t="e">
        <f ca="1">SUM(AS123:AS125)</f>
        <v>#DIV/0!</v>
      </c>
      <c r="AT126" s="830"/>
      <c r="AU126" s="830"/>
      <c r="AV126" s="830"/>
      <c r="AW126" s="830"/>
      <c r="AX126" s="830"/>
      <c r="AY126" s="830"/>
      <c r="AZ126" s="831" t="e">
        <f ca="1">SUM(AZ123:AZ125)</f>
        <v>#VALUE!</v>
      </c>
      <c r="BA126" s="830"/>
      <c r="BB126" s="830"/>
      <c r="BC126" s="830"/>
      <c r="BD126" s="830"/>
      <c r="BE126" s="830"/>
      <c r="BF126" s="830"/>
      <c r="BG126" s="831" t="e">
        <f ca="1">SUM(BG123:BG125)</f>
        <v>#VALUE!</v>
      </c>
      <c r="BH126" s="830"/>
    </row>
    <row r="127" spans="40:60">
      <c r="AN127" s="830"/>
      <c r="AO127" s="830"/>
      <c r="AP127" s="830"/>
      <c r="AQ127" s="830"/>
      <c r="AR127" s="830"/>
      <c r="AS127" s="830"/>
      <c r="AT127" s="830"/>
      <c r="AU127" s="830"/>
      <c r="AV127" s="830"/>
      <c r="AW127" s="830"/>
      <c r="AX127" s="830"/>
      <c r="AY127" s="830"/>
      <c r="AZ127" s="830"/>
      <c r="BA127" s="830"/>
      <c r="BB127" s="830"/>
      <c r="BC127" s="830"/>
      <c r="BD127" s="830"/>
      <c r="BE127" s="830"/>
      <c r="BF127" s="830"/>
      <c r="BG127" s="830"/>
      <c r="BH127" s="830"/>
    </row>
    <row r="128" spans="40:60">
      <c r="AN128" s="830"/>
      <c r="AO128" s="831" t="s">
        <v>370</v>
      </c>
      <c r="AP128" s="831" t="e">
        <f ca="1">-0.0000000000012626 * AR128 ^ 3 - 0.000000018696 * AR128 ^ 2 + 0.00026402 * AR128 + 1.414</f>
        <v>#DIV/0!</v>
      </c>
      <c r="AQ128" s="833" t="e">
        <f>+AQ123</f>
        <v>#DIV/0!</v>
      </c>
      <c r="AR128" s="833" t="e">
        <f ca="1">+AP131</f>
        <v>#DIV/0!</v>
      </c>
      <c r="AS128" s="830"/>
      <c r="AT128" s="830"/>
      <c r="AU128" s="830"/>
      <c r="AV128" s="831" t="s">
        <v>370</v>
      </c>
      <c r="AW128" s="831" t="e">
        <f ca="1">-0.0000000000012626 * AY128 ^ 3 - 0.000000018696 * AY128 ^ 2 + 0.00026402 * AY128 + 1.414</f>
        <v>#VALUE!</v>
      </c>
      <c r="AX128" s="833">
        <f>+AX123</f>
        <v>0</v>
      </c>
      <c r="AY128" s="833" t="e">
        <f ca="1">+AW131</f>
        <v>#VALUE!</v>
      </c>
      <c r="AZ128" s="830"/>
      <c r="BA128" s="830"/>
      <c r="BB128" s="830"/>
      <c r="BC128" s="831" t="s">
        <v>370</v>
      </c>
      <c r="BD128" s="831" t="e">
        <f ca="1">-0.0000000000012626 * BF128 ^ 3 - 0.000000018696 * BF128 ^ 2 + 0.00026402 * BF128 + 1.414</f>
        <v>#VALUE!</v>
      </c>
      <c r="BE128" s="833">
        <f>+BE123</f>
        <v>235471.50561666666</v>
      </c>
      <c r="BF128" s="833" t="e">
        <f ca="1">+BD131</f>
        <v>#VALUE!</v>
      </c>
      <c r="BG128" s="830"/>
      <c r="BH128" s="830"/>
    </row>
    <row r="129" spans="40:60">
      <c r="AN129" s="830"/>
      <c r="AO129" s="831" t="s">
        <v>371</v>
      </c>
      <c r="AP129" s="831" t="e">
        <f ca="1">IF(AR129=20,0.83,((0.8+7.3*10^-4*AR129-4.6*10^-7*AR129^2+5.2*10^-11*AR129^3)*AR129-(0.8+7.3*10^-4*20-4.6*10^-7*20^2+5.2*10^-11*20^3)*20)/(AR129-20))</f>
        <v>#DIV/0!</v>
      </c>
      <c r="AQ129" s="831">
        <f>+AQ124</f>
        <v>0</v>
      </c>
      <c r="AR129" s="833" t="e">
        <f ca="1">+AR128</f>
        <v>#DIV/0!</v>
      </c>
      <c r="AS129" s="830"/>
      <c r="AT129" s="830"/>
      <c r="AU129" s="830"/>
      <c r="AV129" s="831" t="s">
        <v>371</v>
      </c>
      <c r="AW129" s="831" t="e">
        <f ca="1">IF(AY129=20,0.83,((0.8+7.3*10^-4*AY129-4.6*10^-7*AY129^2+5.2*10^-11*AY129^3)*AY129-(0.8+7.3*10^-4*20-4.6*10^-7*20^2+5.2*10^-11*20^3)*20)/(AY129-20))</f>
        <v>#VALUE!</v>
      </c>
      <c r="AX129" s="831">
        <f>+AX124</f>
        <v>0</v>
      </c>
      <c r="AY129" s="833" t="e">
        <f ca="1">+AW131</f>
        <v>#VALUE!</v>
      </c>
      <c r="AZ129" s="830"/>
      <c r="BA129" s="830"/>
      <c r="BB129" s="830"/>
      <c r="BC129" s="831" t="s">
        <v>371</v>
      </c>
      <c r="BD129" s="831" t="e">
        <f ca="1">IF(BF129=20,0.83,((0.8+7.3*10^-4*BF129-4.6*10^-7*BF129^2+5.2*10^-11*BF129^3)*BF129-(0.8+7.3*10^-4*20-4.6*10^-7*20^2+5.2*10^-11*20^3)*20)/(BF129-20))</f>
        <v>#VALUE!</v>
      </c>
      <c r="BE129" s="831">
        <f>+BE124</f>
        <v>0</v>
      </c>
      <c r="BF129" s="833" t="e">
        <f ca="1">+BD131</f>
        <v>#VALUE!</v>
      </c>
      <c r="BG129" s="830"/>
      <c r="BH129" s="830"/>
    </row>
    <row r="130" spans="40:60" ht="13.5" thickBot="1">
      <c r="AN130" s="830"/>
      <c r="AO130" s="830"/>
      <c r="AP130" s="830"/>
      <c r="AQ130" s="830"/>
      <c r="AR130" s="830"/>
      <c r="AS130" s="830"/>
      <c r="AT130" s="830"/>
      <c r="AU130" s="830"/>
      <c r="AV130" s="830"/>
      <c r="AW130" s="830"/>
      <c r="AX130" s="830"/>
      <c r="AY130" s="830"/>
      <c r="AZ130" s="830"/>
      <c r="BA130" s="830"/>
      <c r="BB130" s="830"/>
      <c r="BC130" s="830"/>
      <c r="BD130" s="830"/>
      <c r="BE130" s="830"/>
      <c r="BF130" s="830"/>
      <c r="BG130" s="830"/>
      <c r="BH130" s="830"/>
    </row>
    <row r="131" spans="40:60" ht="13.5" thickBot="1">
      <c r="AN131" s="830"/>
      <c r="AO131" s="830" t="s">
        <v>370</v>
      </c>
      <c r="AP131" s="837" t="e">
        <f ca="1">AS126/(AP129*AQ129/1000+AP128*AQ128/1000)</f>
        <v>#DIV/0!</v>
      </c>
      <c r="AQ131" s="830" t="s">
        <v>60</v>
      </c>
      <c r="AR131" s="830"/>
      <c r="AS131" s="830"/>
      <c r="AT131" s="830"/>
      <c r="AU131" s="830"/>
      <c r="AV131" s="830" t="s">
        <v>370</v>
      </c>
      <c r="AW131" s="837" t="e">
        <f ca="1">AZ126/(AW129*AX129/1000+AW128*AX128/1000)</f>
        <v>#VALUE!</v>
      </c>
      <c r="AX131" s="830" t="s">
        <v>60</v>
      </c>
      <c r="AY131" s="830"/>
      <c r="AZ131" s="830"/>
      <c r="BA131" s="830"/>
      <c r="BB131" s="830"/>
      <c r="BC131" s="830" t="s">
        <v>370</v>
      </c>
      <c r="BD131" s="837" t="e">
        <f ca="1">BG126/(BD129*BE129/1000+BD128*BE128/1000)</f>
        <v>#VALUE!</v>
      </c>
      <c r="BE131" s="830" t="s">
        <v>60</v>
      </c>
      <c r="BF131" s="830"/>
      <c r="BG131" s="830"/>
      <c r="BH131" s="830"/>
    </row>
    <row r="132" spans="40:60">
      <c r="AN132" s="830"/>
      <c r="AO132" s="830"/>
      <c r="AP132" s="830"/>
      <c r="AQ132" s="830"/>
      <c r="AR132" s="830"/>
      <c r="AS132" s="830"/>
      <c r="AT132" s="830"/>
      <c r="AU132" s="830"/>
      <c r="AV132" s="830"/>
      <c r="AW132" s="830"/>
      <c r="AX132" s="830"/>
      <c r="AY132" s="830"/>
      <c r="AZ132" s="830"/>
      <c r="BA132" s="830"/>
      <c r="BB132" s="830"/>
      <c r="BC132" s="830"/>
      <c r="BD132" s="830"/>
      <c r="BE132" s="830"/>
      <c r="BF132" s="830"/>
      <c r="BG132" s="830"/>
      <c r="BH132" s="830"/>
    </row>
    <row r="133" spans="40:60">
      <c r="AN133" s="830"/>
      <c r="AO133" s="830"/>
      <c r="AP133" s="830"/>
      <c r="AQ133" s="830"/>
      <c r="AR133" s="830"/>
      <c r="AS133" s="830"/>
      <c r="AT133" s="830"/>
      <c r="AU133" s="830"/>
      <c r="AV133" s="830"/>
      <c r="AW133" s="830"/>
      <c r="AX133" s="830"/>
      <c r="AY133" s="830"/>
      <c r="AZ133" s="830"/>
      <c r="BA133" s="830"/>
      <c r="BB133" s="830"/>
      <c r="BC133" s="830"/>
      <c r="BD133" s="830"/>
      <c r="BE133" s="830"/>
      <c r="BF133" s="830"/>
      <c r="BG133" s="830"/>
      <c r="BH133" s="830"/>
    </row>
    <row r="134" spans="40:60">
      <c r="AN134" s="830"/>
      <c r="AO134" s="830"/>
      <c r="AP134" s="830"/>
      <c r="AQ134" s="830"/>
      <c r="AR134" s="830"/>
      <c r="AS134" s="830"/>
      <c r="AT134" s="830"/>
      <c r="AU134" s="830"/>
      <c r="AV134" s="830"/>
      <c r="AW134" s="830"/>
      <c r="AX134" s="830"/>
      <c r="AY134" s="830"/>
      <c r="AZ134" s="830"/>
      <c r="BA134" s="830"/>
      <c r="BB134" s="830"/>
      <c r="BC134" s="830"/>
      <c r="BD134" s="830"/>
      <c r="BE134" s="830"/>
      <c r="BF134" s="830"/>
      <c r="BG134" s="830"/>
      <c r="BH134" s="830"/>
    </row>
    <row r="135" spans="40:60">
      <c r="AN135" s="830"/>
      <c r="AO135" s="830"/>
      <c r="AP135" s="830"/>
      <c r="AQ135" s="830"/>
      <c r="AR135" s="830"/>
      <c r="AS135" s="830"/>
      <c r="AT135" s="830"/>
      <c r="AU135" s="830"/>
      <c r="AV135" s="830"/>
      <c r="AW135" s="830"/>
      <c r="AX135" s="830"/>
      <c r="AY135" s="830"/>
      <c r="AZ135" s="830"/>
      <c r="BA135" s="830"/>
      <c r="BB135" s="830"/>
      <c r="BC135" s="830"/>
      <c r="BD135" s="830"/>
      <c r="BE135" s="830"/>
      <c r="BF135" s="830"/>
      <c r="BG135" s="830"/>
      <c r="BH135" s="830"/>
    </row>
    <row r="136" spans="40:60">
      <c r="AN136" s="830"/>
      <c r="AO136" s="830"/>
      <c r="AP136" s="830"/>
      <c r="AQ136" s="830"/>
      <c r="AR136" s="830"/>
      <c r="AS136" s="830"/>
      <c r="AT136" s="830"/>
      <c r="AU136" s="830"/>
      <c r="AV136" s="830"/>
      <c r="AW136" s="830"/>
      <c r="AX136" s="830"/>
      <c r="AY136" s="830"/>
      <c r="AZ136" s="830"/>
      <c r="BA136" s="830"/>
      <c r="BB136" s="830"/>
      <c r="BC136" s="830"/>
      <c r="BD136" s="830"/>
      <c r="BE136" s="830"/>
      <c r="BF136" s="830"/>
      <c r="BG136" s="830"/>
      <c r="BH136" s="830"/>
    </row>
    <row r="137" spans="40:60">
      <c r="AN137" s="830"/>
      <c r="AO137" s="830"/>
      <c r="AP137" s="830"/>
      <c r="AQ137" s="830"/>
      <c r="AR137" s="830"/>
      <c r="AS137" s="830"/>
      <c r="AT137" s="830"/>
      <c r="AU137" s="830"/>
      <c r="AV137" s="830"/>
      <c r="AW137" s="830"/>
      <c r="AX137" s="830"/>
      <c r="AY137" s="830"/>
      <c r="AZ137" s="830"/>
      <c r="BA137" s="830"/>
      <c r="BB137" s="830"/>
      <c r="BC137" s="830"/>
      <c r="BD137" s="830"/>
      <c r="BE137" s="830"/>
      <c r="BF137" s="830"/>
      <c r="BG137" s="830"/>
      <c r="BH137" s="830"/>
    </row>
    <row r="138" spans="40:60">
      <c r="AN138" s="830"/>
      <c r="AO138" s="830"/>
      <c r="AP138" s="830"/>
      <c r="AQ138" s="830"/>
      <c r="AR138" s="830"/>
      <c r="AS138" s="830"/>
      <c r="AT138" s="830"/>
      <c r="AU138" s="830"/>
      <c r="AV138" s="830"/>
      <c r="AW138" s="830"/>
      <c r="AX138" s="830"/>
      <c r="AY138" s="830"/>
      <c r="AZ138" s="830"/>
      <c r="BA138" s="830"/>
      <c r="BB138" s="830"/>
      <c r="BC138" s="830"/>
      <c r="BD138" s="830"/>
      <c r="BE138" s="830"/>
      <c r="BF138" s="830"/>
      <c r="BG138" s="830"/>
      <c r="BH138" s="830"/>
    </row>
    <row r="139" spans="40:60">
      <c r="AN139" s="830"/>
      <c r="AO139" s="830"/>
      <c r="AP139" s="830"/>
      <c r="AQ139" s="830"/>
      <c r="AR139" s="830"/>
      <c r="AS139" s="830"/>
      <c r="AT139" s="830"/>
      <c r="AU139" s="830"/>
      <c r="AV139" s="830"/>
      <c r="AW139" s="830"/>
      <c r="AX139" s="830"/>
      <c r="AY139" s="830"/>
      <c r="AZ139" s="830"/>
      <c r="BA139" s="830"/>
      <c r="BB139" s="830"/>
      <c r="BC139" s="830"/>
      <c r="BD139" s="830"/>
      <c r="BE139" s="830"/>
      <c r="BF139" s="830"/>
      <c r="BG139" s="830"/>
      <c r="BH139" s="830"/>
    </row>
    <row r="140" spans="40:60">
      <c r="AN140" s="830"/>
      <c r="AO140" s="830"/>
      <c r="AP140" s="830"/>
      <c r="AQ140" s="830"/>
      <c r="AR140" s="830"/>
      <c r="AS140" s="830"/>
      <c r="AT140" s="830"/>
      <c r="AU140" s="830"/>
      <c r="AV140" s="830"/>
      <c r="AW140" s="830"/>
      <c r="AX140" s="830"/>
      <c r="AY140" s="830"/>
      <c r="AZ140" s="830"/>
      <c r="BA140" s="830"/>
      <c r="BB140" s="830"/>
      <c r="BC140" s="830"/>
      <c r="BD140" s="830"/>
      <c r="BE140" s="830"/>
      <c r="BF140" s="830"/>
      <c r="BG140" s="830"/>
      <c r="BH140" s="830"/>
    </row>
    <row r="141" spans="40:60">
      <c r="AN141" s="214"/>
      <c r="AO141" s="214" t="s">
        <v>441</v>
      </c>
      <c r="AP141" s="214"/>
      <c r="AQ141" s="214"/>
      <c r="AR141" s="214"/>
      <c r="AS141" s="214"/>
      <c r="AT141" s="214"/>
      <c r="AU141" s="214"/>
      <c r="AV141" s="214"/>
      <c r="AW141" s="214"/>
      <c r="AX141" s="214"/>
      <c r="AY141" s="214"/>
      <c r="AZ141" s="214"/>
      <c r="BA141" s="214"/>
      <c r="BB141" s="214"/>
      <c r="BC141" s="214"/>
      <c r="BD141" s="214"/>
      <c r="BE141" s="214"/>
      <c r="BF141" s="214"/>
      <c r="BG141" s="214"/>
      <c r="BH141" s="214"/>
    </row>
    <row r="142" spans="40:60">
      <c r="AN142" s="214"/>
      <c r="AO142" s="214"/>
      <c r="AP142" s="214"/>
      <c r="AQ142" s="214"/>
      <c r="AR142" s="214"/>
      <c r="AS142" s="214"/>
      <c r="AT142" s="214"/>
      <c r="AU142" s="214"/>
      <c r="AV142" s="214"/>
      <c r="AW142" s="214"/>
      <c r="AX142" s="214"/>
      <c r="AY142" s="214"/>
      <c r="AZ142" s="214"/>
      <c r="BA142" s="214"/>
      <c r="BB142" s="214"/>
      <c r="BC142" s="214"/>
      <c r="BD142" s="214"/>
      <c r="BE142" s="214"/>
      <c r="BF142" s="214"/>
      <c r="BG142" s="214"/>
      <c r="BH142" s="214"/>
    </row>
    <row r="143" spans="40:60">
      <c r="AN143" s="214"/>
      <c r="AO143" s="214" t="s">
        <v>64</v>
      </c>
      <c r="AP143" s="214"/>
      <c r="AQ143" s="214"/>
      <c r="AR143" s="214"/>
      <c r="AS143" s="214" t="s">
        <v>211</v>
      </c>
      <c r="AT143" s="214"/>
      <c r="AU143" s="214"/>
      <c r="AV143" s="214"/>
      <c r="AW143" s="214" t="s">
        <v>446</v>
      </c>
      <c r="AX143" s="214"/>
      <c r="AY143" s="214"/>
      <c r="AZ143" s="214"/>
      <c r="BA143" s="214" t="s">
        <v>222</v>
      </c>
      <c r="BB143" s="214"/>
      <c r="BC143" s="214"/>
      <c r="BD143" s="214"/>
      <c r="BE143" s="214"/>
      <c r="BF143" s="214"/>
      <c r="BG143" s="214"/>
      <c r="BH143" s="214"/>
    </row>
    <row r="144" spans="40:60">
      <c r="AN144" s="214"/>
      <c r="AO144" s="216" t="s">
        <v>443</v>
      </c>
      <c r="AP144" s="216" t="s">
        <v>444</v>
      </c>
      <c r="AQ144" s="216" t="s">
        <v>445</v>
      </c>
      <c r="AR144" s="644"/>
      <c r="AS144" s="216" t="s">
        <v>443</v>
      </c>
      <c r="AT144" s="216" t="s">
        <v>444</v>
      </c>
      <c r="AU144" s="216" t="s">
        <v>445</v>
      </c>
      <c r="AV144" s="214"/>
      <c r="AW144" s="216" t="s">
        <v>443</v>
      </c>
      <c r="AX144" s="216" t="s">
        <v>444</v>
      </c>
      <c r="AY144" s="216" t="s">
        <v>445</v>
      </c>
      <c r="AZ144" s="644"/>
      <c r="BA144" s="216" t="s">
        <v>443</v>
      </c>
      <c r="BB144" s="216" t="s">
        <v>444</v>
      </c>
      <c r="BC144" s="216" t="s">
        <v>445</v>
      </c>
      <c r="BD144" s="216"/>
      <c r="BE144" s="214"/>
      <c r="BF144" s="214"/>
      <c r="BG144" s="214"/>
      <c r="BH144" s="214"/>
    </row>
    <row r="145" spans="40:60">
      <c r="AN145" s="214" t="s">
        <v>442</v>
      </c>
      <c r="AO145" s="216">
        <f>D76</f>
        <v>0</v>
      </c>
      <c r="AP145" s="216">
        <f>E76</f>
        <v>0</v>
      </c>
      <c r="AQ145" s="216">
        <f>F76</f>
        <v>0</v>
      </c>
      <c r="AR145" s="644" t="s">
        <v>68</v>
      </c>
      <c r="AS145" s="216">
        <f>AJ60</f>
        <v>10.3</v>
      </c>
      <c r="AT145" s="216">
        <f>AK60</f>
        <v>4.26</v>
      </c>
      <c r="AU145" s="216">
        <f>AL60</f>
        <v>0</v>
      </c>
      <c r="AV145" s="214" t="s">
        <v>68</v>
      </c>
      <c r="AW145" s="216">
        <f>AJ51</f>
        <v>0</v>
      </c>
      <c r="AX145" s="216">
        <f>AK51</f>
        <v>0</v>
      </c>
      <c r="AY145" s="216">
        <f>AL51</f>
        <v>0</v>
      </c>
      <c r="AZ145" s="644" t="s">
        <v>68</v>
      </c>
      <c r="BA145" s="216">
        <f>AJ42</f>
        <v>7</v>
      </c>
      <c r="BB145" s="216">
        <f>AK42</f>
        <v>2.0299999999999998</v>
      </c>
      <c r="BC145" s="216">
        <f>AL42</f>
        <v>0</v>
      </c>
      <c r="BD145" s="216" t="s">
        <v>68</v>
      </c>
      <c r="BE145" s="214"/>
      <c r="BF145" s="214"/>
      <c r="BG145" s="214"/>
      <c r="BH145" s="214"/>
    </row>
    <row r="146" spans="40:60">
      <c r="AN146" s="214" t="s">
        <v>427</v>
      </c>
      <c r="AO146" s="216">
        <f>D81</f>
        <v>0</v>
      </c>
      <c r="AP146" s="216">
        <f>E81</f>
        <v>0</v>
      </c>
      <c r="AQ146" s="216">
        <f>F81</f>
        <v>0</v>
      </c>
      <c r="AR146" s="644" t="s">
        <v>61</v>
      </c>
      <c r="AS146" s="216">
        <f>AJ65</f>
        <v>0</v>
      </c>
      <c r="AT146" s="216">
        <f>AK65</f>
        <v>0</v>
      </c>
      <c r="AU146" s="216">
        <f>AL65</f>
        <v>0</v>
      </c>
      <c r="AV146" s="214" t="s">
        <v>61</v>
      </c>
      <c r="AW146" s="216">
        <f>AJ56</f>
        <v>0</v>
      </c>
      <c r="AX146" s="216">
        <f>AK56</f>
        <v>0</v>
      </c>
      <c r="AY146" s="216">
        <f>AL56</f>
        <v>0</v>
      </c>
      <c r="AZ146" s="644" t="s">
        <v>61</v>
      </c>
      <c r="BA146" s="216">
        <f>AJ47</f>
        <v>0</v>
      </c>
      <c r="BB146" s="216">
        <f>AK47</f>
        <v>0</v>
      </c>
      <c r="BC146" s="216">
        <f>AL47</f>
        <v>0</v>
      </c>
      <c r="BD146" s="216" t="s">
        <v>61</v>
      </c>
      <c r="BE146" s="214"/>
      <c r="BF146" s="214"/>
      <c r="BG146" s="214"/>
      <c r="BH146" s="214"/>
    </row>
    <row r="147" spans="40:60">
      <c r="AN147" s="214"/>
      <c r="AO147" s="214"/>
      <c r="AP147" s="214"/>
      <c r="AQ147" s="214"/>
      <c r="AR147" s="214"/>
      <c r="AS147" s="214"/>
      <c r="AT147" s="214"/>
      <c r="AU147" s="214"/>
      <c r="AV147" s="214"/>
      <c r="AW147" s="214"/>
      <c r="AX147" s="214"/>
      <c r="AY147" s="214"/>
      <c r="AZ147" s="214"/>
      <c r="BA147" s="214"/>
      <c r="BB147" s="214"/>
      <c r="BC147" s="214"/>
      <c r="BD147" s="214"/>
      <c r="BE147" s="214"/>
      <c r="BF147" s="214"/>
      <c r="BG147" s="214"/>
      <c r="BH147" s="214"/>
    </row>
    <row r="148" spans="40:60">
      <c r="AN148" s="214" t="s">
        <v>447</v>
      </c>
      <c r="AO148" s="216">
        <f>AO145*AO146/100*1244</f>
        <v>0</v>
      </c>
      <c r="AP148" s="607">
        <f>AP145*AP146/100*1244</f>
        <v>0</v>
      </c>
      <c r="AQ148" s="216">
        <f>AQ145*AQ146/100*1244</f>
        <v>0</v>
      </c>
      <c r="AR148" s="644" t="s">
        <v>172</v>
      </c>
      <c r="AS148" s="216">
        <f>AS145*AS146/100*1244</f>
        <v>0</v>
      </c>
      <c r="AT148" s="216">
        <f>AT145*AT146/100*1244</f>
        <v>0</v>
      </c>
      <c r="AU148" s="216">
        <f>AU145*AU146/100*1244</f>
        <v>0</v>
      </c>
      <c r="AV148" s="214" t="s">
        <v>172</v>
      </c>
      <c r="AW148" s="216">
        <f>AW145*AW146/100*1244</f>
        <v>0</v>
      </c>
      <c r="AX148" s="216">
        <f>AX145*AX146/100*1244</f>
        <v>0</v>
      </c>
      <c r="AY148" s="216">
        <f>AY145*AY146/100*1244</f>
        <v>0</v>
      </c>
      <c r="AZ148" s="214" t="s">
        <v>172</v>
      </c>
      <c r="BA148" s="216">
        <f>BA145*BA146/100*1244</f>
        <v>0</v>
      </c>
      <c r="BB148" s="216">
        <f>BB145*BB146/100*1244</f>
        <v>0</v>
      </c>
      <c r="BC148" s="216">
        <f>BC145*BC146/100*1244</f>
        <v>0</v>
      </c>
      <c r="BD148" s="214" t="s">
        <v>172</v>
      </c>
      <c r="BE148" s="214"/>
      <c r="BF148" s="214"/>
      <c r="BG148" s="214"/>
      <c r="BH148" s="214"/>
    </row>
    <row r="149" spans="40:60">
      <c r="AN149" s="214"/>
      <c r="AO149" s="216">
        <f>IF($E$4&lt;1,0,AO148/(1000*$AQ$11))</f>
        <v>0</v>
      </c>
      <c r="AP149" s="607">
        <f>IF($E$4&lt;1,0,AP148/(1000*$AQ$11))</f>
        <v>0</v>
      </c>
      <c r="AQ149" s="216">
        <f>IF($E$4&lt;1,0,AQ148/(1000*$AQ$11))</f>
        <v>0</v>
      </c>
      <c r="AR149" s="644" t="s">
        <v>448</v>
      </c>
      <c r="AS149" s="216">
        <f>IF($AA$4&lt;1,0,AS148/(1000*$AQ$10))</f>
        <v>0</v>
      </c>
      <c r="AT149" s="216">
        <f>IF($AA$4&lt;1,0,AT148/(1000*$AQ$10))</f>
        <v>0</v>
      </c>
      <c r="AU149" s="216">
        <f>IF($AA$4&lt;1,0,AU148/(1000*$AQ$10))</f>
        <v>0</v>
      </c>
      <c r="AV149" s="214" t="s">
        <v>448</v>
      </c>
      <c r="AW149" s="216">
        <f>IF($AA$4&lt;1,0,AW148/(1000*$AQ$10))</f>
        <v>0</v>
      </c>
      <c r="AX149" s="216">
        <f>IF($AA$4&lt;1,0,AX148/(1000*$AQ$10))</f>
        <v>0</v>
      </c>
      <c r="AY149" s="216">
        <f>IF($AA$4&lt;1,0,AY148/(1000*$AQ$10))</f>
        <v>0</v>
      </c>
      <c r="AZ149" s="214" t="s">
        <v>448</v>
      </c>
      <c r="BA149" s="216">
        <f>IF($AA$4&lt;1,0,BA148/(1000*$AQ$10))</f>
        <v>0</v>
      </c>
      <c r="BB149" s="216">
        <f>IF($AA$4&lt;1,0,BB148/(1000*$AQ$10))</f>
        <v>0</v>
      </c>
      <c r="BC149" s="216">
        <f>IF($AA$4&lt;1,0,BC148/(1000*$AQ$10))</f>
        <v>0</v>
      </c>
      <c r="BD149" s="214" t="s">
        <v>448</v>
      </c>
      <c r="BE149" s="214"/>
      <c r="BF149" s="214"/>
      <c r="BG149" s="214"/>
      <c r="BH149" s="214"/>
    </row>
    <row r="150" spans="40:60">
      <c r="AN150" s="214" t="s">
        <v>228</v>
      </c>
      <c r="AO150" s="214"/>
      <c r="AP150" s="214"/>
      <c r="AQ150" s="216">
        <f>SUM(AO149:AQ149)</f>
        <v>0</v>
      </c>
      <c r="AR150" s="644" t="s">
        <v>448</v>
      </c>
      <c r="AS150" s="214"/>
      <c r="AT150" s="214"/>
      <c r="AU150" s="216">
        <f>SUM(AS149:AU149)</f>
        <v>0</v>
      </c>
      <c r="AV150" s="214" t="s">
        <v>448</v>
      </c>
      <c r="AW150" s="214"/>
      <c r="AX150" s="214"/>
      <c r="AY150" s="216">
        <f>SUM(AW149:AY149)</f>
        <v>0</v>
      </c>
      <c r="AZ150" s="214" t="s">
        <v>448</v>
      </c>
      <c r="BA150" s="214"/>
      <c r="BB150" s="214"/>
      <c r="BC150" s="216">
        <f>SUM(BA149:BC149)</f>
        <v>0</v>
      </c>
      <c r="BD150" s="214" t="s">
        <v>448</v>
      </c>
      <c r="BE150" s="214"/>
      <c r="BF150" s="214"/>
      <c r="BG150" s="214"/>
      <c r="BH150" s="214"/>
    </row>
  </sheetData>
  <mergeCells count="1">
    <mergeCell ref="J79:K79"/>
  </mergeCells>
  <phoneticPr fontId="0" type="noConversion"/>
  <conditionalFormatting sqref="AA62">
    <cfRule type="expression" dxfId="37" priority="16" stopIfTrue="1">
      <formula>$AV$81&gt;3</formula>
    </cfRule>
  </conditionalFormatting>
  <conditionalFormatting sqref="AD48:AF49 AF47">
    <cfRule type="expression" dxfId="36" priority="17" stopIfTrue="1">
      <formula>#REF!&lt;&gt;"y"</formula>
    </cfRule>
  </conditionalFormatting>
  <conditionalFormatting sqref="P4:U80">
    <cfRule type="expression" dxfId="35" priority="20" stopIfTrue="1">
      <formula>$U$4&lt;&gt;2</formula>
    </cfRule>
  </conditionalFormatting>
  <conditionalFormatting sqref="L59:N81 L4:N43 L53:N54 L45:N46 L48:N49 M47:N47 M50:N50">
    <cfRule type="expression" dxfId="34" priority="13" stopIfTrue="1">
      <formula>$N$6&lt;&gt;1</formula>
    </cfRule>
  </conditionalFormatting>
  <conditionalFormatting sqref="L56:N57">
    <cfRule type="expression" dxfId="33" priority="11" stopIfTrue="1">
      <formula>$C$5&lt;&gt;"y"</formula>
    </cfRule>
  </conditionalFormatting>
  <conditionalFormatting sqref="L47">
    <cfRule type="expression" dxfId="32" priority="10" stopIfTrue="1">
      <formula>$C$5&lt;&gt;"y"</formula>
    </cfRule>
  </conditionalFormatting>
  <conditionalFormatting sqref="L50:L51">
    <cfRule type="expression" dxfId="31" priority="9" stopIfTrue="1">
      <formula>$C$5&lt;&gt;"y"</formula>
    </cfRule>
  </conditionalFormatting>
  <conditionalFormatting sqref="AE47">
    <cfRule type="expression" dxfId="30" priority="8" stopIfTrue="1">
      <formula>$N$6&lt;&gt;1</formula>
    </cfRule>
  </conditionalFormatting>
  <conditionalFormatting sqref="AD47">
    <cfRule type="expression" dxfId="29" priority="7" stopIfTrue="1">
      <formula>$C$5&lt;&gt;"y"</formula>
    </cfRule>
  </conditionalFormatting>
  <conditionalFormatting sqref="AD50:AD51">
    <cfRule type="expression" dxfId="28" priority="6" stopIfTrue="1">
      <formula>$C$5&lt;&gt;"y"</formula>
    </cfRule>
  </conditionalFormatting>
  <conditionalFormatting sqref="AE43">
    <cfRule type="expression" dxfId="27" priority="3" stopIfTrue="1">
      <formula>$N$6&lt;&gt;1</formula>
    </cfRule>
  </conditionalFormatting>
  <conditionalFormatting sqref="B4:K81">
    <cfRule type="expression" dxfId="26" priority="2">
      <formula>$C$5=0</formula>
    </cfRule>
  </conditionalFormatting>
  <conditionalFormatting sqref="L55">
    <cfRule type="expression" dxfId="25" priority="1" stopIfTrue="1">
      <formula>$C$5&lt;&gt;"y"</formula>
    </cfRule>
  </conditionalFormatting>
  <pageMargins left="0.17" right="0.19" top="0.21" bottom="0.22" header="0.28999999999999998" footer="0.24"/>
  <pageSetup paperSize="9" scale="54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>
    <tabColor indexed="11"/>
    <pageSetUpPr fitToPage="1"/>
  </sheetPr>
  <dimension ref="A1:AE107"/>
  <sheetViews>
    <sheetView topLeftCell="A42" zoomScale="70" zoomScaleNormal="70" workbookViewId="0">
      <selection activeCell="U66" sqref="U66"/>
    </sheetView>
  </sheetViews>
  <sheetFormatPr defaultRowHeight="12.75" outlineLevelRow="1" outlineLevelCol="1"/>
  <cols>
    <col min="1" max="1" width="2.7109375" customWidth="1"/>
    <col min="2" max="2" width="20.28515625" hidden="1" customWidth="1" outlineLevel="1"/>
    <col min="3" max="3" width="10" hidden="1" customWidth="1" outlineLevel="1"/>
    <col min="4" max="4" width="15.5703125" hidden="1" customWidth="1" outlineLevel="1"/>
    <col min="5" max="5" width="6.85546875" hidden="1" customWidth="1" outlineLevel="1"/>
    <col min="6" max="6" width="5.7109375" hidden="1" customWidth="1" outlineLevel="1"/>
    <col min="7" max="7" width="2.28515625" customWidth="1" collapsed="1"/>
    <col min="8" max="8" width="2.140625" customWidth="1"/>
    <col min="9" max="9" width="15.5703125" hidden="1" customWidth="1" outlineLevel="1"/>
    <col min="10" max="10" width="7.85546875" hidden="1" customWidth="1" outlineLevel="1"/>
    <col min="11" max="11" width="6.7109375" hidden="1" customWidth="1" outlineLevel="1"/>
    <col min="12" max="12" width="2.28515625" hidden="1" customWidth="1" outlineLevel="1"/>
    <col min="13" max="13" width="9.140625" hidden="1" customWidth="1" outlineLevel="1"/>
    <col min="14" max="14" width="6.42578125" hidden="1" customWidth="1" outlineLevel="1"/>
    <col min="15" max="15" width="15.7109375" hidden="1" customWidth="1" outlineLevel="1"/>
    <col min="16" max="16" width="2.140625" customWidth="1" collapsed="1"/>
    <col min="17" max="17" width="20.28515625" customWidth="1"/>
    <col min="19" max="19" width="1" customWidth="1"/>
    <col min="20" max="20" width="15.5703125" customWidth="1"/>
    <col min="21" max="21" width="8" customWidth="1"/>
    <col min="22" max="22" width="7.85546875" customWidth="1"/>
    <col min="23" max="23" width="2.140625" customWidth="1"/>
    <col min="24" max="24" width="5.7109375" customWidth="1"/>
    <col min="25" max="25" width="8.42578125" customWidth="1"/>
    <col min="26" max="28" width="6.85546875" customWidth="1"/>
  </cols>
  <sheetData>
    <row r="1" spans="1:31" ht="54.75" customHeight="1"/>
    <row r="2" spans="1:31" ht="12" customHeight="1"/>
    <row r="3" spans="1:31">
      <c r="B3" s="628" t="s">
        <v>64</v>
      </c>
      <c r="C3" s="629"/>
      <c r="D3" s="629"/>
      <c r="E3" s="629"/>
      <c r="F3" s="826">
        <f>+General!D61</f>
        <v>0</v>
      </c>
      <c r="I3" s="628" t="s">
        <v>152</v>
      </c>
      <c r="J3" s="629"/>
      <c r="K3" s="629"/>
      <c r="L3" s="629"/>
      <c r="M3" s="629"/>
      <c r="N3" s="629"/>
      <c r="O3" s="825">
        <f>+General!D66</f>
        <v>1</v>
      </c>
      <c r="Q3" s="628" t="s">
        <v>65</v>
      </c>
      <c r="R3" s="629"/>
      <c r="S3" s="629"/>
      <c r="T3" s="629"/>
      <c r="U3" s="628"/>
      <c r="V3" s="629"/>
      <c r="W3" s="629"/>
      <c r="X3" s="628"/>
      <c r="Y3" s="629"/>
      <c r="Z3" s="629"/>
      <c r="AA3" s="628"/>
      <c r="AB3" s="629"/>
    </row>
    <row r="4" spans="1:31">
      <c r="B4" s="633" t="str">
        <f>IF(General!D61="Y","","DO NOT FILL IN!")</f>
        <v>DO NOT FILL IN!</v>
      </c>
      <c r="C4" s="635"/>
      <c r="D4" s="629"/>
      <c r="E4" s="629"/>
      <c r="F4" s="629"/>
      <c r="I4" s="633" t="str">
        <f>IF(General!D66=1,"DO NOT FILL IN!","")</f>
        <v>DO NOT FILL IN!</v>
      </c>
      <c r="J4" s="635"/>
      <c r="K4" s="635"/>
      <c r="L4" s="635"/>
      <c r="M4" s="635"/>
      <c r="N4" s="635"/>
      <c r="O4" s="633"/>
      <c r="Q4" s="629"/>
      <c r="R4" s="629"/>
      <c r="S4" s="629"/>
      <c r="T4" s="629"/>
      <c r="U4" s="629"/>
      <c r="V4" s="629"/>
      <c r="W4" s="629"/>
      <c r="X4" s="629"/>
      <c r="Y4" s="629"/>
      <c r="Z4" s="629"/>
      <c r="AA4" s="629"/>
      <c r="AB4" s="629"/>
    </row>
    <row r="5" spans="1:31">
      <c r="B5" s="119"/>
      <c r="Q5" s="874" t="s">
        <v>562</v>
      </c>
    </row>
    <row r="6" spans="1:31">
      <c r="B6" s="119"/>
      <c r="Q6" s="874" t="s">
        <v>561</v>
      </c>
    </row>
    <row r="7" spans="1:31">
      <c r="B7" s="119"/>
    </row>
    <row r="8" spans="1:31">
      <c r="B8" s="119"/>
      <c r="D8" t="s">
        <v>155</v>
      </c>
      <c r="F8" t="s">
        <v>64</v>
      </c>
      <c r="I8" t="s">
        <v>155</v>
      </c>
      <c r="K8" t="s">
        <v>152</v>
      </c>
      <c r="T8" t="s">
        <v>155</v>
      </c>
      <c r="V8" t="s">
        <v>65</v>
      </c>
    </row>
    <row r="9" spans="1:31">
      <c r="B9" s="119"/>
      <c r="D9" s="58" t="s">
        <v>256</v>
      </c>
      <c r="E9" s="192"/>
      <c r="F9" s="62" t="s">
        <v>133</v>
      </c>
      <c r="I9" s="58" t="s">
        <v>256</v>
      </c>
      <c r="J9" s="192"/>
      <c r="K9" s="62" t="s">
        <v>133</v>
      </c>
      <c r="L9" s="51"/>
      <c r="T9" s="58" t="s">
        <v>256</v>
      </c>
      <c r="U9" s="192"/>
      <c r="V9" s="62" t="s">
        <v>133</v>
      </c>
    </row>
    <row r="10" spans="1:31" hidden="1" outlineLevel="1">
      <c r="B10" s="119"/>
    </row>
    <row r="11" spans="1:31" ht="12" hidden="1" customHeight="1" outlineLevel="1">
      <c r="A11" s="144"/>
      <c r="D11" t="str">
        <f>+IF('T,P, O2'!D9="","do not fill in",'T,P, O2'!D9)</f>
        <v>do not fill in</v>
      </c>
      <c r="F11" t="s">
        <v>64</v>
      </c>
      <c r="I11" t="str">
        <f>+IF('T,P, O2'!P9="","do not fill in",'T,P, O2'!P9)</f>
        <v>do not fill in</v>
      </c>
      <c r="K11" t="s">
        <v>152</v>
      </c>
      <c r="T11" t="str">
        <f>IF(I11="","do not fill in",I11)</f>
        <v>do not fill in</v>
      </c>
      <c r="V11" t="s">
        <v>65</v>
      </c>
    </row>
    <row r="12" spans="1:31" ht="12" hidden="1" customHeight="1" outlineLevel="1">
      <c r="A12" s="144"/>
      <c r="D12" s="236" t="s">
        <v>245</v>
      </c>
      <c r="E12" s="42"/>
      <c r="F12" s="238" t="s">
        <v>133</v>
      </c>
      <c r="G12" s="51"/>
      <c r="I12" s="236" t="s">
        <v>245</v>
      </c>
      <c r="J12" s="42"/>
      <c r="K12" s="238" t="s">
        <v>133</v>
      </c>
      <c r="L12" s="52"/>
      <c r="Q12" s="144"/>
      <c r="T12" s="236" t="s">
        <v>245</v>
      </c>
      <c r="U12" s="42"/>
      <c r="V12" s="238" t="s">
        <v>133</v>
      </c>
    </row>
    <row r="13" spans="1:31" ht="12" hidden="1" customHeight="1" outlineLevel="1">
      <c r="A13" s="144"/>
      <c r="D13" s="239" t="s">
        <v>248</v>
      </c>
      <c r="E13" s="56"/>
      <c r="F13" s="47" t="s">
        <v>133</v>
      </c>
      <c r="G13" s="51"/>
      <c r="I13" s="239" t="s">
        <v>248</v>
      </c>
      <c r="J13" s="56"/>
      <c r="K13" s="47" t="s">
        <v>133</v>
      </c>
      <c r="L13" s="52"/>
      <c r="Q13" s="144"/>
      <c r="T13" s="239" t="s">
        <v>248</v>
      </c>
      <c r="U13" s="56"/>
      <c r="V13" s="47" t="s">
        <v>133</v>
      </c>
    </row>
    <row r="14" spans="1:31" ht="12" hidden="1" customHeight="1" outlineLevel="1">
      <c r="A14" s="144"/>
      <c r="D14" s="240" t="s">
        <v>246</v>
      </c>
      <c r="E14" s="56"/>
      <c r="F14" s="47" t="s">
        <v>133</v>
      </c>
      <c r="G14" s="52"/>
      <c r="I14" s="240" t="s">
        <v>246</v>
      </c>
      <c r="J14" s="56"/>
      <c r="K14" s="47" t="s">
        <v>133</v>
      </c>
      <c r="L14" s="52"/>
      <c r="O14" s="108"/>
      <c r="Q14" s="144"/>
      <c r="T14" s="240" t="s">
        <v>246</v>
      </c>
      <c r="U14" s="56"/>
      <c r="V14" s="47" t="s">
        <v>133</v>
      </c>
    </row>
    <row r="15" spans="1:31" ht="12" hidden="1" customHeight="1" outlineLevel="1">
      <c r="A15" s="144"/>
      <c r="D15" s="240" t="s">
        <v>247</v>
      </c>
      <c r="E15" s="45"/>
      <c r="F15" s="47" t="s">
        <v>133</v>
      </c>
      <c r="G15" s="52"/>
      <c r="I15" s="240" t="s">
        <v>247</v>
      </c>
      <c r="J15" s="45"/>
      <c r="K15" s="47" t="s">
        <v>133</v>
      </c>
      <c r="L15" s="52"/>
      <c r="O15" s="108"/>
      <c r="T15" s="240" t="s">
        <v>247</v>
      </c>
      <c r="U15" s="45"/>
      <c r="V15" s="47" t="s">
        <v>133</v>
      </c>
    </row>
    <row r="16" spans="1:31" ht="12" hidden="1" customHeight="1" outlineLevel="1">
      <c r="A16" s="144"/>
      <c r="D16" s="44" t="s">
        <v>244</v>
      </c>
      <c r="E16" s="56"/>
      <c r="F16" s="47" t="s">
        <v>250</v>
      </c>
      <c r="G16" s="52"/>
      <c r="I16" s="44" t="s">
        <v>244</v>
      </c>
      <c r="J16" s="56"/>
      <c r="K16" s="47" t="s">
        <v>250</v>
      </c>
      <c r="L16" s="52"/>
      <c r="T16" s="44" t="s">
        <v>244</v>
      </c>
      <c r="U16" s="56"/>
      <c r="V16" s="47" t="s">
        <v>250</v>
      </c>
      <c r="AD16" s="195"/>
      <c r="AE16" s="195"/>
    </row>
    <row r="17" spans="1:28" ht="12" hidden="1" customHeight="1" outlineLevel="1">
      <c r="A17" s="144"/>
      <c r="D17" s="48" t="s">
        <v>259</v>
      </c>
      <c r="E17" s="49"/>
      <c r="F17" s="241" t="s">
        <v>194</v>
      </c>
      <c r="G17" s="51"/>
      <c r="I17" s="48" t="s">
        <v>259</v>
      </c>
      <c r="J17" s="49"/>
      <c r="K17" s="241" t="s">
        <v>194</v>
      </c>
      <c r="L17" s="52"/>
      <c r="T17" s="48" t="s">
        <v>259</v>
      </c>
      <c r="U17" s="49"/>
      <c r="V17" s="241" t="s">
        <v>194</v>
      </c>
    </row>
    <row r="18" spans="1:28" ht="12" customHeight="1" collapsed="1">
      <c r="A18" s="144"/>
    </row>
    <row r="19" spans="1:28" ht="12" customHeight="1" outlineLevel="1">
      <c r="A19" s="144"/>
    </row>
    <row r="20" spans="1:28" ht="12" customHeight="1" outlineLevel="1">
      <c r="A20" s="144"/>
      <c r="D20" t="str">
        <f>+IF('T,P, O2'!D18="","do not fill in",'T,P, O2'!D18)</f>
        <v>Cyclone 1</v>
      </c>
      <c r="F20" t="s">
        <v>64</v>
      </c>
      <c r="I20" t="str">
        <f>+IF('T,P, O2'!P18="","do not fill in",'T,P, O2'!P18)</f>
        <v>Cyclone 1</v>
      </c>
      <c r="K20" t="s">
        <v>152</v>
      </c>
      <c r="T20" t="str">
        <f>IF(I20="","do not fill in",I20)</f>
        <v>Cyclone 1</v>
      </c>
      <c r="V20" t="s">
        <v>65</v>
      </c>
    </row>
    <row r="21" spans="1:28" ht="12" customHeight="1" outlineLevel="1">
      <c r="A21" s="144"/>
      <c r="D21" s="236" t="s">
        <v>245</v>
      </c>
      <c r="E21" s="42"/>
      <c r="F21" s="238" t="s">
        <v>133</v>
      </c>
      <c r="G21" s="51"/>
      <c r="I21" s="236" t="s">
        <v>245</v>
      </c>
      <c r="J21" s="42"/>
      <c r="K21" s="238" t="s">
        <v>133</v>
      </c>
      <c r="L21" s="52"/>
      <c r="T21" s="236" t="s">
        <v>245</v>
      </c>
      <c r="U21" s="42">
        <v>2.9</v>
      </c>
      <c r="V21" s="238" t="s">
        <v>133</v>
      </c>
    </row>
    <row r="22" spans="1:28" ht="12" customHeight="1" outlineLevel="1">
      <c r="A22" s="144"/>
      <c r="D22" s="239" t="s">
        <v>248</v>
      </c>
      <c r="E22" s="56"/>
      <c r="F22" s="47" t="s">
        <v>133</v>
      </c>
      <c r="G22" s="51"/>
      <c r="I22" s="239" t="s">
        <v>248</v>
      </c>
      <c r="J22" s="56"/>
      <c r="K22" s="47" t="s">
        <v>133</v>
      </c>
      <c r="L22" s="52"/>
      <c r="T22" s="239" t="s">
        <v>248</v>
      </c>
      <c r="U22" s="56">
        <v>5.0999999999999996</v>
      </c>
      <c r="V22" s="47" t="s">
        <v>133</v>
      </c>
    </row>
    <row r="23" spans="1:28" ht="12" customHeight="1" outlineLevel="1">
      <c r="A23" s="144"/>
      <c r="D23" s="240" t="s">
        <v>246</v>
      </c>
      <c r="E23" s="56"/>
      <c r="F23" s="47" t="s">
        <v>133</v>
      </c>
      <c r="G23" s="52"/>
      <c r="I23" s="240" t="s">
        <v>246</v>
      </c>
      <c r="J23" s="56"/>
      <c r="K23" s="47" t="s">
        <v>133</v>
      </c>
      <c r="L23" s="52"/>
      <c r="T23" s="240" t="s">
        <v>246</v>
      </c>
      <c r="U23" s="56"/>
      <c r="V23" s="47" t="s">
        <v>133</v>
      </c>
    </row>
    <row r="24" spans="1:28" ht="12" customHeight="1" outlineLevel="1">
      <c r="A24" s="144"/>
      <c r="D24" s="240" t="s">
        <v>247</v>
      </c>
      <c r="E24" s="45"/>
      <c r="F24" s="47" t="s">
        <v>133</v>
      </c>
      <c r="G24" s="52"/>
      <c r="I24" s="240" t="s">
        <v>247</v>
      </c>
      <c r="J24" s="45"/>
      <c r="K24" s="47" t="s">
        <v>133</v>
      </c>
      <c r="L24" s="52"/>
      <c r="T24" s="240" t="s">
        <v>247</v>
      </c>
      <c r="U24" s="45">
        <v>2.4</v>
      </c>
      <c r="V24" s="47" t="s">
        <v>133</v>
      </c>
    </row>
    <row r="25" spans="1:28" ht="12" customHeight="1" outlineLevel="1">
      <c r="A25" s="144"/>
      <c r="D25" s="44" t="s">
        <v>244</v>
      </c>
      <c r="E25" s="56"/>
      <c r="F25" s="47" t="s">
        <v>250</v>
      </c>
      <c r="G25" s="52"/>
      <c r="I25" s="44" t="s">
        <v>244</v>
      </c>
      <c r="J25" s="56"/>
      <c r="K25" s="47" t="s">
        <v>250</v>
      </c>
      <c r="L25" s="52"/>
      <c r="T25" s="44" t="s">
        <v>244</v>
      </c>
      <c r="U25" s="56"/>
      <c r="V25" s="47" t="s">
        <v>250</v>
      </c>
    </row>
    <row r="26" spans="1:28" ht="12" customHeight="1" outlineLevel="1">
      <c r="A26" s="144"/>
      <c r="D26" s="48" t="s">
        <v>259</v>
      </c>
      <c r="E26" s="49"/>
      <c r="F26" s="241" t="s">
        <v>194</v>
      </c>
      <c r="G26" s="51"/>
      <c r="I26" s="48" t="s">
        <v>259</v>
      </c>
      <c r="J26" s="49"/>
      <c r="K26" s="241" t="s">
        <v>194</v>
      </c>
      <c r="L26" s="52"/>
      <c r="T26" s="48" t="s">
        <v>259</v>
      </c>
      <c r="U26" s="49">
        <v>2</v>
      </c>
      <c r="V26" s="241" t="s">
        <v>194</v>
      </c>
    </row>
    <row r="27" spans="1:28" ht="12" customHeight="1" outlineLevel="1">
      <c r="A27" s="144"/>
      <c r="Q27" s="51"/>
    </row>
    <row r="28" spans="1:28" ht="12" customHeight="1">
      <c r="A28" s="144"/>
    </row>
    <row r="29" spans="1:28" ht="12" customHeight="1">
      <c r="A29" s="144"/>
      <c r="D29" t="str">
        <f>"Cyclone "&amp;General!I64</f>
        <v>Cyclone 2</v>
      </c>
      <c r="F29" t="s">
        <v>64</v>
      </c>
      <c r="I29" t="str">
        <f>"Cyclone "&amp;General!I78</f>
        <v>Cyclone 2</v>
      </c>
      <c r="K29" t="s">
        <v>152</v>
      </c>
      <c r="T29" t="str">
        <f>"Cyclone "&amp;General!I78</f>
        <v>Cyclone 2</v>
      </c>
      <c r="V29" t="s">
        <v>65</v>
      </c>
      <c r="X29" s="54"/>
      <c r="Y29" s="54"/>
      <c r="Z29" s="54"/>
      <c r="AA29" s="54"/>
      <c r="AB29" s="54"/>
    </row>
    <row r="30" spans="1:28" ht="12" customHeight="1">
      <c r="A30" s="144"/>
      <c r="D30" s="236" t="s">
        <v>245</v>
      </c>
      <c r="E30" s="42"/>
      <c r="F30" s="238" t="s">
        <v>133</v>
      </c>
      <c r="G30" s="51"/>
      <c r="I30" s="236" t="s">
        <v>245</v>
      </c>
      <c r="J30" s="42"/>
      <c r="K30" s="238" t="s">
        <v>133</v>
      </c>
      <c r="L30" s="52"/>
      <c r="T30" s="236" t="s">
        <v>245</v>
      </c>
      <c r="U30" s="42">
        <v>4.6500000000000004</v>
      </c>
      <c r="V30" s="238" t="s">
        <v>133</v>
      </c>
      <c r="X30" s="54"/>
      <c r="Y30" s="54"/>
      <c r="Z30" s="54"/>
      <c r="AA30" s="54"/>
      <c r="AB30" s="54"/>
    </row>
    <row r="31" spans="1:28" ht="12" customHeight="1">
      <c r="A31" s="144"/>
      <c r="D31" s="239" t="s">
        <v>248</v>
      </c>
      <c r="E31" s="56"/>
      <c r="F31" s="47" t="s">
        <v>133</v>
      </c>
      <c r="G31" s="51"/>
      <c r="I31" s="239" t="s">
        <v>248</v>
      </c>
      <c r="J31" s="56"/>
      <c r="K31" s="47" t="s">
        <v>133</v>
      </c>
      <c r="L31" s="52"/>
      <c r="T31" s="239" t="s">
        <v>248</v>
      </c>
      <c r="U31" s="56">
        <v>2.95</v>
      </c>
      <c r="V31" s="47" t="s">
        <v>133</v>
      </c>
      <c r="X31" s="54"/>
      <c r="Y31" s="54"/>
      <c r="Z31" s="54"/>
      <c r="AA31" s="54"/>
      <c r="AB31" s="54"/>
    </row>
    <row r="32" spans="1:28" ht="12" customHeight="1">
      <c r="A32" s="144"/>
      <c r="D32" s="240" t="s">
        <v>246</v>
      </c>
      <c r="E32" s="56"/>
      <c r="F32" s="47" t="s">
        <v>133</v>
      </c>
      <c r="G32" s="52"/>
      <c r="I32" s="240" t="s">
        <v>246</v>
      </c>
      <c r="J32" s="56"/>
      <c r="K32" s="47" t="s">
        <v>133</v>
      </c>
      <c r="L32" s="52"/>
      <c r="T32" s="240" t="s">
        <v>246</v>
      </c>
      <c r="U32" s="56"/>
      <c r="V32" s="47" t="s">
        <v>133</v>
      </c>
      <c r="X32" s="54"/>
      <c r="Y32" s="54"/>
      <c r="Z32" s="54"/>
      <c r="AA32" s="54"/>
      <c r="AB32" s="54"/>
    </row>
    <row r="33" spans="1:28" ht="12" customHeight="1">
      <c r="A33" s="144"/>
      <c r="D33" s="240" t="s">
        <v>247</v>
      </c>
      <c r="E33" s="45"/>
      <c r="F33" s="47" t="s">
        <v>133</v>
      </c>
      <c r="G33" s="52"/>
      <c r="I33" s="240" t="s">
        <v>247</v>
      </c>
      <c r="J33" s="45"/>
      <c r="K33" s="47" t="s">
        <v>133</v>
      </c>
      <c r="L33" s="52"/>
      <c r="T33" s="240" t="s">
        <v>247</v>
      </c>
      <c r="U33" s="45">
        <v>3.84</v>
      </c>
      <c r="V33" s="47" t="s">
        <v>133</v>
      </c>
      <c r="X33" s="54"/>
      <c r="Y33" s="54"/>
      <c r="Z33" s="54"/>
      <c r="AA33" s="54"/>
      <c r="AB33" s="54"/>
    </row>
    <row r="34" spans="1:28" ht="12" customHeight="1">
      <c r="A34" s="144"/>
      <c r="D34" s="44" t="s">
        <v>244</v>
      </c>
      <c r="E34" s="56"/>
      <c r="F34" s="47" t="s">
        <v>250</v>
      </c>
      <c r="G34" s="52"/>
      <c r="I34" s="44" t="s">
        <v>244</v>
      </c>
      <c r="J34" s="56"/>
      <c r="K34" s="47" t="s">
        <v>250</v>
      </c>
      <c r="L34" s="52"/>
      <c r="T34" s="44" t="s">
        <v>244</v>
      </c>
      <c r="U34" s="56"/>
      <c r="V34" s="47" t="s">
        <v>250</v>
      </c>
      <c r="X34" s="54"/>
      <c r="Y34" s="54"/>
      <c r="Z34" s="54"/>
      <c r="AA34" s="54"/>
      <c r="AB34" s="54"/>
    </row>
    <row r="35" spans="1:28" ht="12" customHeight="1">
      <c r="A35" s="144"/>
      <c r="D35" s="48" t="s">
        <v>259</v>
      </c>
      <c r="E35" s="49"/>
      <c r="F35" s="241" t="s">
        <v>194</v>
      </c>
      <c r="G35" s="51"/>
      <c r="I35" s="48" t="s">
        <v>259</v>
      </c>
      <c r="J35" s="49"/>
      <c r="K35" s="241" t="s">
        <v>194</v>
      </c>
      <c r="L35" s="52"/>
      <c r="T35" s="48" t="s">
        <v>259</v>
      </c>
      <c r="U35" s="49">
        <v>1</v>
      </c>
      <c r="V35" s="241" t="s">
        <v>194</v>
      </c>
      <c r="X35" s="54"/>
      <c r="Y35" s="54"/>
      <c r="Z35" s="54"/>
      <c r="AA35" s="54"/>
      <c r="AB35" s="54"/>
    </row>
    <row r="36" spans="1:28" ht="12" customHeight="1">
      <c r="A36" s="144"/>
      <c r="X36" s="54"/>
      <c r="Y36" s="54"/>
      <c r="Z36" s="54"/>
      <c r="AA36" s="54"/>
      <c r="AB36" s="54"/>
    </row>
    <row r="37" spans="1:28" ht="12" customHeight="1">
      <c r="A37" s="144"/>
      <c r="X37" s="54"/>
      <c r="Y37" s="54"/>
      <c r="Z37" s="54"/>
      <c r="AA37" s="54"/>
      <c r="AB37" s="54"/>
    </row>
    <row r="38" spans="1:28" ht="12" customHeight="1">
      <c r="D38" t="str">
        <f>"Cyclone "&amp;General!I65</f>
        <v>Cyclone 3</v>
      </c>
      <c r="F38" t="s">
        <v>64</v>
      </c>
      <c r="I38" t="str">
        <f>"Cyclone "&amp;General!I79</f>
        <v>Cyclone 3</v>
      </c>
      <c r="K38" t="s">
        <v>152</v>
      </c>
      <c r="T38" t="str">
        <f>"Cyclone "&amp;General!I79</f>
        <v>Cyclone 3</v>
      </c>
      <c r="V38" t="s">
        <v>65</v>
      </c>
      <c r="X38" s="54"/>
      <c r="Y38" s="54"/>
      <c r="Z38" s="54"/>
      <c r="AA38" s="54"/>
      <c r="AB38" s="54"/>
    </row>
    <row r="39" spans="1:28" ht="12" customHeight="1">
      <c r="D39" s="236" t="s">
        <v>245</v>
      </c>
      <c r="E39" s="42"/>
      <c r="F39" s="238" t="s">
        <v>133</v>
      </c>
      <c r="G39" s="51"/>
      <c r="I39" s="236" t="s">
        <v>245</v>
      </c>
      <c r="J39" s="42"/>
      <c r="K39" s="238" t="s">
        <v>133</v>
      </c>
      <c r="L39" s="52"/>
      <c r="T39" s="236" t="s">
        <v>245</v>
      </c>
      <c r="U39" s="42">
        <v>5</v>
      </c>
      <c r="V39" s="238" t="s">
        <v>133</v>
      </c>
      <c r="X39" s="54"/>
      <c r="Y39" s="54"/>
      <c r="Z39" s="54"/>
      <c r="AA39" s="54"/>
      <c r="AB39" s="54"/>
    </row>
    <row r="40" spans="1:28" ht="12" customHeight="1">
      <c r="D40" s="239" t="s">
        <v>248</v>
      </c>
      <c r="E40" s="56"/>
      <c r="F40" s="47" t="s">
        <v>133</v>
      </c>
      <c r="G40" s="51"/>
      <c r="I40" s="239" t="s">
        <v>248</v>
      </c>
      <c r="J40" s="56"/>
      <c r="K40" s="47" t="s">
        <v>133</v>
      </c>
      <c r="L40" s="52"/>
      <c r="T40" s="239" t="s">
        <v>248</v>
      </c>
      <c r="U40" s="56">
        <v>2.4750000000000001</v>
      </c>
      <c r="V40" s="47" t="s">
        <v>133</v>
      </c>
      <c r="X40" s="245"/>
      <c r="Y40" s="248"/>
      <c r="Z40" s="244"/>
      <c r="AA40" s="244"/>
      <c r="AB40" s="244"/>
    </row>
    <row r="41" spans="1:28" ht="12" customHeight="1">
      <c r="D41" s="240" t="s">
        <v>246</v>
      </c>
      <c r="E41" s="56"/>
      <c r="F41" s="47" t="s">
        <v>133</v>
      </c>
      <c r="G41" s="52"/>
      <c r="I41" s="240" t="s">
        <v>246</v>
      </c>
      <c r="J41" s="56"/>
      <c r="K41" s="47" t="s">
        <v>133</v>
      </c>
      <c r="L41" s="52"/>
      <c r="T41" s="240" t="s">
        <v>246</v>
      </c>
      <c r="U41" s="56"/>
      <c r="V41" s="47" t="s">
        <v>133</v>
      </c>
      <c r="X41" s="245"/>
      <c r="Y41" s="248"/>
      <c r="Z41" s="244"/>
      <c r="AA41" s="244"/>
      <c r="AB41" s="244"/>
    </row>
    <row r="42" spans="1:28" ht="12" customHeight="1">
      <c r="D42" s="240" t="s">
        <v>247</v>
      </c>
      <c r="E42" s="45"/>
      <c r="F42" s="47" t="s">
        <v>133</v>
      </c>
      <c r="G42" s="52"/>
      <c r="I42" s="240" t="s">
        <v>247</v>
      </c>
      <c r="J42" s="45"/>
      <c r="K42" s="47" t="s">
        <v>133</v>
      </c>
      <c r="L42" s="52"/>
      <c r="T42" s="240" t="s">
        <v>247</v>
      </c>
      <c r="U42" s="45">
        <v>4.32</v>
      </c>
      <c r="V42" s="47" t="s">
        <v>133</v>
      </c>
      <c r="X42" s="245"/>
      <c r="Y42" s="248"/>
      <c r="Z42" s="244"/>
      <c r="AA42" s="244"/>
      <c r="AB42" s="244"/>
    </row>
    <row r="43" spans="1:28" ht="12" customHeight="1">
      <c r="D43" s="44" t="s">
        <v>244</v>
      </c>
      <c r="E43" s="56"/>
      <c r="F43" s="47" t="s">
        <v>250</v>
      </c>
      <c r="G43" s="52"/>
      <c r="I43" s="44" t="s">
        <v>244</v>
      </c>
      <c r="J43" s="56"/>
      <c r="K43" s="47" t="s">
        <v>250</v>
      </c>
      <c r="L43" s="52"/>
      <c r="T43" s="44" t="s">
        <v>244</v>
      </c>
      <c r="U43" s="56"/>
      <c r="V43" s="47" t="s">
        <v>250</v>
      </c>
      <c r="X43" s="245"/>
      <c r="Y43" s="248"/>
      <c r="Z43" s="244"/>
      <c r="AA43" s="244"/>
      <c r="AB43" s="244"/>
    </row>
    <row r="44" spans="1:28" ht="12" customHeight="1">
      <c r="D44" s="48" t="s">
        <v>259</v>
      </c>
      <c r="E44" s="49"/>
      <c r="F44" s="241" t="s">
        <v>194</v>
      </c>
      <c r="G44" s="51"/>
      <c r="I44" s="48" t="s">
        <v>259</v>
      </c>
      <c r="J44" s="49"/>
      <c r="K44" s="241" t="s">
        <v>194</v>
      </c>
      <c r="L44" s="52"/>
      <c r="T44" s="48" t="s">
        <v>259</v>
      </c>
      <c r="U44" s="49">
        <v>1</v>
      </c>
      <c r="V44" s="241" t="s">
        <v>194</v>
      </c>
      <c r="X44" s="245"/>
      <c r="Y44" s="248"/>
      <c r="Z44" s="244"/>
      <c r="AA44" s="244"/>
      <c r="AB44" s="244"/>
    </row>
    <row r="45" spans="1:28" ht="12" customHeight="1">
      <c r="X45" s="245"/>
      <c r="Y45" s="248"/>
      <c r="Z45" s="244"/>
      <c r="AA45" s="244"/>
      <c r="AB45" s="244"/>
    </row>
    <row r="46" spans="1:28" ht="12" customHeight="1">
      <c r="X46" s="245"/>
      <c r="Y46" s="249"/>
      <c r="Z46" s="54"/>
      <c r="AA46" s="54"/>
      <c r="AB46" s="54"/>
    </row>
    <row r="47" spans="1:28" ht="12" customHeight="1">
      <c r="D47" t="str">
        <f>"Cyclone "&amp;General!I66</f>
        <v>Cyclone 4</v>
      </c>
      <c r="F47" t="s">
        <v>64</v>
      </c>
      <c r="I47" t="str">
        <f>"Cyclone "&amp;General!I80</f>
        <v>Cyclone 4</v>
      </c>
      <c r="K47" t="s">
        <v>152</v>
      </c>
      <c r="T47" t="str">
        <f>"Cyclone "&amp;General!I80</f>
        <v>Cyclone 4</v>
      </c>
      <c r="V47" t="s">
        <v>65</v>
      </c>
      <c r="X47" s="245"/>
      <c r="Y47" s="249"/>
      <c r="Z47" s="54"/>
      <c r="AA47" s="54"/>
      <c r="AB47" s="54"/>
    </row>
    <row r="48" spans="1:28" ht="12" customHeight="1">
      <c r="D48" s="236" t="s">
        <v>245</v>
      </c>
      <c r="E48" s="42"/>
      <c r="F48" s="238" t="s">
        <v>133</v>
      </c>
      <c r="G48" s="51"/>
      <c r="I48" s="236" t="s">
        <v>245</v>
      </c>
      <c r="J48" s="42"/>
      <c r="K48" s="238" t="s">
        <v>133</v>
      </c>
      <c r="L48" s="52"/>
      <c r="T48" s="236" t="s">
        <v>245</v>
      </c>
      <c r="U48" s="42">
        <v>5</v>
      </c>
      <c r="V48" s="238" t="s">
        <v>133</v>
      </c>
      <c r="X48" s="245"/>
      <c r="Y48" s="248"/>
      <c r="Z48" s="244"/>
      <c r="AA48" s="244"/>
      <c r="AB48" s="244"/>
    </row>
    <row r="49" spans="4:28" ht="12" customHeight="1">
      <c r="D49" s="239" t="s">
        <v>248</v>
      </c>
      <c r="E49" s="56"/>
      <c r="F49" s="47" t="s">
        <v>133</v>
      </c>
      <c r="G49" s="51"/>
      <c r="I49" s="239" t="s">
        <v>248</v>
      </c>
      <c r="J49" s="56"/>
      <c r="K49" s="47" t="s">
        <v>133</v>
      </c>
      <c r="L49" s="52"/>
      <c r="T49" s="239" t="s">
        <v>248</v>
      </c>
      <c r="U49" s="56">
        <v>2.4750000000000001</v>
      </c>
      <c r="V49" s="47" t="s">
        <v>133</v>
      </c>
      <c r="X49" s="245"/>
      <c r="Y49" s="248"/>
      <c r="Z49" s="244"/>
      <c r="AA49" s="244"/>
      <c r="AB49" s="244"/>
    </row>
    <row r="50" spans="4:28" ht="12" customHeight="1">
      <c r="D50" s="240" t="s">
        <v>246</v>
      </c>
      <c r="E50" s="56"/>
      <c r="F50" s="47" t="s">
        <v>133</v>
      </c>
      <c r="G50" s="52"/>
      <c r="I50" s="240" t="s">
        <v>246</v>
      </c>
      <c r="J50" s="56"/>
      <c r="K50" s="47" t="s">
        <v>133</v>
      </c>
      <c r="L50" s="52"/>
      <c r="T50" s="240" t="s">
        <v>246</v>
      </c>
      <c r="U50" s="56"/>
      <c r="V50" s="47" t="s">
        <v>133</v>
      </c>
      <c r="X50" s="245"/>
      <c r="Y50" s="248"/>
      <c r="Z50" s="244"/>
      <c r="AA50" s="244"/>
      <c r="AB50" s="244"/>
    </row>
    <row r="51" spans="4:28" ht="12" customHeight="1">
      <c r="D51" s="240" t="s">
        <v>247</v>
      </c>
      <c r="E51" s="45"/>
      <c r="F51" s="47" t="s">
        <v>133</v>
      </c>
      <c r="G51" s="52"/>
      <c r="I51" s="240" t="s">
        <v>247</v>
      </c>
      <c r="J51" s="45"/>
      <c r="K51" s="47" t="s">
        <v>133</v>
      </c>
      <c r="L51" s="52"/>
      <c r="T51" s="240" t="s">
        <v>247</v>
      </c>
      <c r="U51" s="45">
        <v>4.32</v>
      </c>
      <c r="V51" s="47" t="s">
        <v>133</v>
      </c>
      <c r="X51" s="245"/>
      <c r="Y51" s="248"/>
      <c r="Z51" s="244"/>
      <c r="AA51" s="244"/>
      <c r="AB51" s="244"/>
    </row>
    <row r="52" spans="4:28" ht="12" customHeight="1">
      <c r="D52" s="44" t="s">
        <v>244</v>
      </c>
      <c r="E52" s="56"/>
      <c r="F52" s="47" t="s">
        <v>250</v>
      </c>
      <c r="G52" s="52"/>
      <c r="I52" s="44" t="s">
        <v>244</v>
      </c>
      <c r="J52" s="56"/>
      <c r="K52" s="47" t="s">
        <v>250</v>
      </c>
      <c r="L52" s="52"/>
      <c r="T52" s="44" t="s">
        <v>244</v>
      </c>
      <c r="U52" s="56"/>
      <c r="V52" s="47" t="s">
        <v>250</v>
      </c>
      <c r="X52" s="245"/>
      <c r="Y52" s="248"/>
      <c r="Z52" s="244"/>
      <c r="AA52" s="244"/>
      <c r="AB52" s="244"/>
    </row>
    <row r="53" spans="4:28" ht="12" customHeight="1">
      <c r="D53" s="48" t="s">
        <v>259</v>
      </c>
      <c r="E53" s="49"/>
      <c r="F53" s="241" t="s">
        <v>194</v>
      </c>
      <c r="G53" s="51"/>
      <c r="I53" s="48" t="s">
        <v>259</v>
      </c>
      <c r="J53" s="49"/>
      <c r="K53" s="241" t="s">
        <v>194</v>
      </c>
      <c r="L53" s="52"/>
      <c r="T53" s="48" t="s">
        <v>259</v>
      </c>
      <c r="U53" s="49">
        <v>1</v>
      </c>
      <c r="V53" s="241" t="s">
        <v>194</v>
      </c>
      <c r="X53" s="245"/>
      <c r="Y53" s="248"/>
      <c r="Z53" s="244"/>
      <c r="AA53" s="244"/>
      <c r="AB53" s="244"/>
    </row>
    <row r="54" spans="4:28" ht="12" customHeight="1">
      <c r="X54" s="245"/>
      <c r="Y54" s="249"/>
      <c r="Z54" s="54"/>
      <c r="AA54" s="54"/>
      <c r="AB54" s="54"/>
    </row>
    <row r="55" spans="4:28" ht="12" customHeight="1">
      <c r="X55" s="54"/>
      <c r="Y55" s="54"/>
      <c r="Z55" s="54"/>
      <c r="AA55" s="54"/>
      <c r="AB55" s="54"/>
    </row>
    <row r="56" spans="4:28" ht="12" customHeight="1">
      <c r="D56" t="str">
        <f>"Cyclone "&amp;General!I67</f>
        <v>Cyclone 5</v>
      </c>
      <c r="F56" t="s">
        <v>64</v>
      </c>
      <c r="I56" t="str">
        <f>"Cyclone "&amp;General!I81</f>
        <v>Cyclone 5</v>
      </c>
      <c r="K56" t="s">
        <v>152</v>
      </c>
      <c r="T56" t="str">
        <f>"Cyclone "&amp;General!I81</f>
        <v>Cyclone 5</v>
      </c>
      <c r="V56" t="s">
        <v>65</v>
      </c>
      <c r="X56" s="54"/>
      <c r="Y56" s="54"/>
      <c r="Z56" s="54"/>
      <c r="AA56" s="54"/>
      <c r="AB56" s="54"/>
    </row>
    <row r="57" spans="4:28" ht="12" customHeight="1">
      <c r="D57" s="236" t="s">
        <v>245</v>
      </c>
      <c r="E57" s="42"/>
      <c r="F57" s="238" t="s">
        <v>133</v>
      </c>
      <c r="G57" s="51"/>
      <c r="I57" s="236" t="s">
        <v>245</v>
      </c>
      <c r="J57" s="42"/>
      <c r="K57" s="238" t="s">
        <v>133</v>
      </c>
      <c r="L57" s="52"/>
      <c r="T57" s="236" t="s">
        <v>245</v>
      </c>
      <c r="U57" s="42">
        <v>5</v>
      </c>
      <c r="V57" s="238" t="s">
        <v>133</v>
      </c>
      <c r="X57" s="245"/>
      <c r="Y57" s="249"/>
      <c r="Z57" s="54"/>
      <c r="AA57" s="54"/>
      <c r="AB57" s="54"/>
    </row>
    <row r="58" spans="4:28" ht="12" customHeight="1">
      <c r="D58" s="239" t="s">
        <v>248</v>
      </c>
      <c r="E58" s="56"/>
      <c r="F58" s="47" t="s">
        <v>133</v>
      </c>
      <c r="G58" s="51"/>
      <c r="I58" s="239" t="s">
        <v>248</v>
      </c>
      <c r="J58" s="56"/>
      <c r="K58" s="47" t="s">
        <v>133</v>
      </c>
      <c r="L58" s="52"/>
      <c r="T58" s="239" t="s">
        <v>248</v>
      </c>
      <c r="U58" s="56">
        <v>2.4750000000000001</v>
      </c>
      <c r="V58" s="47" t="s">
        <v>133</v>
      </c>
      <c r="X58" s="245"/>
      <c r="Y58" s="248"/>
      <c r="Z58" s="244"/>
      <c r="AA58" s="244"/>
      <c r="AB58" s="244"/>
    </row>
    <row r="59" spans="4:28" ht="12" customHeight="1">
      <c r="D59" s="240" t="s">
        <v>246</v>
      </c>
      <c r="E59" s="56"/>
      <c r="F59" s="47" t="s">
        <v>133</v>
      </c>
      <c r="G59" s="52"/>
      <c r="I59" s="240" t="s">
        <v>246</v>
      </c>
      <c r="J59" s="56"/>
      <c r="K59" s="47" t="s">
        <v>133</v>
      </c>
      <c r="L59" s="52"/>
      <c r="T59" s="240" t="s">
        <v>246</v>
      </c>
      <c r="U59" s="56"/>
      <c r="V59" s="47" t="s">
        <v>133</v>
      </c>
      <c r="X59" s="245"/>
      <c r="Y59" s="248"/>
      <c r="Z59" s="244"/>
      <c r="AA59" s="244"/>
      <c r="AB59" s="244"/>
    </row>
    <row r="60" spans="4:28" ht="12" customHeight="1">
      <c r="D60" s="240" t="s">
        <v>550</v>
      </c>
      <c r="E60" s="45"/>
      <c r="F60" s="47" t="s">
        <v>133</v>
      </c>
      <c r="G60" s="52"/>
      <c r="I60" s="240" t="s">
        <v>543</v>
      </c>
      <c r="J60" s="45"/>
      <c r="K60" s="47" t="s">
        <v>133</v>
      </c>
      <c r="L60" s="52"/>
      <c r="T60" s="240" t="s">
        <v>541</v>
      </c>
      <c r="U60" s="45">
        <v>4.32</v>
      </c>
      <c r="V60" s="47" t="s">
        <v>133</v>
      </c>
      <c r="X60" s="245"/>
      <c r="Y60" s="248"/>
      <c r="Z60" s="244"/>
      <c r="AA60" s="244"/>
      <c r="AB60" s="244"/>
    </row>
    <row r="61" spans="4:28" ht="12" customHeight="1">
      <c r="D61" s="44" t="s">
        <v>244</v>
      </c>
      <c r="E61" s="56"/>
      <c r="F61" s="47" t="s">
        <v>250</v>
      </c>
      <c r="G61" s="52"/>
      <c r="I61" s="44" t="s">
        <v>244</v>
      </c>
      <c r="J61" s="56"/>
      <c r="K61" s="47" t="s">
        <v>250</v>
      </c>
      <c r="L61" s="52"/>
      <c r="T61" s="44" t="s">
        <v>244</v>
      </c>
      <c r="U61" s="56"/>
      <c r="V61" s="47" t="s">
        <v>250</v>
      </c>
      <c r="X61" s="245"/>
      <c r="Y61" s="248"/>
      <c r="Z61" s="244"/>
      <c r="AA61" s="244"/>
      <c r="AB61" s="244"/>
    </row>
    <row r="62" spans="4:28" ht="12" customHeight="1">
      <c r="D62" s="48" t="s">
        <v>259</v>
      </c>
      <c r="E62" s="49"/>
      <c r="F62" s="241" t="s">
        <v>194</v>
      </c>
      <c r="G62" s="51"/>
      <c r="I62" s="48" t="s">
        <v>259</v>
      </c>
      <c r="J62" s="49"/>
      <c r="K62" s="241" t="s">
        <v>194</v>
      </c>
      <c r="L62" s="52"/>
      <c r="T62" s="48" t="s">
        <v>259</v>
      </c>
      <c r="U62" s="49">
        <v>1</v>
      </c>
      <c r="V62" s="241" t="s">
        <v>194</v>
      </c>
      <c r="X62" s="245"/>
      <c r="Y62" s="248"/>
      <c r="Z62" s="244"/>
      <c r="AA62" s="244"/>
      <c r="AB62" s="244"/>
    </row>
    <row r="63" spans="4:28" ht="26.25" customHeight="1">
      <c r="D63" s="901"/>
      <c r="E63" s="901"/>
      <c r="F63" s="901"/>
      <c r="I63" s="901" t="s">
        <v>542</v>
      </c>
      <c r="J63" s="901"/>
      <c r="K63" s="901"/>
      <c r="L63" s="657"/>
      <c r="T63" s="901" t="s">
        <v>542</v>
      </c>
      <c r="U63" s="901"/>
      <c r="V63" s="901"/>
      <c r="X63" s="245"/>
      <c r="Y63" s="248"/>
      <c r="Z63" s="244"/>
      <c r="AA63" s="244"/>
      <c r="AB63" s="244"/>
    </row>
    <row r="64" spans="4:28">
      <c r="E64" s="51"/>
      <c r="J64" s="51"/>
      <c r="U64" s="51"/>
    </row>
    <row r="65" spans="2:29" ht="14.25">
      <c r="D65" t="s">
        <v>235</v>
      </c>
      <c r="T65" t="s">
        <v>551</v>
      </c>
      <c r="X65" s="54" t="s">
        <v>253</v>
      </c>
    </row>
    <row r="66" spans="2:29" ht="14.25">
      <c r="D66" s="41" t="s">
        <v>255</v>
      </c>
      <c r="E66" s="42"/>
      <c r="F66" s="238" t="s">
        <v>254</v>
      </c>
      <c r="I66" s="120"/>
      <c r="J66" s="54"/>
      <c r="K66" s="55"/>
      <c r="L66" s="55"/>
      <c r="T66" s="237" t="s">
        <v>255</v>
      </c>
      <c r="U66" s="883">
        <v>1370</v>
      </c>
      <c r="V66" s="65" t="s">
        <v>254</v>
      </c>
      <c r="X66" s="58" t="s">
        <v>249</v>
      </c>
      <c r="Y66" s="192">
        <v>6.6</v>
      </c>
      <c r="Z66" s="62" t="s">
        <v>250</v>
      </c>
    </row>
    <row r="67" spans="2:29">
      <c r="D67" s="12" t="s">
        <v>258</v>
      </c>
      <c r="E67" s="257"/>
      <c r="F67" s="258" t="s">
        <v>133</v>
      </c>
      <c r="I67" s="120"/>
      <c r="J67" s="54"/>
      <c r="K67" s="55"/>
      <c r="L67" s="55"/>
      <c r="T67" s="246" t="s">
        <v>258</v>
      </c>
      <c r="U67" s="68">
        <v>6</v>
      </c>
      <c r="V67" s="241" t="s">
        <v>133</v>
      </c>
    </row>
    <row r="68" spans="2:29">
      <c r="I68" s="54"/>
      <c r="J68" s="54"/>
      <c r="K68" s="54"/>
      <c r="L68" s="54"/>
    </row>
    <row r="69" spans="2:29" ht="14.25">
      <c r="D69" t="s">
        <v>261</v>
      </c>
      <c r="I69" s="54"/>
      <c r="J69" s="54"/>
      <c r="K69" s="54"/>
      <c r="L69" s="54"/>
      <c r="T69" t="s">
        <v>530</v>
      </c>
      <c r="X69" t="s">
        <v>251</v>
      </c>
    </row>
    <row r="70" spans="2:29">
      <c r="D70" s="58" t="s">
        <v>255</v>
      </c>
      <c r="E70" s="192"/>
      <c r="F70" s="62" t="s">
        <v>133</v>
      </c>
      <c r="I70" s="54"/>
      <c r="J70" s="54"/>
      <c r="K70" s="54"/>
      <c r="L70" s="54"/>
      <c r="T70" s="58" t="s">
        <v>255</v>
      </c>
      <c r="U70" s="192">
        <v>2.14</v>
      </c>
      <c r="V70" s="62" t="s">
        <v>133</v>
      </c>
      <c r="X70" s="58"/>
      <c r="Y70" s="192">
        <v>4.5999999999999996</v>
      </c>
      <c r="Z70" s="62" t="s">
        <v>133</v>
      </c>
    </row>
    <row r="71" spans="2:29">
      <c r="D71" s="54"/>
      <c r="E71" s="54"/>
      <c r="F71" s="54"/>
      <c r="I71" s="54"/>
      <c r="J71" s="54"/>
      <c r="K71" s="54"/>
      <c r="L71" s="54"/>
    </row>
    <row r="72" spans="2:29" ht="14.25">
      <c r="D72" t="s">
        <v>257</v>
      </c>
      <c r="I72" s="54"/>
      <c r="J72" s="54"/>
      <c r="K72" s="54"/>
      <c r="L72" s="54"/>
      <c r="T72" t="s">
        <v>526</v>
      </c>
      <c r="X72" s="245" t="s">
        <v>252</v>
      </c>
      <c r="Y72" s="244"/>
      <c r="Z72" s="244"/>
    </row>
    <row r="73" spans="2:29" ht="14.25">
      <c r="D73" s="58" t="s">
        <v>255</v>
      </c>
      <c r="E73" s="192"/>
      <c r="F73" s="256" t="s">
        <v>133</v>
      </c>
      <c r="I73" s="54"/>
      <c r="J73" s="54"/>
      <c r="K73" s="54"/>
      <c r="L73" s="54"/>
      <c r="T73" s="58" t="s">
        <v>255</v>
      </c>
      <c r="U73" s="192">
        <v>3.4</v>
      </c>
      <c r="V73" s="62" t="s">
        <v>250</v>
      </c>
      <c r="X73" s="58" t="s">
        <v>120</v>
      </c>
      <c r="Y73" s="192">
        <v>0.2</v>
      </c>
      <c r="Z73" s="62" t="s">
        <v>133</v>
      </c>
    </row>
    <row r="74" spans="2:29">
      <c r="I74" s="54"/>
      <c r="J74" s="54"/>
      <c r="K74" s="54"/>
      <c r="L74" s="54"/>
      <c r="T74" s="54"/>
      <c r="U74" s="54"/>
      <c r="V74" s="54"/>
      <c r="Z74" s="54"/>
      <c r="AA74" s="54"/>
      <c r="AB74" s="54"/>
      <c r="AC74" s="54"/>
    </row>
    <row r="75" spans="2:29">
      <c r="I75" s="54"/>
      <c r="J75" s="54"/>
      <c r="K75" s="54"/>
      <c r="L75" s="54"/>
      <c r="T75" s="54"/>
      <c r="U75" s="54"/>
      <c r="V75" s="54"/>
      <c r="Z75" s="54"/>
      <c r="AA75" s="54"/>
      <c r="AB75" s="55"/>
      <c r="AC75" s="54"/>
    </row>
    <row r="76" spans="2:29">
      <c r="I76" s="54"/>
      <c r="J76" s="54"/>
      <c r="K76" s="54"/>
      <c r="L76" s="54"/>
      <c r="T76" s="54" t="s">
        <v>531</v>
      </c>
      <c r="U76" s="54"/>
      <c r="V76" s="54"/>
      <c r="Z76" s="54"/>
      <c r="AA76" s="54"/>
      <c r="AB76" s="55"/>
      <c r="AC76" s="54"/>
    </row>
    <row r="77" spans="2:29">
      <c r="D77" s="54"/>
      <c r="E77" s="54"/>
      <c r="F77" s="54"/>
      <c r="I77" s="54"/>
      <c r="J77" s="54"/>
      <c r="K77" s="54"/>
      <c r="L77" s="54"/>
      <c r="T77" s="54"/>
      <c r="U77" s="54"/>
      <c r="V77" s="54"/>
      <c r="Z77" s="54"/>
      <c r="AA77" s="54"/>
      <c r="AB77" s="54"/>
      <c r="AC77" s="54"/>
    </row>
    <row r="78" spans="2:29">
      <c r="D78" s="54"/>
      <c r="E78" s="54"/>
      <c r="F78" s="54"/>
      <c r="I78" s="54"/>
      <c r="J78" s="54"/>
      <c r="K78" s="54"/>
      <c r="L78" s="54"/>
      <c r="T78" s="54"/>
      <c r="U78" s="54"/>
      <c r="V78" s="54"/>
      <c r="Z78" s="54"/>
      <c r="AA78" s="54"/>
      <c r="AB78" s="54"/>
      <c r="AC78" s="54"/>
    </row>
    <row r="79" spans="2:29">
      <c r="D79" s="54"/>
      <c r="E79" s="54"/>
      <c r="F79" s="54"/>
      <c r="I79" s="54"/>
      <c r="J79" s="54"/>
      <c r="K79" s="54"/>
      <c r="L79" s="54"/>
      <c r="T79" s="54"/>
      <c r="U79" s="54"/>
      <c r="V79" s="54"/>
      <c r="Z79" s="54"/>
      <c r="AA79" s="54"/>
      <c r="AB79" s="54"/>
      <c r="AC79" s="54"/>
    </row>
    <row r="80" spans="2:29">
      <c r="B80" s="54"/>
      <c r="C80" s="54"/>
      <c r="D80" s="54"/>
      <c r="E80" s="54"/>
      <c r="F80" s="54"/>
      <c r="G80" s="54"/>
      <c r="I80" s="54"/>
      <c r="J80" s="54"/>
      <c r="K80" s="54"/>
      <c r="L80" s="54"/>
      <c r="T80" s="54"/>
      <c r="U80" s="54"/>
      <c r="V80" s="54"/>
    </row>
    <row r="81" spans="2:22">
      <c r="B81" s="243"/>
      <c r="C81" s="244"/>
      <c r="D81" s="54"/>
      <c r="E81" s="54"/>
      <c r="F81" s="54"/>
      <c r="G81" s="54"/>
      <c r="I81" s="54"/>
      <c r="J81" s="54"/>
      <c r="K81" s="54"/>
      <c r="L81" s="54"/>
      <c r="T81" s="54"/>
      <c r="U81" s="54"/>
      <c r="V81" s="54"/>
    </row>
    <row r="82" spans="2:22">
      <c r="B82" s="243"/>
      <c r="C82" s="244"/>
      <c r="D82" s="54"/>
      <c r="E82" s="54"/>
      <c r="F82" s="54"/>
      <c r="G82" s="54"/>
      <c r="I82" s="54"/>
      <c r="J82" s="54"/>
      <c r="K82" s="54"/>
      <c r="L82" s="54"/>
      <c r="T82" s="54"/>
      <c r="U82" s="54"/>
      <c r="V82" s="54"/>
    </row>
    <row r="83" spans="2:22">
      <c r="B83" s="243"/>
      <c r="C83" s="244"/>
      <c r="G83" s="54"/>
    </row>
    <row r="84" spans="2:22">
      <c r="B84" s="243"/>
      <c r="C84" s="244"/>
      <c r="G84" s="54"/>
    </row>
    <row r="85" spans="2:22">
      <c r="B85" s="243"/>
      <c r="C85" s="244"/>
      <c r="G85" s="54"/>
    </row>
    <row r="86" spans="2:22">
      <c r="B86" s="243"/>
      <c r="C86" s="244"/>
      <c r="G86" s="54"/>
    </row>
    <row r="100" spans="1:24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</row>
    <row r="101" spans="1:24">
      <c r="A101" s="54"/>
      <c r="B101" s="54"/>
      <c r="C101" s="54"/>
      <c r="D101" s="75"/>
      <c r="E101" s="120"/>
      <c r="F101" s="76"/>
      <c r="G101" s="54"/>
      <c r="H101" s="54"/>
      <c r="I101" s="75"/>
      <c r="J101" s="120"/>
      <c r="K101" s="76"/>
      <c r="L101" s="76"/>
      <c r="M101" s="54"/>
      <c r="N101" s="54"/>
      <c r="O101" s="54"/>
      <c r="P101" s="54"/>
      <c r="Q101" s="54"/>
      <c r="R101" s="188"/>
      <c r="S101" s="188"/>
      <c r="T101" s="75"/>
      <c r="U101" s="120"/>
      <c r="V101" s="76"/>
      <c r="W101" s="54"/>
      <c r="X101" s="54"/>
    </row>
    <row r="102" spans="1:24" ht="18">
      <c r="A102" s="54"/>
      <c r="B102" s="54"/>
      <c r="C102" s="54"/>
      <c r="D102" s="437"/>
      <c r="E102" s="186"/>
      <c r="F102" s="438"/>
      <c r="G102" s="54"/>
      <c r="H102" s="54"/>
      <c r="I102" s="437"/>
      <c r="J102" s="186"/>
      <c r="K102" s="438"/>
      <c r="L102" s="438"/>
      <c r="M102" s="54"/>
      <c r="N102" s="54"/>
      <c r="O102" s="54"/>
      <c r="P102" s="54"/>
      <c r="Q102" s="54"/>
      <c r="R102" s="135"/>
      <c r="S102" s="135"/>
      <c r="T102" s="437"/>
      <c r="U102" s="186"/>
      <c r="V102" s="438"/>
      <c r="W102" s="54"/>
      <c r="X102" s="54"/>
    </row>
    <row r="103" spans="1:24">
      <c r="A103" s="54"/>
      <c r="B103" s="54"/>
      <c r="C103" s="54"/>
      <c r="D103" s="135"/>
      <c r="E103" s="186"/>
      <c r="F103" s="438"/>
      <c r="G103" s="54"/>
      <c r="H103" s="54"/>
      <c r="I103" s="135"/>
      <c r="J103" s="186"/>
      <c r="K103" s="438"/>
      <c r="L103" s="438"/>
      <c r="M103" s="54"/>
      <c r="N103" s="54"/>
      <c r="O103" s="54"/>
      <c r="P103" s="54"/>
      <c r="Q103" s="54"/>
      <c r="R103" s="135"/>
      <c r="S103" s="135"/>
      <c r="T103" s="135"/>
      <c r="U103" s="186"/>
      <c r="V103" s="438"/>
      <c r="W103" s="54"/>
      <c r="X103" s="54"/>
    </row>
    <row r="104" spans="1:24">
      <c r="A104" s="54"/>
      <c r="B104" s="54"/>
      <c r="C104" s="54"/>
      <c r="D104" s="135"/>
      <c r="E104" s="186"/>
      <c r="F104" s="438"/>
      <c r="G104" s="54"/>
      <c r="H104" s="54"/>
      <c r="I104" s="135"/>
      <c r="J104" s="186"/>
      <c r="K104" s="438"/>
      <c r="L104" s="438"/>
      <c r="M104" s="54"/>
      <c r="N104" s="54"/>
      <c r="O104" s="54"/>
      <c r="P104" s="54"/>
      <c r="Q104" s="54"/>
      <c r="R104" s="135"/>
      <c r="S104" s="135"/>
      <c r="T104" s="135"/>
      <c r="U104" s="186"/>
      <c r="V104" s="438"/>
      <c r="W104" s="54"/>
      <c r="X104" s="54"/>
    </row>
    <row r="105" spans="1:24">
      <c r="A105" s="54"/>
      <c r="B105" s="54"/>
      <c r="C105" s="54"/>
      <c r="D105" s="135"/>
      <c r="E105" s="186"/>
      <c r="F105" s="438"/>
      <c r="G105" s="54"/>
      <c r="H105" s="54"/>
      <c r="I105" s="135"/>
      <c r="J105" s="186"/>
      <c r="K105" s="438"/>
      <c r="L105" s="438"/>
      <c r="M105" s="54"/>
      <c r="N105" s="54"/>
      <c r="O105" s="54"/>
      <c r="P105" s="54"/>
      <c r="Q105" s="54"/>
      <c r="R105" s="135"/>
      <c r="S105" s="135"/>
      <c r="T105" s="135"/>
      <c r="U105" s="186"/>
      <c r="V105" s="438"/>
      <c r="W105" s="54"/>
      <c r="X105" s="54"/>
    </row>
    <row r="106" spans="1:24">
      <c r="A106" s="54"/>
      <c r="B106" s="54"/>
      <c r="C106" s="54"/>
      <c r="D106" s="135"/>
      <c r="E106" s="186"/>
      <c r="F106" s="136"/>
      <c r="G106" s="54"/>
      <c r="H106" s="54"/>
      <c r="I106" s="135"/>
      <c r="J106" s="186"/>
      <c r="K106" s="136"/>
      <c r="L106" s="136"/>
      <c r="M106" s="54"/>
      <c r="N106" s="54"/>
      <c r="O106" s="54"/>
      <c r="P106" s="54"/>
      <c r="Q106" s="54"/>
      <c r="R106" s="135"/>
      <c r="S106" s="135"/>
      <c r="T106" s="135"/>
      <c r="U106" s="186"/>
      <c r="V106" s="136"/>
      <c r="W106" s="54"/>
      <c r="X106" s="54"/>
    </row>
    <row r="107" spans="1:24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</sheetData>
  <mergeCells count="3">
    <mergeCell ref="D63:F63"/>
    <mergeCell ref="I63:K63"/>
    <mergeCell ref="T63:V63"/>
  </mergeCells>
  <phoneticPr fontId="0" type="noConversion"/>
  <conditionalFormatting sqref="Y31:AB31">
    <cfRule type="expression" dxfId="24" priority="1" stopIfTrue="1">
      <formula>"$Z$28="</formula>
    </cfRule>
  </conditionalFormatting>
  <conditionalFormatting sqref="I5:O77">
    <cfRule type="expression" dxfId="23" priority="2" stopIfTrue="1">
      <formula>$O$3&lt;&gt;2</formula>
    </cfRule>
  </conditionalFormatting>
  <conditionalFormatting sqref="B5:F75">
    <cfRule type="expression" dxfId="22" priority="3" stopIfTrue="1">
      <formula>$F$3&lt;&gt;"y"</formula>
    </cfRule>
  </conditionalFormatting>
  <pageMargins left="0.17" right="0.19" top="0.31" bottom="0.43" header="0.28999999999999998" footer="0.51181102362204722"/>
  <pageSetup paperSize="9" scale="61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>
    <tabColor indexed="63"/>
  </sheetPr>
  <dimension ref="A1:U167"/>
  <sheetViews>
    <sheetView topLeftCell="A22" zoomScale="85" zoomScaleNormal="85" workbookViewId="0">
      <selection activeCell="G57" sqref="G57"/>
    </sheetView>
  </sheetViews>
  <sheetFormatPr defaultRowHeight="12.75"/>
  <cols>
    <col min="2" max="2" width="12" customWidth="1"/>
    <col min="3" max="3" width="11" customWidth="1"/>
    <col min="4" max="4" width="9.28515625" customWidth="1"/>
    <col min="5" max="5" width="13.42578125" bestFit="1" customWidth="1"/>
    <col min="6" max="6" width="12.7109375" bestFit="1" customWidth="1"/>
    <col min="7" max="7" width="12.5703125" bestFit="1" customWidth="1"/>
    <col min="8" max="10" width="9.28515625" bestFit="1" customWidth="1"/>
    <col min="11" max="11" width="9.28515625" customWidth="1"/>
    <col min="12" max="12" width="9.42578125" bestFit="1" customWidth="1"/>
    <col min="13" max="13" width="10" style="144" bestFit="1" customWidth="1"/>
    <col min="14" max="15" width="11" customWidth="1"/>
    <col min="16" max="16" width="9.28515625" bestFit="1" customWidth="1"/>
    <col min="17" max="17" width="11.5703125" customWidth="1"/>
  </cols>
  <sheetData>
    <row r="1" spans="1:17" ht="49.5" customHeight="1"/>
    <row r="3" spans="1:17" ht="37.5" customHeight="1">
      <c r="N3" s="73"/>
      <c r="O3" s="74"/>
    </row>
    <row r="4" spans="1:17">
      <c r="A4" s="172" t="s">
        <v>65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173"/>
      <c r="O4" s="174"/>
      <c r="P4" s="175"/>
      <c r="Q4" s="160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4"/>
      <c r="N5" s="75"/>
      <c r="O5" s="76"/>
      <c r="Q5" s="160"/>
    </row>
    <row r="6" spans="1:17">
      <c r="A6" s="77" t="s">
        <v>102</v>
      </c>
      <c r="B6" s="78"/>
      <c r="C6" s="79"/>
      <c r="D6" s="80"/>
      <c r="E6" s="81"/>
      <c r="F6" s="5"/>
      <c r="G6" s="77" t="s">
        <v>103</v>
      </c>
      <c r="H6" s="79"/>
      <c r="I6" s="82"/>
      <c r="J6" s="79"/>
      <c r="K6" s="148"/>
      <c r="L6" s="79"/>
      <c r="M6" s="95"/>
      <c r="N6" s="75"/>
      <c r="O6" s="76"/>
      <c r="Q6" s="160"/>
    </row>
    <row r="7" spans="1:17" ht="25.5">
      <c r="A7" s="508" t="s">
        <v>150</v>
      </c>
      <c r="B7" s="509"/>
      <c r="C7" s="510"/>
      <c r="D7" s="511" t="s">
        <v>105</v>
      </c>
      <c r="E7" s="512">
        <f>'T,P, O2'!AS10</f>
        <v>4029.6000000000004</v>
      </c>
      <c r="F7" s="5"/>
      <c r="G7" s="552"/>
      <c r="H7" s="13"/>
      <c r="I7" s="85" t="s">
        <v>28</v>
      </c>
      <c r="J7" s="85" t="s">
        <v>233</v>
      </c>
      <c r="K7" s="553" t="s">
        <v>325</v>
      </c>
      <c r="L7" s="102" t="s">
        <v>239</v>
      </c>
      <c r="M7" s="102"/>
      <c r="N7" s="75"/>
      <c r="O7" s="76"/>
      <c r="Q7" s="160"/>
    </row>
    <row r="8" spans="1:17">
      <c r="A8" s="513" t="s">
        <v>108</v>
      </c>
      <c r="B8" s="514"/>
      <c r="C8" s="515"/>
      <c r="D8" s="516" t="s">
        <v>109</v>
      </c>
      <c r="E8" s="517">
        <f>+'T,P, O2'!AQ57</f>
        <v>3349.5860035735554</v>
      </c>
      <c r="F8" s="5"/>
      <c r="G8" s="527" t="s">
        <v>106</v>
      </c>
      <c r="H8" s="528" t="s">
        <v>151</v>
      </c>
      <c r="I8" s="529">
        <f>'T,P, O2'!AQ44</f>
        <v>0.28000000000000003</v>
      </c>
      <c r="J8" s="530">
        <f>'T,P, O2'!AQ18</f>
        <v>0.28000000000000008</v>
      </c>
      <c r="K8" s="531">
        <f>'T,P, O2'!AQ30</f>
        <v>0.28000000000000008</v>
      </c>
      <c r="L8" s="532"/>
      <c r="M8" s="456" t="s">
        <v>107</v>
      </c>
      <c r="N8" s="75"/>
      <c r="O8" s="76"/>
      <c r="Q8" s="160"/>
    </row>
    <row r="9" spans="1:17">
      <c r="A9" s="513" t="s">
        <v>221</v>
      </c>
      <c r="B9" s="514"/>
      <c r="C9" s="515"/>
      <c r="D9" s="516" t="s">
        <v>112</v>
      </c>
      <c r="E9" s="518">
        <f>+'T,P, O2'!AQ62</f>
        <v>40.013174714470061</v>
      </c>
      <c r="F9" s="5"/>
      <c r="G9" s="533" t="s">
        <v>110</v>
      </c>
      <c r="H9" s="534" t="s">
        <v>151</v>
      </c>
      <c r="I9" s="535">
        <f>'T,P, O2'!AR44</f>
        <v>0.25</v>
      </c>
      <c r="J9" s="536">
        <f>'T,P, O2'!AR18</f>
        <v>0.25000000000000006</v>
      </c>
      <c r="K9" s="537">
        <f>+'T,P, O2'!AR30</f>
        <v>0.25000000000000006</v>
      </c>
      <c r="L9" s="538"/>
      <c r="M9" s="460" t="s">
        <v>107</v>
      </c>
      <c r="N9" s="75"/>
      <c r="O9" s="76"/>
      <c r="Q9" s="160"/>
    </row>
    <row r="10" spans="1:17">
      <c r="A10" s="513" t="s">
        <v>234</v>
      </c>
      <c r="B10" s="519"/>
      <c r="C10" s="519"/>
      <c r="D10" s="516" t="s">
        <v>112</v>
      </c>
      <c r="E10" s="520">
        <f>'T,P, O2'!AQ62+'T,P, O2'!AQ63</f>
        <v>40.013174714470061</v>
      </c>
      <c r="F10" s="5"/>
      <c r="G10" s="533" t="s">
        <v>113</v>
      </c>
      <c r="H10" s="534"/>
      <c r="I10" s="539">
        <f>General!E78</f>
        <v>0.27</v>
      </c>
      <c r="J10" s="540"/>
      <c r="K10" s="541"/>
      <c r="L10" s="538"/>
      <c r="M10" s="460" t="s">
        <v>114</v>
      </c>
      <c r="N10" s="75"/>
      <c r="O10" s="76"/>
      <c r="Q10" s="160"/>
    </row>
    <row r="11" spans="1:17">
      <c r="A11" s="513" t="s">
        <v>115</v>
      </c>
      <c r="B11" s="514"/>
      <c r="C11" s="515"/>
      <c r="D11" s="516" t="s">
        <v>112</v>
      </c>
      <c r="E11" s="517">
        <f>IF(General!D66=2,('T,P, O2'!AA61+'T,P, O2'!Q61)/2,'T,P, O2'!AA61)</f>
        <v>95</v>
      </c>
      <c r="F11" s="5"/>
      <c r="G11" s="903" t="s">
        <v>434</v>
      </c>
      <c r="H11" s="904"/>
      <c r="I11" s="535">
        <f>General!E79+('T,P, O2'!AA4*'T,P, O2'!AA5/100*1244)/(Calculations!E7*1000/24)</f>
        <v>0.01</v>
      </c>
      <c r="J11" s="540"/>
      <c r="K11" s="541"/>
      <c r="L11" s="538"/>
      <c r="M11" s="460" t="s">
        <v>114</v>
      </c>
      <c r="N11" s="75"/>
      <c r="O11" s="76"/>
      <c r="Q11" s="160"/>
    </row>
    <row r="12" spans="1:17">
      <c r="A12" s="513" t="s">
        <v>116</v>
      </c>
      <c r="B12" s="514"/>
      <c r="C12" s="515"/>
      <c r="D12" s="521" t="s">
        <v>117</v>
      </c>
      <c r="E12" s="517">
        <f>+'T,P, O2'!AK37</f>
        <v>980</v>
      </c>
      <c r="F12" s="5"/>
      <c r="G12" s="542" t="s">
        <v>118</v>
      </c>
      <c r="H12" s="543"/>
      <c r="I12" s="544"/>
      <c r="J12" s="540"/>
      <c r="K12" s="541"/>
      <c r="L12" s="545">
        <f>'T,P, O2'!AS45</f>
        <v>0.25999999999999995</v>
      </c>
      <c r="M12" s="460" t="s">
        <v>107</v>
      </c>
      <c r="N12" s="75"/>
      <c r="O12" s="76"/>
      <c r="Q12" s="160"/>
    </row>
    <row r="13" spans="1:17">
      <c r="A13" s="522" t="s">
        <v>171</v>
      </c>
      <c r="B13" s="523"/>
      <c r="C13" s="524"/>
      <c r="D13" s="525" t="s">
        <v>112</v>
      </c>
      <c r="E13" s="526">
        <f>IF(General!D66=1,100,50)</f>
        <v>100</v>
      </c>
      <c r="F13" s="5"/>
      <c r="G13" s="546" t="s">
        <v>170</v>
      </c>
      <c r="H13" s="547"/>
      <c r="I13" s="548">
        <v>1013</v>
      </c>
      <c r="J13" s="549"/>
      <c r="K13" s="550"/>
      <c r="L13" s="550"/>
      <c r="M13" s="551" t="s">
        <v>29</v>
      </c>
      <c r="N13" s="75"/>
      <c r="O13" s="76"/>
      <c r="Q13" s="160"/>
    </row>
    <row r="14" spans="1:17">
      <c r="A14" s="84"/>
      <c r="B14" s="84"/>
      <c r="C14" s="5"/>
      <c r="D14" s="84"/>
      <c r="E14" s="5"/>
      <c r="F14" s="5"/>
      <c r="G14" s="747" t="s">
        <v>435</v>
      </c>
      <c r="H14" s="5"/>
      <c r="I14" s="5"/>
      <c r="J14" s="84"/>
      <c r="K14" s="5"/>
      <c r="L14" s="84"/>
      <c r="M14" s="84"/>
      <c r="N14" s="75"/>
      <c r="O14" s="76"/>
      <c r="Q14" s="160"/>
    </row>
    <row r="15" spans="1:17">
      <c r="A15" s="905" t="s">
        <v>119</v>
      </c>
      <c r="B15" s="906"/>
      <c r="C15" s="906"/>
      <c r="D15" s="906"/>
      <c r="E15" s="906"/>
      <c r="F15" s="906"/>
      <c r="G15" s="906"/>
      <c r="H15" s="906"/>
      <c r="I15" s="906"/>
      <c r="J15" s="906"/>
      <c r="K15" s="906"/>
      <c r="L15" s="906"/>
      <c r="M15" s="906"/>
      <c r="N15" s="906"/>
      <c r="O15" s="906"/>
      <c r="P15" s="907"/>
      <c r="Q15" s="160"/>
    </row>
    <row r="16" spans="1:17">
      <c r="A16" s="10"/>
      <c r="B16" s="120"/>
      <c r="C16" s="121"/>
      <c r="D16" s="122" t="s">
        <v>120</v>
      </c>
      <c r="E16" s="123" t="s">
        <v>121</v>
      </c>
      <c r="F16" s="124" t="s">
        <v>122</v>
      </c>
      <c r="G16" s="125" t="str">
        <f>'T,P, O2'!P54</f>
        <v>Cyclone 5</v>
      </c>
      <c r="H16" s="125" t="str">
        <f>'T,P, O2'!P45</f>
        <v>Cyclone 4</v>
      </c>
      <c r="I16" s="125" t="str">
        <f>'T,P, O2'!P36</f>
        <v>Cyclone 3</v>
      </c>
      <c r="J16" s="125" t="str">
        <f>'T,P, O2'!P27</f>
        <v>Cyclone 2</v>
      </c>
      <c r="K16" s="125" t="str">
        <f>'T,P, O2'!P18</f>
        <v>Cyclone 1</v>
      </c>
      <c r="L16" s="125" t="str">
        <f>'T,P, O2'!P9</f>
        <v>do not fill in</v>
      </c>
      <c r="M16" s="123" t="str">
        <f>'T,P, O2'!L27</f>
        <v>Tower exit</v>
      </c>
      <c r="N16" s="75" t="s">
        <v>155</v>
      </c>
      <c r="O16" s="76" t="s">
        <v>156</v>
      </c>
      <c r="P16" s="126" t="s">
        <v>123</v>
      </c>
      <c r="Q16" s="160"/>
    </row>
    <row r="17" spans="1:17">
      <c r="A17" s="128" t="s">
        <v>124</v>
      </c>
      <c r="B17" s="475"/>
      <c r="C17" s="130" t="s">
        <v>125</v>
      </c>
      <c r="D17" s="145">
        <f>'T,P, O2'!AK75</f>
        <v>1200</v>
      </c>
      <c r="E17" s="145">
        <f>'T,P, O2'!AK68</f>
        <v>1200</v>
      </c>
      <c r="F17" s="145">
        <f>'T,P, O2'!AA75</f>
        <v>900</v>
      </c>
      <c r="G17" s="145">
        <f>'T,P, O2'!AA55</f>
        <v>870</v>
      </c>
      <c r="H17" s="145">
        <f>'T,P, O2'!AA46</f>
        <v>795</v>
      </c>
      <c r="I17" s="145">
        <f>'T,P, O2'!AA37</f>
        <v>650</v>
      </c>
      <c r="J17" s="145">
        <f>+'T,P, O2'!AA28</f>
        <v>529</v>
      </c>
      <c r="K17" s="145">
        <f>+'T,P, O2'!AA19</f>
        <v>340</v>
      </c>
      <c r="L17" s="145">
        <f>+'T,P, O2'!AA10</f>
        <v>0</v>
      </c>
      <c r="M17" s="145">
        <f>+'T,P, O2'!AE28</f>
        <v>340</v>
      </c>
      <c r="N17" s="145" t="e">
        <f ca="1">'T,P, O2'!AE49</f>
        <v>#VALUE!</v>
      </c>
      <c r="O17" s="145" t="e">
        <f ca="1">+'T,P, O2'!AE67</f>
        <v>#VALUE!</v>
      </c>
      <c r="P17" s="145">
        <f>+'T,P, O2'!AA67</f>
        <v>910</v>
      </c>
      <c r="Q17" s="160"/>
    </row>
    <row r="18" spans="1:17">
      <c r="A18" s="131" t="s">
        <v>126</v>
      </c>
      <c r="B18" s="476"/>
      <c r="C18" s="133" t="s">
        <v>125</v>
      </c>
      <c r="D18" s="139"/>
      <c r="E18" s="139"/>
      <c r="F18" s="139"/>
      <c r="G18" s="146">
        <f>'T,P, O2'!AA60</f>
        <v>860</v>
      </c>
      <c r="H18" s="146">
        <f>'T,P, O2'!AA51</f>
        <v>785</v>
      </c>
      <c r="I18" s="146">
        <f>'T,P, O2'!AA42</f>
        <v>640</v>
      </c>
      <c r="J18" s="146">
        <f>+'T,P, O2'!AA33</f>
        <v>519</v>
      </c>
      <c r="K18" s="146">
        <f>+'T,P, O2'!AA24</f>
        <v>322</v>
      </c>
      <c r="L18" s="146">
        <f>+'T,P, O2'!AA15</f>
        <v>0</v>
      </c>
      <c r="M18" s="139"/>
      <c r="N18" s="722"/>
      <c r="O18" s="139"/>
      <c r="P18" s="139"/>
      <c r="Q18" s="160"/>
    </row>
    <row r="19" spans="1:17">
      <c r="A19" s="131" t="s">
        <v>127</v>
      </c>
      <c r="B19" s="476"/>
      <c r="C19" s="133" t="s">
        <v>125</v>
      </c>
      <c r="D19" s="139"/>
      <c r="E19" s="139"/>
      <c r="F19" s="139"/>
      <c r="G19" s="146">
        <f t="shared" ref="G19:L19" si="0">G17-G18</f>
        <v>10</v>
      </c>
      <c r="H19" s="146">
        <f t="shared" si="0"/>
        <v>10</v>
      </c>
      <c r="I19" s="146">
        <f t="shared" si="0"/>
        <v>10</v>
      </c>
      <c r="J19" s="146">
        <f t="shared" si="0"/>
        <v>10</v>
      </c>
      <c r="K19" s="146">
        <f t="shared" si="0"/>
        <v>18</v>
      </c>
      <c r="L19" s="146">
        <f t="shared" si="0"/>
        <v>0</v>
      </c>
      <c r="M19" s="139"/>
      <c r="N19" s="722"/>
      <c r="O19" s="139"/>
      <c r="P19" s="139"/>
      <c r="Q19" s="160"/>
    </row>
    <row r="20" spans="1:17">
      <c r="A20" s="131" t="s">
        <v>128</v>
      </c>
      <c r="B20" s="481"/>
      <c r="C20" s="133" t="s">
        <v>117</v>
      </c>
      <c r="D20" s="146">
        <f>'T,P, O2'!AK76</f>
        <v>-2</v>
      </c>
      <c r="E20" s="146">
        <f>'T,P, O2'!AK69</f>
        <v>-2</v>
      </c>
      <c r="F20" s="146">
        <f>'T,P, O2'!AA76</f>
        <v>-7</v>
      </c>
      <c r="G20" s="146">
        <f>'T,P, O2'!AA56</f>
        <v>-21</v>
      </c>
      <c r="H20" s="146">
        <f>'T,P, O2'!AA47</f>
        <v>-29</v>
      </c>
      <c r="I20" s="146">
        <f>+'T,P, O2'!AA38</f>
        <v>-38</v>
      </c>
      <c r="J20" s="146">
        <f>+'T,P, O2'!AA29</f>
        <v>-45</v>
      </c>
      <c r="K20" s="146">
        <f>+'T,P, O2'!AA20</f>
        <v>-59</v>
      </c>
      <c r="L20" s="146">
        <f>+'T,P, O2'!AA11</f>
        <v>0</v>
      </c>
      <c r="M20" s="146">
        <f>+'T,P, O2'!AE29</f>
        <v>-63</v>
      </c>
      <c r="N20" s="146">
        <f>IF('T,P, O2'!AE60="",'T,P, O2'!AE30,'T,P, O2'!AE60)</f>
        <v>3</v>
      </c>
      <c r="O20" s="146">
        <f>+'T,P, O2'!AE68</f>
        <v>0</v>
      </c>
      <c r="P20" s="146">
        <f>+'T,P, O2'!AA68</f>
        <v>-7</v>
      </c>
      <c r="Q20" s="160"/>
    </row>
    <row r="21" spans="1:17">
      <c r="A21" s="131" t="s">
        <v>129</v>
      </c>
      <c r="B21" s="481"/>
      <c r="C21" s="134" t="s">
        <v>117</v>
      </c>
      <c r="D21" s="146"/>
      <c r="E21" s="146"/>
      <c r="F21" s="146">
        <f>ABS(F20-E20)</f>
        <v>5</v>
      </c>
      <c r="G21" s="146">
        <f t="shared" ref="G21:L21" si="1">ABS(G20-F20)</f>
        <v>14</v>
      </c>
      <c r="H21" s="146">
        <f t="shared" si="1"/>
        <v>8</v>
      </c>
      <c r="I21" s="146">
        <f t="shared" si="1"/>
        <v>9</v>
      </c>
      <c r="J21" s="146">
        <f t="shared" si="1"/>
        <v>7</v>
      </c>
      <c r="K21" s="146">
        <f t="shared" si="1"/>
        <v>14</v>
      </c>
      <c r="L21" s="146">
        <f t="shared" si="1"/>
        <v>59</v>
      </c>
      <c r="M21" s="146">
        <f>ABS(M20-L20)</f>
        <v>63</v>
      </c>
      <c r="N21" s="146">
        <f>ABS(N20-M20)</f>
        <v>66</v>
      </c>
      <c r="O21" s="146">
        <f>ABS(O20-N20)</f>
        <v>3</v>
      </c>
      <c r="P21" s="139"/>
      <c r="Q21" s="160"/>
    </row>
    <row r="22" spans="1:17">
      <c r="A22" s="131" t="s">
        <v>130</v>
      </c>
      <c r="B22" s="481"/>
      <c r="C22" s="133" t="s">
        <v>112</v>
      </c>
      <c r="D22" s="213">
        <f>'T,P, O2'!AK77</f>
        <v>1</v>
      </c>
      <c r="E22" s="213">
        <f>'T,P, O2'!AK70</f>
        <v>1</v>
      </c>
      <c r="F22" s="213">
        <f>E22</f>
        <v>1</v>
      </c>
      <c r="G22" s="213">
        <f>'T,P, O2'!AA57</f>
        <v>2</v>
      </c>
      <c r="H22" s="213">
        <f>'T,P, O2'!AA48</f>
        <v>2.4</v>
      </c>
      <c r="I22" s="213">
        <f>+'T,P, O2'!AA39</f>
        <v>2.6</v>
      </c>
      <c r="J22" s="213">
        <f>+'T,P, O2'!AA30</f>
        <v>2.8</v>
      </c>
      <c r="K22" s="213">
        <f>+'T,P, O2'!AA21</f>
        <v>3</v>
      </c>
      <c r="L22" s="213">
        <f>+'T,P, O2'!AA12</f>
        <v>0</v>
      </c>
      <c r="M22" s="213">
        <f>+'T,P, O2'!AE30</f>
        <v>3</v>
      </c>
      <c r="N22" s="723">
        <f>'T,P, O2'!AE48</f>
        <v>3</v>
      </c>
      <c r="O22" s="213">
        <f>+'T,P, O2'!AE69</f>
        <v>0</v>
      </c>
      <c r="P22" s="477"/>
      <c r="Q22" s="160"/>
    </row>
    <row r="23" spans="1:17">
      <c r="A23" s="483" t="s">
        <v>131</v>
      </c>
      <c r="B23" s="482"/>
      <c r="C23" s="478" t="s">
        <v>112</v>
      </c>
      <c r="D23" s="479"/>
      <c r="E23" s="479">
        <f t="shared" ref="E23:K23" si="2">E22-D22</f>
        <v>0</v>
      </c>
      <c r="F23" s="479">
        <f t="shared" si="2"/>
        <v>0</v>
      </c>
      <c r="G23" s="479">
        <f t="shared" si="2"/>
        <v>1</v>
      </c>
      <c r="H23" s="479">
        <f t="shared" si="2"/>
        <v>0.39999999999999991</v>
      </c>
      <c r="I23" s="479">
        <f t="shared" si="2"/>
        <v>0.20000000000000018</v>
      </c>
      <c r="J23" s="479">
        <f t="shared" si="2"/>
        <v>0.19999999999999973</v>
      </c>
      <c r="K23" s="479">
        <f t="shared" si="2"/>
        <v>0.20000000000000018</v>
      </c>
      <c r="L23" s="479">
        <f>L22-J22</f>
        <v>-2.8</v>
      </c>
      <c r="M23" s="479">
        <f>M22-L22</f>
        <v>3</v>
      </c>
      <c r="N23" s="479">
        <f>N22-M22</f>
        <v>0</v>
      </c>
      <c r="O23" s="479">
        <f>O22-N22</f>
        <v>-3</v>
      </c>
      <c r="P23" s="480"/>
      <c r="Q23" s="160"/>
    </row>
    <row r="24" spans="1:17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84"/>
      <c r="N24" s="114"/>
      <c r="O24" s="115"/>
      <c r="P24" s="116"/>
      <c r="Q24" s="160"/>
    </row>
    <row r="25" spans="1:17">
      <c r="A25" s="908" t="s">
        <v>132</v>
      </c>
      <c r="B25" s="909"/>
      <c r="C25" s="909"/>
      <c r="D25" s="909"/>
      <c r="E25" s="909"/>
      <c r="F25" s="909"/>
      <c r="G25" s="909"/>
      <c r="H25" s="909"/>
      <c r="I25" s="909"/>
      <c r="J25" s="909"/>
      <c r="K25" s="909"/>
      <c r="L25" s="909"/>
      <c r="M25" s="909"/>
      <c r="N25" s="909"/>
      <c r="O25" s="909"/>
      <c r="P25" s="910"/>
      <c r="Q25" s="160"/>
    </row>
    <row r="26" spans="1:17" ht="18" customHeight="1">
      <c r="A26" s="109"/>
      <c r="B26" s="117"/>
      <c r="C26" s="110"/>
      <c r="D26" s="152" t="str">
        <f>D16</f>
        <v>Kiln</v>
      </c>
      <c r="E26" s="152" t="str">
        <f t="shared" ref="E26:M26" si="3">E16</f>
        <v>Inlet Ch.</v>
      </c>
      <c r="F26" s="152" t="str">
        <f t="shared" si="3"/>
        <v>Calc. Orif.</v>
      </c>
      <c r="G26" s="152" t="str">
        <f t="shared" si="3"/>
        <v>Cyclone 5</v>
      </c>
      <c r="H26" s="152" t="str">
        <f t="shared" si="3"/>
        <v>Cyclone 4</v>
      </c>
      <c r="I26" s="152" t="str">
        <f t="shared" si="3"/>
        <v>Cyclone 3</v>
      </c>
      <c r="J26" s="152" t="str">
        <f t="shared" si="3"/>
        <v>Cyclone 2</v>
      </c>
      <c r="K26" s="86" t="str">
        <f t="shared" si="3"/>
        <v>Cyclone 1</v>
      </c>
      <c r="L26" s="152" t="str">
        <f t="shared" si="3"/>
        <v>do not fill in</v>
      </c>
      <c r="M26" s="86" t="str">
        <f t="shared" si="3"/>
        <v>Tower exit</v>
      </c>
      <c r="N26" s="86" t="str">
        <f>N16</f>
        <v>Downcomer</v>
      </c>
      <c r="O26" s="86" t="str">
        <f>O16</f>
        <v>ID fan inlet</v>
      </c>
      <c r="P26" s="153" t="str">
        <f>P16</f>
        <v>TA duct</v>
      </c>
      <c r="Q26" s="160"/>
    </row>
    <row r="27" spans="1:17">
      <c r="A27" s="128" t="s">
        <v>157</v>
      </c>
      <c r="B27" s="495"/>
      <c r="C27" s="556" t="s">
        <v>158</v>
      </c>
      <c r="D27" s="557">
        <v>1</v>
      </c>
      <c r="E27" s="557">
        <v>1</v>
      </c>
      <c r="F27" s="557">
        <v>1</v>
      </c>
      <c r="G27" s="337">
        <f>+Geometry!U62</f>
        <v>1</v>
      </c>
      <c r="H27" s="337">
        <f>+Geometry!U53</f>
        <v>1</v>
      </c>
      <c r="I27" s="337">
        <f>+Geometry!U44</f>
        <v>1</v>
      </c>
      <c r="J27" s="337">
        <f>+Geometry!U35</f>
        <v>1</v>
      </c>
      <c r="K27" s="337">
        <f>+Geometry!U26</f>
        <v>2</v>
      </c>
      <c r="L27" s="337">
        <f>+Geometry!U17</f>
        <v>0</v>
      </c>
      <c r="M27" s="337">
        <v>1</v>
      </c>
      <c r="N27" s="557">
        <v>1</v>
      </c>
      <c r="O27" s="557">
        <v>1</v>
      </c>
      <c r="P27" s="557">
        <v>1</v>
      </c>
      <c r="Q27" s="160"/>
    </row>
    <row r="28" spans="1:17">
      <c r="A28" s="131" t="s">
        <v>180</v>
      </c>
      <c r="B28" s="481"/>
      <c r="C28" s="133" t="s">
        <v>133</v>
      </c>
      <c r="D28" s="558">
        <f>+Geometry!Y70-2*Geometry!Y73</f>
        <v>4.1999999999999993</v>
      </c>
      <c r="E28" s="504"/>
      <c r="F28" s="504"/>
      <c r="G28" s="496">
        <f>+Geometry!U60</f>
        <v>4.32</v>
      </c>
      <c r="H28" s="496">
        <f>+Geometry!U51</f>
        <v>4.32</v>
      </c>
      <c r="I28" s="496">
        <f>+Geometry!U42</f>
        <v>4.32</v>
      </c>
      <c r="J28" s="496">
        <f>+Geometry!U33</f>
        <v>3.84</v>
      </c>
      <c r="K28" s="496">
        <f>+Geometry!U24</f>
        <v>2.4</v>
      </c>
      <c r="L28" s="496">
        <f>+Geometry!U15</f>
        <v>0</v>
      </c>
      <c r="M28" s="496">
        <f>+N28</f>
        <v>0</v>
      </c>
      <c r="N28" s="496">
        <f>+Geometry!U9</f>
        <v>0</v>
      </c>
      <c r="O28" s="496">
        <v>4</v>
      </c>
      <c r="P28" s="496">
        <f>+Geometry!U70</f>
        <v>2.14</v>
      </c>
      <c r="Q28" s="160"/>
    </row>
    <row r="29" spans="1:17">
      <c r="A29" s="131" t="s">
        <v>134</v>
      </c>
      <c r="B29" s="481"/>
      <c r="C29" s="133" t="s">
        <v>135</v>
      </c>
      <c r="D29" s="559">
        <f>PI()/4*D28^2*D27</f>
        <v>13.854423602330982</v>
      </c>
      <c r="E29" s="558">
        <f>+Geometry!Y66</f>
        <v>6.6</v>
      </c>
      <c r="F29" s="558">
        <f>+Geometry!U73</f>
        <v>3.4</v>
      </c>
      <c r="G29" s="496">
        <f>PI()/4*G28^2*G27</f>
        <v>14.65741468458854</v>
      </c>
      <c r="H29" s="496">
        <f>PI()/4*H28^2*H27</f>
        <v>14.65741468458854</v>
      </c>
      <c r="I29" s="496">
        <f>PI()/4*I28^2*I27</f>
        <v>14.65741468458854</v>
      </c>
      <c r="J29" s="496">
        <f>PI()/4*J28^2*J27</f>
        <v>11.581167158193413</v>
      </c>
      <c r="K29" s="496">
        <f>PI()/4*K28^2*K27</f>
        <v>9.0477868423386045</v>
      </c>
      <c r="L29" s="496">
        <f>PI()/4*L28^2*K27</f>
        <v>0</v>
      </c>
      <c r="M29" s="496">
        <f t="shared" ref="M29:P29" si="4">PI()/4*M28^2*M27</f>
        <v>0</v>
      </c>
      <c r="N29" s="559">
        <f>PI()/4*N28^2*N27</f>
        <v>0</v>
      </c>
      <c r="O29" s="559">
        <f t="shared" si="4"/>
        <v>12.566370614359172</v>
      </c>
      <c r="P29" s="559">
        <f t="shared" si="4"/>
        <v>3.5968094290949542</v>
      </c>
      <c r="Q29" s="160"/>
    </row>
    <row r="30" spans="1:17">
      <c r="A30" s="563" t="s">
        <v>136</v>
      </c>
      <c r="B30" s="481"/>
      <c r="C30" s="133" t="s">
        <v>133</v>
      </c>
      <c r="D30" s="146"/>
      <c r="E30" s="146"/>
      <c r="F30" s="146"/>
      <c r="G30" s="496">
        <f>+Geometry!U57</f>
        <v>5</v>
      </c>
      <c r="H30" s="496">
        <f>+Geometry!U48</f>
        <v>5</v>
      </c>
      <c r="I30" s="496">
        <f>+Geometry!U39</f>
        <v>5</v>
      </c>
      <c r="J30" s="496">
        <f>+Geometry!U30</f>
        <v>4.6500000000000004</v>
      </c>
      <c r="K30" s="496">
        <f>+Geometry!U21</f>
        <v>2.9</v>
      </c>
      <c r="L30" s="496">
        <f>+Geometry!U12</f>
        <v>0</v>
      </c>
      <c r="M30" s="213"/>
      <c r="N30" s="560"/>
      <c r="O30" s="339"/>
      <c r="P30" s="339"/>
      <c r="Q30" s="160"/>
    </row>
    <row r="31" spans="1:17">
      <c r="A31" s="131" t="s">
        <v>137</v>
      </c>
      <c r="B31" s="481"/>
      <c r="C31" s="133" t="s">
        <v>135</v>
      </c>
      <c r="D31" s="146"/>
      <c r="E31" s="146"/>
      <c r="F31" s="146"/>
      <c r="G31" s="496">
        <f t="shared" ref="G31:L31" si="5">PI()/4*G30^2*G27</f>
        <v>19.634954084936208</v>
      </c>
      <c r="H31" s="496">
        <f t="shared" si="5"/>
        <v>19.634954084936208</v>
      </c>
      <c r="I31" s="496">
        <f t="shared" si="5"/>
        <v>19.634954084936208</v>
      </c>
      <c r="J31" s="496">
        <f t="shared" si="5"/>
        <v>16.982271788061325</v>
      </c>
      <c r="K31" s="496">
        <f t="shared" si="5"/>
        <v>13.210397108345081</v>
      </c>
      <c r="L31" s="496">
        <f t="shared" si="5"/>
        <v>0</v>
      </c>
      <c r="M31" s="561"/>
      <c r="N31" s="561"/>
      <c r="O31" s="339"/>
      <c r="P31" s="339"/>
      <c r="Q31" s="160"/>
    </row>
    <row r="32" spans="1:17">
      <c r="A32" s="131" t="s">
        <v>181</v>
      </c>
      <c r="B32" s="481"/>
      <c r="C32" s="133" t="s">
        <v>135</v>
      </c>
      <c r="D32" s="146"/>
      <c r="E32" s="146"/>
      <c r="F32" s="146"/>
      <c r="G32" s="496">
        <f>+Geometry!U61*G27</f>
        <v>0</v>
      </c>
      <c r="H32" s="496">
        <f>+Geometry!U52*H27</f>
        <v>0</v>
      </c>
      <c r="I32" s="496">
        <f>+Geometry!U43*I27</f>
        <v>0</v>
      </c>
      <c r="J32" s="496">
        <f>+Geometry!U34*J27</f>
        <v>0</v>
      </c>
      <c r="K32" s="496">
        <f>+Geometry!U25*K27</f>
        <v>0</v>
      </c>
      <c r="L32" s="496">
        <f>+Geometry!U16*L27</f>
        <v>0</v>
      </c>
      <c r="M32" s="146"/>
      <c r="N32" s="560"/>
      <c r="O32" s="339"/>
      <c r="P32" s="339"/>
      <c r="Q32" s="160"/>
    </row>
    <row r="33" spans="1:20">
      <c r="A33" s="131" t="s">
        <v>260</v>
      </c>
      <c r="B33" s="481"/>
      <c r="C33" s="134" t="s">
        <v>133</v>
      </c>
      <c r="D33" s="146"/>
      <c r="E33" s="146"/>
      <c r="F33" s="146"/>
      <c r="G33" s="496">
        <f>+Geometry!U59</f>
        <v>0</v>
      </c>
      <c r="H33" s="496">
        <f>+Geometry!U50</f>
        <v>0</v>
      </c>
      <c r="I33" s="496">
        <f>+Geometry!U41</f>
        <v>0</v>
      </c>
      <c r="J33" s="496">
        <f>+Geometry!U32</f>
        <v>0</v>
      </c>
      <c r="K33" s="496">
        <f>+Geometry!U23</f>
        <v>0</v>
      </c>
      <c r="L33" s="496">
        <f>+Geometry!U14</f>
        <v>0</v>
      </c>
      <c r="M33" s="146"/>
      <c r="N33" s="560"/>
      <c r="O33" s="339"/>
      <c r="P33" s="339"/>
      <c r="Q33" s="160"/>
    </row>
    <row r="34" spans="1:20">
      <c r="A34" s="483" t="s">
        <v>182</v>
      </c>
      <c r="B34" s="482"/>
      <c r="C34" s="478" t="s">
        <v>135</v>
      </c>
      <c r="D34" s="479"/>
      <c r="E34" s="479"/>
      <c r="F34" s="479"/>
      <c r="G34" s="497">
        <f t="shared" ref="G34:L34" si="6">+G33^2/4*PI()*G27</f>
        <v>0</v>
      </c>
      <c r="H34" s="497">
        <f t="shared" si="6"/>
        <v>0</v>
      </c>
      <c r="I34" s="497">
        <f t="shared" si="6"/>
        <v>0</v>
      </c>
      <c r="J34" s="497">
        <f t="shared" si="6"/>
        <v>0</v>
      </c>
      <c r="K34" s="497">
        <f t="shared" si="6"/>
        <v>0</v>
      </c>
      <c r="L34" s="497">
        <f t="shared" si="6"/>
        <v>0</v>
      </c>
      <c r="M34" s="479"/>
      <c r="N34" s="562"/>
      <c r="O34" s="341"/>
      <c r="P34" s="341"/>
      <c r="Q34" s="160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84"/>
      <c r="L35" s="84"/>
      <c r="M35" s="84"/>
      <c r="N35" s="75"/>
      <c r="O35" s="76"/>
      <c r="Q35" s="160"/>
    </row>
    <row r="36" spans="1:20" ht="13.5" thickBot="1">
      <c r="A36" s="99" t="s">
        <v>138</v>
      </c>
      <c r="B36" s="79"/>
      <c r="C36" s="79"/>
      <c r="D36" s="79"/>
      <c r="E36" s="79"/>
      <c r="F36" s="79"/>
      <c r="G36" s="79"/>
      <c r="H36" s="79"/>
      <c r="I36" s="79"/>
      <c r="J36" s="79"/>
      <c r="K36" s="911"/>
      <c r="L36" s="911"/>
      <c r="M36" s="148"/>
      <c r="N36" s="78"/>
      <c r="O36" s="80"/>
      <c r="P36" s="65"/>
      <c r="Q36" s="160"/>
    </row>
    <row r="37" spans="1:20" ht="16.5" customHeight="1" thickBot="1">
      <c r="A37" s="449"/>
      <c r="B37" s="450"/>
      <c r="C37" s="450"/>
      <c r="D37" s="491" t="str">
        <f>D16</f>
        <v>Kiln</v>
      </c>
      <c r="E37" s="451" t="str">
        <f t="shared" ref="E37:P37" si="7">E16</f>
        <v>Inlet Ch.</v>
      </c>
      <c r="F37" s="451" t="str">
        <f t="shared" si="7"/>
        <v>Calc. Orif.</v>
      </c>
      <c r="G37" s="452" t="str">
        <f t="shared" si="7"/>
        <v>Cyclone 5</v>
      </c>
      <c r="H37" s="452" t="str">
        <f t="shared" si="7"/>
        <v>Cyclone 4</v>
      </c>
      <c r="I37" s="452" t="str">
        <f t="shared" si="7"/>
        <v>Cyclone 3</v>
      </c>
      <c r="J37" s="452" t="str">
        <f t="shared" si="7"/>
        <v>Cyclone 2</v>
      </c>
      <c r="K37" s="453" t="str">
        <f t="shared" si="7"/>
        <v>Cyclone 1</v>
      </c>
      <c r="L37" s="452" t="str">
        <f t="shared" si="7"/>
        <v>do not fill in</v>
      </c>
      <c r="M37" s="454" t="str">
        <f t="shared" si="7"/>
        <v>Tower exit</v>
      </c>
      <c r="N37" s="454" t="str">
        <f t="shared" si="7"/>
        <v>Downcomer</v>
      </c>
      <c r="O37" s="455" t="str">
        <f t="shared" si="7"/>
        <v>ID fan inlet</v>
      </c>
      <c r="P37" s="493" t="str">
        <f t="shared" si="7"/>
        <v>TA duct</v>
      </c>
      <c r="Q37" s="494"/>
      <c r="S37" s="57"/>
      <c r="T37" t="s">
        <v>166</v>
      </c>
    </row>
    <row r="38" spans="1:20">
      <c r="A38" s="456" t="s">
        <v>139</v>
      </c>
      <c r="B38" s="456"/>
      <c r="C38" s="457" t="s">
        <v>140</v>
      </c>
      <c r="D38" s="458">
        <f>$J$8/1000*$E$8*$E$9/100</f>
        <v>0.37527719594997033</v>
      </c>
      <c r="E38" s="458">
        <f>$J$8/1000*$E$8*$E$9/100</f>
        <v>0.37527719594997033</v>
      </c>
      <c r="F38" s="458">
        <f>$K$8/1000*$E$8*$E$10/100</f>
        <v>0.37527719594997033</v>
      </c>
      <c r="G38" s="458">
        <f t="shared" ref="G38:L38" si="8">$I$8/1000*$E$8*$E$13/100</f>
        <v>0.9378840810005955</v>
      </c>
      <c r="H38" s="458">
        <f t="shared" si="8"/>
        <v>0.9378840810005955</v>
      </c>
      <c r="I38" s="458">
        <f t="shared" si="8"/>
        <v>0.9378840810005955</v>
      </c>
      <c r="J38" s="458">
        <f t="shared" si="8"/>
        <v>0.9378840810005955</v>
      </c>
      <c r="K38" s="458">
        <f t="shared" si="8"/>
        <v>0.9378840810005955</v>
      </c>
      <c r="L38" s="458">
        <f t="shared" si="8"/>
        <v>0.9378840810005955</v>
      </c>
      <c r="M38" s="459">
        <f>$I$8/1000*$E$8*General!F67</f>
        <v>0.93788408100059562</v>
      </c>
      <c r="N38" s="459">
        <f>$I$8/1000*$E$8*General!F67</f>
        <v>0.93788408100059562</v>
      </c>
      <c r="O38" s="484">
        <f>$I$8/1000*$E$8*General!F67</f>
        <v>0.93788408100059562</v>
      </c>
      <c r="P38" s="492">
        <f>+L12*E8/1000*(100-E10)/100</f>
        <v>0.52242067897558053</v>
      </c>
      <c r="Q38" s="228" t="s">
        <v>238</v>
      </c>
      <c r="S38" s="150"/>
      <c r="T38" t="s">
        <v>167</v>
      </c>
    </row>
    <row r="39" spans="1:20">
      <c r="A39" s="460" t="s">
        <v>159</v>
      </c>
      <c r="B39" s="460"/>
      <c r="C39" s="461" t="s">
        <v>140</v>
      </c>
      <c r="D39" s="462">
        <f>$I$9/1000*$E$8*$E$9/100</f>
        <v>0.33506892495533053</v>
      </c>
      <c r="E39" s="462">
        <f>$I$9/1000*$E$8*$E$9/100</f>
        <v>0.33506892495533053</v>
      </c>
      <c r="F39" s="462">
        <f>$K$9/1000*$E$8*$E$10/100</f>
        <v>0.33506892495533058</v>
      </c>
      <c r="G39" s="463">
        <f>$I$9/1000*$E$8*E13/100</f>
        <v>0.83739650089338891</v>
      </c>
      <c r="H39" s="463">
        <f>$I$9/1000*$E$8*E13/100</f>
        <v>0.83739650089338891</v>
      </c>
      <c r="I39" s="463">
        <f>$I$9/1000*$E$8*E13/100</f>
        <v>0.83739650089338891</v>
      </c>
      <c r="J39" s="463">
        <f>$I$9/1000*$E$8*E13/100</f>
        <v>0.83739650089338891</v>
      </c>
      <c r="K39" s="463">
        <f>$I$9/1000*$E$8*E13/100</f>
        <v>0.83739650089338891</v>
      </c>
      <c r="L39" s="463">
        <f>$I$9/1000*$E$8*E13/100</f>
        <v>0.83739650089338891</v>
      </c>
      <c r="M39" s="464">
        <f>$I$9/1000*$E$8*General!F67</f>
        <v>0.83739650089338891</v>
      </c>
      <c r="N39" s="463">
        <f>$I$9/1000*$E$8*General!F67</f>
        <v>0.83739650089338891</v>
      </c>
      <c r="O39" s="485">
        <f>$I$9/1000*$E$8*General!F67</f>
        <v>0.83739650089338891</v>
      </c>
      <c r="P39" s="488">
        <f>F46</f>
        <v>1.742844624776653E-2</v>
      </c>
      <c r="Q39" s="228" t="s">
        <v>236</v>
      </c>
      <c r="S39" s="151"/>
      <c r="T39" t="s">
        <v>168</v>
      </c>
    </row>
    <row r="40" spans="1:20">
      <c r="A40" s="460" t="s">
        <v>141</v>
      </c>
      <c r="B40" s="460"/>
      <c r="C40" s="461" t="s">
        <v>140</v>
      </c>
      <c r="D40" s="465">
        <f>$I$10*(100-$E$11)/100</f>
        <v>1.3500000000000002E-2</v>
      </c>
      <c r="E40" s="465">
        <f>$I$10*(100-$E$11)/100</f>
        <v>1.3500000000000002E-2</v>
      </c>
      <c r="F40" s="465">
        <f>$I$10*(100-$E$11)/100</f>
        <v>1.3500000000000002E-2</v>
      </c>
      <c r="G40" s="465">
        <f t="shared" ref="G40:L40" si="9">$I$10*$E$13/100</f>
        <v>0.27</v>
      </c>
      <c r="H40" s="465">
        <f t="shared" si="9"/>
        <v>0.27</v>
      </c>
      <c r="I40" s="465">
        <f t="shared" si="9"/>
        <v>0.27</v>
      </c>
      <c r="J40" s="465">
        <f t="shared" si="9"/>
        <v>0.27</v>
      </c>
      <c r="K40" s="465">
        <f t="shared" si="9"/>
        <v>0.27</v>
      </c>
      <c r="L40" s="465">
        <f t="shared" si="9"/>
        <v>0.27</v>
      </c>
      <c r="M40" s="465">
        <f>($I$10)*General!$F$67</f>
        <v>0.27</v>
      </c>
      <c r="N40" s="464">
        <f>($I$10)*General!$F$67</f>
        <v>0.27</v>
      </c>
      <c r="O40" s="486">
        <f>($I$10)*General!$F$67</f>
        <v>0.27</v>
      </c>
      <c r="P40" s="489">
        <f>+G46</f>
        <v>0.1165680527256199</v>
      </c>
      <c r="Q40" s="228" t="s">
        <v>237</v>
      </c>
    </row>
    <row r="41" spans="1:20" ht="13.5" thickBot="1">
      <c r="A41" s="460" t="s">
        <v>203</v>
      </c>
      <c r="B41" s="460"/>
      <c r="C41" s="461" t="s">
        <v>140</v>
      </c>
      <c r="D41" s="465">
        <f>I10*(100-E117)/100*E115/E7</f>
        <v>0</v>
      </c>
      <c r="E41" s="465">
        <f>D41</f>
        <v>0</v>
      </c>
      <c r="F41" s="465">
        <f t="shared" ref="F41:O41" si="10">E41</f>
        <v>0</v>
      </c>
      <c r="G41" s="465">
        <f>F41*E13/100</f>
        <v>0</v>
      </c>
      <c r="H41" s="465">
        <f t="shared" si="10"/>
        <v>0</v>
      </c>
      <c r="I41" s="465">
        <f t="shared" si="10"/>
        <v>0</v>
      </c>
      <c r="J41" s="465">
        <f t="shared" si="10"/>
        <v>0</v>
      </c>
      <c r="K41" s="465">
        <f t="shared" si="10"/>
        <v>0</v>
      </c>
      <c r="L41" s="465">
        <f t="shared" si="10"/>
        <v>0</v>
      </c>
      <c r="M41" s="465">
        <f t="shared" si="10"/>
        <v>0</v>
      </c>
      <c r="N41" s="464">
        <f t="shared" si="10"/>
        <v>0</v>
      </c>
      <c r="O41" s="486">
        <f t="shared" si="10"/>
        <v>0</v>
      </c>
      <c r="P41" s="490">
        <f>'T,P, O2'!AA72/('T,P, O2'!AQ10*1000)</f>
        <v>2.9779630732578916E-2</v>
      </c>
      <c r="Q41" s="229" t="s">
        <v>240</v>
      </c>
    </row>
    <row r="42" spans="1:20">
      <c r="A42" s="460" t="s">
        <v>149</v>
      </c>
      <c r="B42" s="460"/>
      <c r="C42" s="461" t="s">
        <v>140</v>
      </c>
      <c r="D42" s="465"/>
      <c r="E42" s="465"/>
      <c r="F42" s="464">
        <f>(E38+E39+E40+E46)*'T,P, O2'!AA79/100*-1</f>
        <v>0</v>
      </c>
      <c r="G42" s="465">
        <f t="shared" ref="G42:L42" si="11">IF($F$42&lt;&gt;0,$F$42*$E$13/100,)</f>
        <v>0</v>
      </c>
      <c r="H42" s="465">
        <f t="shared" si="11"/>
        <v>0</v>
      </c>
      <c r="I42" s="465">
        <f t="shared" si="11"/>
        <v>0</v>
      </c>
      <c r="J42" s="465">
        <f t="shared" si="11"/>
        <v>0</v>
      </c>
      <c r="K42" s="465">
        <f t="shared" si="11"/>
        <v>0</v>
      </c>
      <c r="L42" s="465">
        <f t="shared" si="11"/>
        <v>0</v>
      </c>
      <c r="M42" s="465">
        <f>IF($F$42&lt;&gt;0,$F$42*General!$F$67,)</f>
        <v>0</v>
      </c>
      <c r="N42" s="464">
        <f>IF($F$42&lt;&gt;0,$F$42*General!$F$67,)</f>
        <v>0</v>
      </c>
      <c r="O42" s="465">
        <f>IF($F$42&lt;&gt;0,$F$42*General!$F$67,)</f>
        <v>0</v>
      </c>
      <c r="P42" s="487"/>
      <c r="Q42" s="160"/>
    </row>
    <row r="43" spans="1:20">
      <c r="A43" s="762" t="s">
        <v>449</v>
      </c>
      <c r="B43" s="460"/>
      <c r="C43" s="461" t="s">
        <v>140</v>
      </c>
      <c r="D43" s="465">
        <f>'T,P, O2'!BC150</f>
        <v>0</v>
      </c>
      <c r="E43" s="465">
        <f>D43</f>
        <v>0</v>
      </c>
      <c r="F43" s="464">
        <f>E43+'T,P, O2'!AY150</f>
        <v>0</v>
      </c>
      <c r="G43" s="465">
        <f>IF($F$43&lt;&gt;0,($F$43+'T,P, O2'!$AU$150)*$E$13/100,)</f>
        <v>0</v>
      </c>
      <c r="H43" s="465">
        <f>G43</f>
        <v>0</v>
      </c>
      <c r="I43" s="465">
        <f t="shared" ref="I43:O43" si="12">H43</f>
        <v>0</v>
      </c>
      <c r="J43" s="465">
        <f t="shared" si="12"/>
        <v>0</v>
      </c>
      <c r="K43" s="465">
        <f t="shared" si="12"/>
        <v>0</v>
      </c>
      <c r="L43" s="465">
        <f t="shared" si="12"/>
        <v>0</v>
      </c>
      <c r="M43" s="465">
        <f t="shared" si="12"/>
        <v>0</v>
      </c>
      <c r="N43" s="465">
        <f t="shared" si="12"/>
        <v>0</v>
      </c>
      <c r="O43" s="465">
        <f t="shared" si="12"/>
        <v>0</v>
      </c>
      <c r="P43" s="487"/>
      <c r="Q43" s="160"/>
    </row>
    <row r="44" spans="1:20">
      <c r="A44" s="762" t="s">
        <v>450</v>
      </c>
      <c r="B44" s="460"/>
      <c r="C44" s="461" t="s">
        <v>140</v>
      </c>
      <c r="D44" s="465"/>
      <c r="E44" s="465"/>
      <c r="F44" s="465"/>
      <c r="G44" s="465"/>
      <c r="H44" s="465"/>
      <c r="I44" s="465"/>
      <c r="J44" s="465" t="str">
        <f>IF(General!D63=4,I11*E13/100,"")</f>
        <v/>
      </c>
      <c r="K44" s="465">
        <f>IF(OR(General!D63=4,General!D63=5),I11*E13/100,"")</f>
        <v>0.01</v>
      </c>
      <c r="L44" s="465">
        <f>IF(OR(General!D63=6,General!D63=5,General!D63=4),I11*E13/100,"")</f>
        <v>0.01</v>
      </c>
      <c r="M44" s="784">
        <f>I11*General!F67</f>
        <v>0.01</v>
      </c>
      <c r="N44" s="784">
        <f>M44</f>
        <v>0.01</v>
      </c>
      <c r="O44" s="784">
        <f>N44</f>
        <v>0.01</v>
      </c>
      <c r="P44" s="465"/>
      <c r="Q44" s="160"/>
    </row>
    <row r="45" spans="1:20">
      <c r="A45" s="460" t="s">
        <v>162</v>
      </c>
      <c r="B45" s="460"/>
      <c r="C45" s="461" t="s">
        <v>140</v>
      </c>
      <c r="D45" s="465"/>
      <c r="E45" s="465"/>
      <c r="F45" s="465"/>
      <c r="G45" s="465"/>
      <c r="H45" s="465"/>
      <c r="I45" s="465"/>
      <c r="J45" s="465"/>
      <c r="K45" s="465"/>
      <c r="L45" s="465"/>
      <c r="M45" s="464"/>
      <c r="N45" s="464">
        <f>'T,P, O2'!AE42*1000*1.244/(E7/24*1000)</f>
        <v>7.4091721262656344E-7</v>
      </c>
      <c r="O45" s="465">
        <f>N45</f>
        <v>7.4091721262656344E-7</v>
      </c>
      <c r="P45" s="465"/>
      <c r="Q45" s="160"/>
    </row>
    <row r="46" spans="1:20">
      <c r="A46" s="460" t="s">
        <v>309</v>
      </c>
      <c r="B46" s="460"/>
      <c r="C46" s="461" t="s">
        <v>140</v>
      </c>
      <c r="D46" s="465">
        <f>(D39+D40+D41)*D22/(21-D22)</f>
        <v>1.7428446247766526E-2</v>
      </c>
      <c r="E46" s="465">
        <f>(E39+E40+E41)*E22/(21-E22)</f>
        <v>1.7428446247766526E-2</v>
      </c>
      <c r="F46" s="465">
        <f t="shared" ref="F46:L46" si="13">(F39+F40+F41+F42)*F22/(21-F22)</f>
        <v>1.742844624776653E-2</v>
      </c>
      <c r="G46" s="465">
        <f t="shared" si="13"/>
        <v>0.1165680527256199</v>
      </c>
      <c r="H46" s="465">
        <f t="shared" si="13"/>
        <v>0.14288987108301793</v>
      </c>
      <c r="I46" s="465">
        <f t="shared" si="13"/>
        <v>0.15647994034363108</v>
      </c>
      <c r="J46" s="465">
        <f t="shared" si="13"/>
        <v>0.17036869244513678</v>
      </c>
      <c r="K46" s="465">
        <f t="shared" si="13"/>
        <v>0.1845660834822315</v>
      </c>
      <c r="L46" s="465">
        <f t="shared" si="13"/>
        <v>0</v>
      </c>
      <c r="M46" s="464">
        <f>(M39+M40+M41+M42+M47)*M22/(21-M22)</f>
        <v>0.1845660834822315</v>
      </c>
      <c r="N46" s="464">
        <f>(N39+N40+N41+N42+N47)*N22/(21-N22)</f>
        <v>0.18456608248957712</v>
      </c>
      <c r="O46" s="464">
        <f>(O39+O40+O41+O42+O47)*O22/(21-O22)</f>
        <v>0</v>
      </c>
      <c r="P46" s="464"/>
      <c r="Q46" s="160"/>
    </row>
    <row r="47" spans="1:20">
      <c r="A47" s="466" t="s">
        <v>173</v>
      </c>
      <c r="B47" s="467"/>
      <c r="C47" s="461" t="s">
        <v>140</v>
      </c>
      <c r="D47" s="460"/>
      <c r="E47" s="464"/>
      <c r="F47" s="465"/>
      <c r="G47" s="465"/>
      <c r="H47" s="465"/>
      <c r="I47" s="465"/>
      <c r="J47" s="466"/>
      <c r="K47" s="466"/>
      <c r="L47" s="466"/>
      <c r="M47" s="466"/>
      <c r="N47" s="464">
        <f>IF('T,P, O2'!$AE$37="",,'T,P, O2'!$AE$37/(Calculations!$E$7/24*1000)*-1)</f>
        <v>-5.9559261465157831E-9</v>
      </c>
      <c r="O47" s="464">
        <f>IF('T,P, O2'!$AE$37="",,'T,P, O2'!$AE$37/(Calculations!$E$7/24*1000)*-1)</f>
        <v>-5.9559261465157831E-9</v>
      </c>
      <c r="P47" s="464"/>
      <c r="Q47" s="160"/>
    </row>
    <row r="48" spans="1:20">
      <c r="A48" s="875" t="s">
        <v>563</v>
      </c>
      <c r="B48" s="467"/>
      <c r="C48" s="461" t="s">
        <v>140</v>
      </c>
      <c r="D48" s="460"/>
      <c r="E48" s="464"/>
      <c r="F48" s="465"/>
      <c r="G48" s="465"/>
      <c r="H48" s="465"/>
      <c r="I48" s="465"/>
      <c r="J48" s="880">
        <f>IF(General!D63=4,IF(General!D66=1,General!D72/(Calculations!E7*1000/24),General!D72/(Calculations!E7*1000/24)/2),0)</f>
        <v>0</v>
      </c>
      <c r="K48" s="880">
        <f>IF(General!D63=5,IF(General!D66=1,General!D72/(Calculations!E7*1000/24),General!D72/(Calculations!E7*1000/24)/2),0)</f>
        <v>0</v>
      </c>
      <c r="L48" s="880">
        <f>IF(General!D63=6,IF(General!D66=1,General!D72/(Calculations!E7*1000/24),General!D72/(Calculations!E7*1000/24)/2),0)</f>
        <v>0</v>
      </c>
      <c r="M48" s="466"/>
      <c r="N48" s="464"/>
      <c r="O48" s="464"/>
      <c r="P48" s="464"/>
      <c r="Q48" s="160"/>
    </row>
    <row r="49" spans="1:17">
      <c r="A49" s="468" t="s">
        <v>142</v>
      </c>
      <c r="B49" s="468"/>
      <c r="C49" s="469" t="s">
        <v>140</v>
      </c>
      <c r="D49" s="470">
        <f>SUM(D38:D47)-D39</f>
        <v>0.40620564219773675</v>
      </c>
      <c r="E49" s="470">
        <f t="shared" ref="E49:O49" si="14">SUM(E38:E47)-E39</f>
        <v>0.40620564219773675</v>
      </c>
      <c r="F49" s="470">
        <f t="shared" si="14"/>
        <v>0.4062056421977368</v>
      </c>
      <c r="G49" s="470">
        <f t="shared" si="14"/>
        <v>1.3244521337262154</v>
      </c>
      <c r="H49" s="470">
        <f t="shared" si="14"/>
        <v>1.3507739520836135</v>
      </c>
      <c r="I49" s="470">
        <f t="shared" si="14"/>
        <v>1.3643640213442265</v>
      </c>
      <c r="J49" s="470">
        <f t="shared" si="14"/>
        <v>1.3782527734457322</v>
      </c>
      <c r="K49" s="470">
        <f t="shared" si="14"/>
        <v>1.4024501644828269</v>
      </c>
      <c r="L49" s="470">
        <f t="shared" si="14"/>
        <v>1.2178840810005953</v>
      </c>
      <c r="M49" s="885">
        <f t="shared" si="14"/>
        <v>1.4024501644828269</v>
      </c>
      <c r="N49" s="724">
        <f>SUM(N38:N47)-N39</f>
        <v>1.402450898451459</v>
      </c>
      <c r="O49" s="470">
        <f t="shared" si="14"/>
        <v>1.2178848159618818</v>
      </c>
      <c r="P49" s="470">
        <f>P38+P40-P39-P41</f>
        <v>0.59178065472085495</v>
      </c>
      <c r="Q49" s="160"/>
    </row>
    <row r="50" spans="1:17">
      <c r="A50" s="460" t="s">
        <v>142</v>
      </c>
      <c r="B50" s="460"/>
      <c r="C50" s="471" t="s">
        <v>175</v>
      </c>
      <c r="D50" s="472">
        <f>D49*$E$7/24*1000/3600</f>
        <v>18.944979812499998</v>
      </c>
      <c r="E50" s="472">
        <f t="shared" ref="E50:P50" si="15">E49*$E$7/24*1000/3600</f>
        <v>18.944979812499998</v>
      </c>
      <c r="F50" s="472">
        <f t="shared" si="15"/>
        <v>18.944979812500002</v>
      </c>
      <c r="G50" s="472">
        <f t="shared" si="15"/>
        <v>61.770975903508777</v>
      </c>
      <c r="H50" s="472">
        <f t="shared" si="15"/>
        <v>62.998596265232983</v>
      </c>
      <c r="I50" s="472">
        <f t="shared" si="15"/>
        <v>63.632421995471013</v>
      </c>
      <c r="J50" s="472">
        <f t="shared" si="15"/>
        <v>64.280177961538456</v>
      </c>
      <c r="K50" s="472">
        <f t="shared" si="15"/>
        <v>65.408717393518515</v>
      </c>
      <c r="L50" s="472">
        <f t="shared" si="15"/>
        <v>56.800760333333329</v>
      </c>
      <c r="M50" s="472">
        <f t="shared" si="15"/>
        <v>65.408717393518515</v>
      </c>
      <c r="N50" s="725">
        <f t="shared" si="15"/>
        <v>65.408751624999994</v>
      </c>
      <c r="O50" s="472">
        <f t="shared" si="15"/>
        <v>56.800794611111108</v>
      </c>
      <c r="P50" s="472">
        <f t="shared" si="15"/>
        <v>27.599992202119875</v>
      </c>
      <c r="Q50" s="160"/>
    </row>
    <row r="51" spans="1:17">
      <c r="A51" s="460" t="s">
        <v>176</v>
      </c>
      <c r="B51" s="460"/>
      <c r="C51" s="471" t="s">
        <v>143</v>
      </c>
      <c r="D51" s="338">
        <f>D50*1013/($E$12+D20)*(273+D17)/273</f>
        <v>105.87778258029041</v>
      </c>
      <c r="E51" s="338">
        <f t="shared" ref="E51:P51" si="16">E50*1013/($E$12+E20)*(273+E17)/273</f>
        <v>105.87778258029041</v>
      </c>
      <c r="F51" s="338">
        <f t="shared" si="16"/>
        <v>84.747348057717005</v>
      </c>
      <c r="G51" s="338">
        <f>G50*1013/($E$12+G20)*(273+G17)/273</f>
        <v>273.1862799262845</v>
      </c>
      <c r="H51" s="338">
        <f t="shared" si="16"/>
        <v>262.52363358337021</v>
      </c>
      <c r="I51" s="338">
        <f t="shared" si="16"/>
        <v>231.35348737136093</v>
      </c>
      <c r="J51" s="338">
        <f t="shared" si="16"/>
        <v>204.59104762132316</v>
      </c>
      <c r="K51" s="338">
        <f t="shared" si="16"/>
        <v>161.54118922788896</v>
      </c>
      <c r="L51" s="338">
        <f t="shared" si="16"/>
        <v>58.713438997619043</v>
      </c>
      <c r="M51" s="338">
        <f t="shared" si="16"/>
        <v>162.24583999878487</v>
      </c>
      <c r="N51" s="338" t="e">
        <f ca="1">N50*1013/($E$12+N20)*(273+N17)/273</f>
        <v>#VALUE!</v>
      </c>
      <c r="O51" s="338" t="e">
        <f t="shared" ca="1" si="16"/>
        <v>#VALUE!</v>
      </c>
      <c r="P51" s="338">
        <f t="shared" si="16"/>
        <v>124.51671713248257</v>
      </c>
      <c r="Q51" s="160"/>
    </row>
    <row r="52" spans="1:17">
      <c r="A52" s="473" t="s">
        <v>144</v>
      </c>
      <c r="B52" s="473"/>
      <c r="C52" s="474" t="s">
        <v>112</v>
      </c>
      <c r="D52" s="341"/>
      <c r="E52" s="341"/>
      <c r="F52" s="341"/>
      <c r="G52" s="341"/>
      <c r="H52" s="340">
        <f t="shared" ref="H52:M52" si="17">(H46-G46)/H49*100</f>
        <v>1.9486471675586985</v>
      </c>
      <c r="I52" s="340">
        <f t="shared" si="17"/>
        <v>0.99607355866975045</v>
      </c>
      <c r="J52" s="340">
        <f>(J46-J48-I46)/J49*100</f>
        <v>1.0077071760053715</v>
      </c>
      <c r="K52" s="340">
        <f>(K46-K48-J46)/K49*100</f>
        <v>1.0123276674383797</v>
      </c>
      <c r="L52" s="340">
        <f>(L46-L48-K46)/L49*100</f>
        <v>-15.154651116762672</v>
      </c>
      <c r="M52" s="340">
        <f t="shared" si="17"/>
        <v>13.160259676698946</v>
      </c>
      <c r="N52" s="340"/>
      <c r="O52" s="340">
        <f>(O46-M46)/O49*100</f>
        <v>-15.154641971331397</v>
      </c>
      <c r="P52" s="340"/>
      <c r="Q52" s="160"/>
    </row>
    <row r="53" spans="1:17">
      <c r="A53" s="5"/>
      <c r="B53" s="5"/>
      <c r="C53" s="5"/>
      <c r="D53" s="5"/>
      <c r="E53" s="5"/>
      <c r="F53" s="5"/>
      <c r="G53" s="5"/>
      <c r="H53" s="5"/>
      <c r="I53" s="5"/>
      <c r="J53" s="5">
        <f>(M46-J46)/M49*100</f>
        <v>1.0123276674383797</v>
      </c>
      <c r="K53" s="5">
        <f>(M46-K46)/M49*100</f>
        <v>0</v>
      </c>
      <c r="L53" s="5"/>
      <c r="M53" s="84"/>
      <c r="N53" s="75"/>
      <c r="O53" s="76"/>
      <c r="Q53" s="160"/>
    </row>
    <row r="54" spans="1:17">
      <c r="A54" s="902" t="s">
        <v>145</v>
      </c>
      <c r="B54" s="902"/>
      <c r="C54" s="902"/>
      <c r="D54" s="902"/>
      <c r="E54" s="902"/>
      <c r="F54" s="902"/>
      <c r="G54" s="902"/>
      <c r="H54" s="902"/>
      <c r="I54" s="902"/>
      <c r="J54" s="902"/>
      <c r="K54" s="902"/>
      <c r="L54" s="902"/>
      <c r="M54" s="902"/>
      <c r="N54" s="902"/>
      <c r="O54" s="902"/>
      <c r="P54" s="902"/>
      <c r="Q54" s="160"/>
    </row>
    <row r="55" spans="1:17">
      <c r="A55" s="12"/>
      <c r="B55" s="88"/>
      <c r="C55" s="89"/>
      <c r="D55" s="97" t="str">
        <f>D16</f>
        <v>Kiln</v>
      </c>
      <c r="E55" s="97" t="str">
        <f t="shared" ref="E55:M55" si="18">E16</f>
        <v>Inlet Ch.</v>
      </c>
      <c r="F55" s="97" t="str">
        <f t="shared" si="18"/>
        <v>Calc. Orif.</v>
      </c>
      <c r="G55" s="97" t="str">
        <f t="shared" si="18"/>
        <v>Cyclone 5</v>
      </c>
      <c r="H55" s="97" t="str">
        <f t="shared" si="18"/>
        <v>Cyclone 4</v>
      </c>
      <c r="I55" s="97" t="str">
        <f t="shared" si="18"/>
        <v>Cyclone 3</v>
      </c>
      <c r="J55" s="97" t="str">
        <f t="shared" si="18"/>
        <v>Cyclone 2</v>
      </c>
      <c r="K55" s="97" t="str">
        <f t="shared" si="18"/>
        <v>Cyclone 1</v>
      </c>
      <c r="L55" s="97" t="str">
        <f t="shared" si="18"/>
        <v>do not fill in</v>
      </c>
      <c r="M55" s="90" t="str">
        <f t="shared" si="18"/>
        <v>Tower exit</v>
      </c>
      <c r="N55" s="75" t="str">
        <f>N37</f>
        <v>Downcomer</v>
      </c>
      <c r="O55" s="75" t="str">
        <f>O37</f>
        <v>ID fan inlet</v>
      </c>
      <c r="P55" s="93" t="str">
        <f>P16</f>
        <v>TA duct</v>
      </c>
      <c r="Q55" s="160"/>
    </row>
    <row r="56" spans="1:17">
      <c r="A56" s="91" t="s">
        <v>177</v>
      </c>
      <c r="B56" s="89"/>
      <c r="C56" s="90" t="s">
        <v>146</v>
      </c>
      <c r="D56" s="233">
        <f>D51/D29</f>
        <v>7.6421643815248057</v>
      </c>
      <c r="E56" s="106">
        <f>E51/E29</f>
        <v>16.042088269740972</v>
      </c>
      <c r="F56" s="106">
        <f>F51/F29</f>
        <v>24.925690605210885</v>
      </c>
      <c r="G56" s="106">
        <f>G51/G29</f>
        <v>18.638094493807611</v>
      </c>
      <c r="H56" s="106">
        <f t="shared" ref="H56:L56" si="19">G51/H29</f>
        <v>18.638094493807611</v>
      </c>
      <c r="I56" s="106">
        <f t="shared" si="19"/>
        <v>17.910636986985111</v>
      </c>
      <c r="J56" s="106">
        <f t="shared" si="19"/>
        <v>19.97669873952934</v>
      </c>
      <c r="K56" s="106">
        <f t="shared" si="19"/>
        <v>22.612275375890928</v>
      </c>
      <c r="L56" s="106" t="e">
        <f t="shared" si="19"/>
        <v>#DIV/0!</v>
      </c>
      <c r="M56" s="106" t="e">
        <f>M51/M29</f>
        <v>#DIV/0!</v>
      </c>
      <c r="N56" s="106" t="e">
        <f ca="1">N51/N29</f>
        <v>#VALUE!</v>
      </c>
      <c r="O56" s="106"/>
      <c r="P56" s="106">
        <f>P51/P29</f>
        <v>34.618658449139474</v>
      </c>
      <c r="Q56" s="160"/>
    </row>
    <row r="57" spans="1:17">
      <c r="A57" s="94" t="s">
        <v>178</v>
      </c>
      <c r="B57" s="95"/>
      <c r="C57" s="90" t="s">
        <v>146</v>
      </c>
      <c r="D57" s="76"/>
      <c r="E57" s="76"/>
      <c r="F57" s="76"/>
      <c r="G57" s="106" t="e">
        <f t="shared" ref="G57:L57" si="20">+G51/G32</f>
        <v>#DIV/0!</v>
      </c>
      <c r="H57" s="106" t="e">
        <f t="shared" si="20"/>
        <v>#DIV/0!</v>
      </c>
      <c r="I57" s="106" t="e">
        <f t="shared" si="20"/>
        <v>#DIV/0!</v>
      </c>
      <c r="J57" s="106" t="e">
        <f t="shared" si="20"/>
        <v>#DIV/0!</v>
      </c>
      <c r="K57" s="106" t="e">
        <f t="shared" si="20"/>
        <v>#DIV/0!</v>
      </c>
      <c r="L57" s="106" t="e">
        <f t="shared" si="20"/>
        <v>#DIV/0!</v>
      </c>
      <c r="M57" s="76"/>
      <c r="N57" s="75"/>
      <c r="O57" s="76"/>
      <c r="P57" s="76"/>
      <c r="Q57" s="160"/>
    </row>
    <row r="58" spans="1:17">
      <c r="A58" t="s">
        <v>183</v>
      </c>
      <c r="C58" s="90" t="s">
        <v>146</v>
      </c>
      <c r="D58" s="144"/>
      <c r="E58" s="144"/>
      <c r="F58" s="144"/>
      <c r="G58" s="106" t="e">
        <f t="shared" ref="G58:L58" si="21">+G51/G34</f>
        <v>#DIV/0!</v>
      </c>
      <c r="H58" s="106" t="e">
        <f t="shared" si="21"/>
        <v>#DIV/0!</v>
      </c>
      <c r="I58" s="106" t="e">
        <f t="shared" si="21"/>
        <v>#DIV/0!</v>
      </c>
      <c r="J58" s="106" t="e">
        <f t="shared" si="21"/>
        <v>#DIV/0!</v>
      </c>
      <c r="K58" s="106" t="e">
        <f t="shared" si="21"/>
        <v>#DIV/0!</v>
      </c>
      <c r="L58" s="106" t="e">
        <f t="shared" si="21"/>
        <v>#DIV/0!</v>
      </c>
      <c r="N58" s="73"/>
      <c r="O58" s="74"/>
      <c r="P58" s="144"/>
      <c r="Q58" s="160"/>
    </row>
    <row r="59" spans="1:17">
      <c r="A59" s="58" t="s">
        <v>179</v>
      </c>
      <c r="B59" s="62"/>
      <c r="C59" s="90" t="s">
        <v>146</v>
      </c>
      <c r="D59" s="144"/>
      <c r="E59" s="144"/>
      <c r="F59" s="144"/>
      <c r="G59" s="230">
        <f t="shared" ref="G59:K59" si="22">G51/G31</f>
        <v>13.913262987249407</v>
      </c>
      <c r="H59" s="230">
        <f t="shared" si="22"/>
        <v>13.370218868236439</v>
      </c>
      <c r="I59" s="230">
        <f t="shared" si="22"/>
        <v>11.782736357344152</v>
      </c>
      <c r="J59" s="230">
        <f>J51/J31</f>
        <v>12.047330897456977</v>
      </c>
      <c r="K59" s="230">
        <f t="shared" si="22"/>
        <v>12.228337112276702</v>
      </c>
      <c r="L59" s="230" t="e">
        <f>L51/L31</f>
        <v>#DIV/0!</v>
      </c>
      <c r="N59" s="73"/>
      <c r="O59" s="74"/>
      <c r="P59" s="144"/>
      <c r="Q59" s="160"/>
    </row>
    <row r="60" spans="1:17">
      <c r="A60" s="359" t="s">
        <v>274</v>
      </c>
      <c r="B60" s="359"/>
      <c r="C60" s="93" t="s">
        <v>147</v>
      </c>
      <c r="D60" s="76"/>
      <c r="E60" s="76"/>
      <c r="F60" s="76"/>
      <c r="G60" s="225">
        <f>Geometry!U66/(Calculations!G51+Calculations!G102)</f>
        <v>5.0148931358107562</v>
      </c>
      <c r="H60" s="76"/>
      <c r="I60" s="76"/>
      <c r="J60" s="76"/>
      <c r="K60" s="76"/>
      <c r="L60" s="76"/>
      <c r="M60" s="76"/>
      <c r="N60" s="75"/>
      <c r="O60" s="76"/>
      <c r="P60" s="76"/>
      <c r="Q60" s="160"/>
    </row>
    <row r="61" spans="1:17">
      <c r="A61" s="59" t="s">
        <v>510</v>
      </c>
      <c r="B61" s="62"/>
      <c r="C61" s="90" t="s">
        <v>146</v>
      </c>
      <c r="D61" s="76"/>
      <c r="E61" s="76"/>
      <c r="F61" s="76"/>
      <c r="G61" s="225">
        <f>G51/(Geometry!U67^2*PI()/4)</f>
        <v>9.6619881855898662</v>
      </c>
      <c r="H61" s="76"/>
      <c r="I61" s="76"/>
      <c r="J61" s="76"/>
      <c r="K61" s="76"/>
      <c r="L61" s="76"/>
      <c r="M61" s="76"/>
      <c r="N61" s="815"/>
      <c r="O61" s="76"/>
      <c r="P61" s="76"/>
      <c r="Q61" s="160"/>
    </row>
    <row r="62" spans="1:17">
      <c r="Q62" s="160"/>
    </row>
    <row r="64" spans="1:17">
      <c r="A64" s="176" t="s">
        <v>152</v>
      </c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8"/>
      <c r="O64" s="179"/>
      <c r="P64" s="180"/>
      <c r="Q64" s="159"/>
    </row>
    <row r="65" spans="1:17">
      <c r="Q65" s="159"/>
    </row>
    <row r="66" spans="1:17">
      <c r="A66" s="905" t="s">
        <v>119</v>
      </c>
      <c r="B66" s="906"/>
      <c r="C66" s="906"/>
      <c r="D66" s="906"/>
      <c r="E66" s="906"/>
      <c r="F66" s="906"/>
      <c r="G66" s="906"/>
      <c r="H66" s="906"/>
      <c r="I66" s="906"/>
      <c r="J66" s="906"/>
      <c r="K66" s="906"/>
      <c r="L66" s="906"/>
      <c r="M66" s="906"/>
      <c r="N66" s="906"/>
      <c r="O66" s="906"/>
      <c r="P66" s="907"/>
      <c r="Q66" s="159"/>
    </row>
    <row r="67" spans="1:17">
      <c r="A67" s="10"/>
      <c r="B67" s="120"/>
      <c r="C67" s="121"/>
      <c r="D67" s="154"/>
      <c r="E67" s="137"/>
      <c r="F67" s="155"/>
      <c r="G67" s="125" t="str">
        <f>G55</f>
        <v>Cyclone 5</v>
      </c>
      <c r="H67" s="125" t="str">
        <f t="shared" ref="H67:O67" si="23">H55</f>
        <v>Cyclone 4</v>
      </c>
      <c r="I67" s="125" t="str">
        <f t="shared" si="23"/>
        <v>Cyclone 3</v>
      </c>
      <c r="J67" s="125" t="str">
        <f t="shared" si="23"/>
        <v>Cyclone 2</v>
      </c>
      <c r="K67" s="125" t="str">
        <f t="shared" si="23"/>
        <v>Cyclone 1</v>
      </c>
      <c r="L67" s="125" t="str">
        <f t="shared" si="23"/>
        <v>do not fill in</v>
      </c>
      <c r="M67" s="125" t="str">
        <f t="shared" si="23"/>
        <v>Tower exit</v>
      </c>
      <c r="N67" s="125" t="str">
        <f t="shared" si="23"/>
        <v>Downcomer</v>
      </c>
      <c r="O67" s="125" t="str">
        <f t="shared" si="23"/>
        <v>ID fan inlet</v>
      </c>
      <c r="P67" s="377"/>
      <c r="Q67" s="159"/>
    </row>
    <row r="68" spans="1:17">
      <c r="A68" s="128" t="s">
        <v>124</v>
      </c>
      <c r="B68" s="495"/>
      <c r="C68" s="130" t="s">
        <v>125</v>
      </c>
      <c r="D68" s="138"/>
      <c r="E68" s="138"/>
      <c r="F68" s="138"/>
      <c r="G68" s="145">
        <f>+'T,P, O2'!Q10</f>
        <v>0</v>
      </c>
      <c r="H68" s="145">
        <f>+'T,P, O2'!Q46</f>
        <v>0</v>
      </c>
      <c r="I68" s="145">
        <f>+'T,P, O2'!Q37</f>
        <v>0</v>
      </c>
      <c r="J68" s="145">
        <f>+'T,P, O2'!Q28</f>
        <v>0</v>
      </c>
      <c r="K68" s="145">
        <f>+'T,P, O2'!Q19</f>
        <v>0</v>
      </c>
      <c r="L68" s="145">
        <f>+'T,P, O2'!Q10</f>
        <v>0</v>
      </c>
      <c r="M68" s="145">
        <f>+'T,P, O2'!M28</f>
        <v>0</v>
      </c>
      <c r="N68" s="733">
        <f>'T,P, O2'!M49</f>
        <v>0</v>
      </c>
      <c r="O68" s="733">
        <f>+'T,P, O2'!M67</f>
        <v>0</v>
      </c>
      <c r="P68" s="138"/>
      <c r="Q68" s="159"/>
    </row>
    <row r="69" spans="1:17">
      <c r="A69" s="131" t="s">
        <v>126</v>
      </c>
      <c r="B69" s="481"/>
      <c r="C69" s="133" t="s">
        <v>125</v>
      </c>
      <c r="D69" s="139"/>
      <c r="E69" s="139"/>
      <c r="F69" s="139"/>
      <c r="G69" s="146"/>
      <c r="H69" s="146">
        <f>+'T,P, O2'!Q51</f>
        <v>0</v>
      </c>
      <c r="I69" s="146">
        <f>+'T,P, O2'!Q42</f>
        <v>0</v>
      </c>
      <c r="J69" s="146">
        <f>+'T,P, O2'!Q33</f>
        <v>0</v>
      </c>
      <c r="K69" s="146">
        <f>+'T,P, O2'!Q24</f>
        <v>0</v>
      </c>
      <c r="L69" s="146">
        <f>+'T,P, O2'!Q15</f>
        <v>0</v>
      </c>
      <c r="M69" s="146"/>
      <c r="N69" s="722"/>
      <c r="O69" s="146"/>
      <c r="P69" s="139"/>
      <c r="Q69" s="159"/>
    </row>
    <row r="70" spans="1:17">
      <c r="A70" s="131" t="s">
        <v>127</v>
      </c>
      <c r="B70" s="481"/>
      <c r="C70" s="133" t="s">
        <v>125</v>
      </c>
      <c r="D70" s="139"/>
      <c r="E70" s="139"/>
      <c r="F70" s="139"/>
      <c r="G70" s="146">
        <f t="shared" ref="G70:L70" si="24">G68-G69</f>
        <v>0</v>
      </c>
      <c r="H70" s="146">
        <f t="shared" si="24"/>
        <v>0</v>
      </c>
      <c r="I70" s="146">
        <f t="shared" si="24"/>
        <v>0</v>
      </c>
      <c r="J70" s="146">
        <f t="shared" si="24"/>
        <v>0</v>
      </c>
      <c r="K70" s="146">
        <f t="shared" si="24"/>
        <v>0</v>
      </c>
      <c r="L70" s="146">
        <f t="shared" si="24"/>
        <v>0</v>
      </c>
      <c r="M70" s="146"/>
      <c r="N70" s="722"/>
      <c r="O70" s="146"/>
      <c r="P70" s="139"/>
      <c r="Q70" s="159"/>
    </row>
    <row r="71" spans="1:17">
      <c r="A71" s="131" t="s">
        <v>128</v>
      </c>
      <c r="B71" s="481"/>
      <c r="C71" s="133" t="s">
        <v>117</v>
      </c>
      <c r="D71" s="139"/>
      <c r="E71" s="139"/>
      <c r="F71" s="139"/>
      <c r="G71" s="146">
        <f>+'T,P, O2'!Q56</f>
        <v>0</v>
      </c>
      <c r="H71" s="146">
        <f>+'T,P, O2'!Q47</f>
        <v>0</v>
      </c>
      <c r="I71" s="146">
        <f>+'T,P, O2'!Q38</f>
        <v>0</v>
      </c>
      <c r="J71" s="146">
        <f>+'T,P, O2'!Q29</f>
        <v>0</v>
      </c>
      <c r="K71" s="146">
        <f>+'T,P, O2'!Q20</f>
        <v>0</v>
      </c>
      <c r="L71" s="146">
        <f>+'T,P, O2'!Q11</f>
        <v>0</v>
      </c>
      <c r="M71" s="146">
        <f>+'T,P, O2'!M29</f>
        <v>0</v>
      </c>
      <c r="N71" s="146">
        <f>'T,P, O2'!M60</f>
        <v>0</v>
      </c>
      <c r="O71" s="146">
        <f>+'T,P, O2'!M68</f>
        <v>0</v>
      </c>
      <c r="P71" s="139"/>
      <c r="Q71" s="159"/>
    </row>
    <row r="72" spans="1:17">
      <c r="A72" s="131" t="s">
        <v>129</v>
      </c>
      <c r="B72" s="481"/>
      <c r="C72" s="134" t="s">
        <v>117</v>
      </c>
      <c r="D72" s="139"/>
      <c r="E72" s="139"/>
      <c r="F72" s="139"/>
      <c r="G72" s="146">
        <f t="shared" ref="G72:O72" si="25">ABS(G71-F71)</f>
        <v>0</v>
      </c>
      <c r="H72" s="146">
        <f t="shared" si="25"/>
        <v>0</v>
      </c>
      <c r="I72" s="146">
        <f t="shared" si="25"/>
        <v>0</v>
      </c>
      <c r="J72" s="146">
        <f t="shared" si="25"/>
        <v>0</v>
      </c>
      <c r="K72" s="146">
        <f t="shared" si="25"/>
        <v>0</v>
      </c>
      <c r="L72" s="146">
        <f t="shared" si="25"/>
        <v>0</v>
      </c>
      <c r="M72" s="146">
        <f t="shared" si="25"/>
        <v>0</v>
      </c>
      <c r="N72" s="146">
        <f t="shared" si="25"/>
        <v>0</v>
      </c>
      <c r="O72" s="146">
        <f t="shared" si="25"/>
        <v>0</v>
      </c>
      <c r="P72" s="139"/>
      <c r="Q72" s="159"/>
    </row>
    <row r="73" spans="1:17">
      <c r="A73" s="131" t="s">
        <v>130</v>
      </c>
      <c r="B73" s="481"/>
      <c r="C73" s="133" t="s">
        <v>112</v>
      </c>
      <c r="D73" s="139"/>
      <c r="E73" s="139"/>
      <c r="F73" s="139"/>
      <c r="G73" s="146">
        <f>+'T,P, O2'!Q57</f>
        <v>0</v>
      </c>
      <c r="H73" s="146">
        <f>+'T,P, O2'!Q48</f>
        <v>0</v>
      </c>
      <c r="I73" s="146">
        <f>+'T,P, O2'!Q39</f>
        <v>0</v>
      </c>
      <c r="J73" s="146">
        <f>+'T,P, O2'!Q30</f>
        <v>0</v>
      </c>
      <c r="K73" s="146">
        <f>+'T,P, O2'!Q21</f>
        <v>0</v>
      </c>
      <c r="L73" s="146">
        <f>+'T,P, O2'!Q12</f>
        <v>0</v>
      </c>
      <c r="M73" s="146">
        <f>+'T,P, O2'!M30</f>
        <v>0</v>
      </c>
      <c r="N73" s="146">
        <f>IF('T,P, O2'!M48="",'T,P, O2'!M30,'T,P, O2'!M48)</f>
        <v>0</v>
      </c>
      <c r="O73" s="146">
        <f>+'T,P, O2'!M69</f>
        <v>0</v>
      </c>
      <c r="P73" s="139"/>
      <c r="Q73" s="159"/>
    </row>
    <row r="74" spans="1:17">
      <c r="A74" s="483" t="s">
        <v>131</v>
      </c>
      <c r="B74" s="482"/>
      <c r="C74" s="478" t="s">
        <v>112</v>
      </c>
      <c r="D74" s="480"/>
      <c r="E74" s="480"/>
      <c r="F74" s="480"/>
      <c r="G74" s="479"/>
      <c r="H74" s="479">
        <f>H73-G73</f>
        <v>0</v>
      </c>
      <c r="I74" s="479">
        <f>I73-H73</f>
        <v>0</v>
      </c>
      <c r="J74" s="479">
        <f>J73-I73</f>
        <v>0</v>
      </c>
      <c r="K74" s="479">
        <f>K73-J73</f>
        <v>0</v>
      </c>
      <c r="L74" s="479">
        <f>L73-J73</f>
        <v>0</v>
      </c>
      <c r="M74" s="479">
        <f>M73-L73</f>
        <v>0</v>
      </c>
      <c r="N74" s="479">
        <f>N73-M73</f>
        <v>0</v>
      </c>
      <c r="O74" s="479">
        <f>O73-N73</f>
        <v>0</v>
      </c>
      <c r="P74" s="480"/>
      <c r="Q74" s="159"/>
    </row>
    <row r="75" spans="1:17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84"/>
      <c r="N75" s="114"/>
      <c r="O75" s="115"/>
      <c r="P75" s="116"/>
      <c r="Q75" s="159"/>
    </row>
    <row r="76" spans="1:17">
      <c r="A76" s="908" t="s">
        <v>132</v>
      </c>
      <c r="B76" s="909"/>
      <c r="C76" s="909"/>
      <c r="D76" s="909"/>
      <c r="E76" s="909"/>
      <c r="F76" s="909"/>
      <c r="G76" s="909"/>
      <c r="H76" s="909"/>
      <c r="I76" s="909"/>
      <c r="J76" s="909"/>
      <c r="K76" s="909"/>
      <c r="L76" s="909"/>
      <c r="M76" s="909"/>
      <c r="N76" s="909"/>
      <c r="O76" s="909"/>
      <c r="P76" s="910"/>
      <c r="Q76" s="159"/>
    </row>
    <row r="77" spans="1:17">
      <c r="A77" s="109"/>
      <c r="B77" s="117"/>
      <c r="C77" s="110"/>
      <c r="D77" s="143"/>
      <c r="E77" s="143"/>
      <c r="F77" s="143"/>
      <c r="G77" s="152" t="str">
        <f t="shared" ref="G77:M77" si="26">G67</f>
        <v>Cyclone 5</v>
      </c>
      <c r="H77" s="152" t="str">
        <f t="shared" si="26"/>
        <v>Cyclone 4</v>
      </c>
      <c r="I77" s="152" t="str">
        <f t="shared" si="26"/>
        <v>Cyclone 3</v>
      </c>
      <c r="J77" s="152" t="str">
        <f t="shared" si="26"/>
        <v>Cyclone 2</v>
      </c>
      <c r="K77" s="86" t="str">
        <f t="shared" si="26"/>
        <v>Cyclone 1</v>
      </c>
      <c r="L77" s="152" t="str">
        <f t="shared" si="26"/>
        <v>do not fill in</v>
      </c>
      <c r="M77" s="86" t="str">
        <f t="shared" si="26"/>
        <v>Tower exit</v>
      </c>
      <c r="N77" s="86" t="str">
        <f>N67</f>
        <v>Downcomer</v>
      </c>
      <c r="O77" s="86" t="str">
        <f>O67</f>
        <v>ID fan inlet</v>
      </c>
      <c r="P77" s="502"/>
      <c r="Q77" s="159"/>
    </row>
    <row r="78" spans="1:17">
      <c r="A78" s="109" t="s">
        <v>157</v>
      </c>
      <c r="B78" s="117"/>
      <c r="C78" s="130" t="s">
        <v>158</v>
      </c>
      <c r="D78" s="138"/>
      <c r="E78" s="138"/>
      <c r="F78" s="138"/>
      <c r="G78" s="498">
        <f>+Geometry!J62</f>
        <v>0</v>
      </c>
      <c r="H78" s="498">
        <f>+Geometry!J53</f>
        <v>0</v>
      </c>
      <c r="I78" s="498">
        <f>+Geometry!J44</f>
        <v>0</v>
      </c>
      <c r="J78" s="498">
        <f>+Geometry!J35</f>
        <v>0</v>
      </c>
      <c r="K78" s="498">
        <f>+Geometry!J26</f>
        <v>0</v>
      </c>
      <c r="L78" s="498">
        <f>+Geometry!J17</f>
        <v>0</v>
      </c>
      <c r="M78" s="498">
        <v>1</v>
      </c>
      <c r="N78" s="498">
        <v>1</v>
      </c>
      <c r="O78" s="498"/>
      <c r="P78" s="503"/>
      <c r="Q78" s="159"/>
    </row>
    <row r="79" spans="1:17">
      <c r="A79" s="109" t="s">
        <v>180</v>
      </c>
      <c r="B79" s="110"/>
      <c r="C79" s="133" t="s">
        <v>133</v>
      </c>
      <c r="D79" s="139"/>
      <c r="E79" s="139"/>
      <c r="F79" s="139"/>
      <c r="G79" s="496">
        <f>+Geometry!J60</f>
        <v>0</v>
      </c>
      <c r="H79" s="496">
        <f>+Geometry!J51</f>
        <v>0</v>
      </c>
      <c r="I79" s="496">
        <f>+Geometry!J51</f>
        <v>0</v>
      </c>
      <c r="J79" s="496">
        <f>+Geometry!J33</f>
        <v>0</v>
      </c>
      <c r="K79" s="496">
        <f>+Geometry!J24</f>
        <v>0</v>
      </c>
      <c r="L79" s="496">
        <f>+Geometry!J15</f>
        <v>0</v>
      </c>
      <c r="M79" s="496">
        <f>+Geometry!J9</f>
        <v>0</v>
      </c>
      <c r="N79" s="496">
        <f>Geometry!J9</f>
        <v>0</v>
      </c>
      <c r="O79" s="496"/>
      <c r="P79" s="504"/>
      <c r="Q79" s="159"/>
    </row>
    <row r="80" spans="1:17">
      <c r="A80" s="111" t="s">
        <v>134</v>
      </c>
      <c r="B80" s="112"/>
      <c r="C80" s="133" t="s">
        <v>135</v>
      </c>
      <c r="D80" s="139"/>
      <c r="E80" s="139"/>
      <c r="F80" s="139"/>
      <c r="G80" s="496">
        <f t="shared" ref="G80:O80" si="27">PI()/4*G79^2*G78</f>
        <v>0</v>
      </c>
      <c r="H80" s="496">
        <f>PI()/4*H79^2*G78</f>
        <v>0</v>
      </c>
      <c r="I80" s="496">
        <f>PI()/4*I79^2*H78</f>
        <v>0</v>
      </c>
      <c r="J80" s="496">
        <f>PI()/4*J79^2*I78</f>
        <v>0</v>
      </c>
      <c r="K80" s="496">
        <f>PI()/4*K79^2*J78</f>
        <v>0</v>
      </c>
      <c r="L80" s="496">
        <f>PI()/4*L79^2*K78</f>
        <v>0</v>
      </c>
      <c r="M80" s="496">
        <f t="shared" si="27"/>
        <v>0</v>
      </c>
      <c r="N80" s="496">
        <f t="shared" si="27"/>
        <v>0</v>
      </c>
      <c r="O80" s="496">
        <f t="shared" si="27"/>
        <v>0</v>
      </c>
      <c r="P80" s="504"/>
      <c r="Q80" s="159"/>
    </row>
    <row r="81" spans="1:21">
      <c r="A81" s="118" t="s">
        <v>136</v>
      </c>
      <c r="B81" s="112"/>
      <c r="C81" s="133" t="s">
        <v>133</v>
      </c>
      <c r="D81" s="139"/>
      <c r="E81" s="139"/>
      <c r="F81" s="139"/>
      <c r="G81" s="496">
        <f>+Geometry!J57</f>
        <v>0</v>
      </c>
      <c r="H81" s="496">
        <f>+Geometry!J48</f>
        <v>0</v>
      </c>
      <c r="I81" s="496">
        <f>+Geometry!J39</f>
        <v>0</v>
      </c>
      <c r="J81" s="496">
        <f>+Geometry!J30</f>
        <v>0</v>
      </c>
      <c r="K81" s="496">
        <f>+Geometry!J21</f>
        <v>0</v>
      </c>
      <c r="L81" s="496">
        <f>+Geometry!J12</f>
        <v>0</v>
      </c>
      <c r="M81" s="496"/>
      <c r="N81" s="496"/>
      <c r="O81" s="496"/>
      <c r="P81" s="504"/>
      <c r="Q81" s="159"/>
    </row>
    <row r="82" spans="1:21">
      <c r="A82" s="111" t="s">
        <v>137</v>
      </c>
      <c r="B82" s="112"/>
      <c r="C82" s="134" t="s">
        <v>135</v>
      </c>
      <c r="D82" s="139"/>
      <c r="E82" s="139"/>
      <c r="F82" s="139"/>
      <c r="G82" s="496">
        <f t="shared" ref="G82:L82" si="28">PI()/4*G81^2*G78</f>
        <v>0</v>
      </c>
      <c r="H82" s="496">
        <f t="shared" si="28"/>
        <v>0</v>
      </c>
      <c r="I82" s="496">
        <f t="shared" si="28"/>
        <v>0</v>
      </c>
      <c r="J82" s="496">
        <f t="shared" si="28"/>
        <v>0</v>
      </c>
      <c r="K82" s="496">
        <f t="shared" si="28"/>
        <v>0</v>
      </c>
      <c r="L82" s="496">
        <f t="shared" si="28"/>
        <v>0</v>
      </c>
      <c r="M82" s="496"/>
      <c r="N82" s="496"/>
      <c r="O82" s="496"/>
      <c r="P82" s="504"/>
      <c r="Q82" s="159"/>
    </row>
    <row r="83" spans="1:21">
      <c r="A83" s="171" t="s">
        <v>181</v>
      </c>
      <c r="B83" s="171"/>
      <c r="C83" s="133" t="s">
        <v>135</v>
      </c>
      <c r="D83" s="139"/>
      <c r="E83" s="139"/>
      <c r="F83" s="139"/>
      <c r="G83" s="496">
        <f>+Geometry!J61*G78</f>
        <v>0</v>
      </c>
      <c r="H83" s="496">
        <f>+Geometry!J61*H78</f>
        <v>0</v>
      </c>
      <c r="I83" s="496">
        <f>+Geometry!J43*I78</f>
        <v>0</v>
      </c>
      <c r="J83" s="496">
        <f>+Geometry!J34*J78</f>
        <v>0</v>
      </c>
      <c r="K83" s="496">
        <f>+Geometry!J25*K78</f>
        <v>0</v>
      </c>
      <c r="L83" s="496">
        <f>+Geometry!J16*L78</f>
        <v>0</v>
      </c>
      <c r="M83" s="496"/>
      <c r="N83" s="496"/>
      <c r="O83" s="496"/>
      <c r="P83" s="504"/>
      <c r="Q83" s="159"/>
    </row>
    <row r="84" spans="1:21">
      <c r="A84" s="127" t="s">
        <v>260</v>
      </c>
      <c r="B84" s="171"/>
      <c r="C84" s="478" t="s">
        <v>133</v>
      </c>
      <c r="D84" s="139"/>
      <c r="E84" s="139"/>
      <c r="F84" s="139"/>
      <c r="G84" s="496">
        <f>+Geometry!J59</f>
        <v>0</v>
      </c>
      <c r="H84" s="496">
        <f>+Geometry!J50</f>
        <v>0</v>
      </c>
      <c r="I84" s="496">
        <f>+Geometry!J41</f>
        <v>0</v>
      </c>
      <c r="J84" s="496">
        <f>+Geometry!J41</f>
        <v>0</v>
      </c>
      <c r="K84" s="496">
        <f>+Geometry!J23</f>
        <v>0</v>
      </c>
      <c r="L84" s="496">
        <f>+Geometry!J14</f>
        <v>0</v>
      </c>
      <c r="M84" s="496"/>
      <c r="N84" s="496"/>
      <c r="O84" s="496"/>
      <c r="P84" s="504"/>
      <c r="Q84" s="159"/>
    </row>
    <row r="85" spans="1:21">
      <c r="A85" s="171" t="s">
        <v>182</v>
      </c>
      <c r="B85" s="171"/>
      <c r="C85" s="130" t="s">
        <v>135</v>
      </c>
      <c r="D85" s="480"/>
      <c r="E85" s="480"/>
      <c r="F85" s="480"/>
      <c r="G85" s="497">
        <f t="shared" ref="G85:L85" si="29">+G84^2/4*PI()*G78</f>
        <v>0</v>
      </c>
      <c r="H85" s="497">
        <f t="shared" si="29"/>
        <v>0</v>
      </c>
      <c r="I85" s="497">
        <f t="shared" si="29"/>
        <v>0</v>
      </c>
      <c r="J85" s="497">
        <f t="shared" si="29"/>
        <v>0</v>
      </c>
      <c r="K85" s="497">
        <f t="shared" si="29"/>
        <v>0</v>
      </c>
      <c r="L85" s="497">
        <f t="shared" si="29"/>
        <v>0</v>
      </c>
      <c r="M85" s="497"/>
      <c r="N85" s="497"/>
      <c r="O85" s="497"/>
      <c r="P85" s="505"/>
      <c r="Q85" s="159"/>
    </row>
    <row r="86" spans="1:21">
      <c r="A86" s="120"/>
      <c r="B86" s="120"/>
      <c r="C86" s="170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75"/>
      <c r="O86" s="76"/>
      <c r="P86" s="76"/>
      <c r="Q86" s="159"/>
    </row>
    <row r="87" spans="1:21">
      <c r="A87" s="99" t="s">
        <v>138</v>
      </c>
      <c r="B87" s="79"/>
      <c r="C87" s="79"/>
      <c r="D87" s="79"/>
      <c r="E87" s="79"/>
      <c r="F87" s="79"/>
      <c r="G87" s="79"/>
      <c r="H87" s="79"/>
      <c r="I87" s="79"/>
      <c r="J87" s="79"/>
      <c r="K87" s="911"/>
      <c r="L87" s="911"/>
      <c r="M87" s="148"/>
      <c r="N87" s="78"/>
      <c r="O87" s="80"/>
      <c r="P87" s="62"/>
      <c r="Q87" s="159"/>
    </row>
    <row r="88" spans="1:21">
      <c r="A88" s="99"/>
      <c r="B88" s="100"/>
      <c r="C88" s="100"/>
      <c r="D88" s="143"/>
      <c r="E88" s="143"/>
      <c r="F88" s="143"/>
      <c r="G88" s="143" t="str">
        <f t="shared" ref="G88:O88" si="30">G67</f>
        <v>Cyclone 5</v>
      </c>
      <c r="H88" s="143" t="str">
        <f t="shared" si="30"/>
        <v>Cyclone 4</v>
      </c>
      <c r="I88" s="143" t="str">
        <f t="shared" si="30"/>
        <v>Cyclone 3</v>
      </c>
      <c r="J88" s="143" t="str">
        <f t="shared" si="30"/>
        <v>Cyclone 2</v>
      </c>
      <c r="K88" s="141" t="str">
        <f t="shared" si="30"/>
        <v>Cyclone 1</v>
      </c>
      <c r="L88" s="143" t="str">
        <f t="shared" si="30"/>
        <v>do not fill in</v>
      </c>
      <c r="M88" s="149" t="str">
        <f t="shared" si="30"/>
        <v>Tower exit</v>
      </c>
      <c r="N88" s="149" t="str">
        <f t="shared" si="30"/>
        <v>Downcomer</v>
      </c>
      <c r="O88" s="149" t="str">
        <f t="shared" si="30"/>
        <v>ID fan inlet</v>
      </c>
      <c r="P88" s="502"/>
      <c r="Q88" s="159"/>
    </row>
    <row r="89" spans="1:21">
      <c r="A89" s="96" t="s">
        <v>139</v>
      </c>
      <c r="B89" s="83"/>
      <c r="C89" s="101" t="s">
        <v>140</v>
      </c>
      <c r="D89" s="138"/>
      <c r="E89" s="138"/>
      <c r="F89" s="138"/>
      <c r="G89" s="499">
        <f t="shared" ref="G89:L89" si="31">$I$8/1000*$E$8*(100-$E$13)/100</f>
        <v>0</v>
      </c>
      <c r="H89" s="499">
        <f t="shared" si="31"/>
        <v>0</v>
      </c>
      <c r="I89" s="499">
        <f t="shared" si="31"/>
        <v>0</v>
      </c>
      <c r="J89" s="499">
        <f t="shared" si="31"/>
        <v>0</v>
      </c>
      <c r="K89" s="499">
        <f t="shared" si="31"/>
        <v>0</v>
      </c>
      <c r="L89" s="499">
        <f t="shared" si="31"/>
        <v>0</v>
      </c>
      <c r="M89" s="499">
        <f>$I$8/1000*$E$8*(1-General!$F$67)</f>
        <v>0</v>
      </c>
      <c r="N89" s="499">
        <f>$I$8/1000*$E$8*(1-General!$F$67)</f>
        <v>0</v>
      </c>
      <c r="O89" s="499">
        <f>$I$8/1000*$E$8*(1-General!$F$67)</f>
        <v>0</v>
      </c>
      <c r="P89" s="503"/>
      <c r="Q89" s="159"/>
      <c r="S89" s="251"/>
      <c r="T89" s="252"/>
      <c r="U89" s="103"/>
    </row>
    <row r="90" spans="1:21">
      <c r="A90" s="96" t="s">
        <v>159</v>
      </c>
      <c r="B90" s="83"/>
      <c r="C90" s="101" t="s">
        <v>140</v>
      </c>
      <c r="D90" s="139"/>
      <c r="E90" s="139"/>
      <c r="F90" s="139"/>
      <c r="G90" s="500">
        <f t="shared" ref="G90:L90" si="32">$I$9/1000*$E$8*(100-$E$13)/100</f>
        <v>0</v>
      </c>
      <c r="H90" s="500">
        <f t="shared" si="32"/>
        <v>0</v>
      </c>
      <c r="I90" s="500">
        <f t="shared" si="32"/>
        <v>0</v>
      </c>
      <c r="J90" s="500">
        <f t="shared" si="32"/>
        <v>0</v>
      </c>
      <c r="K90" s="500">
        <f t="shared" si="32"/>
        <v>0</v>
      </c>
      <c r="L90" s="500">
        <f t="shared" si="32"/>
        <v>0</v>
      </c>
      <c r="M90" s="500">
        <f>$I$9/1000*$E$8*(1-General!$F$67)</f>
        <v>0</v>
      </c>
      <c r="N90" s="500">
        <f>$I$9/1000*$E$8*(1-General!$F$67)</f>
        <v>0</v>
      </c>
      <c r="O90" s="500">
        <f>$I$9/1000*$E$8*(1-General!$F$67)</f>
        <v>0</v>
      </c>
      <c r="P90" s="504"/>
      <c r="Q90" s="159"/>
      <c r="S90" s="251"/>
      <c r="T90" s="252"/>
      <c r="U90" s="253"/>
    </row>
    <row r="91" spans="1:21">
      <c r="A91" s="96" t="s">
        <v>141</v>
      </c>
      <c r="B91" s="83"/>
      <c r="C91" s="101" t="s">
        <v>140</v>
      </c>
      <c r="D91" s="139"/>
      <c r="E91" s="139"/>
      <c r="F91" s="139"/>
      <c r="G91" s="500">
        <f t="shared" ref="G91:L91" si="33">$I$10*(100-$E$13)/100</f>
        <v>0</v>
      </c>
      <c r="H91" s="500">
        <f t="shared" si="33"/>
        <v>0</v>
      </c>
      <c r="I91" s="500">
        <f t="shared" si="33"/>
        <v>0</v>
      </c>
      <c r="J91" s="500">
        <f t="shared" si="33"/>
        <v>0</v>
      </c>
      <c r="K91" s="500">
        <f t="shared" si="33"/>
        <v>0</v>
      </c>
      <c r="L91" s="500">
        <f t="shared" si="33"/>
        <v>0</v>
      </c>
      <c r="M91" s="500">
        <f>($I$10)*(1-General!$F$67)</f>
        <v>0</v>
      </c>
      <c r="N91" s="500">
        <f>($I$10)*(1-General!$F$67)</f>
        <v>0</v>
      </c>
      <c r="O91" s="500">
        <f>($I$10)*(1-General!$F$67)</f>
        <v>0</v>
      </c>
      <c r="P91" s="504"/>
      <c r="Q91" s="159"/>
      <c r="S91" s="251"/>
      <c r="T91" s="252"/>
      <c r="U91" s="253"/>
    </row>
    <row r="92" spans="1:21">
      <c r="A92" s="96" t="s">
        <v>203</v>
      </c>
      <c r="B92" s="83"/>
      <c r="C92" s="101" t="s">
        <v>140</v>
      </c>
      <c r="D92" s="139"/>
      <c r="E92" s="139"/>
      <c r="F92" s="139"/>
      <c r="G92" s="500">
        <f>F41*(100-E13)/100</f>
        <v>0</v>
      </c>
      <c r="H92" s="500">
        <f>G92</f>
        <v>0</v>
      </c>
      <c r="I92" s="500">
        <f t="shared" ref="I92:O92" si="34">H92</f>
        <v>0</v>
      </c>
      <c r="J92" s="500">
        <f t="shared" si="34"/>
        <v>0</v>
      </c>
      <c r="K92" s="500">
        <f t="shared" si="34"/>
        <v>0</v>
      </c>
      <c r="L92" s="500">
        <f t="shared" si="34"/>
        <v>0</v>
      </c>
      <c r="M92" s="500">
        <f t="shared" si="34"/>
        <v>0</v>
      </c>
      <c r="N92" s="500">
        <f t="shared" si="34"/>
        <v>0</v>
      </c>
      <c r="O92" s="500">
        <f t="shared" si="34"/>
        <v>0</v>
      </c>
      <c r="P92" s="506"/>
      <c r="Q92" s="159"/>
      <c r="S92" s="75"/>
      <c r="T92" s="252"/>
      <c r="U92" s="254"/>
    </row>
    <row r="93" spans="1:21">
      <c r="A93" s="96" t="s">
        <v>149</v>
      </c>
      <c r="B93" s="83"/>
      <c r="C93" s="101" t="s">
        <v>140</v>
      </c>
      <c r="D93" s="139"/>
      <c r="E93" s="139"/>
      <c r="F93" s="139"/>
      <c r="G93" s="500">
        <f t="shared" ref="G93:L93" si="35">IF($F$42&lt;&gt;0,$F$42*(100-$E$13)/100,0)</f>
        <v>0</v>
      </c>
      <c r="H93" s="500">
        <f t="shared" si="35"/>
        <v>0</v>
      </c>
      <c r="I93" s="500">
        <f t="shared" si="35"/>
        <v>0</v>
      </c>
      <c r="J93" s="500">
        <f t="shared" si="35"/>
        <v>0</v>
      </c>
      <c r="K93" s="500">
        <f t="shared" si="35"/>
        <v>0</v>
      </c>
      <c r="L93" s="500">
        <f t="shared" si="35"/>
        <v>0</v>
      </c>
      <c r="M93" s="500">
        <f>IF($F$42&lt;&gt;0,$F$42*(1-General!$F$67),0)</f>
        <v>0</v>
      </c>
      <c r="N93" s="500">
        <f>IF($F$42&lt;&gt;0,$F$42*(1-General!$F$67),0)</f>
        <v>0</v>
      </c>
      <c r="O93" s="500">
        <f>IF($F$42&lt;&gt;0,$F$42*(1-General!$F$67),0)</f>
        <v>0</v>
      </c>
      <c r="P93" s="504"/>
      <c r="Q93" s="159"/>
      <c r="S93" s="75"/>
      <c r="T93" s="252"/>
      <c r="U93" s="253"/>
    </row>
    <row r="94" spans="1:21">
      <c r="A94" s="763" t="s">
        <v>449</v>
      </c>
      <c r="B94" s="83"/>
      <c r="C94" s="101" t="s">
        <v>140</v>
      </c>
      <c r="D94" s="139"/>
      <c r="E94" s="139"/>
      <c r="F94" s="139"/>
      <c r="G94" s="500">
        <f>IF($F$43&lt;&gt;0,($F$43+'T,P, O2'!$AU$150)*(100-$E$13)/100,0)</f>
        <v>0</v>
      </c>
      <c r="H94" s="500">
        <f>G94</f>
        <v>0</v>
      </c>
      <c r="I94" s="500">
        <f t="shared" ref="I94:O94" si="36">H94</f>
        <v>0</v>
      </c>
      <c r="J94" s="500">
        <f t="shared" si="36"/>
        <v>0</v>
      </c>
      <c r="K94" s="500">
        <f t="shared" si="36"/>
        <v>0</v>
      </c>
      <c r="L94" s="500">
        <f t="shared" si="36"/>
        <v>0</v>
      </c>
      <c r="M94" s="500">
        <f t="shared" si="36"/>
        <v>0</v>
      </c>
      <c r="N94" s="500">
        <f t="shared" si="36"/>
        <v>0</v>
      </c>
      <c r="O94" s="500">
        <f t="shared" si="36"/>
        <v>0</v>
      </c>
      <c r="P94" s="504"/>
      <c r="Q94" s="159"/>
      <c r="S94" s="75"/>
      <c r="T94" s="252"/>
      <c r="U94" s="253"/>
    </row>
    <row r="95" spans="1:21">
      <c r="A95" s="763" t="s">
        <v>450</v>
      </c>
      <c r="B95" s="83"/>
      <c r="C95" s="101" t="s">
        <v>140</v>
      </c>
      <c r="D95" s="139"/>
      <c r="E95" s="139"/>
      <c r="F95" s="139"/>
      <c r="G95" s="500"/>
      <c r="H95" s="500"/>
      <c r="I95" s="500"/>
      <c r="J95" s="500" t="str">
        <f>IF(General!D63=4,I11*(100-E13)/100,"")</f>
        <v/>
      </c>
      <c r="K95" s="500">
        <f>IF(OR(General!D63=5,General!D63=4),I11*(100-E13)/100,"")</f>
        <v>0</v>
      </c>
      <c r="L95" s="500">
        <f>IF(OR(General!D63=6,General!D63=5,General!D63=4),I11*(100-E13)/100,"")</f>
        <v>0</v>
      </c>
      <c r="M95" s="785">
        <f>$I$11*(1-General!$F$67)</f>
        <v>0</v>
      </c>
      <c r="N95" s="785">
        <f>$I$11*(1-General!$F$67)</f>
        <v>0</v>
      </c>
      <c r="O95" s="785">
        <f>$I$11*(1-General!$F$67)</f>
        <v>0</v>
      </c>
      <c r="P95" s="504"/>
      <c r="Q95" s="159"/>
      <c r="S95" s="251"/>
      <c r="T95" s="252"/>
      <c r="U95" s="103"/>
    </row>
    <row r="96" spans="1:21">
      <c r="A96" s="96" t="s">
        <v>162</v>
      </c>
      <c r="B96" s="83"/>
      <c r="C96" s="101" t="s">
        <v>140</v>
      </c>
      <c r="D96" s="139"/>
      <c r="E96" s="139"/>
      <c r="F96" s="139"/>
      <c r="G96" s="500"/>
      <c r="H96" s="500"/>
      <c r="I96" s="500"/>
      <c r="J96" s="500"/>
      <c r="K96" s="500"/>
      <c r="L96" s="500"/>
      <c r="M96" s="500"/>
      <c r="N96" s="500">
        <f>'T,P, O2'!M42*1000*1.244/(E7/24*1000)</f>
        <v>0</v>
      </c>
      <c r="O96" s="500">
        <f>N96</f>
        <v>0</v>
      </c>
      <c r="P96" s="506"/>
      <c r="Q96" s="159"/>
      <c r="S96" s="54"/>
      <c r="T96" s="54"/>
      <c r="U96" s="54"/>
    </row>
    <row r="97" spans="1:17">
      <c r="A97" s="96" t="s">
        <v>309</v>
      </c>
      <c r="B97" s="83"/>
      <c r="C97" s="101" t="s">
        <v>140</v>
      </c>
      <c r="D97" s="139"/>
      <c r="E97" s="139"/>
      <c r="F97" s="139"/>
      <c r="G97" s="500">
        <f t="shared" ref="G97:L97" si="37">(G90+G91+G92+G93)*G73/(21-G73)</f>
        <v>0</v>
      </c>
      <c r="H97" s="500">
        <f t="shared" si="37"/>
        <v>0</v>
      </c>
      <c r="I97" s="500">
        <f t="shared" si="37"/>
        <v>0</v>
      </c>
      <c r="J97" s="500">
        <f t="shared" si="37"/>
        <v>0</v>
      </c>
      <c r="K97" s="500">
        <f t="shared" si="37"/>
        <v>0</v>
      </c>
      <c r="L97" s="500">
        <f t="shared" si="37"/>
        <v>0</v>
      </c>
      <c r="M97" s="500">
        <f>(M90+M91+M92+M93+M98)*M73/(21-M73)</f>
        <v>0</v>
      </c>
      <c r="N97" s="500">
        <f t="shared" ref="N97:O97" si="38">(N90+N91+N92+N93+N98)*N73/(21-N73)</f>
        <v>0</v>
      </c>
      <c r="O97" s="500">
        <f t="shared" si="38"/>
        <v>0</v>
      </c>
      <c r="P97" s="504"/>
      <c r="Q97" s="159"/>
    </row>
    <row r="98" spans="1:17">
      <c r="A98" s="161" t="s">
        <v>174</v>
      </c>
      <c r="C98" s="101" t="s">
        <v>140</v>
      </c>
      <c r="D98" s="139"/>
      <c r="E98" s="139"/>
      <c r="F98" s="139"/>
      <c r="G98" s="500"/>
      <c r="H98" s="500"/>
      <c r="I98" s="500"/>
      <c r="J98" s="500"/>
      <c r="K98" s="500"/>
      <c r="L98" s="500"/>
      <c r="M98" s="500"/>
      <c r="N98" s="500">
        <f>IF('T,P, O2'!$M$37="",,'T,P, O2'!$M$37/(Calculations!$E$7/24*1000)*-1)</f>
        <v>0</v>
      </c>
      <c r="O98" s="500">
        <f>IF('T,P, O2'!$M$37="",,'T,P, O2'!$M$37/(Calculations!$E$7/24*1000)*-1)</f>
        <v>0</v>
      </c>
      <c r="P98" s="504"/>
      <c r="Q98" s="159"/>
    </row>
    <row r="99" spans="1:17">
      <c r="A99" s="875" t="s">
        <v>563</v>
      </c>
      <c r="B99" s="467"/>
      <c r="C99" s="461" t="s">
        <v>140</v>
      </c>
      <c r="D99" s="139"/>
      <c r="E99" s="139"/>
      <c r="F99" s="139"/>
      <c r="G99" s="500"/>
      <c r="H99" s="500"/>
      <c r="I99" s="500"/>
      <c r="J99" s="500">
        <f>IF(General!D63=4,IF(General!D66=1,General!D72/(Calculations!E7*1000/24),General!D72/(Calculations!E7*1000/24)/2),0)</f>
        <v>0</v>
      </c>
      <c r="K99" s="500">
        <f>IF(General!D63=5,IF(General!D66=1,General!D72/(Calculations!E7*1000/24),General!D72/(Calculations!E7*1000/24)/2),0)</f>
        <v>0</v>
      </c>
      <c r="L99" s="500">
        <f>IF(General!D63=6,IF(General!D66=1,General!D72/(Calculations!E7*1000/24),General!D72/(Calculations!E7*1000/24)/2),0)</f>
        <v>0</v>
      </c>
      <c r="M99" s="500"/>
      <c r="N99" s="500"/>
      <c r="O99" s="500"/>
      <c r="P99" s="504"/>
      <c r="Q99" s="159"/>
    </row>
    <row r="100" spans="1:17">
      <c r="A100" s="167" t="s">
        <v>142</v>
      </c>
      <c r="B100" s="168"/>
      <c r="C100" s="169" t="s">
        <v>140</v>
      </c>
      <c r="D100" s="139"/>
      <c r="E100" s="139"/>
      <c r="F100" s="139"/>
      <c r="G100" s="500">
        <f>SUM(G89:G98)-G90</f>
        <v>0</v>
      </c>
      <c r="H100" s="500">
        <f t="shared" ref="H100:O100" si="39">SUM(H89:H98)-H90</f>
        <v>0</v>
      </c>
      <c r="I100" s="500">
        <f t="shared" si="39"/>
        <v>0</v>
      </c>
      <c r="J100" s="500">
        <f t="shared" si="39"/>
        <v>0</v>
      </c>
      <c r="K100" s="500">
        <f t="shared" si="39"/>
        <v>0</v>
      </c>
      <c r="L100" s="500">
        <f t="shared" si="39"/>
        <v>0</v>
      </c>
      <c r="M100" s="500">
        <f t="shared" si="39"/>
        <v>0</v>
      </c>
      <c r="N100" s="500">
        <f t="shared" si="39"/>
        <v>0</v>
      </c>
      <c r="O100" s="500">
        <f t="shared" si="39"/>
        <v>0</v>
      </c>
      <c r="P100" s="506"/>
      <c r="Q100" s="159"/>
    </row>
    <row r="101" spans="1:17">
      <c r="A101" s="96" t="s">
        <v>142</v>
      </c>
      <c r="B101" s="83"/>
      <c r="C101" s="104" t="s">
        <v>175</v>
      </c>
      <c r="D101" s="139"/>
      <c r="E101" s="139"/>
      <c r="F101" s="139"/>
      <c r="G101" s="500">
        <f>G100*$E$7/24*1000/3600</f>
        <v>0</v>
      </c>
      <c r="H101" s="500">
        <f t="shared" ref="H101:O101" si="40">H100*$E$7/24*1000/3600</f>
        <v>0</v>
      </c>
      <c r="I101" s="500">
        <f t="shared" si="40"/>
        <v>0</v>
      </c>
      <c r="J101" s="500">
        <f t="shared" si="40"/>
        <v>0</v>
      </c>
      <c r="K101" s="500">
        <f t="shared" si="40"/>
        <v>0</v>
      </c>
      <c r="L101" s="500">
        <f t="shared" si="40"/>
        <v>0</v>
      </c>
      <c r="M101" s="500">
        <f t="shared" si="40"/>
        <v>0</v>
      </c>
      <c r="N101" s="500">
        <f t="shared" si="40"/>
        <v>0</v>
      </c>
      <c r="O101" s="500">
        <f t="shared" si="40"/>
        <v>0</v>
      </c>
      <c r="P101" s="504"/>
      <c r="Q101" s="159"/>
    </row>
    <row r="102" spans="1:17">
      <c r="A102" s="96" t="s">
        <v>176</v>
      </c>
      <c r="B102" s="83"/>
      <c r="C102" s="104" t="s">
        <v>143</v>
      </c>
      <c r="D102" s="139"/>
      <c r="E102" s="139"/>
      <c r="F102" s="139"/>
      <c r="G102" s="500">
        <f t="shared" ref="G102:O102" si="41">G101*1013/($E$12+G71)*(273+G68)/273</f>
        <v>0</v>
      </c>
      <c r="H102" s="500">
        <f t="shared" si="41"/>
        <v>0</v>
      </c>
      <c r="I102" s="500">
        <f t="shared" si="41"/>
        <v>0</v>
      </c>
      <c r="J102" s="500">
        <f t="shared" si="41"/>
        <v>0</v>
      </c>
      <c r="K102" s="500">
        <f t="shared" si="41"/>
        <v>0</v>
      </c>
      <c r="L102" s="500">
        <f t="shared" si="41"/>
        <v>0</v>
      </c>
      <c r="M102" s="500">
        <f t="shared" si="41"/>
        <v>0</v>
      </c>
      <c r="N102" s="500">
        <f>N101*1013/($E$12+N71)*(273+N68)/273</f>
        <v>0</v>
      </c>
      <c r="O102" s="500">
        <f t="shared" si="41"/>
        <v>0</v>
      </c>
      <c r="P102" s="504"/>
      <c r="Q102" s="159"/>
    </row>
    <row r="103" spans="1:17">
      <c r="A103" s="96" t="s">
        <v>144</v>
      </c>
      <c r="B103" s="83"/>
      <c r="C103" s="104" t="s">
        <v>112</v>
      </c>
      <c r="D103" s="480"/>
      <c r="E103" s="480"/>
      <c r="F103" s="480"/>
      <c r="G103" s="501"/>
      <c r="H103" s="501" t="e">
        <f t="shared" ref="H103:N103" si="42">(H97-G97)/H100*100</f>
        <v>#DIV/0!</v>
      </c>
      <c r="I103" s="501" t="e">
        <f t="shared" si="42"/>
        <v>#DIV/0!</v>
      </c>
      <c r="J103" s="501" t="e">
        <f>(J97-J99-I97)/J100*100</f>
        <v>#DIV/0!</v>
      </c>
      <c r="K103" s="501" t="e">
        <f t="shared" ref="K103:L103" si="43">(K97-K99-J97)/K100*100</f>
        <v>#DIV/0!</v>
      </c>
      <c r="L103" s="501" t="e">
        <f t="shared" si="43"/>
        <v>#DIV/0!</v>
      </c>
      <c r="M103" s="501" t="e">
        <f>(M97-L97)/M100*100</f>
        <v>#DIV/0!</v>
      </c>
      <c r="N103" s="501" t="e">
        <f t="shared" si="42"/>
        <v>#DIV/0!</v>
      </c>
      <c r="O103" s="501" t="e">
        <f>(O97-M97)/O100*100</f>
        <v>#DIV/0!</v>
      </c>
      <c r="P103" s="507"/>
      <c r="Q103" s="159"/>
    </row>
    <row r="104" spans="1:17">
      <c r="A104" s="5"/>
      <c r="B104" s="5"/>
      <c r="C104" s="5"/>
      <c r="D104" s="5"/>
      <c r="E104" s="5"/>
      <c r="F104" s="5"/>
      <c r="G104" s="5"/>
      <c r="H104" s="5"/>
      <c r="I104" s="5"/>
      <c r="J104" s="5" t="e">
        <f>(M97-J97)/M100*100</f>
        <v>#DIV/0!</v>
      </c>
      <c r="K104" s="5" t="e">
        <f>(M97-K97)/M100*100</f>
        <v>#DIV/0!</v>
      </c>
      <c r="L104" s="5"/>
      <c r="M104" s="84"/>
      <c r="N104" s="75"/>
      <c r="O104" s="76"/>
      <c r="Q104" s="159"/>
    </row>
    <row r="105" spans="1:17">
      <c r="A105" s="902" t="s">
        <v>145</v>
      </c>
      <c r="B105" s="902"/>
      <c r="C105" s="902"/>
      <c r="D105" s="902"/>
      <c r="E105" s="902"/>
      <c r="F105" s="902"/>
      <c r="G105" s="902"/>
      <c r="H105" s="902"/>
      <c r="I105" s="902"/>
      <c r="J105" s="902"/>
      <c r="K105" s="902"/>
      <c r="L105" s="902"/>
      <c r="M105" s="902"/>
      <c r="N105" s="902"/>
      <c r="O105" s="902"/>
      <c r="P105" s="902"/>
      <c r="Q105" s="159"/>
    </row>
    <row r="106" spans="1:17">
      <c r="A106" s="12"/>
      <c r="B106" s="88"/>
      <c r="C106" s="89"/>
      <c r="D106" s="97"/>
      <c r="E106" s="97"/>
      <c r="F106" s="97"/>
      <c r="G106" s="97" t="str">
        <f>G88</f>
        <v>Cyclone 5</v>
      </c>
      <c r="H106" s="97" t="str">
        <f t="shared" ref="H106:O106" si="44">H88</f>
        <v>Cyclone 4</v>
      </c>
      <c r="I106" s="97" t="str">
        <f t="shared" si="44"/>
        <v>Cyclone 3</v>
      </c>
      <c r="J106" s="97" t="str">
        <f t="shared" si="44"/>
        <v>Cyclone 2</v>
      </c>
      <c r="K106" s="97" t="str">
        <f t="shared" si="44"/>
        <v>Cyclone 1</v>
      </c>
      <c r="L106" s="97" t="str">
        <f t="shared" si="44"/>
        <v>do not fill in</v>
      </c>
      <c r="M106" s="90" t="str">
        <f t="shared" si="44"/>
        <v>Tower exit</v>
      </c>
      <c r="N106" s="75" t="str">
        <f t="shared" si="44"/>
        <v>Downcomer</v>
      </c>
      <c r="O106" s="75" t="str">
        <f t="shared" si="44"/>
        <v>ID fan inlet</v>
      </c>
      <c r="P106" s="93"/>
      <c r="Q106" s="159"/>
    </row>
    <row r="107" spans="1:17">
      <c r="A107" s="91" t="s">
        <v>177</v>
      </c>
      <c r="B107" s="88"/>
      <c r="C107" s="90" t="s">
        <v>146</v>
      </c>
      <c r="D107" s="564"/>
      <c r="E107" s="564"/>
      <c r="F107" s="564"/>
      <c r="G107" s="603" t="e">
        <f>F51/G80</f>
        <v>#DIV/0!</v>
      </c>
      <c r="H107" s="233" t="e">
        <f>G102/H80</f>
        <v>#DIV/0!</v>
      </c>
      <c r="I107" s="106" t="e">
        <f>H102/I80</f>
        <v>#DIV/0!</v>
      </c>
      <c r="J107" s="106" t="e">
        <f>I102/J80</f>
        <v>#DIV/0!</v>
      </c>
      <c r="K107" s="106" t="e">
        <f>J102/K80</f>
        <v>#DIV/0!</v>
      </c>
      <c r="L107" s="106" t="e">
        <f>K102/L80</f>
        <v>#DIV/0!</v>
      </c>
      <c r="M107" s="106" t="e">
        <f>M102/M80</f>
        <v>#DIV/0!</v>
      </c>
      <c r="N107" s="106" t="e">
        <f>N102/N80</f>
        <v>#DIV/0!</v>
      </c>
      <c r="O107" s="106"/>
      <c r="P107" s="106"/>
      <c r="Q107" s="159"/>
    </row>
    <row r="108" spans="1:17">
      <c r="A108" s="94" t="s">
        <v>178</v>
      </c>
      <c r="B108" s="95"/>
      <c r="C108" s="90" t="s">
        <v>146</v>
      </c>
      <c r="D108" s="76"/>
      <c r="E108" s="76"/>
      <c r="F108" s="76"/>
      <c r="G108" s="106" t="e">
        <f t="shared" ref="G108:L108" si="45">+G102/G83</f>
        <v>#DIV/0!</v>
      </c>
      <c r="H108" s="106" t="e">
        <f t="shared" si="45"/>
        <v>#DIV/0!</v>
      </c>
      <c r="I108" s="106" t="e">
        <f t="shared" si="45"/>
        <v>#DIV/0!</v>
      </c>
      <c r="J108" s="106" t="e">
        <f t="shared" si="45"/>
        <v>#DIV/0!</v>
      </c>
      <c r="K108" s="106" t="e">
        <f t="shared" si="45"/>
        <v>#DIV/0!</v>
      </c>
      <c r="L108" s="106" t="e">
        <f t="shared" si="45"/>
        <v>#DIV/0!</v>
      </c>
      <c r="M108" s="76"/>
      <c r="N108" s="75"/>
      <c r="O108" s="76"/>
      <c r="P108" s="76"/>
      <c r="Q108" s="159"/>
    </row>
    <row r="109" spans="1:17">
      <c r="A109" t="s">
        <v>183</v>
      </c>
      <c r="C109" s="90" t="s">
        <v>146</v>
      </c>
      <c r="D109" s="144"/>
      <c r="E109" s="144"/>
      <c r="F109" s="144"/>
      <c r="G109" s="106" t="e">
        <f t="shared" ref="G109:L109" si="46">+G102/G85</f>
        <v>#DIV/0!</v>
      </c>
      <c r="H109" s="106" t="e">
        <f t="shared" si="46"/>
        <v>#DIV/0!</v>
      </c>
      <c r="I109" s="106" t="e">
        <f t="shared" si="46"/>
        <v>#DIV/0!</v>
      </c>
      <c r="J109" s="106" t="e">
        <f t="shared" si="46"/>
        <v>#DIV/0!</v>
      </c>
      <c r="K109" s="106" t="e">
        <f t="shared" si="46"/>
        <v>#DIV/0!</v>
      </c>
      <c r="L109" s="106" t="e">
        <f t="shared" si="46"/>
        <v>#DIV/0!</v>
      </c>
      <c r="N109" s="73"/>
      <c r="O109" s="74"/>
      <c r="P109" s="144"/>
      <c r="Q109" s="159"/>
    </row>
    <row r="110" spans="1:17">
      <c r="A110" t="s">
        <v>179</v>
      </c>
      <c r="C110" s="90" t="s">
        <v>146</v>
      </c>
      <c r="D110" s="144"/>
      <c r="E110" s="144"/>
      <c r="F110" s="144"/>
      <c r="G110" s="230" t="e">
        <f t="shared" ref="G110:L110" si="47">G102/G80</f>
        <v>#DIV/0!</v>
      </c>
      <c r="H110" s="230" t="e">
        <f t="shared" si="47"/>
        <v>#DIV/0!</v>
      </c>
      <c r="I110" s="230" t="e">
        <f t="shared" si="47"/>
        <v>#DIV/0!</v>
      </c>
      <c r="J110" s="230" t="e">
        <f t="shared" si="47"/>
        <v>#DIV/0!</v>
      </c>
      <c r="K110" s="230" t="e">
        <f t="shared" si="47"/>
        <v>#DIV/0!</v>
      </c>
      <c r="L110" s="230" t="e">
        <f t="shared" si="47"/>
        <v>#DIV/0!</v>
      </c>
      <c r="N110" s="73"/>
      <c r="O110" s="74"/>
      <c r="P110" s="144"/>
      <c r="Q110" s="159"/>
    </row>
    <row r="111" spans="1:17">
      <c r="Q111" s="144"/>
    </row>
    <row r="112" spans="1:17">
      <c r="A112" s="181" t="s">
        <v>64</v>
      </c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3"/>
      <c r="O112" s="184"/>
      <c r="P112" s="185"/>
      <c r="Q112" s="150"/>
    </row>
    <row r="113" spans="1:17">
      <c r="Q113" s="150"/>
    </row>
    <row r="114" spans="1:17">
      <c r="A114" s="77" t="s">
        <v>102</v>
      </c>
      <c r="B114" s="78"/>
      <c r="C114" s="79"/>
      <c r="D114" s="80"/>
      <c r="E114" s="81"/>
      <c r="F114" s="5"/>
      <c r="G114" s="77" t="s">
        <v>103</v>
      </c>
      <c r="H114" s="79"/>
      <c r="I114" s="82"/>
      <c r="J114" s="82"/>
      <c r="K114" s="83"/>
      <c r="L114" s="5"/>
      <c r="M114" s="84"/>
      <c r="N114" s="75"/>
      <c r="O114" s="76"/>
      <c r="Q114" s="150"/>
    </row>
    <row r="115" spans="1:17" ht="12.75" customHeight="1">
      <c r="A115" s="508" t="s">
        <v>104</v>
      </c>
      <c r="B115" s="509"/>
      <c r="C115" s="565" t="s">
        <v>198</v>
      </c>
      <c r="D115" s="511" t="s">
        <v>105</v>
      </c>
      <c r="E115" s="512">
        <f>+'T,P, O2'!AS11</f>
        <v>0</v>
      </c>
      <c r="F115" s="571"/>
      <c r="G115" s="77"/>
      <c r="H115" s="79"/>
      <c r="I115" s="224"/>
      <c r="J115" s="79" t="s">
        <v>184</v>
      </c>
      <c r="K115" s="95"/>
      <c r="L115" s="5"/>
      <c r="M115" s="84"/>
      <c r="N115" s="75"/>
      <c r="O115" s="76"/>
      <c r="Q115" s="150"/>
    </row>
    <row r="116" spans="1:17">
      <c r="A116" s="513" t="s">
        <v>108</v>
      </c>
      <c r="B116" s="514"/>
      <c r="C116" s="566" t="s">
        <v>198</v>
      </c>
      <c r="D116" s="516" t="s">
        <v>109</v>
      </c>
      <c r="E116" s="517" t="e">
        <f>+'T,P, O2'!AQ58</f>
        <v>#DIV/0!</v>
      </c>
      <c r="F116" s="571"/>
      <c r="G116" s="527" t="s">
        <v>106</v>
      </c>
      <c r="H116" s="576"/>
      <c r="I116" s="528" t="s">
        <v>151</v>
      </c>
      <c r="J116" s="572" t="e">
        <f>'T,P, O2'!AQ53</f>
        <v>#DIV/0!</v>
      </c>
      <c r="K116" s="456" t="s">
        <v>107</v>
      </c>
      <c r="L116" s="5"/>
      <c r="M116" s="84"/>
      <c r="N116" s="75"/>
      <c r="O116" s="76"/>
      <c r="Q116" s="150"/>
    </row>
    <row r="117" spans="1:17">
      <c r="A117" s="513" t="s">
        <v>199</v>
      </c>
      <c r="B117" s="514"/>
      <c r="C117" s="567"/>
      <c r="D117" s="516" t="s">
        <v>112</v>
      </c>
      <c r="E117" s="517">
        <f>+'T,P, O2'!E61</f>
        <v>0</v>
      </c>
      <c r="F117" s="5"/>
      <c r="G117" s="533" t="s">
        <v>110</v>
      </c>
      <c r="H117" s="519"/>
      <c r="I117" s="534" t="s">
        <v>151</v>
      </c>
      <c r="J117" s="573" t="e">
        <f>+'T,P, O2'!AR53</f>
        <v>#DIV/0!</v>
      </c>
      <c r="K117" s="460" t="s">
        <v>107</v>
      </c>
      <c r="L117" s="5"/>
      <c r="M117" s="84"/>
      <c r="N117" s="75"/>
      <c r="O117" s="76"/>
      <c r="Q117" s="150"/>
    </row>
    <row r="118" spans="1:17">
      <c r="A118" s="513" t="s">
        <v>200</v>
      </c>
      <c r="B118" s="514"/>
      <c r="C118" s="568"/>
      <c r="D118" s="516" t="s">
        <v>112</v>
      </c>
      <c r="E118" s="517">
        <f>E11</f>
        <v>95</v>
      </c>
      <c r="F118" s="5"/>
      <c r="G118" s="533" t="s">
        <v>113</v>
      </c>
      <c r="H118" s="577"/>
      <c r="I118" s="46"/>
      <c r="J118" s="574">
        <f>I10</f>
        <v>0.27</v>
      </c>
      <c r="K118" s="460" t="s">
        <v>114</v>
      </c>
      <c r="L118" s="5"/>
      <c r="M118" s="84"/>
      <c r="N118" s="75"/>
      <c r="O118" s="76"/>
      <c r="Q118" s="150"/>
    </row>
    <row r="119" spans="1:17">
      <c r="A119" s="522" t="s">
        <v>205</v>
      </c>
      <c r="B119" s="523"/>
      <c r="C119" s="569"/>
      <c r="D119" s="525" t="s">
        <v>206</v>
      </c>
      <c r="E119" s="570">
        <f>Geometry!E66</f>
        <v>0</v>
      </c>
      <c r="F119" s="5"/>
      <c r="G119" s="760" t="s">
        <v>434</v>
      </c>
      <c r="H119" s="578"/>
      <c r="I119" s="46"/>
      <c r="J119" s="761">
        <f>+General!E79+IF(Calculations!E115&gt;0,('T,P, O2'!E4*'T,P, O2'!E5/100*1244)/(Calculations!E115*1000/24),0)</f>
        <v>0.01</v>
      </c>
      <c r="K119" s="460" t="s">
        <v>114</v>
      </c>
      <c r="L119" s="5"/>
      <c r="M119" s="84"/>
      <c r="N119" s="75"/>
      <c r="O119" s="76"/>
      <c r="Q119" s="150"/>
    </row>
    <row r="120" spans="1:17">
      <c r="A120" s="135"/>
      <c r="B120" s="135"/>
      <c r="C120" s="186"/>
      <c r="D120" s="136"/>
      <c r="E120" s="187"/>
      <c r="F120" s="5"/>
      <c r="G120" s="546" t="s">
        <v>118</v>
      </c>
      <c r="H120" s="579"/>
      <c r="I120" s="575" t="s">
        <v>151</v>
      </c>
      <c r="J120" s="548" t="e">
        <f>+'T,P, O2'!AS53</f>
        <v>#DIV/0!</v>
      </c>
      <c r="K120" s="473" t="s">
        <v>107</v>
      </c>
      <c r="L120" s="5"/>
      <c r="M120" s="120"/>
      <c r="N120" s="75"/>
      <c r="O120" s="76"/>
      <c r="Q120" s="150"/>
    </row>
    <row r="121" spans="1:17">
      <c r="A121" s="135"/>
      <c r="B121" s="135"/>
      <c r="C121" s="186"/>
      <c r="D121" s="136"/>
      <c r="E121" s="187"/>
      <c r="F121" s="84"/>
      <c r="G121" s="747" t="s">
        <v>435</v>
      </c>
      <c r="H121" s="120"/>
      <c r="I121" s="190"/>
      <c r="J121" s="120"/>
      <c r="L121" s="5"/>
      <c r="M121" s="120"/>
      <c r="N121" s="75"/>
      <c r="O121" s="76"/>
      <c r="Q121" s="150"/>
    </row>
    <row r="122" spans="1:17">
      <c r="A122" s="84"/>
      <c r="B122" s="84"/>
      <c r="C122" s="5"/>
      <c r="D122" s="84"/>
      <c r="E122" s="5"/>
      <c r="F122" s="5"/>
      <c r="G122" s="84"/>
      <c r="H122" s="5"/>
      <c r="I122" s="5"/>
      <c r="J122" s="84"/>
      <c r="K122" s="5"/>
      <c r="L122" s="84"/>
      <c r="M122" s="84"/>
      <c r="N122" s="75"/>
      <c r="O122" s="76"/>
      <c r="Q122" s="150"/>
    </row>
    <row r="123" spans="1:17">
      <c r="A123" s="905" t="s">
        <v>119</v>
      </c>
      <c r="B123" s="906"/>
      <c r="C123" s="906"/>
      <c r="D123" s="906"/>
      <c r="E123" s="906"/>
      <c r="F123" s="906"/>
      <c r="G123" s="906"/>
      <c r="H123" s="906"/>
      <c r="I123" s="906"/>
      <c r="J123" s="906"/>
      <c r="K123" s="906"/>
      <c r="L123" s="906"/>
      <c r="M123" s="906"/>
      <c r="N123" s="906"/>
      <c r="O123" s="906"/>
      <c r="P123" s="907"/>
      <c r="Q123" s="150"/>
    </row>
    <row r="124" spans="1:17">
      <c r="A124" s="10"/>
      <c r="B124" s="120"/>
      <c r="C124" s="121"/>
      <c r="D124" s="122"/>
      <c r="E124" s="123"/>
      <c r="F124" s="124"/>
      <c r="G124" s="125" t="str">
        <f>'T,P, O2'!D54</f>
        <v>Cyclone 5</v>
      </c>
      <c r="H124" s="125" t="str">
        <f>'T,P, O2'!D45</f>
        <v>Cyclone 4</v>
      </c>
      <c r="I124" s="125" t="str">
        <f>'T,P, O2'!D36</f>
        <v>Cyclone 3</v>
      </c>
      <c r="J124" s="125" t="str">
        <f>'T,P, O2'!D27</f>
        <v>Cyclone 2</v>
      </c>
      <c r="K124" s="125" t="str">
        <f>'T,P, O2'!D18</f>
        <v>Cyclone 1</v>
      </c>
      <c r="L124" s="125" t="str">
        <f>'T,P, O2'!D9</f>
        <v>do not fill in</v>
      </c>
      <c r="M124" s="123" t="str">
        <f>'T,P, O2'!H27</f>
        <v>Tower exit</v>
      </c>
      <c r="N124" s="75" t="s">
        <v>155</v>
      </c>
      <c r="O124" s="76" t="s">
        <v>156</v>
      </c>
      <c r="P124" s="126" t="s">
        <v>123</v>
      </c>
      <c r="Q124" s="150"/>
    </row>
    <row r="125" spans="1:17">
      <c r="A125" s="128" t="s">
        <v>124</v>
      </c>
      <c r="B125" s="129"/>
      <c r="C125" s="130" t="s">
        <v>125</v>
      </c>
      <c r="D125" s="156"/>
      <c r="E125" s="138"/>
      <c r="F125" s="156"/>
      <c r="G125" s="145">
        <f>+'T,P, O2'!E55</f>
        <v>0</v>
      </c>
      <c r="H125" s="194">
        <f>+'T,P, O2'!E46</f>
        <v>0</v>
      </c>
      <c r="I125" s="145">
        <f>+'T,P, O2'!E37</f>
        <v>0</v>
      </c>
      <c r="J125" s="194">
        <f>+'T,P, O2'!E28</f>
        <v>0</v>
      </c>
      <c r="K125" s="145">
        <f>+'T,P, O2'!E19</f>
        <v>0</v>
      </c>
      <c r="L125" s="194">
        <f>+'T,P, O2'!E10</f>
        <v>0</v>
      </c>
      <c r="M125" s="145">
        <f>+'T,P, O2'!I28</f>
        <v>0</v>
      </c>
      <c r="N125" s="194">
        <f>'T,P, O2'!I49</f>
        <v>0</v>
      </c>
      <c r="O125" s="145">
        <f>+'T,P, O2'!I67</f>
        <v>0</v>
      </c>
      <c r="P125" s="580">
        <f>+'T,P, O2'!E67</f>
        <v>0</v>
      </c>
      <c r="Q125" s="150"/>
    </row>
    <row r="126" spans="1:17">
      <c r="A126" s="131" t="s">
        <v>126</v>
      </c>
      <c r="B126" s="132"/>
      <c r="C126" s="133" t="s">
        <v>125</v>
      </c>
      <c r="D126" s="140"/>
      <c r="E126" s="139"/>
      <c r="F126" s="140"/>
      <c r="G126" s="146">
        <f>+'T,P, O2'!E60</f>
        <v>0</v>
      </c>
      <c r="H126" s="147">
        <f>+'T,P, O2'!E51</f>
        <v>0</v>
      </c>
      <c r="I126" s="146">
        <f>+'T,P, O2'!E42</f>
        <v>0</v>
      </c>
      <c r="J126" s="147">
        <f>+'T,P, O2'!E33</f>
        <v>0</v>
      </c>
      <c r="K126" s="146">
        <f>+'T,P, O2'!E24</f>
        <v>0</v>
      </c>
      <c r="L126" s="147">
        <f>+'T,P, O2'!E15</f>
        <v>0</v>
      </c>
      <c r="M126" s="139"/>
      <c r="N126" s="726"/>
      <c r="O126" s="139"/>
      <c r="P126" s="211"/>
      <c r="Q126" s="150"/>
    </row>
    <row r="127" spans="1:17">
      <c r="A127" s="131" t="s">
        <v>127</v>
      </c>
      <c r="B127" s="132"/>
      <c r="C127" s="133" t="s">
        <v>125</v>
      </c>
      <c r="D127" s="140"/>
      <c r="E127" s="139"/>
      <c r="F127" s="140"/>
      <c r="G127" s="146">
        <f t="shared" ref="G127:L127" si="48">G125-G126</f>
        <v>0</v>
      </c>
      <c r="H127" s="147">
        <f t="shared" si="48"/>
        <v>0</v>
      </c>
      <c r="I127" s="146">
        <f t="shared" si="48"/>
        <v>0</v>
      </c>
      <c r="J127" s="147">
        <f t="shared" si="48"/>
        <v>0</v>
      </c>
      <c r="K127" s="146">
        <f t="shared" si="48"/>
        <v>0</v>
      </c>
      <c r="L127" s="147">
        <f t="shared" si="48"/>
        <v>0</v>
      </c>
      <c r="M127" s="139"/>
      <c r="N127" s="726"/>
      <c r="O127" s="139"/>
      <c r="P127" s="211"/>
      <c r="Q127" s="150"/>
    </row>
    <row r="128" spans="1:17">
      <c r="A128" s="131" t="s">
        <v>128</v>
      </c>
      <c r="B128" s="132"/>
      <c r="C128" s="133" t="s">
        <v>117</v>
      </c>
      <c r="D128" s="140"/>
      <c r="E128" s="139"/>
      <c r="F128" s="140"/>
      <c r="G128" s="146">
        <f>+'T,P, O2'!E56</f>
        <v>0</v>
      </c>
      <c r="H128" s="147">
        <f>+'T,P, O2'!E47</f>
        <v>0</v>
      </c>
      <c r="I128" s="146">
        <f>+'T,P, O2'!E38</f>
        <v>0</v>
      </c>
      <c r="J128" s="147">
        <f>+'T,P, O2'!E29</f>
        <v>0</v>
      </c>
      <c r="K128" s="146">
        <f>+'T,P, O2'!E20</f>
        <v>0</v>
      </c>
      <c r="L128" s="147">
        <f>+'T,P, O2'!E11</f>
        <v>0</v>
      </c>
      <c r="M128" s="146">
        <f>+'T,P, O2'!I29</f>
        <v>0</v>
      </c>
      <c r="N128" s="147">
        <f>'T,P, O2'!I60</f>
        <v>0</v>
      </c>
      <c r="O128" s="146">
        <f>+'T,P, O2'!I68</f>
        <v>0</v>
      </c>
      <c r="P128" s="208">
        <f>+'T,P, O2'!E68</f>
        <v>0</v>
      </c>
      <c r="Q128" s="150"/>
    </row>
    <row r="129" spans="1:17">
      <c r="A129" s="131" t="s">
        <v>129</v>
      </c>
      <c r="B129" s="132"/>
      <c r="C129" s="134" t="s">
        <v>117</v>
      </c>
      <c r="D129" s="140"/>
      <c r="E129" s="139"/>
      <c r="F129" s="140"/>
      <c r="G129" s="146">
        <f t="shared" ref="G129:P129" si="49">ABS(G128-F128)</f>
        <v>0</v>
      </c>
      <c r="H129" s="147">
        <f t="shared" si="49"/>
        <v>0</v>
      </c>
      <c r="I129" s="146">
        <f t="shared" si="49"/>
        <v>0</v>
      </c>
      <c r="J129" s="147">
        <f t="shared" si="49"/>
        <v>0</v>
      </c>
      <c r="K129" s="146">
        <f t="shared" si="49"/>
        <v>0</v>
      </c>
      <c r="L129" s="147">
        <f t="shared" si="49"/>
        <v>0</v>
      </c>
      <c r="M129" s="146">
        <f t="shared" si="49"/>
        <v>0</v>
      </c>
      <c r="N129" s="146">
        <f t="shared" si="49"/>
        <v>0</v>
      </c>
      <c r="O129" s="146">
        <f t="shared" si="49"/>
        <v>0</v>
      </c>
      <c r="P129" s="146">
        <f t="shared" si="49"/>
        <v>0</v>
      </c>
      <c r="Q129" s="150"/>
    </row>
    <row r="130" spans="1:17">
      <c r="A130" s="131" t="s">
        <v>130</v>
      </c>
      <c r="B130" s="132"/>
      <c r="C130" s="133" t="s">
        <v>112</v>
      </c>
      <c r="D130" s="140"/>
      <c r="E130" s="139"/>
      <c r="F130" s="140"/>
      <c r="G130" s="146">
        <f>+'T,P, O2'!E57</f>
        <v>0</v>
      </c>
      <c r="H130" s="147">
        <f>+'T,P, O2'!E39</f>
        <v>0</v>
      </c>
      <c r="I130" s="146">
        <f>+'T,P, O2'!E39</f>
        <v>0</v>
      </c>
      <c r="J130" s="147">
        <f>+'T,P, O2'!E30</f>
        <v>0</v>
      </c>
      <c r="K130" s="146">
        <f>+'T,P, O2'!E21</f>
        <v>0</v>
      </c>
      <c r="L130" s="147">
        <f>+'T,P, O2'!E12</f>
        <v>0</v>
      </c>
      <c r="M130" s="146">
        <f>+'T,P, O2'!I30</f>
        <v>0</v>
      </c>
      <c r="N130" s="726">
        <f>IF('T,P, O2'!I48="",'T,P, O2'!I30,'T,P, O2'!I48)</f>
        <v>0</v>
      </c>
      <c r="O130" s="146">
        <f>+'T,P, O2'!I69</f>
        <v>0</v>
      </c>
      <c r="P130" s="212"/>
      <c r="Q130" s="150"/>
    </row>
    <row r="131" spans="1:17">
      <c r="A131" s="483" t="s">
        <v>131</v>
      </c>
      <c r="B131" s="581"/>
      <c r="C131" s="478" t="s">
        <v>112</v>
      </c>
      <c r="D131" s="587"/>
      <c r="E131" s="480"/>
      <c r="F131" s="587"/>
      <c r="G131" s="479"/>
      <c r="H131" s="582">
        <f>H130-G130</f>
        <v>0</v>
      </c>
      <c r="I131" s="479">
        <f>I130-H130</f>
        <v>0</v>
      </c>
      <c r="J131" s="582">
        <f>J130-I130</f>
        <v>0</v>
      </c>
      <c r="K131" s="479">
        <f>K130-J130</f>
        <v>0</v>
      </c>
      <c r="L131" s="582"/>
      <c r="M131" s="479">
        <f>M130-L130</f>
        <v>0</v>
      </c>
      <c r="N131" s="479">
        <f>N130-M130</f>
        <v>0</v>
      </c>
      <c r="O131" s="479">
        <f>O130-N130</f>
        <v>0</v>
      </c>
      <c r="P131" s="479">
        <f>P130-O130</f>
        <v>0</v>
      </c>
      <c r="Q131" s="150"/>
    </row>
    <row r="132" spans="1:17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84"/>
      <c r="N132" s="114"/>
      <c r="O132" s="115"/>
      <c r="P132" s="116"/>
      <c r="Q132" s="150"/>
    </row>
    <row r="133" spans="1:17">
      <c r="A133" s="908" t="s">
        <v>132</v>
      </c>
      <c r="B133" s="909"/>
      <c r="C133" s="909"/>
      <c r="D133" s="909"/>
      <c r="E133" s="909"/>
      <c r="F133" s="909"/>
      <c r="G133" s="909"/>
      <c r="H133" s="909"/>
      <c r="I133" s="909"/>
      <c r="J133" s="909"/>
      <c r="K133" s="909"/>
      <c r="L133" s="909"/>
      <c r="M133" s="909"/>
      <c r="N133" s="909"/>
      <c r="O133" s="909"/>
      <c r="P133" s="910"/>
      <c r="Q133" s="150"/>
    </row>
    <row r="134" spans="1:17">
      <c r="A134" s="109"/>
      <c r="B134" s="117"/>
      <c r="C134" s="110"/>
      <c r="D134" s="143"/>
      <c r="E134" s="143" t="s">
        <v>204</v>
      </c>
      <c r="F134" s="143" t="s">
        <v>64</v>
      </c>
      <c r="G134" s="152" t="str">
        <f t="shared" ref="G134:M134" si="50">G124</f>
        <v>Cyclone 5</v>
      </c>
      <c r="H134" s="152" t="str">
        <f t="shared" si="50"/>
        <v>Cyclone 4</v>
      </c>
      <c r="I134" s="152" t="str">
        <f t="shared" si="50"/>
        <v>Cyclone 3</v>
      </c>
      <c r="J134" s="152" t="str">
        <f t="shared" si="50"/>
        <v>Cyclone 2</v>
      </c>
      <c r="K134" s="86" t="str">
        <f t="shared" si="50"/>
        <v>Cyclone 1</v>
      </c>
      <c r="L134" s="152" t="str">
        <f t="shared" si="50"/>
        <v>do not fill in</v>
      </c>
      <c r="M134" s="86" t="str">
        <f t="shared" si="50"/>
        <v>Tower exit</v>
      </c>
      <c r="N134" s="86" t="str">
        <f>N124</f>
        <v>Downcomer</v>
      </c>
      <c r="O134" s="86" t="str">
        <f>O124</f>
        <v>ID fan inlet</v>
      </c>
      <c r="P134" s="153" t="str">
        <f>P124</f>
        <v>TA duct</v>
      </c>
      <c r="Q134" s="150"/>
    </row>
    <row r="135" spans="1:17">
      <c r="A135" s="111" t="s">
        <v>157</v>
      </c>
      <c r="B135" s="112"/>
      <c r="C135" s="556" t="s">
        <v>158</v>
      </c>
      <c r="D135" s="557"/>
      <c r="E135" s="557">
        <v>1</v>
      </c>
      <c r="F135" s="557">
        <v>1</v>
      </c>
      <c r="G135" s="337">
        <f>+Geometry!E62</f>
        <v>0</v>
      </c>
      <c r="H135" s="337">
        <f>+Geometry!E53</f>
        <v>0</v>
      </c>
      <c r="I135" s="337">
        <f>+Geometry!E44</f>
        <v>0</v>
      </c>
      <c r="J135" s="337">
        <f>+Geometry!E35</f>
        <v>0</v>
      </c>
      <c r="K135" s="337">
        <f>+Geometry!E26</f>
        <v>0</v>
      </c>
      <c r="L135" s="337">
        <f>+Geometry!E17</f>
        <v>0</v>
      </c>
      <c r="M135" s="337">
        <v>1</v>
      </c>
      <c r="N135" s="337">
        <v>1</v>
      </c>
      <c r="O135" s="337"/>
      <c r="P135" s="337">
        <v>1</v>
      </c>
      <c r="Q135" s="150"/>
    </row>
    <row r="136" spans="1:17">
      <c r="A136" s="109" t="s">
        <v>180</v>
      </c>
      <c r="B136" s="110"/>
      <c r="C136" s="133" t="s">
        <v>133</v>
      </c>
      <c r="D136" s="139"/>
      <c r="E136" s="496">
        <f>+Geometry!E70</f>
        <v>0</v>
      </c>
      <c r="F136" s="496">
        <f>+Geometry!E67</f>
        <v>0</v>
      </c>
      <c r="G136" s="496">
        <f>+Geometry!E60</f>
        <v>0</v>
      </c>
      <c r="H136" s="496">
        <f>+Geometry!E51</f>
        <v>0</v>
      </c>
      <c r="I136" s="496">
        <f>+Geometry!E42</f>
        <v>0</v>
      </c>
      <c r="J136" s="496">
        <f>+Geometry!E33</f>
        <v>0</v>
      </c>
      <c r="K136" s="496">
        <f>+Geometry!E24</f>
        <v>0</v>
      </c>
      <c r="L136" s="496">
        <f>+Geometry!E15</f>
        <v>0</v>
      </c>
      <c r="M136" s="496">
        <v>4</v>
      </c>
      <c r="N136" s="496">
        <f>+Geometry!E9</f>
        <v>0</v>
      </c>
      <c r="O136" s="496"/>
      <c r="P136" s="496">
        <f>+Geometry!E73</f>
        <v>0</v>
      </c>
      <c r="Q136" s="150"/>
    </row>
    <row r="137" spans="1:17">
      <c r="A137" s="111" t="s">
        <v>134</v>
      </c>
      <c r="B137" s="112"/>
      <c r="C137" s="133" t="s">
        <v>135</v>
      </c>
      <c r="D137" s="583"/>
      <c r="E137" s="559">
        <f t="shared" ref="E137:P137" si="51">PI()/4*E136^2*E135</f>
        <v>0</v>
      </c>
      <c r="F137" s="559">
        <f t="shared" si="51"/>
        <v>0</v>
      </c>
      <c r="G137" s="496">
        <f t="shared" si="51"/>
        <v>0</v>
      </c>
      <c r="H137" s="496">
        <f>PI()/4*H136^2*G135</f>
        <v>0</v>
      </c>
      <c r="I137" s="496">
        <f>PI()/4*I136^2*H135</f>
        <v>0</v>
      </c>
      <c r="J137" s="496">
        <f>PI()/4*J136^2*I135</f>
        <v>0</v>
      </c>
      <c r="K137" s="496">
        <f>PI()/4*K136^2*J135</f>
        <v>0</v>
      </c>
      <c r="L137" s="496">
        <f>PI()/4*L136^2*K135</f>
        <v>0</v>
      </c>
      <c r="M137" s="496">
        <f t="shared" si="51"/>
        <v>12.566370614359172</v>
      </c>
      <c r="N137" s="496">
        <f t="shared" si="51"/>
        <v>0</v>
      </c>
      <c r="O137" s="559">
        <f t="shared" si="51"/>
        <v>0</v>
      </c>
      <c r="P137" s="559">
        <f t="shared" si="51"/>
        <v>0</v>
      </c>
      <c r="Q137" s="150"/>
    </row>
    <row r="138" spans="1:17">
      <c r="A138" s="118" t="s">
        <v>136</v>
      </c>
      <c r="B138" s="112"/>
      <c r="C138" s="133" t="s">
        <v>133</v>
      </c>
      <c r="D138" s="139"/>
      <c r="E138" s="504"/>
      <c r="F138" s="504"/>
      <c r="G138" s="496">
        <f>+Geometry!E57</f>
        <v>0</v>
      </c>
      <c r="H138" s="496">
        <f>+Geometry!E48</f>
        <v>0</v>
      </c>
      <c r="I138" s="496">
        <f>+Geometry!E39</f>
        <v>0</v>
      </c>
      <c r="J138" s="496">
        <f>+Geometry!E30</f>
        <v>0</v>
      </c>
      <c r="K138" s="496">
        <f>+Geometry!E21</f>
        <v>0</v>
      </c>
      <c r="L138" s="496">
        <f>+Geometry!E12</f>
        <v>0</v>
      </c>
      <c r="M138" s="496">
        <v>4</v>
      </c>
      <c r="N138" s="727"/>
      <c r="O138" s="585"/>
      <c r="P138" s="585"/>
      <c r="Q138" s="150"/>
    </row>
    <row r="139" spans="1:17">
      <c r="A139" s="111" t="s">
        <v>137</v>
      </c>
      <c r="B139" s="112"/>
      <c r="C139" s="133" t="s">
        <v>135</v>
      </c>
      <c r="D139" s="139"/>
      <c r="E139" s="504"/>
      <c r="F139" s="504"/>
      <c r="G139" s="496">
        <f t="shared" ref="G139:M139" si="52">PI()/4*G138^2*G135</f>
        <v>0</v>
      </c>
      <c r="H139" s="496">
        <f t="shared" si="52"/>
        <v>0</v>
      </c>
      <c r="I139" s="496">
        <f t="shared" si="52"/>
        <v>0</v>
      </c>
      <c r="J139" s="496">
        <f t="shared" si="52"/>
        <v>0</v>
      </c>
      <c r="K139" s="496">
        <f t="shared" si="52"/>
        <v>0</v>
      </c>
      <c r="L139" s="496">
        <f t="shared" si="52"/>
        <v>0</v>
      </c>
      <c r="M139" s="496">
        <f t="shared" si="52"/>
        <v>12.566370614359172</v>
      </c>
      <c r="N139" s="496"/>
      <c r="O139" s="585"/>
      <c r="P139" s="585"/>
      <c r="Q139" s="150"/>
    </row>
    <row r="140" spans="1:17">
      <c r="A140" s="554" t="s">
        <v>181</v>
      </c>
      <c r="B140" s="555"/>
      <c r="C140" s="133" t="s">
        <v>135</v>
      </c>
      <c r="D140" s="139"/>
      <c r="E140" s="504"/>
      <c r="F140" s="504"/>
      <c r="G140" s="496">
        <f>+Geometry!E61</f>
        <v>0</v>
      </c>
      <c r="H140" s="496">
        <f>+Geometry!E52</f>
        <v>0</v>
      </c>
      <c r="I140" s="496">
        <f>+Geometry!E43</f>
        <v>0</v>
      </c>
      <c r="J140" s="496">
        <f>+Geometry!E34</f>
        <v>0</v>
      </c>
      <c r="K140" s="496">
        <f>+Geometry!E25</f>
        <v>0</v>
      </c>
      <c r="L140" s="496">
        <f>+Geometry!E16</f>
        <v>0</v>
      </c>
      <c r="M140" s="496">
        <v>10</v>
      </c>
      <c r="N140" s="727"/>
      <c r="O140" s="585"/>
      <c r="P140" s="585"/>
      <c r="Q140" s="150"/>
    </row>
    <row r="141" spans="1:17">
      <c r="A141" s="554" t="s">
        <v>260</v>
      </c>
      <c r="B141" s="555"/>
      <c r="C141" s="133" t="s">
        <v>133</v>
      </c>
      <c r="D141" s="139"/>
      <c r="E141" s="504"/>
      <c r="F141" s="504"/>
      <c r="G141" s="496">
        <f>+Geometry!E59</f>
        <v>0</v>
      </c>
      <c r="H141" s="496">
        <f>+Geometry!E50</f>
        <v>0</v>
      </c>
      <c r="I141" s="496">
        <f>+Geometry!E41</f>
        <v>0</v>
      </c>
      <c r="J141" s="496">
        <f>+Geometry!E32</f>
        <v>0</v>
      </c>
      <c r="K141" s="496">
        <f>+Geometry!E23</f>
        <v>0</v>
      </c>
      <c r="L141" s="496">
        <f>+Geometry!E14</f>
        <v>0</v>
      </c>
      <c r="M141" s="496"/>
      <c r="N141" s="727"/>
      <c r="O141" s="585"/>
      <c r="P141" s="585"/>
      <c r="Q141" s="150"/>
    </row>
    <row r="142" spans="1:17">
      <c r="A142" s="109" t="s">
        <v>182</v>
      </c>
      <c r="B142" s="110"/>
      <c r="C142" s="478" t="s">
        <v>135</v>
      </c>
      <c r="D142" s="480"/>
      <c r="E142" s="505"/>
      <c r="F142" s="505"/>
      <c r="G142" s="497">
        <f>+G141^2/4*PI()*G135</f>
        <v>0</v>
      </c>
      <c r="H142" s="497">
        <f t="shared" ref="H142:M142" si="53">+H141^2/4*PI()*H135</f>
        <v>0</v>
      </c>
      <c r="I142" s="497">
        <f t="shared" si="53"/>
        <v>0</v>
      </c>
      <c r="J142" s="497">
        <f t="shared" si="53"/>
        <v>0</v>
      </c>
      <c r="K142" s="497">
        <f t="shared" si="53"/>
        <v>0</v>
      </c>
      <c r="L142" s="497">
        <f t="shared" si="53"/>
        <v>0</v>
      </c>
      <c r="M142" s="497">
        <f t="shared" si="53"/>
        <v>0</v>
      </c>
      <c r="N142" s="728"/>
      <c r="O142" s="586"/>
      <c r="P142" s="586"/>
      <c r="Q142" s="150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84"/>
      <c r="L143" s="84"/>
      <c r="M143" s="84"/>
      <c r="N143" s="75"/>
      <c r="O143" s="76"/>
      <c r="Q143" s="150"/>
    </row>
    <row r="144" spans="1:17" ht="13.5" thickBot="1">
      <c r="A144" s="99" t="s">
        <v>138</v>
      </c>
      <c r="B144" s="79"/>
      <c r="C144" s="79"/>
      <c r="D144" s="6"/>
      <c r="E144" s="6"/>
      <c r="F144" s="6"/>
      <c r="G144" s="6"/>
      <c r="H144" s="6"/>
      <c r="I144" s="6"/>
      <c r="J144" s="6"/>
      <c r="K144" s="912"/>
      <c r="L144" s="912"/>
      <c r="M144" s="271"/>
      <c r="N144" s="591"/>
      <c r="O144" s="592"/>
      <c r="P144" s="65"/>
      <c r="Q144" s="150"/>
    </row>
    <row r="145" spans="1:17" ht="13.5" thickBot="1">
      <c r="A145" s="99"/>
      <c r="B145" s="100"/>
      <c r="C145" s="100"/>
      <c r="D145" s="141"/>
      <c r="E145" s="141" t="str">
        <f>E134</f>
        <v>Ellbow</v>
      </c>
      <c r="F145" s="141" t="str">
        <f>F134</f>
        <v>SLC</v>
      </c>
      <c r="G145" s="141" t="str">
        <f t="shared" ref="G145:O145" si="54">G124</f>
        <v>Cyclone 5</v>
      </c>
      <c r="H145" s="141" t="str">
        <f t="shared" si="54"/>
        <v>Cyclone 4</v>
      </c>
      <c r="I145" s="141" t="str">
        <f t="shared" si="54"/>
        <v>Cyclone 3</v>
      </c>
      <c r="J145" s="141" t="str">
        <f t="shared" si="54"/>
        <v>Cyclone 2</v>
      </c>
      <c r="K145" s="141" t="str">
        <f t="shared" si="54"/>
        <v>Cyclone 1</v>
      </c>
      <c r="L145" s="141" t="str">
        <f t="shared" si="54"/>
        <v>do not fill in</v>
      </c>
      <c r="M145" s="149" t="str">
        <f t="shared" si="54"/>
        <v>Tower exit</v>
      </c>
      <c r="N145" s="149" t="str">
        <f t="shared" si="54"/>
        <v>Downcomer</v>
      </c>
      <c r="O145" s="259" t="str">
        <f t="shared" si="54"/>
        <v>ID fan inlet</v>
      </c>
      <c r="P145" s="493" t="str">
        <f>P124</f>
        <v>TA duct</v>
      </c>
      <c r="Q145" s="599"/>
    </row>
    <row r="146" spans="1:17">
      <c r="A146" s="96" t="s">
        <v>139</v>
      </c>
      <c r="B146" s="83"/>
      <c r="C146" s="588" t="s">
        <v>140</v>
      </c>
      <c r="D146" s="600"/>
      <c r="E146" s="600"/>
      <c r="F146" s="600"/>
      <c r="G146" s="487" t="e">
        <f t="shared" ref="G146:O146" si="55">$E$116/1000*$J$116</f>
        <v>#DIV/0!</v>
      </c>
      <c r="H146" s="487" t="e">
        <f t="shared" si="55"/>
        <v>#DIV/0!</v>
      </c>
      <c r="I146" s="487" t="e">
        <f t="shared" si="55"/>
        <v>#DIV/0!</v>
      </c>
      <c r="J146" s="487" t="e">
        <f t="shared" si="55"/>
        <v>#DIV/0!</v>
      </c>
      <c r="K146" s="487" t="e">
        <f t="shared" si="55"/>
        <v>#DIV/0!</v>
      </c>
      <c r="L146" s="487" t="e">
        <f t="shared" si="55"/>
        <v>#DIV/0!</v>
      </c>
      <c r="M146" s="487" t="e">
        <f t="shared" si="55"/>
        <v>#DIV/0!</v>
      </c>
      <c r="N146" s="729" t="e">
        <f t="shared" si="55"/>
        <v>#DIV/0!</v>
      </c>
      <c r="O146" s="601" t="e">
        <f t="shared" si="55"/>
        <v>#DIV/0!</v>
      </c>
      <c r="P146" s="492" t="e">
        <f>+'T,P, O2'!AS53*Calculations!E116/1000</f>
        <v>#DIV/0!</v>
      </c>
      <c r="Q146" s="234" t="s">
        <v>238</v>
      </c>
    </row>
    <row r="147" spans="1:17">
      <c r="A147" s="96" t="s">
        <v>159</v>
      </c>
      <c r="B147" s="83"/>
      <c r="C147" s="588" t="s">
        <v>140</v>
      </c>
      <c r="D147" s="594"/>
      <c r="E147" s="594"/>
      <c r="F147" s="594"/>
      <c r="G147" s="463" t="e">
        <f t="shared" ref="G147:O147" si="56">$E$116/1000*$J$117</f>
        <v>#DIV/0!</v>
      </c>
      <c r="H147" s="463" t="e">
        <f t="shared" si="56"/>
        <v>#DIV/0!</v>
      </c>
      <c r="I147" s="463" t="e">
        <f t="shared" si="56"/>
        <v>#DIV/0!</v>
      </c>
      <c r="J147" s="463" t="e">
        <f t="shared" si="56"/>
        <v>#DIV/0!</v>
      </c>
      <c r="K147" s="463" t="e">
        <f t="shared" si="56"/>
        <v>#DIV/0!</v>
      </c>
      <c r="L147" s="463" t="e">
        <f t="shared" si="56"/>
        <v>#DIV/0!</v>
      </c>
      <c r="M147" s="463" t="e">
        <f t="shared" si="56"/>
        <v>#DIV/0!</v>
      </c>
      <c r="N147" s="463" t="e">
        <f t="shared" si="56"/>
        <v>#DIV/0!</v>
      </c>
      <c r="O147" s="485" t="e">
        <f t="shared" si="56"/>
        <v>#DIV/0!</v>
      </c>
      <c r="P147" s="488"/>
      <c r="Q147" s="234"/>
    </row>
    <row r="148" spans="1:17">
      <c r="A148" s="96" t="s">
        <v>203</v>
      </c>
      <c r="B148" s="83"/>
      <c r="C148" s="588" t="s">
        <v>140</v>
      </c>
      <c r="D148" s="593"/>
      <c r="E148" s="593"/>
      <c r="F148" s="593"/>
      <c r="G148" s="465">
        <f>J118*E117/100</f>
        <v>0</v>
      </c>
      <c r="H148" s="465">
        <f>G148</f>
        <v>0</v>
      </c>
      <c r="I148" s="465">
        <f t="shared" ref="I148:O148" si="57">H148</f>
        <v>0</v>
      </c>
      <c r="J148" s="465">
        <f t="shared" si="57"/>
        <v>0</v>
      </c>
      <c r="K148" s="465">
        <f t="shared" si="57"/>
        <v>0</v>
      </c>
      <c r="L148" s="465">
        <f t="shared" si="57"/>
        <v>0</v>
      </c>
      <c r="M148" s="465">
        <f t="shared" si="57"/>
        <v>0</v>
      </c>
      <c r="N148" s="464">
        <f t="shared" si="57"/>
        <v>0</v>
      </c>
      <c r="O148" s="486">
        <f t="shared" si="57"/>
        <v>0</v>
      </c>
      <c r="P148" s="489" t="e">
        <f>G153</f>
        <v>#DIV/0!</v>
      </c>
      <c r="Q148" s="234" t="s">
        <v>237</v>
      </c>
    </row>
    <row r="149" spans="1:17" ht="13.5" thickBot="1">
      <c r="A149" s="96" t="s">
        <v>202</v>
      </c>
      <c r="B149" s="83"/>
      <c r="C149" s="588" t="s">
        <v>140</v>
      </c>
      <c r="D149" s="593"/>
      <c r="E149" s="593"/>
      <c r="F149" s="593"/>
      <c r="G149" s="465" t="e">
        <f>I10*(E117-E118)/100*E7/E115</f>
        <v>#DIV/0!</v>
      </c>
      <c r="H149" s="465" t="e">
        <f>G149</f>
        <v>#DIV/0!</v>
      </c>
      <c r="I149" s="465" t="e">
        <f t="shared" ref="I149:O150" si="58">H149</f>
        <v>#DIV/0!</v>
      </c>
      <c r="J149" s="465" t="e">
        <f t="shared" si="58"/>
        <v>#DIV/0!</v>
      </c>
      <c r="K149" s="465" t="e">
        <f t="shared" si="58"/>
        <v>#DIV/0!</v>
      </c>
      <c r="L149" s="465" t="e">
        <f t="shared" si="58"/>
        <v>#DIV/0!</v>
      </c>
      <c r="M149" s="465" t="e">
        <f t="shared" si="58"/>
        <v>#DIV/0!</v>
      </c>
      <c r="N149" s="464" t="e">
        <f t="shared" si="58"/>
        <v>#DIV/0!</v>
      </c>
      <c r="O149" s="486" t="e">
        <f t="shared" si="58"/>
        <v>#DIV/0!</v>
      </c>
      <c r="P149" s="490">
        <f>'T,P, O2'!E72/(E8/24*1000)</f>
        <v>0</v>
      </c>
      <c r="Q149" s="235" t="s">
        <v>240</v>
      </c>
    </row>
    <row r="150" spans="1:17">
      <c r="A150" s="763" t="s">
        <v>451</v>
      </c>
      <c r="B150" s="83"/>
      <c r="C150" s="588" t="s">
        <v>140</v>
      </c>
      <c r="D150" s="593"/>
      <c r="E150" s="593"/>
      <c r="F150" s="593"/>
      <c r="G150" s="465">
        <f>'T,P, O2'!AQ150</f>
        <v>0</v>
      </c>
      <c r="H150" s="465">
        <f>G150</f>
        <v>0</v>
      </c>
      <c r="I150" s="465">
        <f t="shared" si="58"/>
        <v>0</v>
      </c>
      <c r="J150" s="465">
        <f t="shared" si="58"/>
        <v>0</v>
      </c>
      <c r="K150" s="465">
        <f t="shared" si="58"/>
        <v>0</v>
      </c>
      <c r="L150" s="465">
        <f t="shared" si="58"/>
        <v>0</v>
      </c>
      <c r="M150" s="465">
        <f t="shared" si="58"/>
        <v>0</v>
      </c>
      <c r="N150" s="465">
        <f t="shared" si="58"/>
        <v>0</v>
      </c>
      <c r="O150" s="465">
        <f t="shared" si="58"/>
        <v>0</v>
      </c>
      <c r="P150" s="764"/>
      <c r="Q150" s="765"/>
    </row>
    <row r="151" spans="1:17">
      <c r="A151" s="96" t="s">
        <v>161</v>
      </c>
      <c r="B151" s="83"/>
      <c r="C151" s="588" t="s">
        <v>140</v>
      </c>
      <c r="D151" s="593"/>
      <c r="E151" s="593"/>
      <c r="F151" s="593"/>
      <c r="G151" s="465"/>
      <c r="H151" s="465"/>
      <c r="I151" s="465"/>
      <c r="J151" s="465" t="str">
        <f>IF(General!D62=4,J119,"")</f>
        <v/>
      </c>
      <c r="K151" s="465">
        <f>IF(OR(General!D62=4,General!D62=5),J119,"")</f>
        <v>0.01</v>
      </c>
      <c r="L151" s="465">
        <f>IF(OR(General!D62=6,General!D62=5,General!D62=4),J119,"")</f>
        <v>0.01</v>
      </c>
      <c r="M151" s="464">
        <f>L151</f>
        <v>0.01</v>
      </c>
      <c r="N151" s="464">
        <f>M151</f>
        <v>0.01</v>
      </c>
      <c r="O151" s="465">
        <f>N151</f>
        <v>0.01</v>
      </c>
      <c r="P151" s="487"/>
      <c r="Q151" s="150"/>
    </row>
    <row r="152" spans="1:17">
      <c r="A152" s="96" t="s">
        <v>162</v>
      </c>
      <c r="B152" s="83"/>
      <c r="C152" s="588" t="s">
        <v>140</v>
      </c>
      <c r="D152" s="593"/>
      <c r="E152" s="593"/>
      <c r="F152" s="593"/>
      <c r="G152" s="465"/>
      <c r="H152" s="465"/>
      <c r="I152" s="465"/>
      <c r="J152" s="465"/>
      <c r="K152" s="465"/>
      <c r="L152" s="465"/>
      <c r="M152" s="464"/>
      <c r="N152" s="464" t="e">
        <f>'T,P, O2'!I42*1000*1.244/(E115/24*1000)</f>
        <v>#DIV/0!</v>
      </c>
      <c r="O152" s="465" t="e">
        <f>N152</f>
        <v>#DIV/0!</v>
      </c>
      <c r="P152" s="465"/>
      <c r="Q152" s="150"/>
    </row>
    <row r="153" spans="1:17">
      <c r="A153" s="96" t="s">
        <v>309</v>
      </c>
      <c r="B153" s="83"/>
      <c r="C153" s="588" t="s">
        <v>140</v>
      </c>
      <c r="D153" s="593"/>
      <c r="E153" s="593"/>
      <c r="F153" s="593"/>
      <c r="G153" s="465" t="e">
        <f t="shared" ref="G153:L153" si="59">(G147+G148+G149)*G130/(21-G130)*(100-$E$13)/100</f>
        <v>#DIV/0!</v>
      </c>
      <c r="H153" s="465" t="e">
        <f t="shared" si="59"/>
        <v>#DIV/0!</v>
      </c>
      <c r="I153" s="465" t="e">
        <f t="shared" si="59"/>
        <v>#DIV/0!</v>
      </c>
      <c r="J153" s="465" t="e">
        <f t="shared" si="59"/>
        <v>#DIV/0!</v>
      </c>
      <c r="K153" s="465" t="e">
        <f t="shared" si="59"/>
        <v>#DIV/0!</v>
      </c>
      <c r="L153" s="465" t="e">
        <f t="shared" si="59"/>
        <v>#DIV/0!</v>
      </c>
      <c r="M153" s="464" t="e">
        <f>(M147+M148-M149-M154)*M130/(21-M130)*(1-General!$F$67)</f>
        <v>#DIV/0!</v>
      </c>
      <c r="N153" s="464" t="e">
        <f>(N147+N148-N149-N154)*N130/(21-N130)*(1-General!$F$67)</f>
        <v>#DIV/0!</v>
      </c>
      <c r="O153" s="464" t="e">
        <f>(O147+O148-O149-O154)*O130/(21-O130)*(1-General!$F$67)</f>
        <v>#DIV/0!</v>
      </c>
      <c r="P153" s="464"/>
      <c r="Q153" s="150"/>
    </row>
    <row r="154" spans="1:17">
      <c r="A154" s="161" t="s">
        <v>173</v>
      </c>
      <c r="C154" s="588" t="s">
        <v>140</v>
      </c>
      <c r="D154" s="595"/>
      <c r="E154" s="593"/>
      <c r="F154" s="593"/>
      <c r="G154" s="465"/>
      <c r="H154" s="465"/>
      <c r="I154" s="465"/>
      <c r="J154" s="466"/>
      <c r="K154" s="466"/>
      <c r="L154" s="466"/>
      <c r="M154" s="466"/>
      <c r="N154" s="464">
        <f>IF('T,P, O2'!$I$37="",,'T,P, O2'!$I$37/($E$116/24*1000)*-1)</f>
        <v>0</v>
      </c>
      <c r="O154" s="464">
        <f>N154</f>
        <v>0</v>
      </c>
      <c r="P154" s="464"/>
      <c r="Q154" s="150"/>
    </row>
    <row r="155" spans="1:17">
      <c r="A155" s="875" t="s">
        <v>563</v>
      </c>
      <c r="B155" s="467"/>
      <c r="C155" s="461" t="s">
        <v>140</v>
      </c>
      <c r="D155" s="595"/>
      <c r="E155" s="593"/>
      <c r="F155" s="593"/>
      <c r="G155" s="465"/>
      <c r="H155" s="465"/>
      <c r="I155" s="465"/>
      <c r="J155" s="466">
        <f>IF(General!D62=4,General!D73/(Calculations!E115*1000/24),0)</f>
        <v>0</v>
      </c>
      <c r="K155" s="466" t="e">
        <f>IF(General!D62=5,General!D73/(Calculations!E115*1000/24),0)</f>
        <v>#DIV/0!</v>
      </c>
      <c r="L155" s="466">
        <f>IF(General!D62=6,General!D73/(Calculations!E115*1000/24),0)</f>
        <v>0</v>
      </c>
      <c r="M155" s="466"/>
      <c r="N155" s="464"/>
      <c r="O155" s="464"/>
      <c r="P155" s="464"/>
      <c r="Q155" s="150"/>
    </row>
    <row r="156" spans="1:17">
      <c r="A156" s="167" t="s">
        <v>142</v>
      </c>
      <c r="B156" s="168"/>
      <c r="C156" s="589" t="s">
        <v>140</v>
      </c>
      <c r="D156" s="596"/>
      <c r="E156" s="596"/>
      <c r="F156" s="596"/>
      <c r="G156" s="470" t="e">
        <f t="shared" ref="G156:O156" si="60">SUM(G146:G154)-G147</f>
        <v>#DIV/0!</v>
      </c>
      <c r="H156" s="470" t="e">
        <f t="shared" si="60"/>
        <v>#DIV/0!</v>
      </c>
      <c r="I156" s="470" t="e">
        <f t="shared" si="60"/>
        <v>#DIV/0!</v>
      </c>
      <c r="J156" s="470" t="e">
        <f t="shared" si="60"/>
        <v>#DIV/0!</v>
      </c>
      <c r="K156" s="470" t="e">
        <f t="shared" si="60"/>
        <v>#DIV/0!</v>
      </c>
      <c r="L156" s="470" t="e">
        <f t="shared" si="60"/>
        <v>#DIV/0!</v>
      </c>
      <c r="M156" s="470" t="e">
        <f t="shared" si="60"/>
        <v>#DIV/0!</v>
      </c>
      <c r="N156" s="724" t="e">
        <f t="shared" si="60"/>
        <v>#DIV/0!</v>
      </c>
      <c r="O156" s="470" t="e">
        <f t="shared" si="60"/>
        <v>#DIV/0!</v>
      </c>
      <c r="P156" s="465" t="e">
        <f>P146+P148-P149</f>
        <v>#DIV/0!</v>
      </c>
      <c r="Q156" s="150"/>
    </row>
    <row r="157" spans="1:17">
      <c r="A157" s="96" t="s">
        <v>142</v>
      </c>
      <c r="B157" s="83"/>
      <c r="C157" s="590" t="s">
        <v>175</v>
      </c>
      <c r="D157" s="597"/>
      <c r="E157" s="597"/>
      <c r="F157" s="597"/>
      <c r="G157" s="472" t="e">
        <f>G156*$E$115/24*1000/3600</f>
        <v>#DIV/0!</v>
      </c>
      <c r="H157" s="472" t="e">
        <f>H156*$E$115/24*1000/3600</f>
        <v>#DIV/0!</v>
      </c>
      <c r="I157" s="472" t="e">
        <f t="shared" ref="I157:P157" si="61">I156*$E$115/24*1000/3600</f>
        <v>#DIV/0!</v>
      </c>
      <c r="J157" s="472" t="e">
        <f t="shared" si="61"/>
        <v>#DIV/0!</v>
      </c>
      <c r="K157" s="472" t="e">
        <f t="shared" si="61"/>
        <v>#DIV/0!</v>
      </c>
      <c r="L157" s="472" t="e">
        <f t="shared" si="61"/>
        <v>#DIV/0!</v>
      </c>
      <c r="M157" s="472" t="e">
        <f t="shared" si="61"/>
        <v>#DIV/0!</v>
      </c>
      <c r="N157" s="725" t="e">
        <f t="shared" si="61"/>
        <v>#DIV/0!</v>
      </c>
      <c r="O157" s="472" t="e">
        <f t="shared" si="61"/>
        <v>#DIV/0!</v>
      </c>
      <c r="P157" s="472" t="e">
        <f t="shared" si="61"/>
        <v>#DIV/0!</v>
      </c>
      <c r="Q157" s="150"/>
    </row>
    <row r="158" spans="1:17">
      <c r="A158" s="96" t="s">
        <v>176</v>
      </c>
      <c r="B158" s="83"/>
      <c r="C158" s="590" t="s">
        <v>143</v>
      </c>
      <c r="D158" s="598"/>
      <c r="E158" s="598"/>
      <c r="F158" s="598"/>
      <c r="G158" s="338" t="e">
        <f t="shared" ref="G158:P158" si="62">G157*1013/($E$12+G128)*(273+G125)/273</f>
        <v>#DIV/0!</v>
      </c>
      <c r="H158" s="338" t="e">
        <f t="shared" si="62"/>
        <v>#DIV/0!</v>
      </c>
      <c r="I158" s="338" t="e">
        <f t="shared" si="62"/>
        <v>#DIV/0!</v>
      </c>
      <c r="J158" s="338" t="e">
        <f t="shared" si="62"/>
        <v>#DIV/0!</v>
      </c>
      <c r="K158" s="338" t="e">
        <f t="shared" si="62"/>
        <v>#DIV/0!</v>
      </c>
      <c r="L158" s="338" t="e">
        <f t="shared" si="62"/>
        <v>#DIV/0!</v>
      </c>
      <c r="M158" s="338" t="e">
        <f t="shared" si="62"/>
        <v>#DIV/0!</v>
      </c>
      <c r="N158" s="338" t="e">
        <f t="shared" si="62"/>
        <v>#DIV/0!</v>
      </c>
      <c r="O158" s="338" t="e">
        <f t="shared" si="62"/>
        <v>#DIV/0!</v>
      </c>
      <c r="P158" s="338" t="e">
        <f t="shared" si="62"/>
        <v>#DIV/0!</v>
      </c>
      <c r="Q158" s="150"/>
    </row>
    <row r="159" spans="1:17">
      <c r="A159" s="96" t="s">
        <v>144</v>
      </c>
      <c r="B159" s="83"/>
      <c r="C159" s="590" t="s">
        <v>112</v>
      </c>
      <c r="D159" s="584"/>
      <c r="E159" s="584"/>
      <c r="F159" s="584"/>
      <c r="G159" s="341"/>
      <c r="H159" s="340" t="e">
        <f t="shared" ref="H159:N159" si="63">(H153-G153)/H156*100</f>
        <v>#DIV/0!</v>
      </c>
      <c r="I159" s="340" t="e">
        <f t="shared" si="63"/>
        <v>#DIV/0!</v>
      </c>
      <c r="J159" s="340" t="e">
        <f>(J153*J155-I153)/J156*100</f>
        <v>#DIV/0!</v>
      </c>
      <c r="K159" s="340" t="e">
        <f t="shared" ref="K159:L159" si="64">(K153*K155-J153)/K156*100</f>
        <v>#DIV/0!</v>
      </c>
      <c r="L159" s="340" t="e">
        <f t="shared" si="64"/>
        <v>#DIV/0!</v>
      </c>
      <c r="M159" s="340" t="e">
        <f t="shared" si="63"/>
        <v>#DIV/0!</v>
      </c>
      <c r="N159" s="340" t="e">
        <f t="shared" si="63"/>
        <v>#DIV/0!</v>
      </c>
      <c r="O159" s="340"/>
      <c r="P159" s="341"/>
      <c r="Q159" s="150"/>
    </row>
    <row r="160" spans="1:17">
      <c r="A160" s="5"/>
      <c r="B160" s="5"/>
      <c r="C160" s="5"/>
      <c r="D160" s="5"/>
      <c r="E160" s="5"/>
      <c r="F160" s="5"/>
      <c r="G160" s="5"/>
      <c r="H160" s="5"/>
      <c r="I160" s="5"/>
      <c r="J160" s="5" t="e">
        <f>(M153-J153)/M156*100</f>
        <v>#DIV/0!</v>
      </c>
      <c r="K160" s="5" t="e">
        <f>(M153-K153)/M156*100</f>
        <v>#DIV/0!</v>
      </c>
      <c r="L160" s="5"/>
      <c r="M160" s="84"/>
      <c r="N160" s="75"/>
      <c r="O160" s="76"/>
      <c r="Q160" s="150"/>
    </row>
    <row r="161" spans="1:17">
      <c r="A161" s="902" t="s">
        <v>145</v>
      </c>
      <c r="B161" s="902"/>
      <c r="C161" s="902"/>
      <c r="D161" s="902"/>
      <c r="E161" s="902"/>
      <c r="F161" s="902"/>
      <c r="G161" s="902"/>
      <c r="H161" s="902"/>
      <c r="I161" s="902"/>
      <c r="J161" s="902"/>
      <c r="K161" s="902"/>
      <c r="L161" s="902"/>
      <c r="M161" s="902"/>
      <c r="N161" s="902"/>
      <c r="O161" s="902"/>
      <c r="P161" s="902"/>
      <c r="Q161" s="150"/>
    </row>
    <row r="162" spans="1:17">
      <c r="A162" s="12"/>
      <c r="B162" s="88"/>
      <c r="C162" s="89"/>
      <c r="D162" s="90"/>
      <c r="E162" s="269" t="str">
        <f>E134</f>
        <v>Ellbow</v>
      </c>
      <c r="F162" s="269" t="str">
        <f>F134</f>
        <v>SLC</v>
      </c>
      <c r="G162" s="97" t="str">
        <f t="shared" ref="G162:M162" si="65">G124</f>
        <v>Cyclone 5</v>
      </c>
      <c r="H162" s="97" t="str">
        <f t="shared" si="65"/>
        <v>Cyclone 4</v>
      </c>
      <c r="I162" s="97" t="str">
        <f t="shared" si="65"/>
        <v>Cyclone 3</v>
      </c>
      <c r="J162" s="97" t="str">
        <f t="shared" si="65"/>
        <v>Cyclone 2</v>
      </c>
      <c r="K162" s="97" t="str">
        <f t="shared" si="65"/>
        <v>Cyclone 1</v>
      </c>
      <c r="L162" s="97" t="str">
        <f t="shared" si="65"/>
        <v>do not fill in</v>
      </c>
      <c r="M162" s="90" t="str">
        <f t="shared" si="65"/>
        <v>Tower exit</v>
      </c>
      <c r="N162" s="75" t="str">
        <f>N145</f>
        <v>Downcomer</v>
      </c>
      <c r="O162" s="75" t="str">
        <f>O145</f>
        <v>ID fan inlet</v>
      </c>
      <c r="P162" s="93" t="str">
        <f>P124</f>
        <v>TA duct</v>
      </c>
      <c r="Q162" s="150"/>
    </row>
    <row r="163" spans="1:17">
      <c r="A163" s="94" t="s">
        <v>177</v>
      </c>
      <c r="B163" s="95"/>
      <c r="C163" s="90" t="s">
        <v>146</v>
      </c>
      <c r="D163" s="105"/>
      <c r="E163" s="230" t="e">
        <f>G158/E137</f>
        <v>#DIV/0!</v>
      </c>
      <c r="F163" s="105"/>
      <c r="G163" s="106" t="e">
        <f>G158/G137</f>
        <v>#DIV/0!</v>
      </c>
      <c r="H163" s="106" t="e">
        <f>G158/H137</f>
        <v>#DIV/0!</v>
      </c>
      <c r="I163" s="106" t="e">
        <f>H158/I137</f>
        <v>#DIV/0!</v>
      </c>
      <c r="J163" s="106" t="e">
        <f>I158/J137</f>
        <v>#DIV/0!</v>
      </c>
      <c r="K163" s="106" t="e">
        <f>J158/K137</f>
        <v>#DIV/0!</v>
      </c>
      <c r="L163" s="106" t="e">
        <f>K158/L137</f>
        <v>#DIV/0!</v>
      </c>
      <c r="M163" s="106" t="e">
        <f>M158/M137</f>
        <v>#DIV/0!</v>
      </c>
      <c r="N163" s="106" t="e">
        <f>N158/N137</f>
        <v>#DIV/0!</v>
      </c>
      <c r="O163" s="106"/>
      <c r="P163" s="106" t="e">
        <f>P158/P137</f>
        <v>#DIV/0!</v>
      </c>
      <c r="Q163" s="150"/>
    </row>
    <row r="164" spans="1:17">
      <c r="A164" s="94" t="s">
        <v>178</v>
      </c>
      <c r="B164" s="95"/>
      <c r="C164" s="90" t="s">
        <v>146</v>
      </c>
      <c r="D164" s="76"/>
      <c r="E164" s="76"/>
      <c r="F164" s="332"/>
      <c r="G164" s="106" t="e">
        <f t="shared" ref="G164:L164" si="66">+G158/G140</f>
        <v>#DIV/0!</v>
      </c>
      <c r="H164" s="106" t="e">
        <f t="shared" si="66"/>
        <v>#DIV/0!</v>
      </c>
      <c r="I164" s="106" t="e">
        <f t="shared" si="66"/>
        <v>#DIV/0!</v>
      </c>
      <c r="J164" s="106" t="e">
        <f t="shared" si="66"/>
        <v>#DIV/0!</v>
      </c>
      <c r="K164" s="106" t="e">
        <f t="shared" si="66"/>
        <v>#DIV/0!</v>
      </c>
      <c r="L164" s="106" t="e">
        <f t="shared" si="66"/>
        <v>#DIV/0!</v>
      </c>
      <c r="M164" s="76"/>
      <c r="N164" s="75"/>
      <c r="O164" s="76"/>
      <c r="P164" s="76"/>
      <c r="Q164" s="150"/>
    </row>
    <row r="165" spans="1:17">
      <c r="A165" s="408" t="s">
        <v>183</v>
      </c>
      <c r="B165" s="51"/>
      <c r="C165" s="90" t="s">
        <v>146</v>
      </c>
      <c r="D165" s="54"/>
      <c r="F165" s="602" t="e">
        <f>G158/F137</f>
        <v>#DIV/0!</v>
      </c>
      <c r="G165" s="106" t="e">
        <f t="shared" ref="G165:L165" si="67">+G158/G142</f>
        <v>#DIV/0!</v>
      </c>
      <c r="H165" s="106" t="e">
        <f t="shared" si="67"/>
        <v>#DIV/0!</v>
      </c>
      <c r="I165" s="106" t="e">
        <f t="shared" si="67"/>
        <v>#DIV/0!</v>
      </c>
      <c r="J165" s="106" t="e">
        <f t="shared" si="67"/>
        <v>#DIV/0!</v>
      </c>
      <c r="K165" s="106" t="e">
        <f t="shared" si="67"/>
        <v>#DIV/0!</v>
      </c>
      <c r="L165" s="106" t="e">
        <f t="shared" si="67"/>
        <v>#DIV/0!</v>
      </c>
      <c r="N165" s="73"/>
      <c r="O165" s="74"/>
      <c r="P165" s="144"/>
      <c r="Q165" s="150"/>
    </row>
    <row r="166" spans="1:17">
      <c r="A166" s="408" t="s">
        <v>179</v>
      </c>
      <c r="B166" s="51"/>
      <c r="C166" s="90" t="s">
        <v>146</v>
      </c>
      <c r="D166" s="54"/>
      <c r="E166" s="54"/>
      <c r="F166" s="332"/>
      <c r="G166" s="230" t="e">
        <f t="shared" ref="G166:L166" si="68">G158/G139</f>
        <v>#DIV/0!</v>
      </c>
      <c r="H166" s="230" t="e">
        <f t="shared" si="68"/>
        <v>#DIV/0!</v>
      </c>
      <c r="I166" s="230" t="e">
        <f t="shared" si="68"/>
        <v>#DIV/0!</v>
      </c>
      <c r="J166" s="230" t="e">
        <f t="shared" si="68"/>
        <v>#DIV/0!</v>
      </c>
      <c r="K166" s="230" t="e">
        <f t="shared" si="68"/>
        <v>#DIV/0!</v>
      </c>
      <c r="L166" s="230" t="e">
        <f t="shared" si="68"/>
        <v>#DIV/0!</v>
      </c>
      <c r="N166" s="73"/>
      <c r="O166" s="74"/>
      <c r="P166" s="144"/>
      <c r="Q166" s="150"/>
    </row>
    <row r="167" spans="1:17">
      <c r="A167" s="98" t="s">
        <v>274</v>
      </c>
      <c r="B167" s="98"/>
      <c r="C167" s="93" t="s">
        <v>147</v>
      </c>
      <c r="D167" s="76"/>
      <c r="E167" s="76"/>
      <c r="F167" s="106" t="e">
        <f>E119/G158</f>
        <v>#DIV/0!</v>
      </c>
      <c r="G167" s="232"/>
      <c r="H167" s="76"/>
      <c r="I167" s="76"/>
      <c r="J167" s="76"/>
      <c r="K167" s="76"/>
      <c r="L167" s="76"/>
      <c r="M167" s="76"/>
      <c r="N167" s="75"/>
      <c r="O167" s="76"/>
      <c r="P167" s="76"/>
    </row>
  </sheetData>
  <mergeCells count="13">
    <mergeCell ref="A161:P161"/>
    <mergeCell ref="A123:P123"/>
    <mergeCell ref="A133:P133"/>
    <mergeCell ref="K144:L144"/>
    <mergeCell ref="A66:P66"/>
    <mergeCell ref="A76:P76"/>
    <mergeCell ref="K87:L87"/>
    <mergeCell ref="A105:P105"/>
    <mergeCell ref="A54:P54"/>
    <mergeCell ref="G11:H11"/>
    <mergeCell ref="A15:P15"/>
    <mergeCell ref="A25:P25"/>
    <mergeCell ref="K36:L36"/>
  </mergeCells>
  <phoneticPr fontId="0" type="noConversion"/>
  <pageMargins left="0.74803149606299213" right="0.74803149606299213" top="0.51181102362204722" bottom="0.47244094488188981" header="0.51181102362204722" footer="0.51181102362204722"/>
  <pageSetup paperSize="9" scale="57" fitToHeight="3" orientation="landscape" r:id="rId1"/>
  <headerFooter alignWithMargins="0"/>
  <rowBreaks count="2" manualBreakCount="2">
    <brk id="62" max="16" man="1"/>
    <brk id="110" max="1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tabColor indexed="44"/>
    <outlinePr summaryBelow="0"/>
  </sheetPr>
  <dimension ref="A1:AL200"/>
  <sheetViews>
    <sheetView topLeftCell="A4" zoomScale="75" zoomScaleNormal="75" workbookViewId="0">
      <selection activeCell="C43" sqref="C43"/>
    </sheetView>
  </sheetViews>
  <sheetFormatPr defaultRowHeight="12.75" outlineLevelRow="1"/>
  <cols>
    <col min="1" max="1" width="17.42578125" customWidth="1"/>
    <col min="2" max="2" width="6.140625" customWidth="1"/>
    <col min="3" max="3" width="8.85546875" customWidth="1"/>
    <col min="4" max="4" width="13.140625" customWidth="1"/>
    <col min="5" max="5" width="4.5703125" customWidth="1"/>
    <col min="6" max="6" width="17.5703125" customWidth="1"/>
    <col min="7" max="7" width="7.42578125" customWidth="1"/>
    <col min="8" max="8" width="8.7109375" customWidth="1"/>
    <col min="9" max="9" width="10.28515625" customWidth="1"/>
    <col min="10" max="10" width="4.42578125" customWidth="1"/>
    <col min="11" max="11" width="11.85546875" customWidth="1"/>
    <col min="12" max="12" width="8.28515625" customWidth="1"/>
    <col min="13" max="13" width="9.28515625" bestFit="1" customWidth="1"/>
    <col min="14" max="14" width="10.85546875" bestFit="1" customWidth="1"/>
    <col min="15" max="16" width="12" bestFit="1" customWidth="1"/>
    <col min="17" max="17" width="12" style="214" hidden="1" customWidth="1"/>
    <col min="18" max="18" width="12.85546875" hidden="1" customWidth="1"/>
    <col min="19" max="20" width="9.140625" hidden="1" customWidth="1"/>
    <col min="21" max="21" width="11" hidden="1" customWidth="1"/>
    <col min="22" max="26" width="5.42578125" hidden="1" customWidth="1"/>
    <col min="27" max="27" width="2.85546875" hidden="1" customWidth="1"/>
    <col min="28" max="28" width="25.85546875" hidden="1" customWidth="1"/>
    <col min="29" max="31" width="9.140625" hidden="1" customWidth="1"/>
    <col min="32" max="32" width="4.140625" hidden="1" customWidth="1"/>
    <col min="33" max="38" width="9.140625" hidden="1" customWidth="1"/>
  </cols>
  <sheetData>
    <row r="1" spans="1:38" ht="49.5" customHeight="1">
      <c r="S1" s="40" t="str">
        <f ca="1">MID(CELL("filename"),SEARCH("[",CELL("filename"))+1, SEARCH("]",CELL("filename"))-SEARCH("[",CELL("filename"))-1)</f>
        <v>PH tool 1.1_PPE Tool Day_SOLUTION.xlsx</v>
      </c>
    </row>
    <row r="3" spans="1:38" ht="22.5" customHeight="1"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4"/>
      <c r="AK3" s="214"/>
      <c r="AL3" s="214"/>
    </row>
    <row r="4" spans="1:38">
      <c r="R4" s="648" t="s">
        <v>437</v>
      </c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</row>
    <row r="5" spans="1:38">
      <c r="AL5" s="214"/>
    </row>
    <row r="6" spans="1:38" ht="13.5" thickBot="1">
      <c r="A6" s="440" t="s">
        <v>102</v>
      </c>
      <c r="B6" s="441"/>
      <c r="C6" s="441"/>
      <c r="D6" s="441"/>
      <c r="E6" s="5"/>
      <c r="F6" s="440" t="s">
        <v>356</v>
      </c>
      <c r="G6" s="441"/>
      <c r="H6" s="441"/>
      <c r="I6" s="441"/>
      <c r="K6" s="440" t="s">
        <v>271</v>
      </c>
      <c r="L6" s="441"/>
      <c r="M6" s="441"/>
      <c r="N6" s="441"/>
      <c r="O6" s="441"/>
      <c r="AL6" s="214"/>
    </row>
    <row r="7" spans="1:38">
      <c r="E7" s="5"/>
      <c r="F7" s="406"/>
      <c r="G7" s="6"/>
      <c r="J7" s="5"/>
      <c r="AL7" s="214"/>
    </row>
    <row r="8" spans="1:38">
      <c r="A8" s="157" t="s">
        <v>104</v>
      </c>
      <c r="B8" s="378"/>
      <c r="C8" s="379" t="s">
        <v>105</v>
      </c>
      <c r="D8" s="380">
        <f>+'T,P, O2'!AS10+'T,P, O2'!AS11</f>
        <v>4029.6000000000004</v>
      </c>
      <c r="E8" s="260"/>
      <c r="F8" s="8"/>
      <c r="G8" s="8"/>
      <c r="H8" s="242" t="s">
        <v>281</v>
      </c>
      <c r="I8" s="242" t="s">
        <v>436</v>
      </c>
      <c r="J8" s="51"/>
      <c r="K8" s="51"/>
      <c r="L8" s="51"/>
      <c r="M8" s="51" t="s">
        <v>281</v>
      </c>
      <c r="N8" s="51"/>
      <c r="O8" s="51" t="s">
        <v>436</v>
      </c>
      <c r="AD8" t="s">
        <v>294</v>
      </c>
      <c r="AE8" t="s">
        <v>295</v>
      </c>
      <c r="AL8" s="214"/>
    </row>
    <row r="9" spans="1:38">
      <c r="A9" s="51" t="s">
        <v>276</v>
      </c>
      <c r="B9" s="51"/>
      <c r="C9" s="364" t="s">
        <v>112</v>
      </c>
      <c r="D9" s="365">
        <f>+'T,P, O2'!AQ11/('T,P, O2'!AQ10+'T,P, O2'!AQ11)*100</f>
        <v>0</v>
      </c>
      <c r="E9" s="260"/>
      <c r="F9" s="8" t="s">
        <v>120</v>
      </c>
      <c r="G9" s="262" t="s">
        <v>146</v>
      </c>
      <c r="H9" s="394">
        <f>IF(ISERROR(Calculations!D56),"",Calculations!D56)</f>
        <v>7.6421643815248057</v>
      </c>
      <c r="I9" s="308" t="str">
        <f>"&lt;"&amp;AE9</f>
        <v>&lt;12</v>
      </c>
      <c r="J9" s="51"/>
      <c r="K9" s="266" t="s">
        <v>112</v>
      </c>
      <c r="L9" s="51" t="s">
        <v>278</v>
      </c>
      <c r="M9" s="51" t="s">
        <v>279</v>
      </c>
      <c r="N9" s="51" t="s">
        <v>64</v>
      </c>
      <c r="O9" s="266" t="s">
        <v>112</v>
      </c>
      <c r="AB9" s="736" t="s">
        <v>422</v>
      </c>
      <c r="AC9" s="262" t="s">
        <v>146</v>
      </c>
      <c r="AD9" s="328"/>
      <c r="AE9" s="328">
        <v>12</v>
      </c>
      <c r="AL9" s="214"/>
    </row>
    <row r="10" spans="1:38" ht="15.75">
      <c r="A10" s="157" t="s">
        <v>108</v>
      </c>
      <c r="B10" s="157"/>
      <c r="C10" s="377" t="s">
        <v>277</v>
      </c>
      <c r="D10" s="362">
        <f>('T,P, O2'!AT44+'T,P, O2'!AT53)/('T,P, O2'!AQ10+'T,P, O2'!AQ11)</f>
        <v>3349.5860035735554</v>
      </c>
      <c r="E10" s="260"/>
      <c r="F10" s="227" t="s">
        <v>289</v>
      </c>
      <c r="G10" s="137" t="s">
        <v>146</v>
      </c>
      <c r="H10" s="391">
        <f>IF(ISERROR(Calculations!E56),"",Calculations!E56)</f>
        <v>16.042088269740972</v>
      </c>
      <c r="I10" s="363" t="str">
        <f>"&lt;"&amp;AE10</f>
        <v>&lt;27</v>
      </c>
      <c r="J10" s="51"/>
      <c r="K10" s="309" t="str">
        <f>+A23</f>
        <v>Tower exit</v>
      </c>
      <c r="L10" s="370">
        <f>+'T,P, O2'!AA31</f>
        <v>0</v>
      </c>
      <c r="M10" s="370">
        <f>+'T,P, O2'!M31</f>
        <v>0</v>
      </c>
      <c r="N10" s="370">
        <f>+'T,P, O2'!I31</f>
        <v>0</v>
      </c>
      <c r="O10" s="371" t="s">
        <v>290</v>
      </c>
      <c r="AB10" s="737" t="s">
        <v>423</v>
      </c>
      <c r="AC10" s="137" t="s">
        <v>146</v>
      </c>
      <c r="AD10" s="328"/>
      <c r="AE10" s="328">
        <v>27</v>
      </c>
      <c r="AL10" s="214"/>
    </row>
    <row r="11" spans="1:38">
      <c r="A11" s="75" t="s">
        <v>111</v>
      </c>
      <c r="B11" s="75"/>
      <c r="C11" s="125" t="s">
        <v>112</v>
      </c>
      <c r="D11" s="366">
        <f>'T,P, O2'!AT18/('T,P, O2'!AT44+'T,P, O2'!AT53)*100</f>
        <v>40.013174714470054</v>
      </c>
      <c r="E11" s="260"/>
      <c r="F11" s="8" t="str">
        <f>IF('T,P, O2'!AT44&lt;10,"","Calciner orifice")</f>
        <v>Calciner orifice</v>
      </c>
      <c r="G11" s="263" t="s">
        <v>146</v>
      </c>
      <c r="H11" s="392">
        <f>IF(ISERROR(Calculations!F56),"",Calculations!F56)</f>
        <v>24.925690605210885</v>
      </c>
      <c r="I11" s="381" t="str">
        <f>AD11&amp;" - "&amp;AE11</f>
        <v>20 - 45</v>
      </c>
      <c r="J11" s="51"/>
      <c r="K11" s="51" t="s">
        <v>280</v>
      </c>
      <c r="L11" s="359">
        <f>+'T,P, O2'!AA58</f>
        <v>0.1</v>
      </c>
      <c r="M11" s="247">
        <f>+'T,P, O2'!Q58</f>
        <v>0</v>
      </c>
      <c r="N11" s="247">
        <f>+'T,P, O2'!E58</f>
        <v>0</v>
      </c>
      <c r="O11" s="364" t="s">
        <v>291</v>
      </c>
      <c r="AB11" s="8" t="s">
        <v>98</v>
      </c>
      <c r="AC11" s="263" t="s">
        <v>146</v>
      </c>
      <c r="AD11" s="328">
        <v>20</v>
      </c>
      <c r="AE11" s="328">
        <v>45</v>
      </c>
      <c r="AL11" s="214"/>
    </row>
    <row r="12" spans="1:38">
      <c r="A12" s="157" t="s">
        <v>275</v>
      </c>
      <c r="B12" s="157"/>
      <c r="C12" s="377" t="s">
        <v>112</v>
      </c>
      <c r="D12" s="374" t="str">
        <f>IF('T,P, O2'!AT27=0,"",SUM('T,P, O2'!AT27:AT29)/('T,P, O2'!AT44+'T,P, O2'!AT53)*100)</f>
        <v/>
      </c>
      <c r="E12" s="260"/>
      <c r="F12" s="227" t="str">
        <f>IF('T,P, O2'!AT44&lt;10,"","Calciner vessel")</f>
        <v>Calciner vessel</v>
      </c>
      <c r="G12" s="137" t="s">
        <v>146</v>
      </c>
      <c r="H12" s="391">
        <f>IF(ISERROR(Calculations!G61),"",Calculations!G61)</f>
        <v>9.6619881855898662</v>
      </c>
      <c r="I12" s="388" t="str">
        <f>AD12&amp;" - "&amp;AE12</f>
        <v>5 - 27</v>
      </c>
      <c r="J12" s="51"/>
      <c r="K12" s="309" t="str">
        <f>+F9</f>
        <v>Kiln</v>
      </c>
      <c r="L12" s="349">
        <f>+'T,P, O2'!AK71</f>
        <v>0.55000000000000004</v>
      </c>
      <c r="M12" s="51"/>
      <c r="N12" s="51"/>
      <c r="O12" s="372" t="s">
        <v>290</v>
      </c>
      <c r="AB12" s="227" t="s">
        <v>273</v>
      </c>
      <c r="AC12" s="137" t="s">
        <v>146</v>
      </c>
      <c r="AD12" s="328">
        <v>5</v>
      </c>
      <c r="AE12" s="328">
        <v>27</v>
      </c>
      <c r="AL12" s="214"/>
    </row>
    <row r="13" spans="1:38">
      <c r="A13" s="75" t="s">
        <v>287</v>
      </c>
      <c r="B13" s="75"/>
      <c r="C13" s="125" t="s">
        <v>112</v>
      </c>
      <c r="D13" s="366">
        <f>IF('T,P, O2'!AT41=0,"",SUM('T,P, O2'!AT41:AT43)/('T,P, O2'!AT44+'T,P, O2'!AT53)*100)</f>
        <v>59.986825285529946</v>
      </c>
      <c r="E13" s="260"/>
      <c r="F13" s="736" t="str">
        <f>IF('T,P, O2'!AT44&lt;10,"","Tertiary air duct* ILC")</f>
        <v>Tertiary air duct* ILC</v>
      </c>
      <c r="G13" s="263" t="s">
        <v>146</v>
      </c>
      <c r="H13" s="392">
        <f>IF(ISERROR(Calculations!P56),"",Calculations!P56)</f>
        <v>34.618658449139474</v>
      </c>
      <c r="I13" s="381" t="str">
        <f>AD13&amp;" - "&amp;AE13</f>
        <v>20 - 40</v>
      </c>
      <c r="J13" s="51"/>
      <c r="K13" s="51"/>
      <c r="L13" s="51"/>
      <c r="M13" s="51"/>
      <c r="N13" s="51"/>
      <c r="O13" s="51"/>
      <c r="AB13" s="8" t="s">
        <v>193</v>
      </c>
      <c r="AC13" s="263" t="s">
        <v>146</v>
      </c>
      <c r="AD13" s="328">
        <v>20</v>
      </c>
      <c r="AE13" s="328">
        <v>40</v>
      </c>
      <c r="AL13" s="214"/>
    </row>
    <row r="14" spans="1:38">
      <c r="A14" s="157" t="s">
        <v>288</v>
      </c>
      <c r="B14" s="157"/>
      <c r="C14" s="375" t="s">
        <v>112</v>
      </c>
      <c r="D14" s="376" t="str">
        <f>+IF('T,P, O2'!AT53=0,"",'T,P, O2'!AT53/('T,P, O2'!AT44+'T,P, O2'!AT53)*100)</f>
        <v/>
      </c>
      <c r="E14" s="260"/>
      <c r="F14" s="737" t="s">
        <v>274</v>
      </c>
      <c r="G14" s="351" t="s">
        <v>147</v>
      </c>
      <c r="H14" s="393">
        <f>+Calculations!G60</f>
        <v>5.0148931358107562</v>
      </c>
      <c r="I14" s="389" t="str">
        <f>AD14&amp;" - "&amp;AE14</f>
        <v xml:space="preserve">2.5 - </v>
      </c>
      <c r="J14" s="51"/>
      <c r="N14" s="51"/>
      <c r="O14" s="51"/>
      <c r="AB14" s="227" t="s">
        <v>274</v>
      </c>
      <c r="AC14" s="351" t="s">
        <v>147</v>
      </c>
      <c r="AD14" s="328">
        <v>2.5</v>
      </c>
      <c r="AE14" s="328"/>
      <c r="AL14" s="214"/>
    </row>
    <row r="15" spans="1:38">
      <c r="A15" s="75"/>
      <c r="B15" s="75"/>
      <c r="C15" s="266"/>
      <c r="D15" s="260"/>
      <c r="E15" s="260"/>
      <c r="F15" s="69" t="s">
        <v>424</v>
      </c>
      <c r="G15" s="8"/>
      <c r="H15" s="51"/>
      <c r="I15" s="261"/>
      <c r="AL15" s="214"/>
    </row>
    <row r="16" spans="1:38">
      <c r="A16" s="443" t="s">
        <v>305</v>
      </c>
      <c r="B16" s="291"/>
      <c r="C16" s="443" t="s">
        <v>65</v>
      </c>
      <c r="D16" s="444"/>
      <c r="E16" s="444"/>
      <c r="F16" s="445"/>
      <c r="G16" s="445"/>
      <c r="H16" s="445"/>
      <c r="I16" s="445"/>
      <c r="J16" s="445"/>
      <c r="K16" s="446"/>
      <c r="L16" s="447"/>
      <c r="M16" s="445"/>
      <c r="N16" s="445"/>
      <c r="O16" s="291"/>
      <c r="AL16" s="214"/>
    </row>
    <row r="17" spans="1:38">
      <c r="A17" s="278"/>
      <c r="B17" s="278"/>
      <c r="C17" s="279"/>
      <c r="D17" s="280"/>
      <c r="E17" s="280"/>
      <c r="F17" s="281"/>
      <c r="G17" s="281"/>
      <c r="H17" s="281"/>
      <c r="I17" s="281"/>
      <c r="J17" s="281"/>
      <c r="K17" s="282"/>
      <c r="L17" s="283"/>
      <c r="M17" s="281"/>
      <c r="N17" s="281"/>
      <c r="AL17" s="214"/>
    </row>
    <row r="18" spans="1:38" ht="13.5" thickBot="1">
      <c r="A18" s="440" t="s">
        <v>286</v>
      </c>
      <c r="B18" s="441"/>
      <c r="C18" s="441"/>
      <c r="D18" s="441"/>
      <c r="E18" s="84"/>
      <c r="F18" s="440" t="s">
        <v>264</v>
      </c>
      <c r="G18" s="441"/>
      <c r="H18" s="441"/>
      <c r="I18" s="441"/>
      <c r="J18" s="144"/>
      <c r="K18" s="440" t="s">
        <v>265</v>
      </c>
      <c r="L18" s="441"/>
      <c r="M18" s="441"/>
      <c r="N18" s="441"/>
      <c r="O18" s="442"/>
      <c r="R18" s="267" t="s">
        <v>286</v>
      </c>
      <c r="S18" s="268"/>
      <c r="T18" s="268"/>
      <c r="U18" s="268"/>
      <c r="V18" s="84"/>
      <c r="W18" s="84"/>
      <c r="X18" s="84"/>
      <c r="Y18" s="84"/>
      <c r="Z18" s="84"/>
      <c r="AA18" s="84"/>
      <c r="AB18" s="267" t="s">
        <v>264</v>
      </c>
      <c r="AC18" s="268"/>
      <c r="AD18" s="268"/>
      <c r="AE18" s="268"/>
      <c r="AF18" s="144"/>
      <c r="AG18" s="267" t="s">
        <v>265</v>
      </c>
      <c r="AH18" s="268"/>
      <c r="AI18" s="268"/>
      <c r="AJ18" s="268"/>
      <c r="AK18" s="290"/>
      <c r="AL18" s="214"/>
    </row>
    <row r="19" spans="1:38">
      <c r="A19" s="273"/>
      <c r="B19" s="264"/>
      <c r="C19" s="76"/>
      <c r="D19" s="264"/>
      <c r="E19" s="54"/>
      <c r="F19" s="264"/>
      <c r="G19" s="51"/>
      <c r="H19" s="51"/>
      <c r="I19" s="51"/>
      <c r="J19" s="144"/>
      <c r="K19" s="264"/>
      <c r="M19" s="274"/>
      <c r="N19" s="274"/>
      <c r="R19" s="273"/>
      <c r="S19" s="264"/>
      <c r="T19" s="76"/>
      <c r="U19" s="57" t="s">
        <v>292</v>
      </c>
      <c r="V19" s="57"/>
      <c r="W19" s="57"/>
      <c r="X19" s="310" t="s">
        <v>293</v>
      </c>
      <c r="Y19" s="311"/>
      <c r="Z19" s="312"/>
      <c r="AA19" s="54"/>
      <c r="AB19" s="286"/>
      <c r="AF19" s="144"/>
      <c r="AG19" s="264"/>
      <c r="AI19" s="274"/>
      <c r="AJ19" s="274"/>
      <c r="AK19" s="328">
        <v>0.3</v>
      </c>
      <c r="AL19" s="214"/>
    </row>
    <row r="20" spans="1:38">
      <c r="A20" s="54"/>
      <c r="C20" s="242" t="s">
        <v>281</v>
      </c>
      <c r="D20" s="242" t="s">
        <v>438</v>
      </c>
      <c r="E20" s="54"/>
      <c r="F20" s="264"/>
      <c r="G20" s="242" t="s">
        <v>281</v>
      </c>
      <c r="H20" s="242"/>
      <c r="I20" s="242" t="s">
        <v>436</v>
      </c>
      <c r="J20" s="144"/>
      <c r="K20" s="264"/>
      <c r="L20" s="242" t="s">
        <v>281</v>
      </c>
      <c r="M20" s="386"/>
      <c r="N20" s="386"/>
      <c r="O20" s="242" t="s">
        <v>436</v>
      </c>
      <c r="R20" s="54"/>
      <c r="S20" t="s">
        <v>292</v>
      </c>
      <c r="T20" s="264" t="s">
        <v>293</v>
      </c>
      <c r="U20" s="158">
        <v>4</v>
      </c>
      <c r="V20" s="309">
        <v>5</v>
      </c>
      <c r="W20" s="309">
        <v>6</v>
      </c>
      <c r="X20" s="313">
        <v>4</v>
      </c>
      <c r="Y20" s="312">
        <v>5</v>
      </c>
      <c r="Z20" s="312">
        <v>6</v>
      </c>
      <c r="AA20" s="54"/>
      <c r="AB20" s="286"/>
      <c r="AC20" s="287" t="s">
        <v>294</v>
      </c>
      <c r="AD20" s="748" t="s">
        <v>295</v>
      </c>
      <c r="AE20" s="275"/>
      <c r="AF20" s="144"/>
      <c r="AG20" s="264"/>
      <c r="AH20" s="264"/>
      <c r="AI20" s="5"/>
      <c r="AJ20" s="5"/>
      <c r="AK20" s="76"/>
      <c r="AL20" s="214"/>
    </row>
    <row r="21" spans="1:38" ht="25.5" customHeight="1" thickBot="1">
      <c r="A21" s="54"/>
      <c r="C21" s="76" t="s">
        <v>125</v>
      </c>
      <c r="D21" s="76" t="s">
        <v>125</v>
      </c>
      <c r="E21" s="54"/>
      <c r="F21" s="264"/>
      <c r="G21" s="387" t="s">
        <v>297</v>
      </c>
      <c r="H21" s="387" t="s">
        <v>298</v>
      </c>
      <c r="I21" s="387" t="s">
        <v>298</v>
      </c>
      <c r="J21" s="144"/>
      <c r="K21" s="120"/>
      <c r="L21" s="387" t="s">
        <v>267</v>
      </c>
      <c r="M21" s="387" t="s">
        <v>268</v>
      </c>
      <c r="N21" s="387" t="s">
        <v>269</v>
      </c>
      <c r="O21" s="387" t="s">
        <v>269</v>
      </c>
      <c r="R21" s="768" t="s">
        <v>466</v>
      </c>
      <c r="T21" s="76" t="s">
        <v>125</v>
      </c>
      <c r="U21" s="779">
        <f>(1-$V$73)/(1-$V$73^U20)</f>
        <v>0.37415897512626151</v>
      </c>
      <c r="V21" s="779">
        <f t="shared" ref="V21:W21" si="0">(1-$V$73)/(1-$V$73^V20)</f>
        <v>0.3373082190386999</v>
      </c>
      <c r="W21" s="779">
        <f t="shared" si="0"/>
        <v>0.31453619212450079</v>
      </c>
      <c r="X21" s="780">
        <f>(1-$W$73)/(1-$W$73^X20)</f>
        <v>0.39947770494750906</v>
      </c>
      <c r="Y21" s="780">
        <f t="shared" ref="Y21:Z21" si="1">(1-$W$73)/(1-$W$73^Y20)</f>
        <v>0.36590670593452235</v>
      </c>
      <c r="Z21" s="780">
        <f t="shared" si="1"/>
        <v>0.34578988536091188</v>
      </c>
      <c r="AA21" s="54"/>
      <c r="AB21" s="289"/>
      <c r="AC21" s="288" t="s">
        <v>296</v>
      </c>
      <c r="AD21" s="288" t="s">
        <v>266</v>
      </c>
      <c r="AE21" s="284"/>
      <c r="AF21" s="144"/>
      <c r="AG21" s="120"/>
      <c r="AH21" s="284"/>
      <c r="AI21" s="284">
        <v>4</v>
      </c>
      <c r="AJ21" s="284">
        <v>5</v>
      </c>
      <c r="AK21" s="284">
        <v>6</v>
      </c>
      <c r="AL21" s="214"/>
    </row>
    <row r="22" spans="1:38">
      <c r="A22" s="120" t="s">
        <v>156</v>
      </c>
      <c r="C22" s="357" t="e">
        <f ca="1">+Calculations!O17</f>
        <v>#VALUE!</v>
      </c>
      <c r="D22" s="126" t="str">
        <f>S22&amp;" - "&amp;T22</f>
        <v>327 - 350</v>
      </c>
      <c r="E22" s="54"/>
      <c r="F22" s="120" t="str">
        <f>IF(A22="","",A22)</f>
        <v>ID fan inlet</v>
      </c>
      <c r="G22" s="865">
        <f>Calculations!O20</f>
        <v>0</v>
      </c>
      <c r="H22" s="868">
        <f t="shared" ref="H22:H28" si="2">-G22+G23</f>
        <v>-63</v>
      </c>
      <c r="I22" s="126" t="str">
        <f>+AC22&amp;" - "&amp;AD22</f>
        <v xml:space="preserve"> - </v>
      </c>
      <c r="J22" s="144"/>
      <c r="K22" s="120" t="str">
        <f t="shared" ref="K22:K29" si="3">IF(A22="","",A22)</f>
        <v>ID fan inlet</v>
      </c>
      <c r="L22" s="865">
        <f>Calculations!O22</f>
        <v>0</v>
      </c>
      <c r="M22" s="402">
        <f>Calculations!O52</f>
        <v>-15.154641971331397</v>
      </c>
      <c r="N22" s="865">
        <f>+L22-L23</f>
        <v>-3</v>
      </c>
      <c r="O22" s="382" t="str">
        <f>IF(AH22=0,"","&lt; "&amp;AH22)</f>
        <v>&lt; 0.3</v>
      </c>
      <c r="R22" s="120" t="str">
        <f>+K22</f>
        <v>ID fan inlet</v>
      </c>
      <c r="S22" s="314">
        <f>S23</f>
        <v>327</v>
      </c>
      <c r="T22" s="315">
        <f>T23</f>
        <v>350</v>
      </c>
      <c r="U22" s="320"/>
      <c r="V22" s="53"/>
      <c r="W22" s="321"/>
      <c r="X22" s="53"/>
      <c r="Y22" s="53"/>
      <c r="Z22" s="321"/>
      <c r="AA22" s="54"/>
      <c r="AB22" s="102" t="str">
        <f>IF(R22="","",R22)</f>
        <v>ID fan inlet</v>
      </c>
      <c r="AC22" s="322"/>
      <c r="AD22" s="322"/>
      <c r="AE22" s="76"/>
      <c r="AF22" s="144"/>
      <c r="AG22" s="94" t="str">
        <f t="shared" ref="AG22:AG29" si="4">IF(R22="","",R22)</f>
        <v>ID fan inlet</v>
      </c>
      <c r="AH22" s="325">
        <f>CHOOSE(General!$F$63,Evaluation!AI22,Evaluation!AJ22,Evaluation!AK22)</f>
        <v>0.3</v>
      </c>
      <c r="AI22" s="329">
        <f>$AK$19</f>
        <v>0.3</v>
      </c>
      <c r="AJ22" s="329">
        <f t="shared" ref="AJ22:AK28" si="5">$AK$19</f>
        <v>0.3</v>
      </c>
      <c r="AK22" s="329">
        <f t="shared" si="5"/>
        <v>0.3</v>
      </c>
      <c r="AL22" s="214"/>
    </row>
    <row r="23" spans="1:38">
      <c r="A23" s="227" t="s">
        <v>66</v>
      </c>
      <c r="B23" s="57"/>
      <c r="C23" s="362">
        <f>+Calculations!M17</f>
        <v>340</v>
      </c>
      <c r="D23" s="137" t="str">
        <f t="shared" ref="D23:D31" si="6">S23&amp;" - "&amp;T23</f>
        <v>327 - 350</v>
      </c>
      <c r="E23" s="54"/>
      <c r="F23" s="227" t="str">
        <f t="shared" ref="F23:F29" si="7">IF(A23="","",A23)</f>
        <v>Tower exit</v>
      </c>
      <c r="G23" s="866">
        <f>Calculations!M20</f>
        <v>-63</v>
      </c>
      <c r="H23" s="869">
        <f>IF(G24&lt;&gt;"",-G23+G24,IF(G25&lt;&gt;"",G23-G25,G23-G26))</f>
        <v>-4</v>
      </c>
      <c r="I23" s="137" t="str">
        <f t="shared" ref="I23:I29" si="8">+AC23&amp;" - "&amp;AD23</f>
        <v xml:space="preserve"> - </v>
      </c>
      <c r="J23" s="144"/>
      <c r="K23" s="227" t="str">
        <f t="shared" si="3"/>
        <v>Tower exit</v>
      </c>
      <c r="L23" s="866">
        <f>Calculations!M22</f>
        <v>3</v>
      </c>
      <c r="M23" s="403">
        <f>IF(AND(General!D66=2,General!D67&lt;&gt;"y"),"",IF(K24&lt;&gt;"",Calculations!M52,IF(K25&lt;&gt;"",Calculations!K53,Calculations!J53)))</f>
        <v>0</v>
      </c>
      <c r="N23" s="866">
        <f>IF(L24&lt;&gt;"",L23-L24,IF(L25&lt;&gt;"",L23-L25,L23-L26))</f>
        <v>0</v>
      </c>
      <c r="O23" s="383" t="str">
        <f t="shared" ref="O23:O28" si="9">IF(AH23=0,"","&lt; "&amp;AH23)</f>
        <v>&lt; 0.3</v>
      </c>
      <c r="R23" s="120" t="str">
        <f t="shared" ref="R23:R31" si="10">+K23</f>
        <v>Tower exit</v>
      </c>
      <c r="S23" s="316">
        <f>S24</f>
        <v>327</v>
      </c>
      <c r="T23" s="317">
        <f>T24</f>
        <v>350</v>
      </c>
      <c r="U23" s="320"/>
      <c r="V23" s="53"/>
      <c r="W23" s="321"/>
      <c r="X23" s="53"/>
      <c r="Y23" s="53"/>
      <c r="Z23" s="321"/>
      <c r="AA23" s="54"/>
      <c r="AB23" s="102" t="str">
        <f t="shared" ref="AB23:AB32" si="11">IF(R23="","",R23)</f>
        <v>Tower exit</v>
      </c>
      <c r="AC23" s="322"/>
      <c r="AD23" s="322"/>
      <c r="AE23" s="76"/>
      <c r="AF23" s="144"/>
      <c r="AG23" s="94" t="str">
        <f t="shared" si="4"/>
        <v>Tower exit</v>
      </c>
      <c r="AH23" s="326">
        <f>CHOOSE(General!$F$63,Evaluation!AI23,Evaluation!AJ23,Evaluation!AK23)</f>
        <v>0.3</v>
      </c>
      <c r="AI23" s="329">
        <f t="shared" ref="AI23:AI28" si="12">$AK$19</f>
        <v>0.3</v>
      </c>
      <c r="AJ23" s="329">
        <f t="shared" si="5"/>
        <v>0.3</v>
      </c>
      <c r="AK23" s="329">
        <f t="shared" si="5"/>
        <v>0.3</v>
      </c>
      <c r="AL23" s="214"/>
    </row>
    <row r="24" spans="1:38">
      <c r="A24" s="120" t="str">
        <f>IF(General!D63=6,'T,P, O2'!Z9,"")</f>
        <v/>
      </c>
      <c r="C24" s="358" t="str">
        <f>IF(A24="","",+Calculations!L17)</f>
        <v/>
      </c>
      <c r="D24" s="358" t="str">
        <f>IF(A24="","",S24&amp;" - "&amp;T24)</f>
        <v/>
      </c>
      <c r="E24" s="54"/>
      <c r="F24" s="120" t="str">
        <f t="shared" si="7"/>
        <v/>
      </c>
      <c r="G24" s="867" t="str">
        <f>IF(F24="","",Calculations!L20)</f>
        <v/>
      </c>
      <c r="H24" s="872" t="str">
        <f>IF(F24="","",IF(G24&lt;&gt;"",-G24+G25,G24-G26))</f>
        <v/>
      </c>
      <c r="I24" s="123" t="str">
        <f>IF(G24="","",+AC24&amp;" - "&amp;AD24)</f>
        <v/>
      </c>
      <c r="J24" s="144"/>
      <c r="K24" s="120" t="str">
        <f t="shared" si="3"/>
        <v/>
      </c>
      <c r="L24" s="867" t="str">
        <f>IF(K24="","",Calculations!L22)</f>
        <v/>
      </c>
      <c r="M24" s="404" t="str">
        <f>IF(K24="","",IF(K25&lt;&gt;"",Calculations!L52,Calculations!L52+Calculations!K52))</f>
        <v/>
      </c>
      <c r="N24" s="867" t="str">
        <f>IF(K24="","",Calculations!L23)</f>
        <v/>
      </c>
      <c r="O24" s="384" t="str">
        <f t="shared" si="9"/>
        <v/>
      </c>
      <c r="R24" s="120" t="str">
        <f t="shared" si="10"/>
        <v/>
      </c>
      <c r="S24" s="316">
        <f>CHOOSE(General!$F$63,Evaluation!U24,Evaluation!V24,Evaluation!W24)</f>
        <v>327</v>
      </c>
      <c r="T24" s="317">
        <f>CHOOSE(General!$F$63,X24,Y24,Z24)</f>
        <v>350</v>
      </c>
      <c r="U24" s="781">
        <f>+U25</f>
        <v>357</v>
      </c>
      <c r="V24" s="782">
        <f>+V25</f>
        <v>327</v>
      </c>
      <c r="W24" s="783">
        <f>ROUND((W$29-$V$75)*W$21+$V$75,0)</f>
        <v>308</v>
      </c>
      <c r="X24" s="782">
        <f>+X25</f>
        <v>378</v>
      </c>
      <c r="Y24" s="782">
        <f>+Y25</f>
        <v>350</v>
      </c>
      <c r="Z24" s="783">
        <f>ROUND((Z$29-$V$75)*Z$21+$V$75,0)</f>
        <v>334</v>
      </c>
      <c r="AA24" s="69"/>
      <c r="AB24" s="102" t="str">
        <f t="shared" si="11"/>
        <v/>
      </c>
      <c r="AC24" s="322"/>
      <c r="AD24" s="322"/>
      <c r="AE24" s="76"/>
      <c r="AF24" s="144"/>
      <c r="AG24" s="94" t="str">
        <f t="shared" si="4"/>
        <v/>
      </c>
      <c r="AH24" s="326">
        <f>CHOOSE(General!$F$63,Evaluation!AI24,Evaluation!AJ24,Evaluation!AK24)</f>
        <v>0</v>
      </c>
      <c r="AI24" s="329"/>
      <c r="AJ24" s="329"/>
      <c r="AK24" s="329">
        <f t="shared" si="5"/>
        <v>0.3</v>
      </c>
      <c r="AL24" s="214"/>
    </row>
    <row r="25" spans="1:38">
      <c r="A25" s="227" t="str">
        <f>IF(OR(General!D63=6,General!D63=5),'T,P, O2'!Z18,"")</f>
        <v>Cyclone 1</v>
      </c>
      <c r="B25" s="57"/>
      <c r="C25" s="362">
        <f>IF(A25="","",Calculations!K17)</f>
        <v>340</v>
      </c>
      <c r="D25" s="374" t="str">
        <f>IF(A25="","",S25&amp;" - "&amp;T25)</f>
        <v>327 - 350</v>
      </c>
      <c r="E25" s="54"/>
      <c r="F25" s="227" t="str">
        <f t="shared" si="7"/>
        <v>Cyclone 1</v>
      </c>
      <c r="G25" s="866">
        <f>IF(F25="","",Calculations!K20)</f>
        <v>-59</v>
      </c>
      <c r="H25" s="869">
        <f>IF(G25="","",-G25+G26)</f>
        <v>14</v>
      </c>
      <c r="I25" s="137" t="str">
        <f>IF(G25="","",+AC25&amp;" - "&amp;AD25)</f>
        <v xml:space="preserve"> - </v>
      </c>
      <c r="J25" s="144"/>
      <c r="K25" s="227" t="str">
        <f t="shared" si="3"/>
        <v>Cyclone 1</v>
      </c>
      <c r="L25" s="866">
        <f>IF(K25="","",Calculations!K22)</f>
        <v>3</v>
      </c>
      <c r="M25" s="403">
        <f>IF(K25="","",Calculations!K52)</f>
        <v>1.0123276674383797</v>
      </c>
      <c r="N25" s="866">
        <f>IF(K25="","",Calculations!K23)</f>
        <v>0.20000000000000018</v>
      </c>
      <c r="O25" s="383" t="str">
        <f t="shared" si="9"/>
        <v>&lt; 0.3</v>
      </c>
      <c r="R25" s="120" t="str">
        <f t="shared" si="10"/>
        <v>Cyclone 1</v>
      </c>
      <c r="S25" s="316">
        <f>CHOOSE(General!$F$63,Evaluation!U25,Evaluation!V25,Evaluation!W25)</f>
        <v>327</v>
      </c>
      <c r="T25" s="317">
        <f>CHOOSE(General!$F$63,X25,Y25,Z25)</f>
        <v>350</v>
      </c>
      <c r="U25" s="781">
        <f>+U26</f>
        <v>357</v>
      </c>
      <c r="V25" s="783">
        <f>ROUND((V29-$V$75)*V$21+$V$75,0)</f>
        <v>327</v>
      </c>
      <c r="W25" s="781">
        <f>ROUND((W24-$V$75)*$V$73+W24,0)</f>
        <v>498</v>
      </c>
      <c r="X25" s="782">
        <f>+X26</f>
        <v>378</v>
      </c>
      <c r="Y25" s="783">
        <f>ROUND((Y$29-$V$75)*Y$21+$V$75,0)</f>
        <v>350</v>
      </c>
      <c r="Z25" s="781">
        <f>ROUND((Z24-$V$75)*W$73+Z24,0)</f>
        <v>531</v>
      </c>
      <c r="AA25" s="69"/>
      <c r="AB25" s="102" t="str">
        <f t="shared" si="11"/>
        <v>Cyclone 1</v>
      </c>
      <c r="AC25" s="322"/>
      <c r="AD25" s="322"/>
      <c r="AE25" s="76"/>
      <c r="AF25" s="144"/>
      <c r="AG25" s="94" t="str">
        <f t="shared" si="4"/>
        <v>Cyclone 1</v>
      </c>
      <c r="AH25" s="326">
        <f>CHOOSE(General!$F$63,Evaluation!AI25,Evaluation!AJ25,Evaluation!AK25)</f>
        <v>0.3</v>
      </c>
      <c r="AI25" s="329"/>
      <c r="AJ25" s="329">
        <f t="shared" si="5"/>
        <v>0.3</v>
      </c>
      <c r="AK25" s="329">
        <f t="shared" si="5"/>
        <v>0.3</v>
      </c>
      <c r="AL25" s="214"/>
    </row>
    <row r="26" spans="1:38">
      <c r="A26" s="120" t="str">
        <f>'T,P, O2'!Z27</f>
        <v>Cyclone 2</v>
      </c>
      <c r="C26" s="358">
        <f>+Calculations!J17</f>
        <v>529</v>
      </c>
      <c r="D26" s="366" t="str">
        <f t="shared" si="6"/>
        <v>531 - 571</v>
      </c>
      <c r="E26" s="54"/>
      <c r="F26" s="120" t="str">
        <f t="shared" si="7"/>
        <v>Cyclone 2</v>
      </c>
      <c r="G26" s="867">
        <f>Calculations!J20</f>
        <v>-45</v>
      </c>
      <c r="H26" s="870">
        <f t="shared" si="2"/>
        <v>7</v>
      </c>
      <c r="I26" s="123" t="str">
        <f t="shared" si="8"/>
        <v xml:space="preserve"> - </v>
      </c>
      <c r="J26" s="144"/>
      <c r="K26" s="120" t="str">
        <f t="shared" si="3"/>
        <v>Cyclone 2</v>
      </c>
      <c r="L26" s="867">
        <f>Calculations!J22</f>
        <v>2.8</v>
      </c>
      <c r="M26" s="404">
        <f>Calculations!J52</f>
        <v>1.0077071760053715</v>
      </c>
      <c r="N26" s="867">
        <f>Calculations!J23</f>
        <v>0.19999999999999973</v>
      </c>
      <c r="O26" s="384" t="str">
        <f t="shared" si="9"/>
        <v>&lt; 0.3</v>
      </c>
      <c r="R26" s="120" t="str">
        <f t="shared" si="10"/>
        <v>Cyclone 2</v>
      </c>
      <c r="S26" s="316">
        <f>CHOOSE(General!$F$63,Evaluation!U26,Evaluation!V26,Evaluation!W26)</f>
        <v>531</v>
      </c>
      <c r="T26" s="58">
        <f>CHOOSE(General!$F$63,X26,Y26,Z26)</f>
        <v>571</v>
      </c>
      <c r="U26" s="783">
        <f>ROUND((U29-$V$75)*U$21+$V$75,0)</f>
        <v>357</v>
      </c>
      <c r="V26" s="781">
        <f>ROUND((V25-$V$75)*$V$73+V25,0)</f>
        <v>531</v>
      </c>
      <c r="W26" s="781">
        <f>ROUND((W25-W24)*$V$73+W25,0)</f>
        <v>638</v>
      </c>
      <c r="X26" s="783">
        <f>ROUND((X$29-$V$75)*X$21+$V$75,0)</f>
        <v>378</v>
      </c>
      <c r="Y26" s="781">
        <f>ROUND((Y25-$V$75)*V$73+Y25,0)</f>
        <v>571</v>
      </c>
      <c r="Z26" s="781">
        <f>ROUND((Z25-Z24)*$V$73+Z25,0)</f>
        <v>676</v>
      </c>
      <c r="AA26" s="69"/>
      <c r="AB26" s="102" t="str">
        <f t="shared" si="11"/>
        <v>Cyclone 2</v>
      </c>
      <c r="AC26" s="322"/>
      <c r="AD26" s="322"/>
      <c r="AE26" s="76"/>
      <c r="AF26" s="144"/>
      <c r="AG26" s="94" t="str">
        <f t="shared" si="4"/>
        <v>Cyclone 2</v>
      </c>
      <c r="AH26" s="326">
        <f>CHOOSE(General!$F$63,Evaluation!AI26,Evaluation!AJ26,Evaluation!AK26)</f>
        <v>0.3</v>
      </c>
      <c r="AI26" s="329">
        <f t="shared" si="12"/>
        <v>0.3</v>
      </c>
      <c r="AJ26" s="329">
        <f t="shared" si="5"/>
        <v>0.3</v>
      </c>
      <c r="AK26" s="329">
        <f t="shared" si="5"/>
        <v>0.3</v>
      </c>
      <c r="AL26" s="214"/>
    </row>
    <row r="27" spans="1:38">
      <c r="A27" s="227" t="str">
        <f>+'T,P, O2'!Z36</f>
        <v>Cyclone 3</v>
      </c>
      <c r="B27" s="57"/>
      <c r="C27" s="362">
        <f>+Calculations!I17</f>
        <v>650</v>
      </c>
      <c r="D27" s="374" t="str">
        <f t="shared" si="6"/>
        <v>681 - 733</v>
      </c>
      <c r="E27" s="54"/>
      <c r="F27" s="227" t="str">
        <f t="shared" si="7"/>
        <v>Cyclone 3</v>
      </c>
      <c r="G27" s="866">
        <f>Calculations!I20</f>
        <v>-38</v>
      </c>
      <c r="H27" s="869">
        <f t="shared" si="2"/>
        <v>9</v>
      </c>
      <c r="I27" s="137" t="str">
        <f t="shared" si="8"/>
        <v xml:space="preserve"> - </v>
      </c>
      <c r="J27" s="144"/>
      <c r="K27" s="227" t="str">
        <f t="shared" si="3"/>
        <v>Cyclone 3</v>
      </c>
      <c r="L27" s="866">
        <f>Calculations!I22</f>
        <v>2.6</v>
      </c>
      <c r="M27" s="403">
        <f>Calculations!I52</f>
        <v>0.99607355866975045</v>
      </c>
      <c r="N27" s="866">
        <f>Calculations!I23</f>
        <v>0.20000000000000018</v>
      </c>
      <c r="O27" s="383" t="str">
        <f t="shared" si="9"/>
        <v>&lt; 0.3</v>
      </c>
      <c r="R27" s="120" t="str">
        <f t="shared" si="10"/>
        <v>Cyclone 3</v>
      </c>
      <c r="S27" s="316">
        <f>CHOOSE(General!$F$63,Evaluation!U27,Evaluation!V27,Evaluation!W27)</f>
        <v>681</v>
      </c>
      <c r="T27" s="317">
        <f>CHOOSE(General!$F$63,X27,Y27,Z27)</f>
        <v>733</v>
      </c>
      <c r="U27" s="781">
        <f>ROUND((U26-$V$75)*$V$73+U26,0)</f>
        <v>583</v>
      </c>
      <c r="V27" s="781">
        <f>ROUND((V26-V25)*$V$73+V26,0)</f>
        <v>681</v>
      </c>
      <c r="W27" s="781">
        <f>ROUND((W26-W25)*$V$73+W26,0)</f>
        <v>741</v>
      </c>
      <c r="X27" s="781">
        <f>ROUND((X26-$V$75)*V$73+X26,0)</f>
        <v>619</v>
      </c>
      <c r="Y27" s="781">
        <f>ROUND((Y26-Y25)*$V$73+Y26,0)</f>
        <v>733</v>
      </c>
      <c r="Z27" s="781">
        <f>ROUND((Z26-Z25)*$V$73+Z26,0)</f>
        <v>783</v>
      </c>
      <c r="AA27" s="54"/>
      <c r="AB27" s="102" t="str">
        <f t="shared" si="11"/>
        <v>Cyclone 3</v>
      </c>
      <c r="AC27" s="322"/>
      <c r="AD27" s="322"/>
      <c r="AE27" s="76"/>
      <c r="AF27" s="144"/>
      <c r="AG27" s="94" t="str">
        <f t="shared" si="4"/>
        <v>Cyclone 3</v>
      </c>
      <c r="AH27" s="326">
        <f>CHOOSE(General!$F$63,Evaluation!AI27,Evaluation!AJ27,Evaluation!AK27)</f>
        <v>0.3</v>
      </c>
      <c r="AI27" s="329">
        <f t="shared" si="12"/>
        <v>0.3</v>
      </c>
      <c r="AJ27" s="329">
        <f t="shared" si="5"/>
        <v>0.3</v>
      </c>
      <c r="AK27" s="329">
        <f t="shared" si="5"/>
        <v>0.3</v>
      </c>
      <c r="AL27" s="214"/>
    </row>
    <row r="28" spans="1:38">
      <c r="A28" s="120" t="str">
        <f>+'T,P, O2'!Z45</f>
        <v>Cyclone 4</v>
      </c>
      <c r="C28" s="358">
        <f>+Calculations!H17</f>
        <v>795</v>
      </c>
      <c r="D28" s="366" t="str">
        <f t="shared" si="6"/>
        <v>791 - 852</v>
      </c>
      <c r="E28" s="54"/>
      <c r="F28" s="120" t="str">
        <f t="shared" si="7"/>
        <v>Cyclone 4</v>
      </c>
      <c r="G28" s="867">
        <f>Calculations!H20</f>
        <v>-29</v>
      </c>
      <c r="H28" s="870">
        <f t="shared" si="2"/>
        <v>8</v>
      </c>
      <c r="I28" s="123" t="str">
        <f t="shared" si="8"/>
        <v xml:space="preserve"> - </v>
      </c>
      <c r="J28" s="144"/>
      <c r="K28" s="120" t="str">
        <f t="shared" si="3"/>
        <v>Cyclone 4</v>
      </c>
      <c r="L28" s="867">
        <f>Calculations!H22</f>
        <v>2.4</v>
      </c>
      <c r="M28" s="405">
        <f>Calculations!H52</f>
        <v>1.9486471675586985</v>
      </c>
      <c r="N28" s="871">
        <f>Calculations!H23</f>
        <v>0.39999999999999991</v>
      </c>
      <c r="O28" s="385" t="str">
        <f t="shared" si="9"/>
        <v>&lt; 0.3</v>
      </c>
      <c r="R28" s="120" t="str">
        <f t="shared" si="10"/>
        <v>Cyclone 4</v>
      </c>
      <c r="S28" s="316">
        <f>CHOOSE(General!$F$63,Evaluation!U28,Evaluation!V28,Evaluation!W28)</f>
        <v>791</v>
      </c>
      <c r="T28" s="317">
        <f>CHOOSE(General!$F$63,X28,Y28,Z28)</f>
        <v>852</v>
      </c>
      <c r="U28" s="781">
        <f>ROUND((U27-U26)*$V$73+U27,0)</f>
        <v>749</v>
      </c>
      <c r="V28" s="781">
        <f>ROUND((V27-V26)*$V$73+V27,0)</f>
        <v>791</v>
      </c>
      <c r="W28" s="781">
        <f>ROUND((W27-W26)*$V$73+W27,0)</f>
        <v>817</v>
      </c>
      <c r="X28" s="781">
        <f>ROUND((X27-X26)*$V$73+X27,0)</f>
        <v>796</v>
      </c>
      <c r="Y28" s="781">
        <f>ROUND((Y27-Y26)*$V$73+Y27,0)</f>
        <v>852</v>
      </c>
      <c r="Z28" s="781">
        <f>ROUND((Z27-Z26)*$V$73+Z27,0)</f>
        <v>862</v>
      </c>
      <c r="AA28" s="54"/>
      <c r="AB28" s="102" t="str">
        <f t="shared" si="11"/>
        <v>Cyclone 4</v>
      </c>
      <c r="AC28" s="322"/>
      <c r="AD28" s="322"/>
      <c r="AE28" s="136"/>
      <c r="AF28" s="144"/>
      <c r="AG28" s="94" t="str">
        <f t="shared" si="4"/>
        <v>Cyclone 4</v>
      </c>
      <c r="AH28" s="326">
        <f>CHOOSE(General!$F$63,Evaluation!AI28,Evaluation!AJ28,Evaluation!AK28)</f>
        <v>0.3</v>
      </c>
      <c r="AI28" s="329">
        <f t="shared" si="12"/>
        <v>0.3</v>
      </c>
      <c r="AJ28" s="329">
        <f t="shared" si="5"/>
        <v>0.3</v>
      </c>
      <c r="AK28" s="329">
        <f t="shared" si="5"/>
        <v>0.3</v>
      </c>
      <c r="AL28" s="214"/>
    </row>
    <row r="29" spans="1:38">
      <c r="A29" s="227" t="str">
        <f>+'T,P, O2'!Z54</f>
        <v>Cyclone 5</v>
      </c>
      <c r="B29" s="57"/>
      <c r="C29" s="362">
        <f>+Calculations!G17</f>
        <v>870</v>
      </c>
      <c r="D29" s="137" t="str">
        <f t="shared" si="6"/>
        <v>850 - 890</v>
      </c>
      <c r="E29" s="54"/>
      <c r="F29" s="227" t="str">
        <f t="shared" si="7"/>
        <v>Cyclone 5</v>
      </c>
      <c r="G29" s="866">
        <f>Calculations!G20</f>
        <v>-21</v>
      </c>
      <c r="H29" s="869">
        <f>-G29+G30</f>
        <v>14</v>
      </c>
      <c r="I29" s="137" t="str">
        <f t="shared" si="8"/>
        <v xml:space="preserve"> - </v>
      </c>
      <c r="J29" s="144"/>
      <c r="K29" s="227" t="str">
        <f t="shared" si="3"/>
        <v>Cyclone 5</v>
      </c>
      <c r="L29" s="866">
        <f>Calculations!G22</f>
        <v>2</v>
      </c>
      <c r="M29" s="54"/>
      <c r="N29" s="54"/>
      <c r="O29" s="276" t="str">
        <f>IF(AH29=0,"",AH29)</f>
        <v/>
      </c>
      <c r="R29" s="120" t="str">
        <f t="shared" si="10"/>
        <v>Cyclone 5</v>
      </c>
      <c r="S29" s="769">
        <v>850</v>
      </c>
      <c r="T29" s="770">
        <v>890</v>
      </c>
      <c r="U29" s="873">
        <f>IF($C$29=0,830,$C$29)</f>
        <v>870</v>
      </c>
      <c r="V29" s="873">
        <f t="shared" ref="V29:W29" si="13">IF($C$29=0,830,$C$29)</f>
        <v>870</v>
      </c>
      <c r="W29" s="873">
        <f t="shared" si="13"/>
        <v>870</v>
      </c>
      <c r="X29" s="873">
        <f>IF($C$29=0,910,$C$29)</f>
        <v>870</v>
      </c>
      <c r="Y29" s="873">
        <f t="shared" ref="Y29:Z29" si="14">IF($C$29=0,910,$C$29)</f>
        <v>870</v>
      </c>
      <c r="Z29" s="873">
        <f t="shared" si="14"/>
        <v>870</v>
      </c>
      <c r="AA29" s="54"/>
      <c r="AB29" s="102" t="str">
        <f t="shared" si="11"/>
        <v>Cyclone 5</v>
      </c>
      <c r="AC29" s="322"/>
      <c r="AD29" s="322"/>
      <c r="AE29" s="51"/>
      <c r="AF29" s="144"/>
      <c r="AG29" s="94" t="str">
        <f t="shared" si="4"/>
        <v>Cyclone 5</v>
      </c>
      <c r="AH29" s="326">
        <f>CHOOSE(General!$F$63,Evaluation!AI29,Evaluation!AJ29,Evaluation!AK29)</f>
        <v>0</v>
      </c>
      <c r="AI29" s="324"/>
      <c r="AJ29" s="322"/>
      <c r="AK29" s="323"/>
      <c r="AL29" s="214"/>
    </row>
    <row r="30" spans="1:38" ht="13.5" thickBot="1">
      <c r="A30" s="54" t="s">
        <v>263</v>
      </c>
      <c r="C30" s="358">
        <f>Calculations!E17</f>
        <v>1200</v>
      </c>
      <c r="D30" s="123" t="str">
        <f t="shared" si="6"/>
        <v>1000 - 1100</v>
      </c>
      <c r="E30" s="54"/>
      <c r="F30" t="s">
        <v>98</v>
      </c>
      <c r="G30" s="863">
        <f>+Calculations!F20</f>
        <v>-7</v>
      </c>
      <c r="H30" s="870">
        <f>-G30+G31</f>
        <v>5</v>
      </c>
      <c r="I30" s="123" t="str">
        <f>+AC29&amp;" - "&amp;AD29</f>
        <v xml:space="preserve"> - </v>
      </c>
      <c r="J30" s="144"/>
      <c r="K30" s="120" t="str">
        <f>IF(F31="","",F31)</f>
        <v>Kiln inlet</v>
      </c>
      <c r="L30" s="867">
        <f>Calculations!E22</f>
        <v>1</v>
      </c>
      <c r="M30" s="54"/>
      <c r="N30" s="270">
        <f>Calculations!E23</f>
        <v>0</v>
      </c>
      <c r="O30" s="276" t="str">
        <f>IF(AH30=0,"",AH30)</f>
        <v/>
      </c>
      <c r="R30" s="120" t="str">
        <f t="shared" si="10"/>
        <v>Kiln inlet</v>
      </c>
      <c r="S30" s="858">
        <v>1000</v>
      </c>
      <c r="T30" s="859">
        <v>1100</v>
      </c>
      <c r="U30" s="862">
        <f>+S30</f>
        <v>1000</v>
      </c>
      <c r="V30" s="862">
        <f>+U30</f>
        <v>1000</v>
      </c>
      <c r="W30" s="862">
        <f>+V30</f>
        <v>1000</v>
      </c>
      <c r="X30" s="861">
        <f>+T30</f>
        <v>1100</v>
      </c>
      <c r="Y30" s="861">
        <f>+X30</f>
        <v>1100</v>
      </c>
      <c r="Z30" s="861">
        <f>+Y30</f>
        <v>1100</v>
      </c>
      <c r="AA30" s="54"/>
      <c r="AB30" s="102" t="str">
        <f t="shared" si="11"/>
        <v>Kiln inlet</v>
      </c>
      <c r="AC30" s="322"/>
      <c r="AD30" s="322"/>
      <c r="AE30" s="51"/>
      <c r="AF30" s="144"/>
      <c r="AG30" s="94" t="str">
        <f>IF(AB30="","",AB30)</f>
        <v>Kiln inlet</v>
      </c>
      <c r="AH30" s="327">
        <f>CHOOSE(General!$F$63,Evaluation!AI30,Evaluation!AJ30,Evaluation!AK30)</f>
        <v>0</v>
      </c>
      <c r="AI30" s="324"/>
      <c r="AJ30" s="322"/>
      <c r="AK30" s="323"/>
      <c r="AL30" s="214"/>
    </row>
    <row r="31" spans="1:38" ht="13.5" thickBot="1">
      <c r="A31" s="227" t="s">
        <v>120</v>
      </c>
      <c r="B31" s="57"/>
      <c r="C31" s="362">
        <f>Calculations!D17</f>
        <v>1200</v>
      </c>
      <c r="D31" s="351" t="str">
        <f t="shared" si="6"/>
        <v>1000 - 1100</v>
      </c>
      <c r="E31" s="54"/>
      <c r="F31" s="227" t="str">
        <f>IF(A30="","",A30)</f>
        <v>Kiln inlet</v>
      </c>
      <c r="G31" s="866">
        <f>Calculations!E20</f>
        <v>-2</v>
      </c>
      <c r="H31" s="856">
        <f>-G31+G32</f>
        <v>0</v>
      </c>
      <c r="I31" s="351" t="str">
        <f>+AC30&amp;" - "&amp;AD30</f>
        <v xml:space="preserve"> - </v>
      </c>
      <c r="J31" s="144"/>
      <c r="K31" s="227" t="str">
        <f>IF(F32="","",F32)</f>
        <v>Kiln</v>
      </c>
      <c r="L31" s="864">
        <f>Calculations!D22</f>
        <v>1</v>
      </c>
      <c r="M31" s="136"/>
      <c r="N31" s="136"/>
      <c r="O31" s="136"/>
      <c r="R31" s="120" t="str">
        <f t="shared" si="10"/>
        <v>Kiln</v>
      </c>
      <c r="S31" s="860">
        <v>1000</v>
      </c>
      <c r="T31" s="739">
        <v>1100</v>
      </c>
      <c r="U31" s="862">
        <f>+S31</f>
        <v>1000</v>
      </c>
      <c r="V31" s="862">
        <f>+U31</f>
        <v>1000</v>
      </c>
      <c r="W31" s="862">
        <f>+V31</f>
        <v>1000</v>
      </c>
      <c r="X31" s="861">
        <f>+T31</f>
        <v>1100</v>
      </c>
      <c r="Y31" s="861">
        <f>+X31</f>
        <v>1100</v>
      </c>
      <c r="Z31" s="861">
        <f>+Y31</f>
        <v>1100</v>
      </c>
      <c r="AA31" s="54"/>
      <c r="AB31" s="102"/>
      <c r="AC31" s="270"/>
      <c r="AE31" s="51"/>
      <c r="AF31" s="144"/>
      <c r="AG31" s="102" t="str">
        <f>IF(AB31="","",AB31)</f>
        <v/>
      </c>
      <c r="AH31" s="54">
        <f>Calculations!T22</f>
        <v>0</v>
      </c>
      <c r="AI31" s="136"/>
      <c r="AJ31" s="136"/>
      <c r="AK31" s="136"/>
      <c r="AL31" s="214"/>
    </row>
    <row r="32" spans="1:38">
      <c r="A32" s="120" t="s">
        <v>285</v>
      </c>
      <c r="C32" s="418">
        <f>Calculations!P17</f>
        <v>910</v>
      </c>
      <c r="D32" s="76"/>
      <c r="E32" s="54"/>
      <c r="F32" s="227" t="str">
        <f>IF(A31="","",A31)</f>
        <v>Kiln</v>
      </c>
      <c r="G32" s="864">
        <f>Calculations!D20</f>
        <v>-2</v>
      </c>
      <c r="H32" s="51"/>
      <c r="I32" s="51"/>
      <c r="J32" s="144"/>
      <c r="K32" s="120"/>
      <c r="L32" s="76"/>
      <c r="M32" s="136"/>
      <c r="N32" s="136"/>
      <c r="O32" s="136"/>
      <c r="R32" s="120"/>
      <c r="T32" s="54"/>
      <c r="U32" s="158"/>
      <c r="V32" s="309"/>
      <c r="W32" s="309"/>
      <c r="X32" s="312"/>
      <c r="Y32" s="312"/>
      <c r="Z32" s="312"/>
      <c r="AA32" s="54"/>
      <c r="AB32" s="102" t="str">
        <f t="shared" si="11"/>
        <v/>
      </c>
      <c r="AC32" s="270"/>
      <c r="AE32" s="51"/>
      <c r="AF32" s="144"/>
      <c r="AG32" s="102"/>
      <c r="AH32" s="76"/>
      <c r="AI32" s="136"/>
      <c r="AJ32" s="136"/>
      <c r="AK32" s="136"/>
      <c r="AL32" s="214"/>
    </row>
    <row r="33" spans="1:38">
      <c r="A33" s="771" t="s">
        <v>470</v>
      </c>
      <c r="B33" s="54"/>
      <c r="C33" s="54"/>
      <c r="D33" s="54"/>
      <c r="E33" s="54"/>
      <c r="F33" s="771"/>
      <c r="G33" s="144"/>
      <c r="H33" s="144"/>
      <c r="I33" s="144"/>
      <c r="J33" s="144"/>
      <c r="M33" s="14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144"/>
      <c r="AC33" s="144"/>
      <c r="AD33" s="144"/>
      <c r="AE33" s="144"/>
      <c r="AF33" s="144"/>
      <c r="AL33" s="214"/>
    </row>
    <row r="34" spans="1:38" ht="13.5" thickBot="1">
      <c r="A34" s="440" t="s">
        <v>270</v>
      </c>
      <c r="B34" s="441"/>
      <c r="C34" s="441"/>
      <c r="D34" s="441"/>
      <c r="E34" s="120"/>
      <c r="F34" s="440" t="s">
        <v>272</v>
      </c>
      <c r="G34" s="441"/>
      <c r="H34" s="441"/>
      <c r="I34" s="441"/>
      <c r="J34" s="292"/>
      <c r="K34" s="440" t="s">
        <v>262</v>
      </c>
      <c r="L34" s="441"/>
      <c r="M34" s="441"/>
      <c r="N34" s="441"/>
      <c r="O34" s="442"/>
      <c r="R34" s="267" t="s">
        <v>270</v>
      </c>
      <c r="S34" s="268"/>
      <c r="T34" s="268"/>
      <c r="U34" s="268"/>
      <c r="V34" s="120"/>
      <c r="W34" s="120"/>
      <c r="X34" s="120"/>
      <c r="Y34" s="120"/>
      <c r="Z34" s="120"/>
      <c r="AA34" s="120"/>
      <c r="AB34" s="267" t="s">
        <v>272</v>
      </c>
      <c r="AC34" s="268"/>
      <c r="AD34" s="268"/>
      <c r="AE34" s="268"/>
      <c r="AF34" s="292"/>
      <c r="AG34" s="267" t="s">
        <v>262</v>
      </c>
      <c r="AH34" s="268"/>
      <c r="AI34" s="268"/>
      <c r="AJ34" s="268"/>
      <c r="AK34" s="290"/>
      <c r="AL34" s="214"/>
    </row>
    <row r="35" spans="1:38" ht="12.75" customHeight="1">
      <c r="A35" s="54"/>
      <c r="B35" s="54"/>
      <c r="C35" s="54"/>
      <c r="D35" s="54"/>
      <c r="E35" s="120"/>
      <c r="F35" s="76"/>
      <c r="G35" s="76"/>
      <c r="H35" s="51"/>
      <c r="I35" s="51"/>
      <c r="J35" s="84"/>
      <c r="K35" s="273"/>
      <c r="L35" s="120"/>
      <c r="M35" s="120"/>
      <c r="N35" s="120"/>
      <c r="O35" s="120"/>
      <c r="R35" s="54"/>
      <c r="S35" s="54"/>
      <c r="T35" s="54"/>
      <c r="U35" s="54"/>
      <c r="V35" s="120"/>
      <c r="W35" s="120"/>
      <c r="X35" s="120"/>
      <c r="Y35" s="120"/>
      <c r="Z35" s="120"/>
      <c r="AA35" s="120"/>
      <c r="AB35" s="76"/>
      <c r="AC35" s="76"/>
      <c r="AD35" s="51"/>
      <c r="AE35" s="51"/>
      <c r="AF35" s="84"/>
      <c r="AG35" s="273"/>
      <c r="AH35" s="120"/>
      <c r="AI35" s="120"/>
      <c r="AJ35" s="120"/>
      <c r="AK35" s="120"/>
      <c r="AL35" s="214"/>
    </row>
    <row r="36" spans="1:38">
      <c r="A36" s="54"/>
      <c r="B36" s="120"/>
      <c r="C36" s="242" t="s">
        <v>281</v>
      </c>
      <c r="D36" s="242" t="s">
        <v>438</v>
      </c>
      <c r="E36" s="136"/>
      <c r="F36" s="76"/>
      <c r="G36" s="195"/>
      <c r="H36" s="242" t="s">
        <v>281</v>
      </c>
      <c r="I36" s="242" t="s">
        <v>436</v>
      </c>
      <c r="J36" s="395"/>
      <c r="K36" s="76"/>
      <c r="L36" s="242" t="s">
        <v>281</v>
      </c>
      <c r="M36" s="76"/>
      <c r="N36" s="76"/>
      <c r="O36" s="242" t="s">
        <v>436</v>
      </c>
      <c r="R36" s="144"/>
      <c r="S36" s="126" t="s">
        <v>294</v>
      </c>
      <c r="T36" s="90" t="s">
        <v>295</v>
      </c>
      <c r="U36" s="120"/>
      <c r="W36" s="120"/>
      <c r="X36" s="120"/>
      <c r="Y36" s="120"/>
      <c r="Z36" s="120"/>
      <c r="AA36" s="120"/>
      <c r="AB36" s="144"/>
      <c r="AC36" s="126" t="s">
        <v>294</v>
      </c>
      <c r="AD36" s="90" t="s">
        <v>295</v>
      </c>
      <c r="AE36" s="120"/>
      <c r="AG36" s="264"/>
      <c r="AH36" s="274"/>
      <c r="AI36" s="274"/>
      <c r="AJ36" s="274"/>
      <c r="AL36" s="214"/>
    </row>
    <row r="37" spans="1:38" ht="25.5">
      <c r="A37" s="120"/>
      <c r="B37" s="51"/>
      <c r="C37" s="76" t="s">
        <v>146</v>
      </c>
      <c r="D37" s="76" t="s">
        <v>146</v>
      </c>
      <c r="E37" s="275"/>
      <c r="F37" s="136"/>
      <c r="G37" s="242"/>
      <c r="H37" s="76" t="s">
        <v>146</v>
      </c>
      <c r="I37" s="76" t="s">
        <v>146</v>
      </c>
      <c r="J37" s="395"/>
      <c r="K37" s="76"/>
      <c r="L37" s="387" t="s">
        <v>300</v>
      </c>
      <c r="M37" s="387" t="s">
        <v>301</v>
      </c>
      <c r="N37" s="387" t="s">
        <v>302</v>
      </c>
      <c r="O37" s="284" t="s">
        <v>303</v>
      </c>
      <c r="R37" s="94" t="s">
        <v>437</v>
      </c>
      <c r="S37" s="331">
        <v>10</v>
      </c>
      <c r="T37" s="331">
        <v>27</v>
      </c>
      <c r="U37" s="76" t="s">
        <v>30</v>
      </c>
      <c r="W37" s="275"/>
      <c r="X37" s="275"/>
      <c r="Y37" s="275"/>
      <c r="Z37" s="275"/>
      <c r="AA37" s="275"/>
      <c r="AB37" s="94" t="s">
        <v>437</v>
      </c>
      <c r="AC37" s="331">
        <v>10</v>
      </c>
      <c r="AD37" s="331">
        <v>27</v>
      </c>
      <c r="AE37" s="76" t="s">
        <v>30</v>
      </c>
      <c r="AG37" s="87" t="s">
        <v>439</v>
      </c>
      <c r="AH37" s="335"/>
      <c r="AI37" s="224"/>
      <c r="AJ37" s="336">
        <v>10</v>
      </c>
      <c r="AK37" s="284" t="s">
        <v>299</v>
      </c>
      <c r="AL37" s="214"/>
    </row>
    <row r="38" spans="1:38">
      <c r="A38" s="120" t="str">
        <f t="shared" ref="A38:A42" si="15">F38</f>
        <v/>
      </c>
      <c r="B38" s="51"/>
      <c r="C38" s="352" t="str">
        <f>IF(A38="","",Calculations!L56)</f>
        <v/>
      </c>
      <c r="D38" s="285" t="str">
        <f>IF(A38="","",S$37&amp;" - "&amp;T$37)</f>
        <v/>
      </c>
      <c r="E38" s="276"/>
      <c r="F38" s="135" t="str">
        <f t="shared" ref="F38:F43" si="16">IF(A24="","",A24)</f>
        <v/>
      </c>
      <c r="G38" s="195"/>
      <c r="H38" s="352" t="str">
        <f>IF(F38="","",Calculations!L59)</f>
        <v/>
      </c>
      <c r="I38" s="126" t="str">
        <f>IF(F38="","",AC$37&amp;" - "&amp;AD$37)</f>
        <v/>
      </c>
      <c r="J38" s="395"/>
      <c r="K38" s="135" t="str">
        <f t="shared" ref="K38:K43" si="17">IF(A24="","",A24)</f>
        <v/>
      </c>
      <c r="L38" s="352" t="str">
        <f t="shared" ref="L38:L43" si="18">+C24</f>
        <v/>
      </c>
      <c r="M38" s="396" t="str">
        <f>IF(K38="","",Calculations!L18)</f>
        <v/>
      </c>
      <c r="N38" s="231" t="str">
        <f>IF(L38="","",+L38-M38)</f>
        <v/>
      </c>
      <c r="O38" s="126" t="str">
        <f t="shared" ref="O38:O43" si="19">IF(K38="","","&lt; "&amp;$AJ$37)</f>
        <v/>
      </c>
      <c r="R38" s="94" t="s">
        <v>280</v>
      </c>
      <c r="S38" s="331">
        <v>12</v>
      </c>
      <c r="T38" s="331">
        <v>27</v>
      </c>
      <c r="U38" s="76" t="s">
        <v>30</v>
      </c>
      <c r="V38" s="54"/>
      <c r="W38" s="333"/>
      <c r="X38" s="54"/>
      <c r="Y38" s="54"/>
      <c r="Z38" s="333"/>
      <c r="AA38" s="276"/>
      <c r="AB38" s="94" t="s">
        <v>280</v>
      </c>
      <c r="AC38" s="331">
        <v>12</v>
      </c>
      <c r="AD38" s="331">
        <v>27</v>
      </c>
      <c r="AE38" s="76" t="s">
        <v>30</v>
      </c>
      <c r="AF38" s="84"/>
      <c r="AG38" s="120"/>
      <c r="AH38" s="54"/>
      <c r="AI38" s="333"/>
      <c r="AJ38" s="333"/>
      <c r="AK38" s="333"/>
      <c r="AL38" s="214"/>
    </row>
    <row r="39" spans="1:38">
      <c r="A39" s="227" t="str">
        <f t="shared" si="15"/>
        <v>Cyclone 1</v>
      </c>
      <c r="B39" s="309"/>
      <c r="C39" s="353">
        <f>IF(A39="","",Calculations!K56)</f>
        <v>22.612275375890928</v>
      </c>
      <c r="D39" s="154" t="str">
        <f>IF(A39="","",S$37&amp;" - "&amp;T$37)</f>
        <v>10 - 27</v>
      </c>
      <c r="E39" s="136"/>
      <c r="F39" s="401" t="str">
        <f t="shared" si="16"/>
        <v>Cyclone 1</v>
      </c>
      <c r="G39" s="398"/>
      <c r="H39" s="353">
        <f>IF(F39="","",Calculations!K59)</f>
        <v>12.228337112276702</v>
      </c>
      <c r="I39" s="137" t="str">
        <f>IF(F39="","",AC$37&amp;" - "&amp;AD$37)</f>
        <v>10 - 27</v>
      </c>
      <c r="J39" s="395"/>
      <c r="K39" s="401" t="str">
        <f t="shared" si="17"/>
        <v>Cyclone 1</v>
      </c>
      <c r="L39" s="353">
        <f t="shared" si="18"/>
        <v>340</v>
      </c>
      <c r="M39" s="399">
        <f>IF(K39="","",Calculations!K18)</f>
        <v>322</v>
      </c>
      <c r="N39" s="347">
        <f>IF(L39="","",+L39-M39)</f>
        <v>18</v>
      </c>
      <c r="O39" s="137" t="str">
        <f t="shared" si="19"/>
        <v>&lt; 10</v>
      </c>
      <c r="R39" s="120"/>
      <c r="S39" s="54"/>
      <c r="T39" s="54"/>
      <c r="U39" s="76"/>
      <c r="V39" s="54"/>
      <c r="W39" s="333"/>
      <c r="X39" s="54"/>
      <c r="Y39" s="54"/>
      <c r="Z39" s="333"/>
      <c r="AA39" s="120"/>
      <c r="AB39" s="54"/>
      <c r="AC39" s="333"/>
      <c r="AD39" s="333"/>
      <c r="AE39" s="333"/>
      <c r="AF39" s="84"/>
      <c r="AG39" s="120"/>
      <c r="AH39" s="54"/>
      <c r="AI39" s="333"/>
      <c r="AJ39" s="333"/>
      <c r="AK39" s="333"/>
      <c r="AL39" s="214"/>
    </row>
    <row r="40" spans="1:38">
      <c r="A40" s="120" t="str">
        <f t="shared" si="15"/>
        <v>Cyclone 2</v>
      </c>
      <c r="B40" s="54"/>
      <c r="C40" s="354">
        <f>Calculations!J56</f>
        <v>19.97669873952934</v>
      </c>
      <c r="D40" s="122" t="str">
        <f>IF(A40="","",S$37&amp;" - "&amp;T$37)</f>
        <v>10 - 27</v>
      </c>
      <c r="E40" s="136"/>
      <c r="F40" s="135" t="str">
        <f t="shared" si="16"/>
        <v>Cyclone 2</v>
      </c>
      <c r="G40" s="195"/>
      <c r="H40" s="626">
        <f>Calculations!J59</f>
        <v>12.047330897456977</v>
      </c>
      <c r="I40" s="123" t="str">
        <f>IF(F40="","",AC$37&amp;" - "&amp;AD$37)</f>
        <v>10 - 27</v>
      </c>
      <c r="J40" s="395"/>
      <c r="K40" s="135" t="str">
        <f t="shared" si="17"/>
        <v>Cyclone 2</v>
      </c>
      <c r="L40" s="354">
        <f t="shared" si="18"/>
        <v>529</v>
      </c>
      <c r="M40" s="400">
        <f>Calculations!J18</f>
        <v>519</v>
      </c>
      <c r="N40" s="344">
        <f>+L40-M40</f>
        <v>10</v>
      </c>
      <c r="O40" s="123" t="str">
        <f t="shared" si="19"/>
        <v>&lt; 10</v>
      </c>
      <c r="R40" s="120"/>
      <c r="S40" s="54"/>
      <c r="T40" s="54"/>
      <c r="U40" s="76"/>
      <c r="V40" s="54"/>
      <c r="W40" s="333"/>
      <c r="X40" s="54"/>
      <c r="Y40" s="54"/>
      <c r="Z40" s="333"/>
      <c r="AA40" s="120"/>
      <c r="AB40" s="54"/>
      <c r="AC40" s="333"/>
      <c r="AD40" s="333"/>
      <c r="AE40" s="333"/>
      <c r="AF40" s="84"/>
      <c r="AG40" s="120"/>
      <c r="AH40" s="54"/>
      <c r="AI40" s="333"/>
      <c r="AJ40" s="333"/>
      <c r="AK40" s="333"/>
      <c r="AL40" s="214"/>
    </row>
    <row r="41" spans="1:38">
      <c r="A41" s="227" t="str">
        <f t="shared" si="15"/>
        <v>Cyclone 3</v>
      </c>
      <c r="B41" s="227"/>
      <c r="C41" s="353">
        <f>Calculations!I56</f>
        <v>17.910636986985111</v>
      </c>
      <c r="D41" s="154" t="str">
        <f>IF(A41="","",S$37&amp;" - "&amp;T$37)</f>
        <v>10 - 27</v>
      </c>
      <c r="E41" s="136"/>
      <c r="F41" s="401" t="str">
        <f t="shared" si="16"/>
        <v>Cyclone 3</v>
      </c>
      <c r="G41" s="398"/>
      <c r="H41" s="353">
        <f>Calculations!I59</f>
        <v>11.782736357344152</v>
      </c>
      <c r="I41" s="137" t="str">
        <f>IF(F41="","",AC$37&amp;" - "&amp;AD$37)</f>
        <v>10 - 27</v>
      </c>
      <c r="J41" s="395"/>
      <c r="K41" s="401" t="str">
        <f t="shared" si="17"/>
        <v>Cyclone 3</v>
      </c>
      <c r="L41" s="353">
        <f t="shared" si="18"/>
        <v>650</v>
      </c>
      <c r="M41" s="399">
        <f>Calculations!I18</f>
        <v>640</v>
      </c>
      <c r="N41" s="347">
        <f>+L41-M41</f>
        <v>10</v>
      </c>
      <c r="O41" s="137" t="str">
        <f t="shared" si="19"/>
        <v>&lt; 10</v>
      </c>
      <c r="R41" s="120"/>
      <c r="S41" s="54"/>
      <c r="T41" s="54"/>
      <c r="U41" s="76"/>
      <c r="V41" s="54"/>
      <c r="W41" s="333"/>
      <c r="X41" s="54"/>
      <c r="Y41" s="54"/>
      <c r="Z41" s="333"/>
      <c r="AA41" s="120"/>
      <c r="AB41" s="54"/>
      <c r="AC41" s="333"/>
      <c r="AD41" s="333"/>
      <c r="AE41" s="333"/>
      <c r="AF41" s="84"/>
      <c r="AG41" s="120"/>
      <c r="AH41" s="54"/>
      <c r="AI41" s="333"/>
      <c r="AJ41" s="333"/>
      <c r="AK41" s="333"/>
      <c r="AL41" s="214"/>
    </row>
    <row r="42" spans="1:38">
      <c r="A42" s="120" t="str">
        <f t="shared" si="15"/>
        <v>Cyclone 4</v>
      </c>
      <c r="B42" s="120"/>
      <c r="C42" s="354">
        <f>Calculations!H56</f>
        <v>18.638094493807611</v>
      </c>
      <c r="D42" s="122" t="str">
        <f>IF(A42="","",S$37&amp;" - "&amp;T$37)</f>
        <v>10 - 27</v>
      </c>
      <c r="E42" s="136"/>
      <c r="F42" s="135" t="str">
        <f t="shared" si="16"/>
        <v>Cyclone 4</v>
      </c>
      <c r="G42" s="195"/>
      <c r="H42" s="354">
        <f>Calculations!H59</f>
        <v>13.370218868236439</v>
      </c>
      <c r="I42" s="123" t="str">
        <f>IF(F42="","",AC$37&amp;" - "&amp;AD$37)</f>
        <v>10 - 27</v>
      </c>
      <c r="J42" s="395"/>
      <c r="K42" s="135" t="str">
        <f t="shared" si="17"/>
        <v>Cyclone 4</v>
      </c>
      <c r="L42" s="354">
        <f t="shared" si="18"/>
        <v>795</v>
      </c>
      <c r="M42" s="400">
        <f>Calculations!H18</f>
        <v>785</v>
      </c>
      <c r="N42" s="344">
        <f>+L42-M42</f>
        <v>10</v>
      </c>
      <c r="O42" s="123" t="str">
        <f t="shared" si="19"/>
        <v>&lt; 10</v>
      </c>
      <c r="R42" s="120"/>
      <c r="S42" s="54"/>
      <c r="T42" s="54"/>
      <c r="U42" s="76"/>
      <c r="V42" s="54"/>
      <c r="W42" s="333"/>
      <c r="X42" s="54"/>
      <c r="Y42" s="54"/>
      <c r="Z42" s="333"/>
      <c r="AA42" s="120"/>
      <c r="AB42" s="54"/>
      <c r="AC42" s="333"/>
      <c r="AD42" s="333"/>
      <c r="AE42" s="334"/>
      <c r="AF42" s="84"/>
      <c r="AG42" s="120"/>
      <c r="AH42" s="54"/>
      <c r="AI42" s="333"/>
      <c r="AJ42" s="333"/>
      <c r="AK42" s="334"/>
      <c r="AL42" s="214"/>
    </row>
    <row r="43" spans="1:38">
      <c r="A43" s="737" t="str">
        <f>IF('T,P, O2'!AT44&lt;10,"Kiln riser","Calciner loop" )</f>
        <v>Calciner loop</v>
      </c>
      <c r="B43" s="227"/>
      <c r="C43" s="355">
        <f>Calculations!G56</f>
        <v>18.638094493807611</v>
      </c>
      <c r="D43" s="142" t="str">
        <f>IF(A43="","",S$38&amp;" - "&amp;T$38)</f>
        <v>12 - 27</v>
      </c>
      <c r="E43" s="136"/>
      <c r="F43" s="401" t="str">
        <f t="shared" si="16"/>
        <v>Cyclone 5</v>
      </c>
      <c r="G43" s="398"/>
      <c r="H43" s="355">
        <f>Calculations!G59</f>
        <v>13.913262987249407</v>
      </c>
      <c r="I43" s="351" t="str">
        <f>IF(F43="","",AC$38&amp;" - "&amp;AD$38)</f>
        <v>12 - 27</v>
      </c>
      <c r="J43" s="395"/>
      <c r="K43" s="401" t="str">
        <f t="shared" si="17"/>
        <v>Cyclone 5</v>
      </c>
      <c r="L43" s="355">
        <f t="shared" si="18"/>
        <v>870</v>
      </c>
      <c r="M43" s="372">
        <f>Calculations!G18</f>
        <v>860</v>
      </c>
      <c r="N43" s="350">
        <f>+L43-M43</f>
        <v>10</v>
      </c>
      <c r="O43" s="351" t="str">
        <f t="shared" si="19"/>
        <v>&lt; 10</v>
      </c>
      <c r="R43" s="120"/>
      <c r="S43" s="54"/>
      <c r="T43" s="54"/>
      <c r="U43" s="76"/>
      <c r="V43" s="54"/>
      <c r="W43" s="333"/>
      <c r="X43" s="54"/>
      <c r="Y43" s="54"/>
      <c r="Z43" s="333"/>
      <c r="AA43" s="120"/>
      <c r="AB43" s="120"/>
      <c r="AC43" s="51"/>
      <c r="AD43" s="330"/>
      <c r="AE43" s="54"/>
      <c r="AF43" s="84"/>
      <c r="AG43" s="120"/>
      <c r="AH43" s="330"/>
      <c r="AI43" s="54"/>
      <c r="AJ43" s="277"/>
      <c r="AL43" s="214"/>
    </row>
    <row r="44" spans="1:38">
      <c r="A44" s="69" t="s">
        <v>425</v>
      </c>
      <c r="B44" s="120"/>
      <c r="C44" s="120"/>
      <c r="D44" s="120"/>
      <c r="E44" s="120"/>
      <c r="F44" s="120"/>
      <c r="G44" s="76"/>
      <c r="H44" s="136"/>
      <c r="I44" s="136"/>
      <c r="J44" s="84"/>
      <c r="K44" s="120"/>
      <c r="L44" s="76"/>
      <c r="M44" s="136"/>
      <c r="N44" s="136"/>
      <c r="O44" s="136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76"/>
      <c r="AD44" s="136"/>
      <c r="AE44" s="136"/>
      <c r="AF44" s="84"/>
      <c r="AG44" s="120"/>
      <c r="AH44" s="76"/>
      <c r="AI44" s="136"/>
      <c r="AJ44" s="136"/>
      <c r="AK44" s="136"/>
      <c r="AL44" s="214"/>
    </row>
    <row r="45" spans="1:38" ht="13.5" thickBot="1">
      <c r="A45" s="440" t="s">
        <v>283</v>
      </c>
      <c r="B45" s="441"/>
      <c r="C45" s="441"/>
      <c r="D45" s="441"/>
      <c r="E45" s="120"/>
      <c r="F45" s="440" t="s">
        <v>284</v>
      </c>
      <c r="G45" s="441"/>
      <c r="H45" s="441"/>
      <c r="I45" s="441"/>
      <c r="J45" s="84"/>
      <c r="K45" s="440" t="s">
        <v>414</v>
      </c>
      <c r="L45" s="442"/>
      <c r="M45" s="441"/>
      <c r="N45" s="441"/>
      <c r="O45" s="442"/>
      <c r="R45" s="267" t="s">
        <v>283</v>
      </c>
      <c r="S45" s="268"/>
      <c r="T45" s="268"/>
      <c r="U45" s="268"/>
      <c r="V45" s="120"/>
      <c r="W45" s="120"/>
      <c r="X45" s="120"/>
      <c r="Y45" s="120"/>
      <c r="Z45" s="120"/>
      <c r="AA45" s="120"/>
      <c r="AB45" s="267" t="s">
        <v>284</v>
      </c>
      <c r="AC45" s="268"/>
      <c r="AD45" s="268"/>
      <c r="AE45" s="268"/>
      <c r="AF45" s="84"/>
      <c r="AG45" s="273"/>
      <c r="AH45" s="120"/>
      <c r="AI45" s="120"/>
      <c r="AJ45" s="120"/>
      <c r="AK45" s="273"/>
      <c r="AL45" s="214"/>
    </row>
    <row r="46" spans="1:38" ht="13.5" thickBot="1">
      <c r="A46" s="69" t="s">
        <v>440</v>
      </c>
      <c r="B46" s="120"/>
      <c r="C46" s="120"/>
      <c r="D46" s="120"/>
      <c r="E46" s="120"/>
      <c r="F46" s="69" t="s">
        <v>440</v>
      </c>
      <c r="G46" s="76"/>
      <c r="H46" s="136"/>
      <c r="I46" s="136"/>
      <c r="J46" s="84"/>
      <c r="K46" s="120"/>
      <c r="L46" s="76"/>
      <c r="M46" s="136"/>
      <c r="N46" s="136"/>
      <c r="O46" s="136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76"/>
      <c r="AD46" s="136"/>
      <c r="AE46" s="136"/>
      <c r="AF46" s="84"/>
      <c r="AG46" s="120"/>
      <c r="AH46" s="76"/>
      <c r="AI46" s="136"/>
      <c r="AJ46" s="136"/>
      <c r="AK46" s="136"/>
      <c r="AL46" s="214"/>
    </row>
    <row r="47" spans="1:38" ht="13.5" thickBot="1">
      <c r="A47" s="120"/>
      <c r="B47" s="120"/>
      <c r="C47" s="242" t="s">
        <v>281</v>
      </c>
      <c r="D47" s="242" t="s">
        <v>436</v>
      </c>
      <c r="E47" s="120"/>
      <c r="F47" s="120"/>
      <c r="G47" s="76"/>
      <c r="H47" s="242" t="s">
        <v>281</v>
      </c>
      <c r="I47" s="242" t="s">
        <v>436</v>
      </c>
      <c r="J47" s="84"/>
      <c r="K47" s="273" t="s">
        <v>308</v>
      </c>
      <c r="L47" s="76"/>
      <c r="M47" s="69" t="s">
        <v>86</v>
      </c>
      <c r="N47" s="439" t="str">
        <f>+'T,P, O2'!AE72</f>
        <v/>
      </c>
      <c r="O47" s="244" t="s">
        <v>112</v>
      </c>
      <c r="R47" s="144"/>
      <c r="S47" s="126" t="s">
        <v>294</v>
      </c>
      <c r="T47" s="90" t="s">
        <v>295</v>
      </c>
      <c r="U47" s="120"/>
      <c r="V47" s="120"/>
      <c r="W47" s="120"/>
      <c r="X47" s="120"/>
      <c r="Y47" s="120"/>
      <c r="Z47" s="120"/>
      <c r="AA47" s="120"/>
      <c r="AB47" s="144"/>
      <c r="AC47" s="126" t="s">
        <v>294</v>
      </c>
      <c r="AD47" s="90" t="s">
        <v>295</v>
      </c>
      <c r="AE47" s="120"/>
      <c r="AF47" s="84"/>
      <c r="AG47" s="120"/>
      <c r="AH47" s="76"/>
      <c r="AI47" s="136"/>
      <c r="AJ47" s="136"/>
      <c r="AK47" s="136"/>
      <c r="AL47" s="214"/>
    </row>
    <row r="48" spans="1:38" ht="13.5" thickBot="1">
      <c r="A48" s="120"/>
      <c r="B48" s="120"/>
      <c r="C48" s="76" t="s">
        <v>146</v>
      </c>
      <c r="D48" s="76" t="s">
        <v>146</v>
      </c>
      <c r="E48" s="120"/>
      <c r="F48" s="120"/>
      <c r="G48" s="76"/>
      <c r="H48" s="76" t="s">
        <v>146</v>
      </c>
      <c r="I48" s="76" t="s">
        <v>146</v>
      </c>
      <c r="J48" s="84"/>
      <c r="K48" s="273" t="s">
        <v>417</v>
      </c>
      <c r="L48" s="76"/>
      <c r="M48" s="136"/>
      <c r="N48" s="730" t="e">
        <f ca="1">Calculations!N56</f>
        <v>#VALUE!</v>
      </c>
      <c r="O48" s="76" t="s">
        <v>146</v>
      </c>
      <c r="R48" s="94" t="s">
        <v>437</v>
      </c>
      <c r="S48" s="331"/>
      <c r="T48" s="331"/>
      <c r="U48" s="76" t="s">
        <v>30</v>
      </c>
      <c r="V48" s="120"/>
      <c r="W48" s="120"/>
      <c r="X48" s="120"/>
      <c r="Y48" s="120"/>
      <c r="Z48" s="120"/>
      <c r="AA48" s="120"/>
      <c r="AB48" s="94" t="s">
        <v>437</v>
      </c>
      <c r="AC48" s="331"/>
      <c r="AD48" s="331"/>
      <c r="AE48" s="76" t="s">
        <v>30</v>
      </c>
      <c r="AF48" s="84"/>
      <c r="AG48" s="120"/>
      <c r="AH48" s="76"/>
      <c r="AI48" s="136"/>
      <c r="AJ48" s="136"/>
      <c r="AK48" s="136"/>
      <c r="AL48" s="214"/>
    </row>
    <row r="49" spans="1:38">
      <c r="A49" s="120" t="str">
        <f t="shared" ref="A49:A54" si="20">IF(A24="","",A24)</f>
        <v/>
      </c>
      <c r="B49" s="120"/>
      <c r="C49" s="342" t="str">
        <f>IF(A49="","",Calculations!L58)</f>
        <v/>
      </c>
      <c r="D49" s="126" t="str">
        <f t="shared" ref="D49:D54" si="21">IF(A49="","",S$48&amp;" - "&amp;T$48)</f>
        <v/>
      </c>
      <c r="E49" s="120"/>
      <c r="F49" s="120" t="str">
        <f t="shared" ref="F49:F54" si="22">IF(A24="","",A24)</f>
        <v/>
      </c>
      <c r="G49" s="76"/>
      <c r="H49" s="342" t="str">
        <f>IF(F49="","",Calculations!L57)</f>
        <v/>
      </c>
      <c r="I49" s="285" t="str">
        <f t="shared" ref="I49:I54" si="23">IF(F49="","",AC$48&amp;" - "&amp;AD$48)</f>
        <v/>
      </c>
      <c r="J49" s="84"/>
      <c r="K49" s="731" t="s">
        <v>418</v>
      </c>
      <c r="R49" s="120"/>
      <c r="S49" s="54"/>
      <c r="T49" s="54"/>
      <c r="U49" s="76"/>
      <c r="V49" s="54"/>
      <c r="W49" s="333"/>
      <c r="X49" s="54"/>
      <c r="Y49" s="54"/>
      <c r="Z49" s="333"/>
      <c r="AA49" s="120"/>
      <c r="AF49" s="144"/>
      <c r="AG49" s="144"/>
      <c r="AH49" s="144"/>
      <c r="AI49" s="144"/>
      <c r="AJ49" s="144"/>
      <c r="AK49" s="136"/>
      <c r="AL49" s="214"/>
    </row>
    <row r="50" spans="1:38">
      <c r="A50" s="227" t="str">
        <f t="shared" si="20"/>
        <v>Cyclone 1</v>
      </c>
      <c r="B50" s="227"/>
      <c r="C50" s="345" t="e">
        <f>IF(A50="","",Calculations!K58)</f>
        <v>#DIV/0!</v>
      </c>
      <c r="D50" s="137" t="str">
        <f t="shared" si="21"/>
        <v xml:space="preserve"> - </v>
      </c>
      <c r="E50" s="120"/>
      <c r="F50" s="227" t="str">
        <f t="shared" si="22"/>
        <v>Cyclone 1</v>
      </c>
      <c r="G50" s="158"/>
      <c r="H50" s="345" t="e">
        <f>IF(F50="","",Calculations!K57)</f>
        <v>#DIV/0!</v>
      </c>
      <c r="I50" s="154" t="str">
        <f t="shared" si="23"/>
        <v xml:space="preserve"> - </v>
      </c>
      <c r="J50" s="84"/>
      <c r="R50" s="643"/>
      <c r="S50" s="644"/>
      <c r="T50" s="644"/>
      <c r="U50" s="645"/>
      <c r="V50" s="644"/>
      <c r="W50" s="646"/>
      <c r="X50" s="644"/>
      <c r="Y50" s="644"/>
      <c r="Z50" s="646"/>
      <c r="AA50" s="643"/>
      <c r="AB50" s="643"/>
      <c r="AC50" s="644"/>
      <c r="AD50" s="644"/>
      <c r="AE50" s="645"/>
      <c r="AF50" s="214"/>
      <c r="AG50" s="214"/>
      <c r="AH50" s="214"/>
      <c r="AI50" s="214"/>
      <c r="AJ50" s="214"/>
      <c r="AK50" s="647"/>
      <c r="AL50" s="214"/>
    </row>
    <row r="51" spans="1:38">
      <c r="A51" s="120" t="str">
        <f t="shared" si="20"/>
        <v>Cyclone 2</v>
      </c>
      <c r="B51" s="120"/>
      <c r="C51" s="343" t="e">
        <f>Calculations!J58</f>
        <v>#DIV/0!</v>
      </c>
      <c r="D51" s="123" t="str">
        <f t="shared" si="21"/>
        <v xml:space="preserve"> - </v>
      </c>
      <c r="E51" s="120"/>
      <c r="F51" s="120" t="str">
        <f t="shared" si="22"/>
        <v>Cyclone 2</v>
      </c>
      <c r="G51" s="76"/>
      <c r="H51" s="343" t="e">
        <f>Calculations!J57</f>
        <v>#DIV/0!</v>
      </c>
      <c r="I51" s="122" t="str">
        <f t="shared" si="23"/>
        <v xml:space="preserve"> - </v>
      </c>
      <c r="J51" s="84"/>
      <c r="K51" s="273" t="s">
        <v>282</v>
      </c>
      <c r="L51" s="76"/>
      <c r="M51" s="136"/>
      <c r="N51" s="136"/>
      <c r="O51" s="136"/>
      <c r="R51" s="643"/>
      <c r="S51" s="644"/>
      <c r="T51" s="644"/>
      <c r="U51" s="645"/>
      <c r="V51" s="644"/>
      <c r="W51" s="646"/>
      <c r="X51" s="644"/>
      <c r="Y51" s="644"/>
      <c r="Z51" s="646"/>
      <c r="AA51" s="643"/>
      <c r="AB51" s="643"/>
      <c r="AC51" s="644"/>
      <c r="AD51" s="644"/>
      <c r="AE51" s="645"/>
      <c r="AF51" s="214"/>
      <c r="AG51" s="214"/>
      <c r="AH51" s="214"/>
      <c r="AI51" s="214"/>
      <c r="AJ51" s="214"/>
      <c r="AK51" s="647"/>
      <c r="AL51" s="214"/>
    </row>
    <row r="52" spans="1:38">
      <c r="A52" s="227" t="str">
        <f t="shared" si="20"/>
        <v>Cyclone 3</v>
      </c>
      <c r="B52" s="227"/>
      <c r="C52" s="345" t="e">
        <f>Calculations!I58</f>
        <v>#DIV/0!</v>
      </c>
      <c r="D52" s="137" t="str">
        <f t="shared" si="21"/>
        <v xml:space="preserve"> - </v>
      </c>
      <c r="E52" s="120"/>
      <c r="F52" s="227" t="str">
        <f t="shared" si="22"/>
        <v>Cyclone 3</v>
      </c>
      <c r="G52" s="158"/>
      <c r="H52" s="345" t="e">
        <f>Calculations!I57</f>
        <v>#DIV/0!</v>
      </c>
      <c r="I52" s="154" t="str">
        <f t="shared" si="23"/>
        <v xml:space="preserve"> - </v>
      </c>
      <c r="J52" s="84"/>
      <c r="K52" s="295"/>
      <c r="L52" s="296"/>
      <c r="M52" s="297"/>
      <c r="N52" s="297"/>
      <c r="O52" s="298"/>
      <c r="R52" s="643"/>
      <c r="S52" s="644"/>
      <c r="T52" s="644"/>
      <c r="U52" s="645"/>
      <c r="V52" s="644"/>
      <c r="W52" s="646"/>
      <c r="X52" s="644"/>
      <c r="Y52" s="644"/>
      <c r="Z52" s="646"/>
      <c r="AA52" s="643"/>
      <c r="AB52" s="643"/>
      <c r="AC52" s="644"/>
      <c r="AD52" s="644"/>
      <c r="AE52" s="645"/>
      <c r="AF52" s="214"/>
      <c r="AG52" s="214"/>
      <c r="AH52" s="214"/>
      <c r="AI52" s="214"/>
      <c r="AJ52" s="214"/>
      <c r="AK52" s="647"/>
      <c r="AL52" s="214"/>
    </row>
    <row r="53" spans="1:38">
      <c r="A53" s="120" t="str">
        <f t="shared" si="20"/>
        <v>Cyclone 4</v>
      </c>
      <c r="B53" s="120"/>
      <c r="C53" s="343" t="e">
        <f>Calculations!H58</f>
        <v>#DIV/0!</v>
      </c>
      <c r="D53" s="123" t="str">
        <f t="shared" si="21"/>
        <v xml:space="preserve"> - </v>
      </c>
      <c r="E53" s="120"/>
      <c r="F53" s="120" t="str">
        <f t="shared" si="22"/>
        <v>Cyclone 4</v>
      </c>
      <c r="G53" s="76"/>
      <c r="H53" s="343" t="e">
        <f>Calculations!H57</f>
        <v>#DIV/0!</v>
      </c>
      <c r="I53" s="122" t="str">
        <f t="shared" si="23"/>
        <v xml:space="preserve"> - </v>
      </c>
      <c r="J53" s="84"/>
      <c r="K53" s="299"/>
      <c r="L53" s="300"/>
      <c r="M53" s="301"/>
      <c r="N53" s="301"/>
      <c r="O53" s="302"/>
      <c r="R53" s="643"/>
      <c r="S53" s="644"/>
      <c r="T53" s="644"/>
      <c r="U53" s="645"/>
      <c r="V53" s="644"/>
      <c r="W53" s="646"/>
      <c r="X53" s="644"/>
      <c r="Y53" s="644"/>
      <c r="Z53" s="646"/>
      <c r="AA53" s="643"/>
      <c r="AB53" s="643"/>
      <c r="AC53" s="644"/>
      <c r="AD53" s="644"/>
      <c r="AE53" s="645"/>
      <c r="AF53" s="214"/>
      <c r="AG53" s="214"/>
      <c r="AH53" s="214"/>
      <c r="AI53" s="214"/>
      <c r="AJ53" s="214"/>
      <c r="AK53" s="647"/>
      <c r="AL53" s="214"/>
    </row>
    <row r="54" spans="1:38">
      <c r="A54" s="227" t="str">
        <f t="shared" si="20"/>
        <v>Cyclone 5</v>
      </c>
      <c r="B54" s="227"/>
      <c r="C54" s="348" t="e">
        <f>Calculations!G58</f>
        <v>#DIV/0!</v>
      </c>
      <c r="D54" s="351" t="str">
        <f t="shared" si="21"/>
        <v xml:space="preserve"> - </v>
      </c>
      <c r="E54" s="120"/>
      <c r="F54" s="227" t="str">
        <f t="shared" si="22"/>
        <v>Cyclone 5</v>
      </c>
      <c r="G54" s="158"/>
      <c r="H54" s="348" t="e">
        <f>Calculations!G57</f>
        <v>#DIV/0!</v>
      </c>
      <c r="I54" s="142" t="str">
        <f t="shared" si="23"/>
        <v xml:space="preserve"> - </v>
      </c>
      <c r="J54" s="84"/>
      <c r="K54" s="303"/>
      <c r="L54" s="304"/>
      <c r="M54" s="305"/>
      <c r="N54" s="305"/>
      <c r="O54" s="306"/>
      <c r="R54" s="796" t="s">
        <v>457</v>
      </c>
      <c r="S54" s="753"/>
      <c r="T54" s="753" t="s">
        <v>211</v>
      </c>
      <c r="U54" s="751">
        <f>Calculations!M49+Calculations!M100</f>
        <v>1.4024501644828269</v>
      </c>
      <c r="V54" s="753" t="s">
        <v>448</v>
      </c>
      <c r="W54" s="755"/>
      <c r="X54" s="753"/>
      <c r="Y54" s="753"/>
      <c r="Z54" s="755"/>
      <c r="AA54" s="754"/>
      <c r="AB54" s="754"/>
      <c r="AC54" s="644"/>
      <c r="AD54" s="644"/>
      <c r="AE54" s="645"/>
      <c r="AF54" s="214"/>
      <c r="AG54" s="214"/>
      <c r="AH54" s="214"/>
      <c r="AI54" s="214"/>
      <c r="AJ54" s="214"/>
      <c r="AK54" s="647"/>
      <c r="AL54" s="214"/>
    </row>
    <row r="55" spans="1:38">
      <c r="A55" s="120"/>
      <c r="C55" s="120"/>
      <c r="D55" s="120"/>
      <c r="E55" s="120"/>
      <c r="F55" s="120"/>
      <c r="G55" s="76"/>
      <c r="H55" s="136"/>
      <c r="I55" s="136"/>
      <c r="J55" s="84"/>
      <c r="K55" s="120"/>
      <c r="L55" s="76"/>
      <c r="M55" s="136"/>
      <c r="N55" s="136"/>
      <c r="O55" s="136"/>
      <c r="R55" s="768"/>
      <c r="S55" s="768"/>
      <c r="T55" s="768" t="s">
        <v>64</v>
      </c>
      <c r="U55" s="768" t="e">
        <f>Calculations!M156</f>
        <v>#DIV/0!</v>
      </c>
      <c r="V55" s="753" t="s">
        <v>448</v>
      </c>
      <c r="W55" s="768"/>
      <c r="X55" s="768"/>
      <c r="Y55" s="768"/>
      <c r="Z55" s="768"/>
      <c r="AA55" s="768"/>
      <c r="AB55" s="768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</row>
    <row r="56" spans="1:38" ht="13.5" thickBot="1">
      <c r="A56" s="443" t="s">
        <v>306</v>
      </c>
      <c r="B56" s="291"/>
      <c r="C56" s="443" t="s">
        <v>152</v>
      </c>
      <c r="D56" s="444"/>
      <c r="E56" s="444"/>
      <c r="F56" s="445"/>
      <c r="G56" s="445"/>
      <c r="H56" s="445"/>
      <c r="I56" s="445"/>
      <c r="J56" s="445"/>
      <c r="K56" s="446"/>
      <c r="L56" s="447"/>
      <c r="M56" s="445"/>
      <c r="N56" s="445"/>
      <c r="O56" s="827">
        <f>+General!D66</f>
        <v>1</v>
      </c>
      <c r="R56" s="768" t="s">
        <v>460</v>
      </c>
      <c r="S56" s="768"/>
      <c r="T56" s="768"/>
      <c r="U56" s="768">
        <f>IF(Calculations!E115&lt;10,U54,AVERAGE(U54:U55))</f>
        <v>1.4024501644828269</v>
      </c>
      <c r="V56" s="753" t="s">
        <v>448</v>
      </c>
      <c r="W56" s="768"/>
      <c r="X56" s="768"/>
      <c r="Y56" s="768"/>
      <c r="Z56" s="768"/>
      <c r="AA56" s="768"/>
      <c r="AB56" s="768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</row>
    <row r="57" spans="1:38" ht="13.5" outlineLevel="1" thickBot="1">
      <c r="A57" s="278"/>
      <c r="B57" s="278"/>
      <c r="C57" s="279"/>
      <c r="D57" s="280"/>
      <c r="E57" s="280"/>
      <c r="F57" s="281"/>
      <c r="G57" s="281"/>
      <c r="H57" s="281"/>
      <c r="I57" s="281"/>
      <c r="J57" s="281"/>
      <c r="K57" s="282"/>
      <c r="L57" s="283"/>
      <c r="M57" s="281"/>
      <c r="N57" s="281"/>
      <c r="R57" s="768" t="s">
        <v>463</v>
      </c>
      <c r="S57" s="768"/>
      <c r="T57" s="768"/>
      <c r="U57" s="845">
        <f>IF(U56&lt;1.3,1.3,IF(U56&gt;1.8,1.8,U56))</f>
        <v>1.4024501644828269</v>
      </c>
      <c r="V57" s="753" t="s">
        <v>448</v>
      </c>
      <c r="W57" s="768"/>
      <c r="X57" s="768"/>
      <c r="Y57" s="768"/>
      <c r="Z57" s="768"/>
      <c r="AA57" s="768"/>
      <c r="AB57" s="768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</row>
    <row r="58" spans="1:38" ht="13.5" outlineLevel="1" thickBot="1">
      <c r="A58" s="440" t="s">
        <v>286</v>
      </c>
      <c r="B58" s="441"/>
      <c r="C58" s="441"/>
      <c r="D58" s="441"/>
      <c r="E58" s="84"/>
      <c r="F58" s="440" t="s">
        <v>264</v>
      </c>
      <c r="G58" s="441"/>
      <c r="H58" s="441"/>
      <c r="I58" s="441"/>
      <c r="J58" s="144"/>
      <c r="K58" s="440" t="s">
        <v>265</v>
      </c>
      <c r="L58" s="441"/>
      <c r="M58" s="441"/>
      <c r="N58" s="441"/>
      <c r="O58" s="442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</row>
    <row r="59" spans="1:38" outlineLevel="1">
      <c r="A59" s="273"/>
      <c r="B59" s="264"/>
      <c r="C59" s="76"/>
      <c r="D59" s="264"/>
      <c r="E59" s="54"/>
      <c r="F59" s="264"/>
      <c r="G59" s="51"/>
      <c r="H59" s="51"/>
      <c r="I59" s="51"/>
      <c r="J59" s="144"/>
      <c r="K59" s="264"/>
      <c r="M59" s="274"/>
      <c r="N59" s="274"/>
      <c r="R59" s="846" t="s">
        <v>321</v>
      </c>
      <c r="S59" s="768"/>
      <c r="T59" s="753" t="s">
        <v>211</v>
      </c>
      <c r="U59" s="847">
        <f>Calculations!E8</f>
        <v>3349.5860035735554</v>
      </c>
      <c r="V59" s="768" t="s">
        <v>462</v>
      </c>
      <c r="W59" s="768"/>
      <c r="X59" s="768"/>
      <c r="Y59" s="768"/>
      <c r="Z59" s="768"/>
      <c r="AA59" s="768"/>
      <c r="AB59" s="768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</row>
    <row r="60" spans="1:38" outlineLevel="1">
      <c r="A60" s="54"/>
      <c r="C60" s="242" t="s">
        <v>281</v>
      </c>
      <c r="D60" s="242" t="s">
        <v>436</v>
      </c>
      <c r="E60" s="54"/>
      <c r="F60" s="264"/>
      <c r="G60" s="242" t="s">
        <v>281</v>
      </c>
      <c r="H60" s="242"/>
      <c r="I60" s="242" t="s">
        <v>436</v>
      </c>
      <c r="J60" s="144"/>
      <c r="K60" s="264"/>
      <c r="L60" s="242" t="s">
        <v>281</v>
      </c>
      <c r="M60" s="386"/>
      <c r="N60" s="386"/>
      <c r="O60" s="242" t="s">
        <v>436</v>
      </c>
      <c r="R60" s="768"/>
      <c r="S60" s="768"/>
      <c r="T60" s="768" t="s">
        <v>64</v>
      </c>
      <c r="U60" s="847" t="e">
        <f>Calculations!E116</f>
        <v>#DIV/0!</v>
      </c>
      <c r="V60" s="768" t="s">
        <v>462</v>
      </c>
      <c r="W60" s="768"/>
      <c r="X60" s="768"/>
      <c r="Y60" s="768"/>
      <c r="Z60" s="768"/>
      <c r="AA60" s="768"/>
      <c r="AB60" s="768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</row>
    <row r="61" spans="1:38" ht="26.25" outlineLevel="1" thickBot="1">
      <c r="A61" s="54"/>
      <c r="C61" s="76" t="s">
        <v>125</v>
      </c>
      <c r="D61" s="76" t="s">
        <v>125</v>
      </c>
      <c r="E61" s="54"/>
      <c r="F61" s="264"/>
      <c r="G61" s="387" t="s">
        <v>297</v>
      </c>
      <c r="H61" s="387" t="s">
        <v>298</v>
      </c>
      <c r="I61" s="387" t="s">
        <v>298</v>
      </c>
      <c r="J61" s="144"/>
      <c r="K61" s="120"/>
      <c r="L61" s="387" t="s">
        <v>267</v>
      </c>
      <c r="M61" s="387" t="s">
        <v>268</v>
      </c>
      <c r="N61" s="387" t="s">
        <v>269</v>
      </c>
      <c r="O61" s="387" t="s">
        <v>269</v>
      </c>
      <c r="R61" s="768" t="s">
        <v>460</v>
      </c>
      <c r="S61" s="768"/>
      <c r="T61" s="768"/>
      <c r="U61" s="847">
        <f>IF(Calculations!E115&lt;10,U59,AVERAGE(U59:U60))</f>
        <v>3349.5860035735554</v>
      </c>
      <c r="V61" s="768" t="s">
        <v>462</v>
      </c>
      <c r="W61" s="768"/>
      <c r="X61" s="768"/>
      <c r="Y61" s="768"/>
      <c r="Z61" s="768"/>
      <c r="AA61" s="768"/>
      <c r="AB61" s="768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</row>
    <row r="62" spans="1:38" ht="13.5" outlineLevel="1" thickBot="1">
      <c r="A62" s="120" t="str">
        <f>IF(AND(General!D66=2,General!D67="y"),Evaluation!A22,"")</f>
        <v/>
      </c>
      <c r="C62" s="368" t="str">
        <f>IF(A62="","",Calculations!O68)</f>
        <v/>
      </c>
      <c r="D62" s="407" t="str">
        <f>IF(D22="","",D22)</f>
        <v>327 - 350</v>
      </c>
      <c r="E62" s="54"/>
      <c r="F62" s="120" t="str">
        <f>IF(A62="","",A62)</f>
        <v/>
      </c>
      <c r="G62" s="368">
        <f>Calculations!O71</f>
        <v>0</v>
      </c>
      <c r="H62" s="368">
        <f>+G63-G62</f>
        <v>0</v>
      </c>
      <c r="I62" s="126" t="str">
        <f t="shared" ref="I62:I68" si="24">IF(I22="","",I22)</f>
        <v xml:space="preserve"> - </v>
      </c>
      <c r="J62" s="144"/>
      <c r="K62" s="120" t="str">
        <f t="shared" ref="K62:K69" si="25">IF(A62="","",A62)</f>
        <v/>
      </c>
      <c r="L62" s="415">
        <f>Calculations!O73</f>
        <v>0</v>
      </c>
      <c r="M62" s="419" t="e">
        <f>Calculations!O103</f>
        <v>#DIV/0!</v>
      </c>
      <c r="N62" s="396">
        <f>Calculations!O66</f>
        <v>0</v>
      </c>
      <c r="O62" s="360" t="str">
        <f t="shared" ref="O62:O68" si="26">IF(O22="","",O22)</f>
        <v>&lt; 0.3</v>
      </c>
      <c r="R62" s="768" t="s">
        <v>464</v>
      </c>
      <c r="S62" s="768"/>
      <c r="T62" s="768"/>
      <c r="U62" s="845">
        <f>IF(U61&lt;3000,3000,IF(U61&gt;3700,3700,U61))</f>
        <v>3349.5860035735554</v>
      </c>
      <c r="V62" s="768" t="s">
        <v>462</v>
      </c>
      <c r="W62" s="768"/>
      <c r="X62" s="768"/>
      <c r="Y62" s="768"/>
      <c r="Z62" s="768"/>
      <c r="AA62" s="768"/>
      <c r="AB62" s="768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</row>
    <row r="63" spans="1:38" outlineLevel="1">
      <c r="A63" s="227" t="str">
        <f>IF(AND(General!D66=2,General!D67="y"),Evaluation!A23,"")</f>
        <v/>
      </c>
      <c r="B63" s="57"/>
      <c r="C63" s="399" t="str">
        <f>IF(A63="","",Calculations!M68)</f>
        <v/>
      </c>
      <c r="D63" s="154" t="str">
        <f t="shared" ref="D63:D69" si="27">IF(D23="","",D23)</f>
        <v>327 - 350</v>
      </c>
      <c r="E63" s="54"/>
      <c r="F63" s="227" t="str">
        <f t="shared" ref="F63:F69" si="28">IF(A63="","",A63)</f>
        <v/>
      </c>
      <c r="G63" s="399">
        <f>Calculations!M71</f>
        <v>0</v>
      </c>
      <c r="H63" s="399">
        <f>IF(G64&lt;&gt;"",-G63+G64,IF(G65&lt;&gt;"",-G63+G65,-G63+G66))</f>
        <v>0</v>
      </c>
      <c r="I63" s="137" t="str">
        <f t="shared" si="24"/>
        <v xml:space="preserve"> - </v>
      </c>
      <c r="J63" s="144"/>
      <c r="K63" s="227" t="str">
        <f t="shared" si="25"/>
        <v/>
      </c>
      <c r="L63" s="416">
        <f>Calculations!M73</f>
        <v>0</v>
      </c>
      <c r="M63" s="420" t="e">
        <f>IF(AND(General!D66=2,General!D67&lt;&gt;"y"),"",IF(K64&lt;&gt;"",Calculations!M103,IF(K65&lt;&gt;"",Calculations!K104,Calculations!J104)))</f>
        <v>#DIV/0!</v>
      </c>
      <c r="N63" s="399">
        <f>IF(L64&lt;&gt;"",L63-L64,IF(L65&lt;&gt;"",L63-L65,L63-L66))</f>
        <v>0</v>
      </c>
      <c r="O63" s="363" t="str">
        <f t="shared" si="26"/>
        <v>&lt; 0.3</v>
      </c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</row>
    <row r="64" spans="1:38" outlineLevel="1">
      <c r="A64" s="120" t="str">
        <f t="shared" ref="A64:A69" si="29">IF(A24="","",A24)</f>
        <v/>
      </c>
      <c r="C64" s="364" t="str">
        <f>IF(A64="","",Calculations!L68)</f>
        <v/>
      </c>
      <c r="D64" s="122" t="str">
        <f t="shared" si="27"/>
        <v/>
      </c>
      <c r="E64" s="54"/>
      <c r="F64" s="120" t="str">
        <f t="shared" si="28"/>
        <v/>
      </c>
      <c r="G64" s="364" t="str">
        <f>IF(F64="","",Calculations!L71)</f>
        <v/>
      </c>
      <c r="H64" s="364" t="str">
        <f>IF(F64="","",IF(G64&lt;&gt;"",-G64+G65,G64-G66))</f>
        <v/>
      </c>
      <c r="I64" s="123" t="str">
        <f t="shared" si="24"/>
        <v/>
      </c>
      <c r="J64" s="144"/>
      <c r="K64" s="120" t="str">
        <f t="shared" si="25"/>
        <v/>
      </c>
      <c r="L64" s="417" t="str">
        <f>IF(K64="","",Calculations!L73)</f>
        <v/>
      </c>
      <c r="M64" s="421" t="str">
        <f>IF(K64="","",IF(K65&lt;&gt;"",Calculations!L103,Calculations!L103+Calculations!K103))</f>
        <v/>
      </c>
      <c r="N64" s="400" t="str">
        <f>IF(K64="","",Calculations!L74)</f>
        <v/>
      </c>
      <c r="O64" s="361" t="str">
        <f t="shared" si="26"/>
        <v/>
      </c>
      <c r="R64" s="768"/>
      <c r="S64" s="768"/>
      <c r="T64" s="768" t="s">
        <v>65</v>
      </c>
      <c r="U64" s="768" t="s">
        <v>152</v>
      </c>
      <c r="V64" s="768" t="s">
        <v>64</v>
      </c>
      <c r="W64" s="768"/>
      <c r="X64" s="768"/>
      <c r="Y64" s="768"/>
      <c r="Z64" s="768"/>
      <c r="AA64" s="768"/>
      <c r="AB64" s="768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</row>
    <row r="65" spans="1:38" outlineLevel="1">
      <c r="A65" s="227" t="str">
        <f t="shared" si="29"/>
        <v>Cyclone 1</v>
      </c>
      <c r="B65" s="57"/>
      <c r="C65" s="399">
        <f>IF(A65="","",Calculations!K68)</f>
        <v>0</v>
      </c>
      <c r="D65" s="154" t="str">
        <f t="shared" si="27"/>
        <v>327 - 350</v>
      </c>
      <c r="E65" s="54"/>
      <c r="F65" s="227" t="str">
        <f t="shared" si="28"/>
        <v>Cyclone 1</v>
      </c>
      <c r="G65" s="399">
        <f>IF(F65="","",Calculations!K71)</f>
        <v>0</v>
      </c>
      <c r="H65" s="399">
        <f>IF(G65="","",-G65+G66)</f>
        <v>0</v>
      </c>
      <c r="I65" s="137" t="str">
        <f t="shared" si="24"/>
        <v xml:space="preserve"> - </v>
      </c>
      <c r="J65" s="144"/>
      <c r="K65" s="227" t="str">
        <f t="shared" si="25"/>
        <v>Cyclone 1</v>
      </c>
      <c r="L65" s="416">
        <f>IF(K65="","",Calculations!K73)</f>
        <v>0</v>
      </c>
      <c r="M65" s="420" t="e">
        <f>IF(K65="","",Calculations!K103)</f>
        <v>#DIV/0!</v>
      </c>
      <c r="N65" s="399">
        <f>IF(K65="","",Calculations!K74)</f>
        <v>0</v>
      </c>
      <c r="O65" s="363" t="str">
        <f t="shared" si="26"/>
        <v>&lt; 0.3</v>
      </c>
      <c r="R65" s="846" t="s">
        <v>458</v>
      </c>
      <c r="S65" s="768"/>
      <c r="T65" s="848">
        <f>Calculations!G22</f>
        <v>2</v>
      </c>
      <c r="U65" s="848">
        <f>Calculations!G73</f>
        <v>0</v>
      </c>
      <c r="V65" s="848">
        <f>Calculations!G130</f>
        <v>0</v>
      </c>
      <c r="W65" s="768"/>
      <c r="X65" s="768"/>
      <c r="Y65" s="768"/>
      <c r="Z65" s="768"/>
      <c r="AA65" s="768"/>
      <c r="AB65" s="768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</row>
    <row r="66" spans="1:38" outlineLevel="1">
      <c r="A66" s="120" t="str">
        <f t="shared" si="29"/>
        <v>Cyclone 2</v>
      </c>
      <c r="C66" s="364">
        <f>Calculations!J68</f>
        <v>0</v>
      </c>
      <c r="D66" s="122" t="str">
        <f t="shared" si="27"/>
        <v>531 - 571</v>
      </c>
      <c r="E66" s="54"/>
      <c r="F66" s="120" t="str">
        <f t="shared" si="28"/>
        <v>Cyclone 2</v>
      </c>
      <c r="G66" s="364">
        <f>Calculations!J71</f>
        <v>0</v>
      </c>
      <c r="H66" s="364">
        <f>+G67-G66</f>
        <v>0</v>
      </c>
      <c r="I66" s="123" t="str">
        <f t="shared" si="24"/>
        <v xml:space="preserve"> - </v>
      </c>
      <c r="J66" s="144"/>
      <c r="K66" s="120" t="str">
        <f t="shared" si="25"/>
        <v>Cyclone 2</v>
      </c>
      <c r="L66" s="417">
        <f>Calculations!J73</f>
        <v>0</v>
      </c>
      <c r="M66" s="422" t="e">
        <f>Calculations!J103</f>
        <v>#DIV/0!</v>
      </c>
      <c r="N66" s="400">
        <f>Calculations!J74</f>
        <v>0</v>
      </c>
      <c r="O66" s="361" t="str">
        <f t="shared" si="26"/>
        <v>&lt; 0.3</v>
      </c>
      <c r="R66" s="768" t="s">
        <v>459</v>
      </c>
      <c r="S66" s="768"/>
      <c r="T66" s="848">
        <f>Calculations!M22</f>
        <v>3</v>
      </c>
      <c r="U66" s="848">
        <f>Calculations!M73</f>
        <v>0</v>
      </c>
      <c r="V66" s="848">
        <f>Calculations!M130</f>
        <v>0</v>
      </c>
      <c r="W66" s="768"/>
      <c r="X66" s="768"/>
      <c r="Y66" s="768"/>
      <c r="Z66" s="768"/>
      <c r="AA66" s="768"/>
      <c r="AB66" s="768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</row>
    <row r="67" spans="1:38" outlineLevel="1">
      <c r="A67" s="227" t="str">
        <f t="shared" si="29"/>
        <v>Cyclone 3</v>
      </c>
      <c r="B67" s="57"/>
      <c r="C67" s="399">
        <f>Calculations!I68</f>
        <v>0</v>
      </c>
      <c r="D67" s="154" t="str">
        <f t="shared" si="27"/>
        <v>681 - 733</v>
      </c>
      <c r="E67" s="54"/>
      <c r="F67" s="227" t="str">
        <f t="shared" si="28"/>
        <v>Cyclone 3</v>
      </c>
      <c r="G67" s="399">
        <f>Calculations!I71</f>
        <v>0</v>
      </c>
      <c r="H67" s="399">
        <f>+G68-G67</f>
        <v>0</v>
      </c>
      <c r="I67" s="137" t="str">
        <f t="shared" si="24"/>
        <v xml:space="preserve"> - </v>
      </c>
      <c r="J67" s="144"/>
      <c r="K67" s="227" t="str">
        <f t="shared" si="25"/>
        <v>Cyclone 3</v>
      </c>
      <c r="L67" s="416">
        <f>Calculations!I73</f>
        <v>0</v>
      </c>
      <c r="M67" s="420" t="e">
        <f>Calculations!I103</f>
        <v>#DIV/0!</v>
      </c>
      <c r="N67" s="399">
        <f>Calculations!I74</f>
        <v>0</v>
      </c>
      <c r="O67" s="363" t="str">
        <f t="shared" si="26"/>
        <v>&lt; 0.3</v>
      </c>
      <c r="R67" s="849" t="s">
        <v>460</v>
      </c>
      <c r="S67" s="768"/>
      <c r="T67" s="848">
        <f>IF(SUM(T65:T66)=0,"",AVERAGE(T65:T66))</f>
        <v>2.5</v>
      </c>
      <c r="U67" s="848" t="str">
        <f t="shared" ref="U67:V67" si="30">IF(SUM(U65:U66)=0,"",AVERAGE(U65:U66))</f>
        <v/>
      </c>
      <c r="V67" s="850" t="str">
        <f t="shared" si="30"/>
        <v/>
      </c>
      <c r="W67" s="768"/>
      <c r="X67" s="768"/>
      <c r="Y67" s="768"/>
      <c r="Z67" s="768"/>
      <c r="AA67" s="768"/>
      <c r="AB67" s="768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</row>
    <row r="68" spans="1:38" ht="13.5" outlineLevel="1" thickBot="1">
      <c r="A68" s="120" t="str">
        <f t="shared" si="29"/>
        <v>Cyclone 4</v>
      </c>
      <c r="C68" s="364">
        <f>Calculations!H68</f>
        <v>0</v>
      </c>
      <c r="D68" s="122" t="str">
        <f t="shared" si="27"/>
        <v>791 - 852</v>
      </c>
      <c r="E68" s="54"/>
      <c r="F68" s="120" t="str">
        <f t="shared" si="28"/>
        <v>Cyclone 4</v>
      </c>
      <c r="G68" s="364">
        <f>Calculations!H71</f>
        <v>0</v>
      </c>
      <c r="H68" s="369">
        <f>+G69-G68</f>
        <v>0</v>
      </c>
      <c r="I68" s="293" t="str">
        <f t="shared" si="24"/>
        <v xml:space="preserve"> - </v>
      </c>
      <c r="J68" s="144"/>
      <c r="K68" s="120" t="str">
        <f t="shared" si="25"/>
        <v>Cyclone 4</v>
      </c>
      <c r="L68" s="417">
        <f>Calculations!H73</f>
        <v>0</v>
      </c>
      <c r="M68" s="423" t="e">
        <f>Calculations!H103</f>
        <v>#DIV/0!</v>
      </c>
      <c r="N68" s="418">
        <f>Calculations!H74</f>
        <v>0</v>
      </c>
      <c r="O68" s="272" t="str">
        <f t="shared" si="26"/>
        <v>&lt; 0.3</v>
      </c>
      <c r="R68" s="768" t="s">
        <v>461</v>
      </c>
      <c r="S68" s="768"/>
      <c r="T68" s="768"/>
      <c r="U68" s="768"/>
      <c r="V68" s="850">
        <f>AVERAGE(T67:V67)</f>
        <v>2.5</v>
      </c>
      <c r="W68" s="768"/>
      <c r="X68" s="768"/>
      <c r="Y68" s="768"/>
      <c r="Z68" s="768"/>
      <c r="AA68" s="768"/>
      <c r="AB68" s="768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</row>
    <row r="69" spans="1:38" ht="13.5" outlineLevel="1" thickBot="1">
      <c r="A69" s="227" t="str">
        <f t="shared" si="29"/>
        <v>Cyclone 5</v>
      </c>
      <c r="B69" s="57"/>
      <c r="C69" s="372">
        <f>Calculations!G68</f>
        <v>0</v>
      </c>
      <c r="D69" s="142" t="str">
        <f t="shared" si="27"/>
        <v>850 - 890</v>
      </c>
      <c r="E69" s="54"/>
      <c r="F69" s="227" t="str">
        <f t="shared" si="28"/>
        <v>Cyclone 5</v>
      </c>
      <c r="G69" s="372">
        <f>Calculations!G71</f>
        <v>0</v>
      </c>
      <c r="H69" s="408"/>
      <c r="I69" s="76"/>
      <c r="J69" s="144"/>
      <c r="K69" s="227" t="str">
        <f t="shared" si="25"/>
        <v>Cyclone 5</v>
      </c>
      <c r="L69" s="372">
        <f>Calculations!G73</f>
        <v>0</v>
      </c>
      <c r="M69" s="244"/>
      <c r="N69" s="244"/>
      <c r="O69" s="276" t="str">
        <f>IF(AH69=0,"",AH69)</f>
        <v/>
      </c>
      <c r="R69" s="768" t="s">
        <v>463</v>
      </c>
      <c r="S69" s="768"/>
      <c r="T69" s="768"/>
      <c r="U69" s="768"/>
      <c r="V69" s="845">
        <f>IF(V68&lt;1.5,1.5,IF(V68&gt;4,4,V68))</f>
        <v>2.5</v>
      </c>
      <c r="W69" s="768"/>
      <c r="X69" s="768"/>
      <c r="Y69" s="768"/>
      <c r="Z69" s="768"/>
      <c r="AA69" s="768"/>
      <c r="AB69" s="768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</row>
    <row r="70" spans="1:38" outlineLevel="1">
      <c r="A70" s="54"/>
      <c r="B70" s="54"/>
      <c r="C70" s="356"/>
      <c r="D70" s="76"/>
      <c r="E70" s="54"/>
      <c r="F70" s="120"/>
      <c r="G70" s="54"/>
      <c r="H70" s="54"/>
      <c r="I70" s="76"/>
      <c r="J70" s="54"/>
      <c r="K70" s="120"/>
      <c r="L70" s="54"/>
      <c r="M70" s="54"/>
      <c r="N70" s="54"/>
      <c r="O70" s="276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</row>
    <row r="71" spans="1:38" ht="13.5" outlineLevel="1" thickBot="1">
      <c r="A71" s="440" t="s">
        <v>270</v>
      </c>
      <c r="B71" s="441"/>
      <c r="C71" s="441"/>
      <c r="D71" s="441"/>
      <c r="E71" s="120"/>
      <c r="F71" s="440" t="s">
        <v>272</v>
      </c>
      <c r="G71" s="441"/>
      <c r="H71" s="441"/>
      <c r="I71" s="441"/>
      <c r="J71" s="292"/>
      <c r="K71" s="440" t="s">
        <v>262</v>
      </c>
      <c r="L71" s="441"/>
      <c r="M71" s="441"/>
      <c r="N71" s="441"/>
      <c r="O71" s="442"/>
      <c r="R71" s="768" t="s">
        <v>469</v>
      </c>
      <c r="S71" s="768"/>
      <c r="T71" s="768"/>
      <c r="U71" s="768"/>
      <c r="V71" s="768" t="s">
        <v>467</v>
      </c>
      <c r="W71" s="768" t="s">
        <v>468</v>
      </c>
      <c r="X71" s="768"/>
      <c r="Y71" s="768"/>
      <c r="Z71" s="768"/>
      <c r="AA71" s="768"/>
      <c r="AB71" s="768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</row>
    <row r="72" spans="1:38" outlineLevel="1">
      <c r="A72" s="54"/>
      <c r="B72" s="54"/>
      <c r="C72" s="54"/>
      <c r="D72" s="54"/>
      <c r="E72" s="120"/>
      <c r="F72" s="76"/>
      <c r="G72" s="76"/>
      <c r="H72" s="51"/>
      <c r="I72" s="51"/>
      <c r="J72" s="84"/>
      <c r="K72" s="273"/>
      <c r="L72" s="120"/>
      <c r="M72" s="120"/>
      <c r="N72" s="120"/>
      <c r="O72" s="120"/>
      <c r="R72" s="768" t="s">
        <v>473</v>
      </c>
      <c r="S72" s="768"/>
      <c r="T72" s="768"/>
      <c r="U72" s="768"/>
      <c r="V72" s="848">
        <v>0.97</v>
      </c>
      <c r="W72" s="848">
        <v>1.03</v>
      </c>
      <c r="X72" s="768" t="s">
        <v>474</v>
      </c>
      <c r="Y72" s="768"/>
      <c r="Z72" s="768"/>
      <c r="AA72" s="768"/>
      <c r="AB72" s="768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</row>
    <row r="73" spans="1:38" outlineLevel="1">
      <c r="A73" s="54"/>
      <c r="B73" s="120"/>
      <c r="C73" s="242" t="s">
        <v>281</v>
      </c>
      <c r="D73" s="242" t="s">
        <v>436</v>
      </c>
      <c r="E73" s="136"/>
      <c r="F73" s="76"/>
      <c r="G73" s="195"/>
      <c r="H73" s="242" t="s">
        <v>281</v>
      </c>
      <c r="I73" s="242" t="s">
        <v>436</v>
      </c>
      <c r="J73" s="395"/>
      <c r="K73" s="76"/>
      <c r="L73" s="242" t="s">
        <v>281</v>
      </c>
      <c r="M73" s="76"/>
      <c r="N73" s="76"/>
      <c r="O73" s="242" t="s">
        <v>436</v>
      </c>
      <c r="R73" s="768" t="s">
        <v>465</v>
      </c>
      <c r="S73" s="768"/>
      <c r="T73" s="768"/>
      <c r="U73" s="768"/>
      <c r="V73" s="848">
        <f>1/U57/V72</f>
        <v>0.73509053024477022</v>
      </c>
      <c r="W73" s="848">
        <f>1/U57/W72</f>
        <v>0.69226972265769615</v>
      </c>
      <c r="X73" s="768"/>
      <c r="Y73" s="768"/>
      <c r="Z73" s="768"/>
      <c r="AA73" s="768"/>
      <c r="AB73" s="768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</row>
    <row r="74" spans="1:38" ht="26.25" outlineLevel="1" thickBot="1">
      <c r="A74" s="120"/>
      <c r="B74" s="51"/>
      <c r="C74" s="76" t="s">
        <v>146</v>
      </c>
      <c r="D74" s="76" t="s">
        <v>146</v>
      </c>
      <c r="E74" s="275"/>
      <c r="F74" s="136"/>
      <c r="G74" s="242"/>
      <c r="H74" s="76" t="s">
        <v>146</v>
      </c>
      <c r="I74" s="76" t="s">
        <v>146</v>
      </c>
      <c r="J74" s="395"/>
      <c r="K74" s="76"/>
      <c r="L74" s="387" t="s">
        <v>300</v>
      </c>
      <c r="M74" s="387" t="s">
        <v>301</v>
      </c>
      <c r="N74" s="387" t="s">
        <v>302</v>
      </c>
      <c r="O74" s="284" t="s">
        <v>303</v>
      </c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</row>
    <row r="75" spans="1:38" ht="13.5" outlineLevel="1" thickBot="1">
      <c r="A75" s="120" t="str">
        <f t="shared" ref="A75:A79" si="31">IF(A64="","",A64)</f>
        <v/>
      </c>
      <c r="B75" s="51"/>
      <c r="C75" s="409" t="str">
        <f>IF(A75="","",Calculations!L107)</f>
        <v/>
      </c>
      <c r="D75" s="126" t="str">
        <f t="shared" ref="D75:D80" si="32">IF(D38="","",D38)</f>
        <v/>
      </c>
      <c r="E75" s="276"/>
      <c r="F75" s="135" t="str">
        <f t="shared" ref="F75:F80" si="33">IF(A64="","",A64)</f>
        <v/>
      </c>
      <c r="G75" s="195"/>
      <c r="H75" s="409" t="str">
        <f>IF(F75="","",Calculations!L110)</f>
        <v/>
      </c>
      <c r="I75" s="126" t="str">
        <f t="shared" ref="I75:I80" si="34">IF(I38="","",I38)</f>
        <v/>
      </c>
      <c r="J75" s="395"/>
      <c r="K75" s="135" t="str">
        <f t="shared" ref="K75:K80" si="35">IF(A64="","",A64)</f>
        <v/>
      </c>
      <c r="L75" s="352" t="str">
        <f t="shared" ref="L75:L80" si="36">IF(C64="","",C64)</f>
        <v/>
      </c>
      <c r="M75" s="368" t="str">
        <f>IF(K75="","",Calculations!L69)</f>
        <v/>
      </c>
      <c r="N75" s="411" t="str">
        <f>IF(L75="","",+L75-M75)</f>
        <v/>
      </c>
      <c r="O75" s="126" t="str">
        <f t="shared" ref="O75:O80" si="37">IF(O38="","",O38)</f>
        <v/>
      </c>
      <c r="R75" s="768" t="s">
        <v>471</v>
      </c>
      <c r="S75" s="768"/>
      <c r="T75" s="768"/>
      <c r="U75" s="768"/>
      <c r="V75" s="845">
        <f>General!F69</f>
        <v>50</v>
      </c>
      <c r="W75" s="768" t="s">
        <v>60</v>
      </c>
      <c r="X75" s="768"/>
      <c r="Y75" s="768"/>
      <c r="Z75" s="768"/>
      <c r="AA75" s="768"/>
      <c r="AB75" s="768"/>
      <c r="AC75" s="214"/>
      <c r="AD75" s="214"/>
      <c r="AE75" s="214"/>
      <c r="AF75" s="214"/>
      <c r="AG75" s="214"/>
      <c r="AH75" s="214"/>
      <c r="AI75" s="214"/>
      <c r="AJ75" s="214"/>
      <c r="AK75" s="214"/>
      <c r="AL75" s="214"/>
    </row>
    <row r="76" spans="1:38" outlineLevel="1">
      <c r="A76" s="227" t="str">
        <f t="shared" si="31"/>
        <v>Cyclone 1</v>
      </c>
      <c r="B76" s="309"/>
      <c r="C76" s="373" t="e">
        <f>IF(A76="","",Calculations!K107)</f>
        <v>#DIV/0!</v>
      </c>
      <c r="D76" s="137" t="str">
        <f t="shared" si="32"/>
        <v>10 - 27</v>
      </c>
      <c r="E76" s="136"/>
      <c r="F76" s="401" t="str">
        <f t="shared" si="33"/>
        <v>Cyclone 1</v>
      </c>
      <c r="G76" s="398"/>
      <c r="H76" s="373" t="e">
        <f>IF(F76="","",Calculations!K110)</f>
        <v>#DIV/0!</v>
      </c>
      <c r="I76" s="137" t="str">
        <f t="shared" si="34"/>
        <v>10 - 27</v>
      </c>
      <c r="J76" s="395"/>
      <c r="K76" s="401" t="str">
        <f t="shared" si="35"/>
        <v>Cyclone 1</v>
      </c>
      <c r="L76" s="353">
        <f t="shared" si="36"/>
        <v>0</v>
      </c>
      <c r="M76" s="399">
        <f>IF(K76="","",Calculations!K69)</f>
        <v>0</v>
      </c>
      <c r="N76" s="412">
        <f>IF(L76="","",+L76-M76)</f>
        <v>0</v>
      </c>
      <c r="O76" s="137" t="str">
        <f t="shared" si="37"/>
        <v>&lt; 10</v>
      </c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214"/>
      <c r="AD76" s="214"/>
      <c r="AE76" s="214"/>
      <c r="AF76" s="214"/>
      <c r="AG76" s="214"/>
      <c r="AH76" s="214"/>
      <c r="AI76" s="214"/>
      <c r="AJ76" s="214"/>
      <c r="AK76" s="214"/>
      <c r="AL76" s="214"/>
    </row>
    <row r="77" spans="1:38" outlineLevel="1">
      <c r="A77" s="120" t="str">
        <f t="shared" si="31"/>
        <v>Cyclone 2</v>
      </c>
      <c r="B77" s="54"/>
      <c r="C77" s="365" t="e">
        <f>Calculations!J107</f>
        <v>#DIV/0!</v>
      </c>
      <c r="D77" s="123" t="str">
        <f t="shared" si="32"/>
        <v>10 - 27</v>
      </c>
      <c r="E77" s="136"/>
      <c r="F77" s="135" t="str">
        <f t="shared" si="33"/>
        <v>Cyclone 2</v>
      </c>
      <c r="G77" s="195"/>
      <c r="H77" s="365" t="e">
        <f>Calculations!J110</f>
        <v>#DIV/0!</v>
      </c>
      <c r="I77" s="123" t="str">
        <f t="shared" si="34"/>
        <v>10 - 27</v>
      </c>
      <c r="J77" s="395"/>
      <c r="K77" s="135" t="str">
        <f t="shared" si="35"/>
        <v>Cyclone 2</v>
      </c>
      <c r="L77" s="354">
        <f t="shared" si="36"/>
        <v>0</v>
      </c>
      <c r="M77" s="364">
        <f>Calculations!J69</f>
        <v>0</v>
      </c>
      <c r="N77" s="413">
        <f>+L77-M77</f>
        <v>0</v>
      </c>
      <c r="O77" s="123" t="str">
        <f t="shared" si="37"/>
        <v>&lt; 10</v>
      </c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  <c r="AJ77" s="214"/>
      <c r="AK77" s="214"/>
      <c r="AL77" s="214"/>
    </row>
    <row r="78" spans="1:38" outlineLevel="1">
      <c r="A78" s="227" t="str">
        <f t="shared" si="31"/>
        <v>Cyclone 3</v>
      </c>
      <c r="B78" s="227"/>
      <c r="C78" s="373" t="e">
        <f>Calculations!I107</f>
        <v>#DIV/0!</v>
      </c>
      <c r="D78" s="137" t="str">
        <f t="shared" si="32"/>
        <v>10 - 27</v>
      </c>
      <c r="E78" s="136"/>
      <c r="F78" s="401" t="str">
        <f t="shared" si="33"/>
        <v>Cyclone 3</v>
      </c>
      <c r="G78" s="398"/>
      <c r="H78" s="373" t="e">
        <f>Calculations!I110</f>
        <v>#DIV/0!</v>
      </c>
      <c r="I78" s="137" t="str">
        <f t="shared" si="34"/>
        <v>10 - 27</v>
      </c>
      <c r="J78" s="395"/>
      <c r="K78" s="401" t="str">
        <f t="shared" si="35"/>
        <v>Cyclone 3</v>
      </c>
      <c r="L78" s="353">
        <f t="shared" si="36"/>
        <v>0</v>
      </c>
      <c r="M78" s="399">
        <f>Calculations!I69</f>
        <v>0</v>
      </c>
      <c r="N78" s="412">
        <f>+L78-M78</f>
        <v>0</v>
      </c>
      <c r="O78" s="137" t="str">
        <f t="shared" si="37"/>
        <v>&lt; 10</v>
      </c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  <c r="AJ78" s="214"/>
      <c r="AK78" s="214"/>
      <c r="AL78" s="214"/>
    </row>
    <row r="79" spans="1:38" outlineLevel="1">
      <c r="A79" s="120" t="str">
        <f t="shared" si="31"/>
        <v>Cyclone 4</v>
      </c>
      <c r="B79" s="120"/>
      <c r="C79" s="365" t="e">
        <f>Calculations!H107</f>
        <v>#DIV/0!</v>
      </c>
      <c r="D79" s="123" t="str">
        <f t="shared" si="32"/>
        <v>10 - 27</v>
      </c>
      <c r="E79" s="136"/>
      <c r="F79" s="135" t="str">
        <f t="shared" si="33"/>
        <v>Cyclone 4</v>
      </c>
      <c r="G79" s="195"/>
      <c r="H79" s="365" t="e">
        <f>Calculations!H110</f>
        <v>#DIV/0!</v>
      </c>
      <c r="I79" s="123" t="str">
        <f t="shared" si="34"/>
        <v>10 - 27</v>
      </c>
      <c r="J79" s="395"/>
      <c r="K79" s="135" t="str">
        <f t="shared" si="35"/>
        <v>Cyclone 4</v>
      </c>
      <c r="L79" s="354">
        <f t="shared" si="36"/>
        <v>0</v>
      </c>
      <c r="M79" s="364">
        <f>Calculations!H69</f>
        <v>0</v>
      </c>
      <c r="N79" s="413">
        <f>+L79-M79</f>
        <v>0</v>
      </c>
      <c r="O79" s="123" t="str">
        <f t="shared" si="37"/>
        <v>&lt; 10</v>
      </c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  <c r="AJ79" s="214"/>
      <c r="AK79" s="214"/>
      <c r="AL79" s="214"/>
    </row>
    <row r="80" spans="1:38" outlineLevel="1">
      <c r="A80" s="227" t="str">
        <f>IF('T,P, O2'!AT44&lt;10,"Kiln riser","Calciner loop" )</f>
        <v>Calciner loop</v>
      </c>
      <c r="B80" s="227"/>
      <c r="C80" s="410" t="e">
        <f>Calculations!G107</f>
        <v>#DIV/0!</v>
      </c>
      <c r="D80" s="351" t="str">
        <f t="shared" si="32"/>
        <v>12 - 27</v>
      </c>
      <c r="E80" s="136"/>
      <c r="F80" s="401" t="str">
        <f t="shared" si="33"/>
        <v>Cyclone 5</v>
      </c>
      <c r="G80" s="398"/>
      <c r="H80" s="410" t="e">
        <f>Calculations!G110</f>
        <v>#DIV/0!</v>
      </c>
      <c r="I80" s="351" t="str">
        <f t="shared" si="34"/>
        <v>12 - 27</v>
      </c>
      <c r="J80" s="395"/>
      <c r="K80" s="401" t="str">
        <f t="shared" si="35"/>
        <v>Cyclone 5</v>
      </c>
      <c r="L80" s="355">
        <f t="shared" si="36"/>
        <v>0</v>
      </c>
      <c r="M80" s="372">
        <f>Calculations!G69</f>
        <v>0</v>
      </c>
      <c r="N80" s="414">
        <f>+L80-M80</f>
        <v>0</v>
      </c>
      <c r="O80" s="351" t="str">
        <f t="shared" si="37"/>
        <v>&lt; 10</v>
      </c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</row>
    <row r="81" spans="1:38" outlineLevel="1">
      <c r="A81" s="120"/>
      <c r="B81" s="120"/>
      <c r="C81" s="120"/>
      <c r="D81" s="120"/>
      <c r="E81" s="120"/>
      <c r="F81" s="120"/>
      <c r="G81" s="76"/>
      <c r="H81" s="136"/>
      <c r="I81" s="136"/>
      <c r="J81" s="84"/>
      <c r="K81" s="120"/>
      <c r="L81" s="76"/>
      <c r="M81" s="136"/>
      <c r="N81" s="136"/>
      <c r="O81" s="136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</row>
    <row r="82" spans="1:38" ht="13.5" outlineLevel="1" thickBot="1">
      <c r="A82" s="440" t="s">
        <v>283</v>
      </c>
      <c r="B82" s="441"/>
      <c r="C82" s="441"/>
      <c r="D82" s="441"/>
      <c r="E82" s="120"/>
      <c r="F82" s="440" t="s">
        <v>284</v>
      </c>
      <c r="G82" s="441"/>
      <c r="H82" s="441"/>
      <c r="I82" s="441"/>
      <c r="J82" s="84"/>
      <c r="K82" s="440" t="s">
        <v>414</v>
      </c>
      <c r="L82" s="442"/>
      <c r="M82" s="441"/>
      <c r="N82" s="441"/>
      <c r="O82" s="442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</row>
    <row r="83" spans="1:38" ht="13.5" outlineLevel="1" thickBot="1">
      <c r="A83" s="120"/>
      <c r="B83" s="120"/>
      <c r="C83" s="120"/>
      <c r="D83" s="120"/>
      <c r="E83" s="120"/>
      <c r="F83" s="120"/>
      <c r="G83" s="76"/>
      <c r="H83" s="136"/>
      <c r="I83" s="136"/>
      <c r="J83" s="84"/>
      <c r="K83" s="120"/>
      <c r="L83" s="76"/>
      <c r="M83" s="136"/>
      <c r="N83" s="136"/>
      <c r="O83" s="136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  <c r="AJ83" s="214"/>
      <c r="AK83" s="214"/>
      <c r="AL83" s="214"/>
    </row>
    <row r="84" spans="1:38" ht="13.5" outlineLevel="1" thickBot="1">
      <c r="A84" s="120"/>
      <c r="B84" s="120"/>
      <c r="C84" s="242" t="s">
        <v>281</v>
      </c>
      <c r="D84" s="242" t="s">
        <v>436</v>
      </c>
      <c r="E84" s="120"/>
      <c r="F84" s="120"/>
      <c r="G84" s="76"/>
      <c r="H84" s="242" t="s">
        <v>281</v>
      </c>
      <c r="I84" s="242" t="s">
        <v>436</v>
      </c>
      <c r="J84" s="84"/>
      <c r="K84" s="273" t="s">
        <v>308</v>
      </c>
      <c r="L84" s="76"/>
      <c r="M84" s="69" t="s">
        <v>86</v>
      </c>
      <c r="N84" s="439" t="str">
        <f>+'T,P, O2'!M72</f>
        <v/>
      </c>
      <c r="O84" s="244" t="s">
        <v>112</v>
      </c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  <c r="AJ84" s="214"/>
      <c r="AK84" s="214"/>
      <c r="AL84" s="214"/>
    </row>
    <row r="85" spans="1:38" ht="13.5" outlineLevel="1" thickBot="1">
      <c r="A85" s="120"/>
      <c r="B85" s="120"/>
      <c r="C85" s="76" t="s">
        <v>146</v>
      </c>
      <c r="D85" s="76" t="s">
        <v>146</v>
      </c>
      <c r="E85" s="120"/>
      <c r="F85" s="120"/>
      <c r="G85" s="76"/>
      <c r="H85" s="76" t="s">
        <v>146</v>
      </c>
      <c r="I85" s="76" t="s">
        <v>146</v>
      </c>
      <c r="J85" s="84"/>
      <c r="K85" s="273" t="s">
        <v>417</v>
      </c>
      <c r="L85" s="76"/>
      <c r="M85" s="136"/>
      <c r="N85" s="730" t="e">
        <f>Calculations!N107</f>
        <v>#DIV/0!</v>
      </c>
      <c r="O85" s="76" t="s">
        <v>146</v>
      </c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  <c r="AJ85" s="214"/>
      <c r="AK85" s="214"/>
      <c r="AL85" s="214"/>
    </row>
    <row r="86" spans="1:38" outlineLevel="1">
      <c r="A86" s="120" t="str">
        <f t="shared" ref="A86:A91" si="38">IF(A64="","",A64)</f>
        <v/>
      </c>
      <c r="B86" s="120"/>
      <c r="C86" s="409" t="str">
        <f>IF(A86="","",Calculations!L109)</f>
        <v/>
      </c>
      <c r="D86" s="126" t="str">
        <f t="shared" ref="D86:D91" si="39">IF(D49="","",D49)</f>
        <v/>
      </c>
      <c r="E86" s="120"/>
      <c r="F86" s="120" t="str">
        <f t="shared" ref="F86:F91" si="40">IF(A64="","",A64)</f>
        <v/>
      </c>
      <c r="G86" s="76"/>
      <c r="H86" s="409" t="str">
        <f>IF(F86="","",Calculations!L108)</f>
        <v/>
      </c>
      <c r="I86" s="126" t="str">
        <f t="shared" ref="I86:I91" si="41">IF(I49="","",I49)</f>
        <v/>
      </c>
      <c r="J86" s="84"/>
      <c r="K86" s="731" t="s">
        <v>418</v>
      </c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  <c r="AJ86" s="214"/>
      <c r="AK86" s="214"/>
      <c r="AL86" s="214"/>
    </row>
    <row r="87" spans="1:38" outlineLevel="1">
      <c r="A87" s="227" t="str">
        <f t="shared" si="38"/>
        <v>Cyclone 1</v>
      </c>
      <c r="B87" s="227"/>
      <c r="C87" s="373" t="e">
        <f>IF(A87="","",Calculations!K109)</f>
        <v>#DIV/0!</v>
      </c>
      <c r="D87" s="137" t="str">
        <f t="shared" si="39"/>
        <v xml:space="preserve"> - </v>
      </c>
      <c r="E87" s="120"/>
      <c r="F87" s="227" t="str">
        <f t="shared" si="40"/>
        <v>Cyclone 1</v>
      </c>
      <c r="G87" s="158"/>
      <c r="H87" s="373" t="e">
        <f>IF(F87="","",Calculations!K108)</f>
        <v>#DIV/0!</v>
      </c>
      <c r="I87" s="137" t="str">
        <f t="shared" si="41"/>
        <v xml:space="preserve"> - </v>
      </c>
      <c r="J87" s="8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  <c r="AJ87" s="214"/>
      <c r="AK87" s="214"/>
      <c r="AL87" s="214"/>
    </row>
    <row r="88" spans="1:38" outlineLevel="1">
      <c r="A88" s="120" t="str">
        <f t="shared" si="38"/>
        <v>Cyclone 2</v>
      </c>
      <c r="B88" s="120"/>
      <c r="C88" s="365" t="e">
        <f>Calculations!J109</f>
        <v>#DIV/0!</v>
      </c>
      <c r="D88" s="123" t="str">
        <f t="shared" si="39"/>
        <v xml:space="preserve"> - </v>
      </c>
      <c r="E88" s="120"/>
      <c r="F88" s="120" t="str">
        <f t="shared" si="40"/>
        <v>Cyclone 2</v>
      </c>
      <c r="G88" s="76"/>
      <c r="H88" s="365" t="e">
        <f>Calculations!J108</f>
        <v>#DIV/0!</v>
      </c>
      <c r="I88" s="123" t="str">
        <f t="shared" si="41"/>
        <v xml:space="preserve"> - </v>
      </c>
      <c r="J88" s="84"/>
      <c r="K88" s="273" t="s">
        <v>282</v>
      </c>
      <c r="L88" s="76"/>
      <c r="M88" s="136"/>
      <c r="N88" s="136"/>
      <c r="O88" s="136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  <c r="AJ88" s="214"/>
      <c r="AK88" s="214"/>
      <c r="AL88" s="214"/>
    </row>
    <row r="89" spans="1:38" outlineLevel="1">
      <c r="A89" s="227" t="str">
        <f t="shared" si="38"/>
        <v>Cyclone 3</v>
      </c>
      <c r="B89" s="227"/>
      <c r="C89" s="373" t="e">
        <f>Calculations!I109</f>
        <v>#DIV/0!</v>
      </c>
      <c r="D89" s="137" t="str">
        <f t="shared" si="39"/>
        <v xml:space="preserve"> - </v>
      </c>
      <c r="E89" s="120"/>
      <c r="F89" s="227" t="str">
        <f t="shared" si="40"/>
        <v>Cyclone 3</v>
      </c>
      <c r="G89" s="158"/>
      <c r="H89" s="373" t="e">
        <f>Calculations!I108</f>
        <v>#DIV/0!</v>
      </c>
      <c r="I89" s="137" t="str">
        <f t="shared" si="41"/>
        <v xml:space="preserve"> - </v>
      </c>
      <c r="J89" s="84"/>
      <c r="K89" s="295"/>
      <c r="L89" s="296"/>
      <c r="M89" s="297"/>
      <c r="N89" s="297"/>
      <c r="O89" s="298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  <c r="AJ89" s="214"/>
      <c r="AK89" s="214"/>
      <c r="AL89" s="214"/>
    </row>
    <row r="90" spans="1:38" outlineLevel="1">
      <c r="A90" s="120" t="str">
        <f t="shared" si="38"/>
        <v>Cyclone 4</v>
      </c>
      <c r="B90" s="120"/>
      <c r="C90" s="365" t="e">
        <f>Calculations!H109</f>
        <v>#DIV/0!</v>
      </c>
      <c r="D90" s="123" t="str">
        <f t="shared" si="39"/>
        <v xml:space="preserve"> - </v>
      </c>
      <c r="E90" s="120"/>
      <c r="F90" s="120" t="str">
        <f t="shared" si="40"/>
        <v>Cyclone 4</v>
      </c>
      <c r="G90" s="76"/>
      <c r="H90" s="365" t="e">
        <f>Calculations!H108</f>
        <v>#DIV/0!</v>
      </c>
      <c r="I90" s="123" t="str">
        <f t="shared" si="41"/>
        <v xml:space="preserve"> - </v>
      </c>
      <c r="J90" s="84"/>
      <c r="K90" s="299"/>
      <c r="L90" s="300"/>
      <c r="M90" s="301"/>
      <c r="N90" s="301"/>
      <c r="O90" s="302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  <c r="AJ90" s="214"/>
      <c r="AK90" s="214"/>
      <c r="AL90" s="214"/>
    </row>
    <row r="91" spans="1:38" outlineLevel="1">
      <c r="A91" s="227" t="str">
        <f t="shared" si="38"/>
        <v>Cyclone 5</v>
      </c>
      <c r="B91" s="227"/>
      <c r="C91" s="410" t="e">
        <f>Calculations!G109</f>
        <v>#DIV/0!</v>
      </c>
      <c r="D91" s="351" t="str">
        <f t="shared" si="39"/>
        <v xml:space="preserve"> - </v>
      </c>
      <c r="E91" s="120"/>
      <c r="F91" s="227" t="str">
        <f t="shared" si="40"/>
        <v>Cyclone 5</v>
      </c>
      <c r="G91" s="158"/>
      <c r="H91" s="410" t="e">
        <f>Calculations!G108</f>
        <v>#DIV/0!</v>
      </c>
      <c r="I91" s="351" t="str">
        <f t="shared" si="41"/>
        <v xml:space="preserve"> - </v>
      </c>
      <c r="J91" s="84"/>
      <c r="K91" s="303"/>
      <c r="L91" s="304"/>
      <c r="M91" s="305"/>
      <c r="N91" s="305"/>
      <c r="O91" s="306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  <c r="AJ91" s="214"/>
      <c r="AK91" s="214"/>
      <c r="AL91" s="214"/>
    </row>
    <row r="92" spans="1:38"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  <c r="AJ92" s="214"/>
      <c r="AK92" s="214"/>
      <c r="AL92" s="214"/>
    </row>
    <row r="93" spans="1:38">
      <c r="A93" s="443" t="s">
        <v>307</v>
      </c>
      <c r="B93" s="443"/>
      <c r="C93" s="448" t="s">
        <v>64</v>
      </c>
      <c r="D93" s="444"/>
      <c r="E93" s="444"/>
      <c r="F93" s="445"/>
      <c r="G93" s="445"/>
      <c r="H93" s="445"/>
      <c r="I93" s="445"/>
      <c r="J93" s="445"/>
      <c r="K93" s="446"/>
      <c r="L93" s="447"/>
      <c r="M93" s="445"/>
      <c r="N93" s="445"/>
      <c r="O93" s="828">
        <f>+General!D61</f>
        <v>0</v>
      </c>
      <c r="R93" s="648" t="s">
        <v>311</v>
      </c>
      <c r="S93" s="648"/>
      <c r="T93" s="648"/>
      <c r="U93" s="648"/>
      <c r="V93" s="648"/>
      <c r="W93" s="648"/>
      <c r="X93" s="648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  <c r="AJ93" s="214"/>
      <c r="AK93" s="214"/>
      <c r="AL93" s="214"/>
    </row>
    <row r="94" spans="1:38" outlineLevel="1">
      <c r="A94" s="278"/>
      <c r="B94" s="278"/>
      <c r="C94" s="279"/>
      <c r="D94" s="280"/>
      <c r="E94" s="280"/>
      <c r="F94" s="281"/>
      <c r="G94" s="281"/>
      <c r="H94" s="281"/>
      <c r="I94" s="281"/>
      <c r="J94" s="281"/>
      <c r="K94" s="282"/>
      <c r="L94" s="283"/>
      <c r="M94" s="281"/>
      <c r="N94" s="281"/>
      <c r="AL94" s="214"/>
    </row>
    <row r="95" spans="1:38" ht="13.5" outlineLevel="1" thickBot="1">
      <c r="A95" s="440" t="s">
        <v>286</v>
      </c>
      <c r="B95" s="441"/>
      <c r="C95" s="441"/>
      <c r="D95" s="441"/>
      <c r="E95" s="84"/>
      <c r="F95" s="440" t="s">
        <v>264</v>
      </c>
      <c r="G95" s="441"/>
      <c r="H95" s="441"/>
      <c r="I95" s="441"/>
      <c r="J95" s="144"/>
      <c r="K95" s="440" t="s">
        <v>265</v>
      </c>
      <c r="L95" s="441"/>
      <c r="M95" s="441"/>
      <c r="N95" s="441"/>
      <c r="O95" s="442"/>
      <c r="R95" s="267" t="s">
        <v>286</v>
      </c>
      <c r="S95" s="268"/>
      <c r="T95" s="268"/>
      <c r="U95" s="268"/>
      <c r="V95" s="84"/>
      <c r="W95" s="84"/>
      <c r="X95" s="84"/>
      <c r="Y95" s="84"/>
      <c r="Z95" s="84"/>
      <c r="AA95" s="84"/>
      <c r="AB95" s="267" t="s">
        <v>264</v>
      </c>
      <c r="AC95" s="268"/>
      <c r="AD95" s="268"/>
      <c r="AE95" s="268"/>
      <c r="AF95" s="144"/>
      <c r="AG95" s="267" t="s">
        <v>265</v>
      </c>
      <c r="AH95" s="268"/>
      <c r="AI95" s="268"/>
      <c r="AJ95" s="268"/>
      <c r="AK95" s="290"/>
      <c r="AL95" s="214"/>
    </row>
    <row r="96" spans="1:38" outlineLevel="1">
      <c r="A96" s="273"/>
      <c r="B96" s="264"/>
      <c r="C96" s="76"/>
      <c r="D96" s="264"/>
      <c r="E96" s="54"/>
      <c r="F96" s="264"/>
      <c r="G96" s="51"/>
      <c r="H96" s="51"/>
      <c r="I96" s="51"/>
      <c r="J96" s="144"/>
      <c r="K96" s="264"/>
      <c r="M96" s="274"/>
      <c r="N96" s="274"/>
      <c r="R96" s="273"/>
      <c r="S96" s="264"/>
      <c r="T96" s="76"/>
      <c r="U96" s="57" t="s">
        <v>292</v>
      </c>
      <c r="V96" s="57"/>
      <c r="W96" s="57"/>
      <c r="X96" s="310" t="s">
        <v>293</v>
      </c>
      <c r="Y96" s="311"/>
      <c r="Z96" s="312"/>
      <c r="AA96" s="54"/>
      <c r="AB96" s="286"/>
      <c r="AF96" s="144"/>
      <c r="AG96" s="264"/>
      <c r="AI96" s="274"/>
      <c r="AJ96" s="274"/>
      <c r="AK96" s="328">
        <f>AK19</f>
        <v>0.3</v>
      </c>
      <c r="AL96" s="214"/>
    </row>
    <row r="97" spans="1:38" outlineLevel="1">
      <c r="A97" s="54"/>
      <c r="C97" s="242" t="s">
        <v>281</v>
      </c>
      <c r="D97" s="242" t="s">
        <v>436</v>
      </c>
      <c r="E97" s="54"/>
      <c r="F97" s="264"/>
      <c r="G97" s="242" t="s">
        <v>281</v>
      </c>
      <c r="H97" s="242"/>
      <c r="I97" s="242" t="s">
        <v>436</v>
      </c>
      <c r="J97" s="144"/>
      <c r="K97" s="264"/>
      <c r="L97" s="242" t="s">
        <v>281</v>
      </c>
      <c r="M97" s="386"/>
      <c r="N97" s="386"/>
      <c r="O97" s="242" t="s">
        <v>436</v>
      </c>
      <c r="R97" s="54"/>
      <c r="S97" t="s">
        <v>292</v>
      </c>
      <c r="T97" s="264" t="s">
        <v>293</v>
      </c>
      <c r="U97" s="158">
        <v>4</v>
      </c>
      <c r="V97" s="309">
        <v>5</v>
      </c>
      <c r="W97" s="309">
        <v>6</v>
      </c>
      <c r="X97" s="313">
        <v>4</v>
      </c>
      <c r="Y97" s="312">
        <v>5</v>
      </c>
      <c r="Z97" s="312">
        <v>6</v>
      </c>
      <c r="AA97" s="54"/>
      <c r="AB97" s="286"/>
      <c r="AC97" s="287" t="s">
        <v>294</v>
      </c>
      <c r="AD97" s="748" t="s">
        <v>295</v>
      </c>
      <c r="AE97" s="275"/>
      <c r="AF97" s="144"/>
      <c r="AG97" s="264"/>
      <c r="AH97" s="264"/>
      <c r="AI97" s="5"/>
      <c r="AJ97" s="5"/>
      <c r="AK97" s="76"/>
      <c r="AL97" s="214"/>
    </row>
    <row r="98" spans="1:38" ht="26.25" outlineLevel="1" thickBot="1">
      <c r="A98" s="54" t="s">
        <v>125</v>
      </c>
      <c r="C98" s="76"/>
      <c r="D98" s="76"/>
      <c r="E98" s="54"/>
      <c r="F98" s="264" t="s">
        <v>117</v>
      </c>
      <c r="G98" s="387" t="s">
        <v>37</v>
      </c>
      <c r="H98" s="387" t="s">
        <v>296</v>
      </c>
      <c r="I98" s="387" t="s">
        <v>296</v>
      </c>
      <c r="J98" s="144"/>
      <c r="K98" s="120"/>
      <c r="L98" s="387" t="s">
        <v>267</v>
      </c>
      <c r="M98" s="387" t="s">
        <v>268</v>
      </c>
      <c r="N98" s="387" t="s">
        <v>269</v>
      </c>
      <c r="O98" s="387" t="s">
        <v>269</v>
      </c>
      <c r="R98" s="54"/>
      <c r="T98" s="76" t="s">
        <v>125</v>
      </c>
      <c r="U98" s="57"/>
      <c r="V98" s="57"/>
      <c r="W98" s="57"/>
      <c r="X98" s="312"/>
      <c r="Y98" s="312"/>
      <c r="Z98" s="312"/>
      <c r="AA98" s="54"/>
      <c r="AB98" s="289"/>
      <c r="AC98" s="288" t="s">
        <v>296</v>
      </c>
      <c r="AD98" s="749" t="s">
        <v>266</v>
      </c>
      <c r="AE98" s="284"/>
      <c r="AF98" s="144"/>
      <c r="AG98" s="120"/>
      <c r="AH98" s="284"/>
      <c r="AI98" s="284">
        <v>4</v>
      </c>
      <c r="AJ98" s="284">
        <v>5</v>
      </c>
      <c r="AK98" s="284">
        <v>6</v>
      </c>
      <c r="AL98" s="214"/>
    </row>
    <row r="99" spans="1:38" outlineLevel="1">
      <c r="A99" s="120" t="str">
        <f>IF(General!$D$61="y",Evaluation!A22,"")</f>
        <v/>
      </c>
      <c r="C99" s="368">
        <f>Calculations!O125</f>
        <v>0</v>
      </c>
      <c r="D99" s="126" t="str">
        <f>S99&amp;" - "&amp;T99</f>
        <v xml:space="preserve"> - </v>
      </c>
      <c r="E99" s="54"/>
      <c r="F99" s="120" t="str">
        <f>IF(A99="","",A99)</f>
        <v/>
      </c>
      <c r="G99" s="265">
        <f>Calculations!O128</f>
        <v>0</v>
      </c>
      <c r="H99" s="65">
        <f t="shared" ref="H99:H106" si="42">-G99+G100</f>
        <v>0</v>
      </c>
      <c r="I99" s="126" t="str">
        <f>IF(F99="","",AC99&amp;" - "&amp;AD99)</f>
        <v/>
      </c>
      <c r="J99" s="144"/>
      <c r="K99" s="120" t="str">
        <f t="shared" ref="K99:K106" si="43">IF(A99="","",A99)</f>
        <v/>
      </c>
      <c r="L99" s="368">
        <f>Calculations!O130</f>
        <v>0</v>
      </c>
      <c r="M99" s="426">
        <f>Calculations!O131</f>
        <v>0</v>
      </c>
      <c r="N99" s="427">
        <f>+L99-L100</f>
        <v>0</v>
      </c>
      <c r="O99" s="360">
        <f>IF(AH99=0,"",AH99)</f>
        <v>0.3</v>
      </c>
      <c r="P99" s="307"/>
      <c r="R99" s="120" t="str">
        <f>+K99</f>
        <v/>
      </c>
      <c r="S99" s="314" t="str">
        <f>CHOOSE(General!$F$62,Evaluation!U99,Evaluation!V99,Evaluation!W99)</f>
        <v/>
      </c>
      <c r="T99" s="315" t="str">
        <f>CHOOSE(General!$F$62,X99,Y99,Z99)</f>
        <v/>
      </c>
      <c r="U99" s="759" t="str">
        <f t="shared" ref="U99:Z99" si="44">IF(U22="","",U22)</f>
        <v/>
      </c>
      <c r="V99" s="758" t="str">
        <f t="shared" si="44"/>
        <v/>
      </c>
      <c r="W99" s="331" t="str">
        <f t="shared" si="44"/>
        <v/>
      </c>
      <c r="X99" s="758" t="str">
        <f t="shared" si="44"/>
        <v/>
      </c>
      <c r="Y99" s="758" t="str">
        <f t="shared" si="44"/>
        <v/>
      </c>
      <c r="Z99" s="331" t="str">
        <f t="shared" si="44"/>
        <v/>
      </c>
      <c r="AA99" s="54"/>
      <c r="AB99" s="102" t="str">
        <f>IF(R99="","",R99)</f>
        <v/>
      </c>
      <c r="AC99" s="322">
        <f>+AC22</f>
        <v>0</v>
      </c>
      <c r="AD99" s="322">
        <f>+AD22</f>
        <v>0</v>
      </c>
      <c r="AE99" s="76"/>
      <c r="AF99" s="144"/>
      <c r="AG99" s="94" t="str">
        <f t="shared" ref="AG99:AG106" si="45">IF(R99="","",R99)</f>
        <v/>
      </c>
      <c r="AH99" s="325">
        <f>CHOOSE(General!$F$63,Evaluation!AI99,Evaluation!AJ99,Evaluation!AK99)</f>
        <v>0.3</v>
      </c>
      <c r="AI99" s="329">
        <f>$AK$96</f>
        <v>0.3</v>
      </c>
      <c r="AJ99" s="750">
        <f t="shared" ref="AJ99:AK105" si="46">$AK$96</f>
        <v>0.3</v>
      </c>
      <c r="AK99" s="750">
        <f t="shared" si="46"/>
        <v>0.3</v>
      </c>
      <c r="AL99" s="214"/>
    </row>
    <row r="100" spans="1:38" outlineLevel="1">
      <c r="A100" s="227" t="str">
        <f>IF(General!$D$61="y",Evaluation!A23,"")</f>
        <v/>
      </c>
      <c r="B100" s="57"/>
      <c r="C100" s="399">
        <f>Calculations!M125</f>
        <v>0</v>
      </c>
      <c r="D100" s="137" t="str">
        <f>S100&amp;" - "&amp;T100</f>
        <v xml:space="preserve"> - </v>
      </c>
      <c r="E100" s="54"/>
      <c r="F100" s="227" t="str">
        <f t="shared" ref="F100:F108" si="47">IF(A100="","",A100)</f>
        <v/>
      </c>
      <c r="G100" s="346">
        <f>Calculations!M128</f>
        <v>0</v>
      </c>
      <c r="H100" s="425">
        <f>IF(G101&lt;&gt;"",-G100+G101,IF(G102&lt;&gt;"",G100-G102,G100-G103))</f>
        <v>0</v>
      </c>
      <c r="I100" s="137" t="str">
        <f t="shared" ref="I100:I106" si="48">IF(F100="","",AC100&amp;" - "&amp;AD100)</f>
        <v/>
      </c>
      <c r="J100" s="144"/>
      <c r="K100" s="227" t="str">
        <f t="shared" si="43"/>
        <v/>
      </c>
      <c r="L100" s="399">
        <f>Calculations!M130</f>
        <v>0</v>
      </c>
      <c r="M100" s="373" t="e">
        <f>IF(General!D67&lt;&gt;"y","",IF(K101&lt;&gt;"",Calculations!M159,IF(K102&lt;&gt;"",Calculations!K160,Calculations!J160)))</f>
        <v>#DIV/0!</v>
      </c>
      <c r="N100" s="429">
        <f>IF(L101&lt;&gt;"",L100-L101,IF(L102&lt;&gt;"",L100-L102,L100-L103))</f>
        <v>0</v>
      </c>
      <c r="O100" s="363">
        <f t="shared" ref="O100:O107" si="49">IF(AH100=0,"",AH100)</f>
        <v>0.3</v>
      </c>
      <c r="P100" s="54"/>
      <c r="R100" s="120" t="str">
        <f t="shared" ref="R100:R106" si="50">+K100</f>
        <v/>
      </c>
      <c r="S100" s="316" t="str">
        <f>CHOOSE(General!$F$62,Evaluation!U100,Evaluation!V100,Evaluation!W100)</f>
        <v/>
      </c>
      <c r="T100" s="317" t="str">
        <f>CHOOSE(General!$F$62,X100,Y100,Z100)</f>
        <v/>
      </c>
      <c r="U100" s="759" t="str">
        <f t="shared" ref="U100:Z106" si="51">IF(U23="","",U23)</f>
        <v/>
      </c>
      <c r="V100" s="758" t="str">
        <f t="shared" si="51"/>
        <v/>
      </c>
      <c r="W100" s="331" t="str">
        <f t="shared" si="51"/>
        <v/>
      </c>
      <c r="X100" s="758" t="str">
        <f t="shared" si="51"/>
        <v/>
      </c>
      <c r="Y100" s="758" t="str">
        <f t="shared" si="51"/>
        <v/>
      </c>
      <c r="Z100" s="331" t="str">
        <f t="shared" si="51"/>
        <v/>
      </c>
      <c r="AA100" s="54"/>
      <c r="AB100" s="102" t="str">
        <f t="shared" ref="AB100:AB107" si="52">IF(R100="","",R100)</f>
        <v/>
      </c>
      <c r="AC100" s="322">
        <f t="shared" ref="AC100:AD106" si="53">+AC23</f>
        <v>0</v>
      </c>
      <c r="AD100" s="322">
        <f t="shared" si="53"/>
        <v>0</v>
      </c>
      <c r="AE100" s="76"/>
      <c r="AF100" s="144"/>
      <c r="AG100" s="94" t="str">
        <f t="shared" si="45"/>
        <v/>
      </c>
      <c r="AH100" s="326">
        <f>CHOOSE(General!$F$63,Evaluation!AI100,Evaluation!AJ100,Evaluation!AK100)</f>
        <v>0.3</v>
      </c>
      <c r="AI100" s="329">
        <f t="shared" ref="AI100:AI105" si="54">$AK$96</f>
        <v>0.3</v>
      </c>
      <c r="AJ100" s="750">
        <f t="shared" si="46"/>
        <v>0.3</v>
      </c>
      <c r="AK100" s="750">
        <f t="shared" si="46"/>
        <v>0.3</v>
      </c>
      <c r="AL100" s="214"/>
    </row>
    <row r="101" spans="1:38" outlineLevel="1">
      <c r="A101" s="120" t="str">
        <f>IF(General!D62=6,'T,P, O2'!D9,"")</f>
        <v/>
      </c>
      <c r="C101" s="364" t="str">
        <f>IF(A101="","",Calculations!L125)</f>
        <v/>
      </c>
      <c r="D101" s="123" t="str">
        <f>IF(A101="","",S101&amp;" - "&amp;T101)</f>
        <v/>
      </c>
      <c r="E101" s="54"/>
      <c r="F101" s="120" t="str">
        <f t="shared" si="47"/>
        <v/>
      </c>
      <c r="G101" s="359" t="str">
        <f>IF(F101="","",Calculations!L128)</f>
        <v/>
      </c>
      <c r="H101" s="294" t="str">
        <f>IF(F101="","",IF(G101&lt;&gt;"",-G101+G102,G101-G103))</f>
        <v/>
      </c>
      <c r="I101" s="123" t="str">
        <f t="shared" si="48"/>
        <v/>
      </c>
      <c r="J101" s="144"/>
      <c r="K101" s="120" t="str">
        <f t="shared" si="43"/>
        <v/>
      </c>
      <c r="L101" s="364" t="str">
        <f>IF(K101="","",Calculations!L130)</f>
        <v/>
      </c>
      <c r="M101" s="367" t="str">
        <f>IF(K101="","",IF(K102&lt;&gt;"",Calculations!L131,Calculations!L131+Calculations!K131))</f>
        <v/>
      </c>
      <c r="N101" s="431" t="str">
        <f>IF(K101="","",Calculations!L131)</f>
        <v/>
      </c>
      <c r="O101" s="361" t="str">
        <f t="shared" si="49"/>
        <v/>
      </c>
      <c r="P101" s="54"/>
      <c r="R101" s="120" t="str">
        <f t="shared" si="50"/>
        <v/>
      </c>
      <c r="S101" s="316">
        <f>CHOOSE(General!$F$62,Evaluation!U101,Evaluation!V101,Evaluation!W101)</f>
        <v>327</v>
      </c>
      <c r="T101" s="317">
        <f>CHOOSE(General!$F$62,X101,Y101,Z101)</f>
        <v>350</v>
      </c>
      <c r="U101" s="759">
        <f t="shared" si="51"/>
        <v>357</v>
      </c>
      <c r="V101" s="758">
        <f t="shared" si="51"/>
        <v>327</v>
      </c>
      <c r="W101" s="331">
        <f t="shared" si="51"/>
        <v>308</v>
      </c>
      <c r="X101" s="758">
        <f t="shared" si="51"/>
        <v>378</v>
      </c>
      <c r="Y101" s="758">
        <f t="shared" si="51"/>
        <v>350</v>
      </c>
      <c r="Z101" s="331">
        <f t="shared" si="51"/>
        <v>334</v>
      </c>
      <c r="AA101" s="54"/>
      <c r="AB101" s="102" t="str">
        <f t="shared" si="52"/>
        <v/>
      </c>
      <c r="AC101" s="322">
        <f t="shared" si="53"/>
        <v>0</v>
      </c>
      <c r="AD101" s="322">
        <f t="shared" si="53"/>
        <v>0</v>
      </c>
      <c r="AE101" s="76"/>
      <c r="AF101" s="144"/>
      <c r="AG101" s="94" t="str">
        <f t="shared" si="45"/>
        <v/>
      </c>
      <c r="AH101" s="326">
        <f>CHOOSE(General!$F$63,Evaluation!AI101,Evaluation!AJ101,Evaluation!AK101)</f>
        <v>0</v>
      </c>
      <c r="AI101" s="329"/>
      <c r="AJ101" s="750"/>
      <c r="AK101" s="750">
        <f t="shared" si="46"/>
        <v>0.3</v>
      </c>
      <c r="AL101" s="214"/>
    </row>
    <row r="102" spans="1:38" outlineLevel="1">
      <c r="A102" s="227" t="str">
        <f>IF(OR(General!D62=6,General!D62=5),'T,P, O2'!D18,"")</f>
        <v>Cyclone 1</v>
      </c>
      <c r="B102" s="57"/>
      <c r="C102" s="399">
        <f>IF(A102="","",Calculations!K125)</f>
        <v>0</v>
      </c>
      <c r="D102" s="137" t="str">
        <f>IF(A102="","",S102&amp;" - "&amp;T102)</f>
        <v>327 - 350</v>
      </c>
      <c r="E102" s="54"/>
      <c r="F102" s="227" t="str">
        <f t="shared" si="47"/>
        <v>Cyclone 1</v>
      </c>
      <c r="G102" s="346">
        <f>Calculations!K128</f>
        <v>0</v>
      </c>
      <c r="H102" s="425">
        <f>IF(G102="","",-G102+G103)</f>
        <v>0</v>
      </c>
      <c r="I102" s="137" t="str">
        <f t="shared" si="48"/>
        <v>0 - 0</v>
      </c>
      <c r="J102" s="144"/>
      <c r="K102" s="227" t="str">
        <f t="shared" si="43"/>
        <v>Cyclone 1</v>
      </c>
      <c r="L102" s="399">
        <f>IF(K102="","",Calculations!K130)</f>
        <v>0</v>
      </c>
      <c r="M102" s="428">
        <f>IF(K102="","",Calculations!K131)</f>
        <v>0</v>
      </c>
      <c r="N102" s="429">
        <f>IF(K102="","",Calculations!K131)</f>
        <v>0</v>
      </c>
      <c r="O102" s="363">
        <f t="shared" si="49"/>
        <v>0.3</v>
      </c>
      <c r="P102" s="307"/>
      <c r="R102" s="120" t="str">
        <f t="shared" si="50"/>
        <v>Cyclone 1</v>
      </c>
      <c r="S102" s="316">
        <f>CHOOSE(General!$F$62,Evaluation!U102,Evaluation!V102,Evaluation!W102)</f>
        <v>327</v>
      </c>
      <c r="T102" s="317">
        <f>CHOOSE(General!$F$62,X102,Y102,Z102)</f>
        <v>350</v>
      </c>
      <c r="U102" s="759">
        <f t="shared" si="51"/>
        <v>357</v>
      </c>
      <c r="V102" s="758">
        <f t="shared" si="51"/>
        <v>327</v>
      </c>
      <c r="W102" s="331">
        <f t="shared" si="51"/>
        <v>498</v>
      </c>
      <c r="X102" s="758">
        <f t="shared" si="51"/>
        <v>378</v>
      </c>
      <c r="Y102" s="758">
        <f t="shared" si="51"/>
        <v>350</v>
      </c>
      <c r="Z102" s="331">
        <f t="shared" si="51"/>
        <v>531</v>
      </c>
      <c r="AA102" s="54"/>
      <c r="AB102" s="102" t="str">
        <f t="shared" si="52"/>
        <v>Cyclone 1</v>
      </c>
      <c r="AC102" s="322">
        <f t="shared" si="53"/>
        <v>0</v>
      </c>
      <c r="AD102" s="322">
        <f t="shared" si="53"/>
        <v>0</v>
      </c>
      <c r="AE102" s="76"/>
      <c r="AF102" s="144"/>
      <c r="AG102" s="94" t="str">
        <f t="shared" si="45"/>
        <v>Cyclone 1</v>
      </c>
      <c r="AH102" s="326">
        <f>CHOOSE(General!$F$63,Evaluation!AI102,Evaluation!AJ102,Evaluation!AK102)</f>
        <v>0.3</v>
      </c>
      <c r="AI102" s="329"/>
      <c r="AJ102" s="750">
        <f t="shared" si="46"/>
        <v>0.3</v>
      </c>
      <c r="AK102" s="750">
        <f t="shared" si="46"/>
        <v>0.3</v>
      </c>
      <c r="AL102" s="214"/>
    </row>
    <row r="103" spans="1:38" outlineLevel="1">
      <c r="A103" s="120" t="str">
        <f>+'T,P, O2'!D27</f>
        <v>Cyclone 2</v>
      </c>
      <c r="C103" s="364">
        <f>Calculations!J125</f>
        <v>0</v>
      </c>
      <c r="D103" s="123" t="str">
        <f>S103&amp;" - "&amp;T103</f>
        <v>531 - 571</v>
      </c>
      <c r="E103" s="54"/>
      <c r="F103" s="120" t="str">
        <f t="shared" si="47"/>
        <v>Cyclone 2</v>
      </c>
      <c r="G103" s="359">
        <f>Calculations!J128</f>
        <v>0</v>
      </c>
      <c r="H103" s="294">
        <f t="shared" si="42"/>
        <v>0</v>
      </c>
      <c r="I103" s="123" t="str">
        <f t="shared" si="48"/>
        <v>0 - 0</v>
      </c>
      <c r="J103" s="144"/>
      <c r="K103" s="120" t="str">
        <f t="shared" si="43"/>
        <v>Cyclone 2</v>
      </c>
      <c r="L103" s="364">
        <f>Calculations!J130</f>
        <v>0</v>
      </c>
      <c r="M103" s="430">
        <f>Calculations!J131</f>
        <v>0</v>
      </c>
      <c r="N103" s="431">
        <f>Calculations!J131</f>
        <v>0</v>
      </c>
      <c r="O103" s="361">
        <f t="shared" si="49"/>
        <v>0.3</v>
      </c>
      <c r="P103" s="307"/>
      <c r="R103" s="120" t="str">
        <f t="shared" si="50"/>
        <v>Cyclone 2</v>
      </c>
      <c r="S103" s="316">
        <f>CHOOSE(General!$F$62,Evaluation!U103,Evaluation!V103,Evaluation!W103)</f>
        <v>531</v>
      </c>
      <c r="T103" s="317">
        <f>CHOOSE(General!$F$62,X103,Y103,Z103)</f>
        <v>571</v>
      </c>
      <c r="U103" s="759">
        <f t="shared" si="51"/>
        <v>357</v>
      </c>
      <c r="V103" s="758">
        <f t="shared" si="51"/>
        <v>531</v>
      </c>
      <c r="W103" s="331">
        <f t="shared" si="51"/>
        <v>638</v>
      </c>
      <c r="X103" s="758">
        <f t="shared" si="51"/>
        <v>378</v>
      </c>
      <c r="Y103" s="758">
        <f t="shared" si="51"/>
        <v>571</v>
      </c>
      <c r="Z103" s="331">
        <f t="shared" si="51"/>
        <v>676</v>
      </c>
      <c r="AA103" s="54"/>
      <c r="AB103" s="102" t="str">
        <f t="shared" si="52"/>
        <v>Cyclone 2</v>
      </c>
      <c r="AC103" s="322">
        <f t="shared" si="53"/>
        <v>0</v>
      </c>
      <c r="AD103" s="322">
        <f t="shared" si="53"/>
        <v>0</v>
      </c>
      <c r="AE103" s="76"/>
      <c r="AF103" s="144"/>
      <c r="AG103" s="94" t="str">
        <f t="shared" si="45"/>
        <v>Cyclone 2</v>
      </c>
      <c r="AH103" s="326">
        <f>CHOOSE(General!$F$63,Evaluation!AI103,Evaluation!AJ103,Evaluation!AK103)</f>
        <v>0.3</v>
      </c>
      <c r="AI103" s="329">
        <f t="shared" si="54"/>
        <v>0.3</v>
      </c>
      <c r="AJ103" s="750">
        <f t="shared" si="46"/>
        <v>0.3</v>
      </c>
      <c r="AK103" s="750">
        <f t="shared" si="46"/>
        <v>0.3</v>
      </c>
      <c r="AL103" s="214"/>
    </row>
    <row r="104" spans="1:38" outlineLevel="1">
      <c r="A104" s="227" t="str">
        <f>+'T,P, O2'!D36</f>
        <v>Cyclone 3</v>
      </c>
      <c r="B104" s="57"/>
      <c r="C104" s="399">
        <f>Calculations!I125</f>
        <v>0</v>
      </c>
      <c r="D104" s="137" t="str">
        <f>S104&amp;" - "&amp;T104</f>
        <v>681 - 733</v>
      </c>
      <c r="E104" s="54"/>
      <c r="F104" s="227" t="str">
        <f t="shared" si="47"/>
        <v>Cyclone 3</v>
      </c>
      <c r="G104" s="346">
        <f>Calculations!I128</f>
        <v>0</v>
      </c>
      <c r="H104" s="425">
        <f t="shared" si="42"/>
        <v>0</v>
      </c>
      <c r="I104" s="137" t="str">
        <f t="shared" si="48"/>
        <v>0 - 0</v>
      </c>
      <c r="J104" s="144"/>
      <c r="K104" s="227" t="str">
        <f t="shared" si="43"/>
        <v>Cyclone 3</v>
      </c>
      <c r="L104" s="399">
        <f>Calculations!I130</f>
        <v>0</v>
      </c>
      <c r="M104" s="428">
        <f>Calculations!I131</f>
        <v>0</v>
      </c>
      <c r="N104" s="429">
        <f>Calculations!I131</f>
        <v>0</v>
      </c>
      <c r="O104" s="363">
        <f t="shared" si="49"/>
        <v>0.3</v>
      </c>
      <c r="P104" s="307"/>
      <c r="R104" s="120" t="str">
        <f t="shared" si="50"/>
        <v>Cyclone 3</v>
      </c>
      <c r="S104" s="316">
        <f>CHOOSE(General!$F$62,Evaluation!U104,Evaluation!V104,Evaluation!W104)</f>
        <v>681</v>
      </c>
      <c r="T104" s="317">
        <f>CHOOSE(General!$F$62,X104,Y104,Z104)</f>
        <v>733</v>
      </c>
      <c r="U104" s="759">
        <f t="shared" si="51"/>
        <v>583</v>
      </c>
      <c r="V104" s="758">
        <f t="shared" si="51"/>
        <v>681</v>
      </c>
      <c r="W104" s="331">
        <f t="shared" si="51"/>
        <v>741</v>
      </c>
      <c r="X104" s="758">
        <f t="shared" si="51"/>
        <v>619</v>
      </c>
      <c r="Y104" s="758">
        <f t="shared" si="51"/>
        <v>733</v>
      </c>
      <c r="Z104" s="331">
        <f t="shared" si="51"/>
        <v>783</v>
      </c>
      <c r="AA104" s="54"/>
      <c r="AB104" s="102" t="str">
        <f t="shared" si="52"/>
        <v>Cyclone 3</v>
      </c>
      <c r="AC104" s="322">
        <f t="shared" si="53"/>
        <v>0</v>
      </c>
      <c r="AD104" s="322">
        <f t="shared" si="53"/>
        <v>0</v>
      </c>
      <c r="AE104" s="76"/>
      <c r="AF104" s="144"/>
      <c r="AG104" s="94" t="str">
        <f t="shared" si="45"/>
        <v>Cyclone 3</v>
      </c>
      <c r="AH104" s="326">
        <f>CHOOSE(General!$F$63,Evaluation!AI104,Evaluation!AJ104,Evaluation!AK104)</f>
        <v>0.3</v>
      </c>
      <c r="AI104" s="329">
        <f t="shared" si="54"/>
        <v>0.3</v>
      </c>
      <c r="AJ104" s="750">
        <f t="shared" si="46"/>
        <v>0.3</v>
      </c>
      <c r="AK104" s="750">
        <f t="shared" si="46"/>
        <v>0.3</v>
      </c>
      <c r="AL104" s="214"/>
    </row>
    <row r="105" spans="1:38" outlineLevel="1">
      <c r="A105" s="120" t="str">
        <f>+'T,P, O2'!D45</f>
        <v>Cyclone 4</v>
      </c>
      <c r="C105" s="364">
        <f>Calculations!H125</f>
        <v>0</v>
      </c>
      <c r="D105" s="123" t="str">
        <f>S105&amp;" - "&amp;T105</f>
        <v>791 - 852</v>
      </c>
      <c r="E105" s="54"/>
      <c r="F105" s="120" t="str">
        <f t="shared" si="47"/>
        <v>Cyclone 4</v>
      </c>
      <c r="G105" s="359">
        <f>Calculations!H128</f>
        <v>0</v>
      </c>
      <c r="H105" s="294">
        <f t="shared" si="42"/>
        <v>0</v>
      </c>
      <c r="I105" s="123" t="str">
        <f t="shared" si="48"/>
        <v>0 - 0</v>
      </c>
      <c r="J105" s="144"/>
      <c r="K105" s="120" t="str">
        <f t="shared" si="43"/>
        <v>Cyclone 4</v>
      </c>
      <c r="L105" s="364">
        <f>Calculations!H130</f>
        <v>0</v>
      </c>
      <c r="M105" s="432">
        <f>Calculations!H131</f>
        <v>0</v>
      </c>
      <c r="N105" s="433">
        <f>Calculations!H131</f>
        <v>0</v>
      </c>
      <c r="O105" s="272">
        <f t="shared" si="49"/>
        <v>0.3</v>
      </c>
      <c r="P105" s="307"/>
      <c r="R105" s="120" t="str">
        <f t="shared" si="50"/>
        <v>Cyclone 4</v>
      </c>
      <c r="S105" s="316">
        <f>CHOOSE(General!$F$62,Evaluation!U105,Evaluation!V105,Evaluation!W105)</f>
        <v>791</v>
      </c>
      <c r="T105" s="317">
        <f>CHOOSE(General!$F$62,X105,Y105,Z105)</f>
        <v>852</v>
      </c>
      <c r="U105" s="759">
        <f t="shared" si="51"/>
        <v>749</v>
      </c>
      <c r="V105" s="758">
        <f t="shared" si="51"/>
        <v>791</v>
      </c>
      <c r="W105" s="331">
        <f t="shared" si="51"/>
        <v>817</v>
      </c>
      <c r="X105" s="758">
        <f t="shared" si="51"/>
        <v>796</v>
      </c>
      <c r="Y105" s="758">
        <f t="shared" si="51"/>
        <v>852</v>
      </c>
      <c r="Z105" s="331">
        <f t="shared" si="51"/>
        <v>862</v>
      </c>
      <c r="AA105" s="54"/>
      <c r="AB105" s="102" t="str">
        <f t="shared" si="52"/>
        <v>Cyclone 4</v>
      </c>
      <c r="AC105" s="322">
        <f t="shared" si="53"/>
        <v>0</v>
      </c>
      <c r="AD105" s="322">
        <f t="shared" si="53"/>
        <v>0</v>
      </c>
      <c r="AE105" s="136"/>
      <c r="AF105" s="144"/>
      <c r="AG105" s="94" t="str">
        <f t="shared" si="45"/>
        <v>Cyclone 4</v>
      </c>
      <c r="AH105" s="326">
        <f>CHOOSE(General!$F$63,Evaluation!AI105,Evaluation!AJ105,Evaluation!AK105)</f>
        <v>0.3</v>
      </c>
      <c r="AI105" s="329">
        <f t="shared" si="54"/>
        <v>0.3</v>
      </c>
      <c r="AJ105" s="750">
        <f t="shared" si="46"/>
        <v>0.3</v>
      </c>
      <c r="AK105" s="750">
        <f t="shared" si="46"/>
        <v>0.3</v>
      </c>
      <c r="AL105" s="214"/>
    </row>
    <row r="106" spans="1:38" ht="13.5" outlineLevel="1" thickBot="1">
      <c r="A106" s="227" t="str">
        <f>+'T,P, O2'!D54</f>
        <v>Cyclone 5</v>
      </c>
      <c r="B106" s="57"/>
      <c r="C106" s="399">
        <f>Calculations!G125</f>
        <v>0</v>
      </c>
      <c r="D106" s="137" t="str">
        <f>S106&amp;" - "&amp;T106</f>
        <v>870 - 870</v>
      </c>
      <c r="E106" s="54"/>
      <c r="F106" s="227" t="str">
        <f t="shared" si="47"/>
        <v>Cyclone 5</v>
      </c>
      <c r="G106" s="346">
        <f>Calculations!G128</f>
        <v>0</v>
      </c>
      <c r="H106" s="250">
        <f t="shared" si="42"/>
        <v>0</v>
      </c>
      <c r="I106" s="351" t="str">
        <f t="shared" si="48"/>
        <v>0 - 0</v>
      </c>
      <c r="J106" s="144"/>
      <c r="K106" s="227" t="str">
        <f t="shared" si="43"/>
        <v>Cyclone 5</v>
      </c>
      <c r="L106" s="372">
        <f>Calculations!G130</f>
        <v>0</v>
      </c>
      <c r="M106" s="244"/>
      <c r="N106" s="244"/>
      <c r="O106" s="276" t="str">
        <f t="shared" si="49"/>
        <v/>
      </c>
      <c r="R106" s="120" t="str">
        <f t="shared" si="50"/>
        <v>Cyclone 5</v>
      </c>
      <c r="S106" s="318">
        <f>CHOOSE(General!$F$62,Evaluation!U106,Evaluation!V106,Evaluation!W106)</f>
        <v>870</v>
      </c>
      <c r="T106" s="319">
        <f>CHOOSE(General!$F$62,X106,Y106,Z106)</f>
        <v>870</v>
      </c>
      <c r="U106" s="759">
        <f t="shared" si="51"/>
        <v>870</v>
      </c>
      <c r="V106" s="758">
        <f t="shared" si="51"/>
        <v>870</v>
      </c>
      <c r="W106" s="331">
        <f t="shared" si="51"/>
        <v>870</v>
      </c>
      <c r="X106" s="758">
        <f t="shared" si="51"/>
        <v>870</v>
      </c>
      <c r="Y106" s="758">
        <f t="shared" si="51"/>
        <v>870</v>
      </c>
      <c r="Z106" s="331">
        <f t="shared" si="51"/>
        <v>870</v>
      </c>
      <c r="AA106" s="54"/>
      <c r="AB106" s="102" t="str">
        <f t="shared" si="52"/>
        <v>Cyclone 5</v>
      </c>
      <c r="AC106" s="322">
        <f t="shared" si="53"/>
        <v>0</v>
      </c>
      <c r="AD106" s="322">
        <f t="shared" si="53"/>
        <v>0</v>
      </c>
      <c r="AE106" s="51"/>
      <c r="AF106" s="144"/>
      <c r="AG106" s="94" t="str">
        <f t="shared" si="45"/>
        <v>Cyclone 5</v>
      </c>
      <c r="AH106" s="327">
        <f>CHOOSE(General!$F$63,Evaluation!AI106,Evaluation!AJ106,Evaluation!AK106)</f>
        <v>0</v>
      </c>
      <c r="AI106" s="324"/>
      <c r="AJ106" s="322"/>
      <c r="AK106" s="323"/>
      <c r="AL106" s="214"/>
    </row>
    <row r="107" spans="1:38" outlineLevel="1">
      <c r="A107" s="54" t="s">
        <v>193</v>
      </c>
      <c r="B107" s="54"/>
      <c r="C107" s="369">
        <f>Calculations!P125</f>
        <v>0</v>
      </c>
      <c r="D107" s="293" t="str">
        <f>S107&amp;" - "&amp;T107</f>
        <v xml:space="preserve"> - </v>
      </c>
      <c r="E107" s="54"/>
      <c r="F107" s="120" t="str">
        <f t="shared" si="47"/>
        <v>Tertiary air duct</v>
      </c>
      <c r="G107" s="247">
        <f>Calculations!P128</f>
        <v>0</v>
      </c>
      <c r="H107" s="51"/>
      <c r="I107" s="76"/>
      <c r="J107" s="144"/>
      <c r="K107" s="120"/>
      <c r="L107" s="54"/>
      <c r="M107" s="54"/>
      <c r="N107" s="54"/>
      <c r="O107" s="276" t="str">
        <f t="shared" si="49"/>
        <v/>
      </c>
      <c r="R107" s="120"/>
      <c r="S107" s="51"/>
      <c r="T107" s="51"/>
      <c r="U107" s="751"/>
      <c r="V107" s="751"/>
      <c r="W107" s="752"/>
      <c r="X107" s="751"/>
      <c r="Y107" s="751"/>
      <c r="Z107" s="752"/>
      <c r="AA107" s="753"/>
      <c r="AB107" s="754" t="str">
        <f t="shared" si="52"/>
        <v/>
      </c>
      <c r="AC107" s="755"/>
      <c r="AD107" s="755"/>
      <c r="AE107" s="753"/>
      <c r="AF107" s="753"/>
      <c r="AG107" s="754" t="str">
        <f>IF(AB107="","",AB107)</f>
        <v/>
      </c>
      <c r="AH107" s="753"/>
      <c r="AI107" s="755"/>
      <c r="AJ107" s="755"/>
      <c r="AK107" s="756"/>
      <c r="AL107" s="214"/>
    </row>
    <row r="108" spans="1:38" outlineLevel="1">
      <c r="A108" s="120"/>
      <c r="B108" s="54"/>
      <c r="C108" s="356"/>
      <c r="D108" s="76"/>
      <c r="E108" s="54"/>
      <c r="F108" s="120" t="str">
        <f t="shared" si="47"/>
        <v/>
      </c>
      <c r="G108" s="54"/>
      <c r="H108" s="51"/>
      <c r="I108" s="51"/>
      <c r="J108" s="144"/>
      <c r="K108" s="120"/>
      <c r="L108" s="54"/>
      <c r="M108" s="136"/>
      <c r="N108" s="136"/>
      <c r="O108" s="136"/>
      <c r="R108" s="120"/>
      <c r="S108" s="51"/>
      <c r="T108" s="51"/>
      <c r="U108" s="751"/>
      <c r="V108" s="751"/>
      <c r="W108" s="752"/>
      <c r="X108" s="751"/>
      <c r="Y108" s="751"/>
      <c r="Z108" s="752"/>
      <c r="AA108" s="753"/>
      <c r="AB108" s="754"/>
      <c r="AC108" s="753"/>
      <c r="AD108" s="753"/>
      <c r="AE108" s="753"/>
      <c r="AF108" s="753"/>
      <c r="AG108" s="754" t="str">
        <f>IF(AB108="","",AB108)</f>
        <v/>
      </c>
      <c r="AH108" s="753"/>
      <c r="AI108" s="757"/>
      <c r="AJ108" s="757"/>
      <c r="AK108" s="757"/>
      <c r="AL108" s="214"/>
    </row>
    <row r="109" spans="1:38" ht="13.5" outlineLevel="1" thickBot="1">
      <c r="A109" s="440" t="s">
        <v>270</v>
      </c>
      <c r="B109" s="441"/>
      <c r="C109" s="441"/>
      <c r="D109" s="441"/>
      <c r="E109" s="120"/>
      <c r="F109" s="440" t="s">
        <v>272</v>
      </c>
      <c r="G109" s="441"/>
      <c r="H109" s="441"/>
      <c r="I109" s="441"/>
      <c r="J109" s="292"/>
      <c r="K109" s="440" t="s">
        <v>262</v>
      </c>
      <c r="L109" s="441"/>
      <c r="M109" s="441"/>
      <c r="N109" s="441"/>
      <c r="O109" s="442"/>
      <c r="R109" s="267" t="s">
        <v>270</v>
      </c>
      <c r="S109" s="268"/>
      <c r="T109" s="268"/>
      <c r="U109" s="268"/>
      <c r="V109" s="120"/>
      <c r="W109" s="120"/>
      <c r="X109" s="120"/>
      <c r="Y109" s="120"/>
      <c r="Z109" s="120"/>
      <c r="AA109" s="120"/>
      <c r="AB109" s="267" t="s">
        <v>272</v>
      </c>
      <c r="AC109" s="268"/>
      <c r="AD109" s="268"/>
      <c r="AE109" s="268"/>
      <c r="AF109" s="292"/>
      <c r="AG109" s="267" t="s">
        <v>262</v>
      </c>
      <c r="AH109" s="268"/>
      <c r="AI109" s="268"/>
      <c r="AJ109" s="268"/>
      <c r="AK109" s="290"/>
      <c r="AL109" s="214"/>
    </row>
    <row r="110" spans="1:38" outlineLevel="1">
      <c r="A110" s="54"/>
      <c r="B110" s="54"/>
      <c r="C110" s="54"/>
      <c r="D110" s="54"/>
      <c r="E110" s="120"/>
      <c r="F110" s="76"/>
      <c r="G110" s="76"/>
      <c r="H110" s="51"/>
      <c r="I110" s="51"/>
      <c r="J110" s="84"/>
      <c r="K110" s="273"/>
      <c r="L110" s="120"/>
      <c r="M110" s="120"/>
      <c r="N110" s="120"/>
      <c r="O110" s="120"/>
      <c r="R110" s="54"/>
      <c r="S110" s="54"/>
      <c r="T110" s="54"/>
      <c r="U110" s="54"/>
      <c r="V110" s="120"/>
      <c r="W110" s="120"/>
      <c r="X110" s="120"/>
      <c r="Y110" s="120"/>
      <c r="Z110" s="120"/>
      <c r="AA110" s="120"/>
      <c r="AB110" s="76"/>
      <c r="AC110" s="76"/>
      <c r="AD110" s="51"/>
      <c r="AE110" s="51"/>
      <c r="AF110" s="84"/>
      <c r="AG110" s="273"/>
      <c r="AH110" s="120"/>
      <c r="AI110" s="120"/>
      <c r="AJ110" s="120"/>
      <c r="AK110" s="120"/>
      <c r="AL110" s="214"/>
    </row>
    <row r="111" spans="1:38" outlineLevel="1">
      <c r="A111" s="54"/>
      <c r="B111" s="120"/>
      <c r="C111" s="242" t="s">
        <v>281</v>
      </c>
      <c r="D111" s="242" t="s">
        <v>436</v>
      </c>
      <c r="E111" s="136"/>
      <c r="F111" s="76"/>
      <c r="G111" s="195"/>
      <c r="H111" s="242" t="s">
        <v>281</v>
      </c>
      <c r="I111" s="242" t="s">
        <v>436</v>
      </c>
      <c r="J111" s="395"/>
      <c r="K111" s="76"/>
      <c r="L111" s="242" t="s">
        <v>281</v>
      </c>
      <c r="M111" s="76"/>
      <c r="N111" s="76"/>
      <c r="O111" s="242" t="s">
        <v>436</v>
      </c>
      <c r="R111" s="144"/>
      <c r="S111" s="126" t="s">
        <v>294</v>
      </c>
      <c r="T111" s="90" t="s">
        <v>295</v>
      </c>
      <c r="U111" s="120"/>
      <c r="W111" s="120"/>
      <c r="X111" s="120"/>
      <c r="Y111" s="120"/>
      <c r="Z111" s="120"/>
      <c r="AA111" s="120"/>
      <c r="AB111" s="144"/>
      <c r="AC111" s="126" t="s">
        <v>294</v>
      </c>
      <c r="AD111" s="90" t="s">
        <v>295</v>
      </c>
      <c r="AE111" s="120"/>
      <c r="AG111" s="264"/>
      <c r="AH111" s="274"/>
      <c r="AI111" s="274"/>
      <c r="AJ111" s="274"/>
      <c r="AL111" s="214"/>
    </row>
    <row r="112" spans="1:38" outlineLevel="1">
      <c r="A112" s="120" t="s">
        <v>146</v>
      </c>
      <c r="B112" s="51"/>
      <c r="C112" s="76"/>
      <c r="D112" s="76"/>
      <c r="E112" s="275"/>
      <c r="F112" s="135" t="s">
        <v>146</v>
      </c>
      <c r="G112" s="242"/>
      <c r="H112" s="76"/>
      <c r="I112" s="76"/>
      <c r="J112" s="395"/>
      <c r="K112" s="76" t="s">
        <v>125</v>
      </c>
      <c r="L112" s="387" t="s">
        <v>190</v>
      </c>
      <c r="M112" s="387" t="s">
        <v>345</v>
      </c>
      <c r="N112" s="387" t="s">
        <v>346</v>
      </c>
      <c r="O112" s="284" t="s">
        <v>346</v>
      </c>
      <c r="R112" s="94" t="s">
        <v>437</v>
      </c>
      <c r="S112" s="331">
        <f>S37</f>
        <v>10</v>
      </c>
      <c r="T112" s="331">
        <f>T37</f>
        <v>27</v>
      </c>
      <c r="U112" s="76" t="s">
        <v>30</v>
      </c>
      <c r="W112" s="809">
        <f>S112</f>
        <v>10</v>
      </c>
      <c r="X112" s="809">
        <v>17</v>
      </c>
      <c r="Y112" s="275"/>
      <c r="Z112" s="275"/>
      <c r="AA112" s="275"/>
      <c r="AB112" s="94" t="s">
        <v>437</v>
      </c>
      <c r="AC112" s="331">
        <f>+AC37</f>
        <v>10</v>
      </c>
      <c r="AD112" s="331">
        <f>+AD37</f>
        <v>27</v>
      </c>
      <c r="AE112" s="76" t="s">
        <v>30</v>
      </c>
      <c r="AG112" s="87" t="s">
        <v>439</v>
      </c>
      <c r="AH112" s="335"/>
      <c r="AI112" s="224"/>
      <c r="AJ112" s="336">
        <f>+AJ37</f>
        <v>10</v>
      </c>
      <c r="AK112" s="284" t="s">
        <v>299</v>
      </c>
      <c r="AL112" s="214"/>
    </row>
    <row r="113" spans="1:38" outlineLevel="1">
      <c r="A113" s="120" t="str">
        <f t="shared" ref="A113:A117" si="55">IF(A101="","",A101)</f>
        <v/>
      </c>
      <c r="B113" s="51"/>
      <c r="C113" s="352" t="str">
        <f>IF(A113="","",Calculations!L163)</f>
        <v/>
      </c>
      <c r="D113" s="285" t="str">
        <f>IF(A113="","",S$112&amp;" - "&amp;T$112)</f>
        <v/>
      </c>
      <c r="E113" s="276"/>
      <c r="F113" s="135" t="str">
        <f t="shared" ref="F113:F118" si="56">IF(A101="","",A101)</f>
        <v/>
      </c>
      <c r="G113" s="195"/>
      <c r="H113" s="352" t="str">
        <f>IF(F113="","",Calculations!L166)</f>
        <v/>
      </c>
      <c r="I113" s="126" t="str">
        <f>IF(F113="","",AC$112&amp;" - "&amp;AD$112)</f>
        <v/>
      </c>
      <c r="J113" s="395"/>
      <c r="K113" s="135" t="str">
        <f t="shared" ref="K113:K118" si="57">IF(A101="","",A101)</f>
        <v/>
      </c>
      <c r="L113" s="265" t="str">
        <f t="shared" ref="L113:L118" si="58">IF(C101="","",C101)</f>
        <v/>
      </c>
      <c r="M113" s="434" t="str">
        <f>IF(K113="","",Calculations!L126)</f>
        <v/>
      </c>
      <c r="N113" s="231" t="str">
        <f t="shared" ref="N113:N118" si="59">IF(L113="","",+L113-M113)</f>
        <v/>
      </c>
      <c r="O113" s="285" t="str">
        <f t="shared" ref="O113:O118" si="60">IF(K113="","","&lt; "&amp;$AJ$37)</f>
        <v/>
      </c>
      <c r="R113" s="94" t="s">
        <v>280</v>
      </c>
      <c r="S113" s="331">
        <f>S38</f>
        <v>12</v>
      </c>
      <c r="T113" s="331">
        <f>T38</f>
        <v>27</v>
      </c>
      <c r="U113" s="76" t="s">
        <v>30</v>
      </c>
      <c r="V113" s="54"/>
      <c r="W113" s="810">
        <f>+W112</f>
        <v>10</v>
      </c>
      <c r="X113" s="810">
        <f>X112</f>
        <v>17</v>
      </c>
      <c r="Y113" s="54"/>
      <c r="Z113" s="333"/>
      <c r="AA113" s="276"/>
      <c r="AB113" s="94" t="s">
        <v>280</v>
      </c>
      <c r="AC113" s="331">
        <f>+AC38</f>
        <v>12</v>
      </c>
      <c r="AD113" s="331">
        <f>+AD38</f>
        <v>27</v>
      </c>
      <c r="AE113" s="76" t="s">
        <v>30</v>
      </c>
      <c r="AF113" s="84"/>
      <c r="AG113" s="120"/>
      <c r="AH113" s="54"/>
      <c r="AI113" s="333"/>
      <c r="AJ113" s="333"/>
      <c r="AK113" s="333"/>
      <c r="AL113" s="214"/>
    </row>
    <row r="114" spans="1:38" outlineLevel="1">
      <c r="A114" s="227" t="str">
        <f t="shared" si="55"/>
        <v>Cyclone 1</v>
      </c>
      <c r="B114" s="309"/>
      <c r="C114" s="353" t="e">
        <f>IF(A114="","",Calculations!K163)</f>
        <v>#DIV/0!</v>
      </c>
      <c r="D114" s="154" t="str">
        <f>IF(A114="","",S$112&amp;" - "&amp;T$112)</f>
        <v>10 - 27</v>
      </c>
      <c r="E114" s="136"/>
      <c r="F114" s="401" t="str">
        <f t="shared" si="56"/>
        <v>Cyclone 1</v>
      </c>
      <c r="G114" s="398"/>
      <c r="H114" s="353" t="e">
        <f>IF(F114="","",Calculations!K166)</f>
        <v>#DIV/0!</v>
      </c>
      <c r="I114" s="137" t="str">
        <f>IF(F114="","",AC$112&amp;" - "&amp;AD$112)</f>
        <v>10 - 27</v>
      </c>
      <c r="J114" s="395"/>
      <c r="K114" s="401" t="str">
        <f t="shared" si="57"/>
        <v>Cyclone 1</v>
      </c>
      <c r="L114" s="346">
        <f t="shared" si="58"/>
        <v>0</v>
      </c>
      <c r="M114" s="416">
        <f>IF(K114="","",Calculations!K126)</f>
        <v>0</v>
      </c>
      <c r="N114" s="347">
        <f t="shared" si="59"/>
        <v>0</v>
      </c>
      <c r="O114" s="154" t="str">
        <f t="shared" si="60"/>
        <v>&lt; 10</v>
      </c>
      <c r="R114" s="120"/>
      <c r="S114" s="54"/>
      <c r="T114" s="54"/>
      <c r="U114" s="76"/>
      <c r="V114" s="54"/>
      <c r="W114" s="810">
        <f t="shared" ref="W114:W116" si="61">+W113</f>
        <v>10</v>
      </c>
      <c r="X114" s="810">
        <f t="shared" ref="X114:X116" si="62">X113</f>
        <v>17</v>
      </c>
      <c r="Y114" s="54"/>
      <c r="Z114" s="333"/>
      <c r="AA114" s="120"/>
      <c r="AB114" s="54"/>
      <c r="AC114" s="333"/>
      <c r="AD114" s="333"/>
      <c r="AE114" s="333"/>
      <c r="AF114" s="84"/>
      <c r="AG114" s="120"/>
      <c r="AH114" s="54"/>
      <c r="AI114" s="333"/>
      <c r="AJ114" s="333"/>
      <c r="AK114" s="333"/>
      <c r="AL114" s="214"/>
    </row>
    <row r="115" spans="1:38" outlineLevel="1">
      <c r="A115" s="120" t="str">
        <f t="shared" si="55"/>
        <v>Cyclone 2</v>
      </c>
      <c r="B115" s="54"/>
      <c r="C115" s="354" t="e">
        <f>Calculations!J163</f>
        <v>#DIV/0!</v>
      </c>
      <c r="D115" s="122" t="str">
        <f>IF(A115="","",S$112&amp;" - "&amp;T$112)</f>
        <v>10 - 27</v>
      </c>
      <c r="E115" s="136"/>
      <c r="F115" s="135" t="str">
        <f t="shared" si="56"/>
        <v>Cyclone 2</v>
      </c>
      <c r="G115" s="195"/>
      <c r="H115" s="354" t="e">
        <f>Calculations!J166</f>
        <v>#DIV/0!</v>
      </c>
      <c r="I115" s="123" t="str">
        <f>IF(F115="","",AC$112&amp;" - "&amp;AD$112)</f>
        <v>10 - 27</v>
      </c>
      <c r="J115" s="395"/>
      <c r="K115" s="135" t="str">
        <f t="shared" si="57"/>
        <v>Cyclone 2</v>
      </c>
      <c r="L115" s="359">
        <f t="shared" si="58"/>
        <v>0</v>
      </c>
      <c r="M115" s="435">
        <f>Calculations!J126</f>
        <v>0</v>
      </c>
      <c r="N115" s="344">
        <f t="shared" si="59"/>
        <v>0</v>
      </c>
      <c r="O115" s="122" t="str">
        <f t="shared" si="60"/>
        <v>&lt; 10</v>
      </c>
      <c r="R115" s="120"/>
      <c r="S115" s="54"/>
      <c r="T115" s="54"/>
      <c r="U115" s="76"/>
      <c r="V115" s="54"/>
      <c r="W115" s="810">
        <f t="shared" si="61"/>
        <v>10</v>
      </c>
      <c r="X115" s="810">
        <f t="shared" si="62"/>
        <v>17</v>
      </c>
      <c r="Y115" s="54"/>
      <c r="Z115" s="333"/>
      <c r="AA115" s="120"/>
      <c r="AB115" s="54"/>
      <c r="AC115" s="333"/>
      <c r="AD115" s="333"/>
      <c r="AE115" s="333"/>
      <c r="AF115" s="84"/>
      <c r="AG115" s="120"/>
      <c r="AH115" s="54"/>
      <c r="AI115" s="333"/>
      <c r="AJ115" s="333"/>
      <c r="AK115" s="333"/>
      <c r="AL115" s="214"/>
    </row>
    <row r="116" spans="1:38" outlineLevel="1">
      <c r="A116" s="227" t="str">
        <f t="shared" si="55"/>
        <v>Cyclone 3</v>
      </c>
      <c r="B116" s="227"/>
      <c r="C116" s="353" t="e">
        <f>Calculations!I163</f>
        <v>#DIV/0!</v>
      </c>
      <c r="D116" s="154" t="str">
        <f>IF(A116="","",S$112&amp;" - "&amp;T$112)</f>
        <v>10 - 27</v>
      </c>
      <c r="E116" s="136"/>
      <c r="F116" s="401" t="str">
        <f t="shared" si="56"/>
        <v>Cyclone 3</v>
      </c>
      <c r="G116" s="398"/>
      <c r="H116" s="353" t="e">
        <f>Calculations!I166</f>
        <v>#DIV/0!</v>
      </c>
      <c r="I116" s="137" t="str">
        <f>IF(F116="","",AC$112&amp;" - "&amp;AD$112)</f>
        <v>10 - 27</v>
      </c>
      <c r="J116" s="395"/>
      <c r="K116" s="401" t="str">
        <f t="shared" si="57"/>
        <v>Cyclone 3</v>
      </c>
      <c r="L116" s="346">
        <f t="shared" si="58"/>
        <v>0</v>
      </c>
      <c r="M116" s="416">
        <f>Calculations!I126</f>
        <v>0</v>
      </c>
      <c r="N116" s="347">
        <f t="shared" si="59"/>
        <v>0</v>
      </c>
      <c r="O116" s="154" t="str">
        <f t="shared" si="60"/>
        <v>&lt; 10</v>
      </c>
      <c r="R116" s="120"/>
      <c r="S116" s="54"/>
      <c r="T116" s="54"/>
      <c r="U116" s="76"/>
      <c r="V116" s="54"/>
      <c r="W116" s="810">
        <f t="shared" si="61"/>
        <v>10</v>
      </c>
      <c r="X116" s="810">
        <f t="shared" si="62"/>
        <v>17</v>
      </c>
      <c r="Y116" s="54"/>
      <c r="Z116" s="333"/>
      <c r="AA116" s="120"/>
      <c r="AB116" s="54"/>
      <c r="AC116" s="333"/>
      <c r="AD116" s="333"/>
      <c r="AE116" s="333"/>
      <c r="AF116" s="84"/>
      <c r="AG116" s="120"/>
      <c r="AH116" s="54"/>
      <c r="AI116" s="333"/>
      <c r="AJ116" s="333"/>
      <c r="AK116" s="333"/>
      <c r="AL116" s="214"/>
    </row>
    <row r="117" spans="1:38" outlineLevel="1">
      <c r="A117" s="120" t="str">
        <f t="shared" si="55"/>
        <v>Cyclone 4</v>
      </c>
      <c r="B117" s="120"/>
      <c r="C117" s="354" t="e">
        <f>Calculations!H163</f>
        <v>#DIV/0!</v>
      </c>
      <c r="D117" s="354" t="str">
        <f>IF(A117="","",S$112&amp;" - "&amp;T$112)</f>
        <v>10 - 27</v>
      </c>
      <c r="E117" s="136"/>
      <c r="F117" s="135" t="str">
        <f t="shared" si="56"/>
        <v>Cyclone 4</v>
      </c>
      <c r="G117" s="195"/>
      <c r="H117" s="354" t="e">
        <f>Calculations!H166</f>
        <v>#DIV/0!</v>
      </c>
      <c r="I117" s="354" t="str">
        <f>IF(F117="","",AC$112&amp;" - "&amp;AD$112)</f>
        <v>10 - 27</v>
      </c>
      <c r="J117" s="395"/>
      <c r="K117" s="135" t="str">
        <f t="shared" si="57"/>
        <v>Cyclone 4</v>
      </c>
      <c r="L117" s="359">
        <f t="shared" si="58"/>
        <v>0</v>
      </c>
      <c r="M117" s="435">
        <f>Calculations!H126</f>
        <v>0</v>
      </c>
      <c r="N117" s="344">
        <f t="shared" si="59"/>
        <v>0</v>
      </c>
      <c r="O117" s="122" t="str">
        <f t="shared" si="60"/>
        <v>&lt; 10</v>
      </c>
      <c r="R117" s="120"/>
      <c r="S117" s="54"/>
      <c r="T117" s="54"/>
      <c r="U117" s="76"/>
      <c r="V117" s="54"/>
      <c r="W117" s="810">
        <v>12</v>
      </c>
      <c r="X117" s="810">
        <v>15</v>
      </c>
      <c r="Y117" s="54"/>
      <c r="Z117" s="333"/>
      <c r="AA117" s="120"/>
      <c r="AB117" s="54"/>
      <c r="AC117" s="333"/>
      <c r="AD117" s="333"/>
      <c r="AE117" s="334"/>
      <c r="AF117" s="84"/>
      <c r="AG117" s="120"/>
      <c r="AH117" s="54"/>
      <c r="AI117" s="333"/>
      <c r="AJ117" s="333"/>
      <c r="AK117" s="334"/>
      <c r="AL117" s="214"/>
    </row>
    <row r="118" spans="1:38" outlineLevel="1">
      <c r="A118" s="737" t="s">
        <v>549</v>
      </c>
      <c r="B118" s="227"/>
      <c r="C118" s="355" t="e">
        <f>Calculations!G163</f>
        <v>#DIV/0!</v>
      </c>
      <c r="D118" s="142" t="str">
        <f>IF(A118="","",S$113&amp;" - "&amp;T$113)</f>
        <v>12 - 27</v>
      </c>
      <c r="E118" s="136"/>
      <c r="F118" s="401" t="str">
        <f t="shared" si="56"/>
        <v>Cyclone 5</v>
      </c>
      <c r="G118" s="398"/>
      <c r="H118" s="355" t="e">
        <f>Calculations!G166</f>
        <v>#DIV/0!</v>
      </c>
      <c r="I118" s="351" t="str">
        <f>IF(F118="","",AC$113&amp;" - "&amp;AD$113)</f>
        <v>12 - 27</v>
      </c>
      <c r="J118" s="395"/>
      <c r="K118" s="401" t="str">
        <f t="shared" si="57"/>
        <v>Cyclone 5</v>
      </c>
      <c r="L118" s="349">
        <f t="shared" si="58"/>
        <v>0</v>
      </c>
      <c r="M118" s="424">
        <f>Calculations!G126</f>
        <v>0</v>
      </c>
      <c r="N118" s="350">
        <f t="shared" si="59"/>
        <v>0</v>
      </c>
      <c r="O118" s="142" t="str">
        <f t="shared" si="60"/>
        <v>&lt; 10</v>
      </c>
      <c r="R118" s="120"/>
      <c r="S118" s="54"/>
      <c r="T118" s="54"/>
      <c r="U118" s="76"/>
      <c r="V118" s="54"/>
      <c r="W118" s="333"/>
      <c r="X118" s="54"/>
      <c r="Y118" s="54"/>
      <c r="Z118" s="333"/>
      <c r="AA118" s="120"/>
      <c r="AB118" s="120"/>
      <c r="AC118" s="51"/>
      <c r="AD118" s="330"/>
      <c r="AE118" s="54"/>
      <c r="AF118" s="84"/>
      <c r="AG118" s="120"/>
      <c r="AH118" s="330"/>
      <c r="AI118" s="54"/>
      <c r="AJ118" s="277"/>
      <c r="AL118" s="214"/>
    </row>
    <row r="119" spans="1:38" outlineLevel="1">
      <c r="A119" s="120"/>
      <c r="B119" s="120"/>
      <c r="C119" s="120"/>
      <c r="D119" s="120"/>
      <c r="E119" s="120"/>
      <c r="F119" s="120"/>
      <c r="G119" s="76"/>
      <c r="H119" s="136"/>
      <c r="I119" s="136"/>
      <c r="J119" s="84"/>
      <c r="K119" s="120"/>
      <c r="L119" s="76"/>
      <c r="M119" s="136"/>
      <c r="N119" s="136"/>
      <c r="O119" s="136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76"/>
      <c r="AD119" s="136"/>
      <c r="AE119" s="136"/>
      <c r="AF119" s="84"/>
      <c r="AG119" s="120"/>
      <c r="AH119" s="76"/>
      <c r="AI119" s="136"/>
      <c r="AJ119" s="136"/>
      <c r="AK119" s="136"/>
      <c r="AL119" s="214"/>
    </row>
    <row r="120" spans="1:38" ht="13.5" outlineLevel="1" thickBot="1">
      <c r="A120" s="440" t="s">
        <v>283</v>
      </c>
      <c r="B120" s="441"/>
      <c r="C120" s="441"/>
      <c r="D120" s="441"/>
      <c r="E120" s="120"/>
      <c r="F120" s="440" t="s">
        <v>284</v>
      </c>
      <c r="G120" s="441"/>
      <c r="H120" s="441"/>
      <c r="I120" s="441"/>
      <c r="J120" s="84"/>
      <c r="K120" s="440" t="s">
        <v>413</v>
      </c>
      <c r="L120" s="442"/>
      <c r="M120" s="441"/>
      <c r="N120" s="441"/>
      <c r="O120" s="442"/>
      <c r="R120" s="267" t="s">
        <v>283</v>
      </c>
      <c r="S120" s="268"/>
      <c r="T120" s="268"/>
      <c r="U120" s="268"/>
      <c r="V120" s="120"/>
      <c r="W120" s="120"/>
      <c r="X120" s="120"/>
      <c r="Y120" s="120"/>
      <c r="Z120" s="120"/>
      <c r="AA120" s="120"/>
      <c r="AB120" s="267" t="s">
        <v>284</v>
      </c>
      <c r="AC120" s="268"/>
      <c r="AD120" s="268"/>
      <c r="AE120" s="268"/>
      <c r="AF120" s="84"/>
      <c r="AG120" s="273"/>
      <c r="AH120" s="120"/>
      <c r="AI120" s="120"/>
      <c r="AJ120" s="120"/>
      <c r="AK120" s="273"/>
      <c r="AL120" s="214"/>
    </row>
    <row r="121" spans="1:38" ht="13.5" outlineLevel="1" thickBot="1">
      <c r="A121" s="120"/>
      <c r="B121" s="120"/>
      <c r="C121" s="120"/>
      <c r="D121" s="120"/>
      <c r="E121" s="120"/>
      <c r="F121" s="120"/>
      <c r="G121" s="76"/>
      <c r="H121" s="136"/>
      <c r="I121" s="136"/>
      <c r="J121" s="84"/>
      <c r="K121" s="120"/>
      <c r="L121" s="76"/>
      <c r="M121" s="136"/>
      <c r="N121" s="136"/>
      <c r="O121" s="136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76"/>
      <c r="AD121" s="136"/>
      <c r="AE121" s="136"/>
      <c r="AF121" s="84"/>
      <c r="AG121" s="120"/>
      <c r="AH121" s="76"/>
      <c r="AI121" s="136"/>
      <c r="AJ121" s="136"/>
      <c r="AK121" s="136"/>
      <c r="AL121" s="214"/>
    </row>
    <row r="122" spans="1:38" ht="13.5" outlineLevel="1" thickBot="1">
      <c r="A122" s="120"/>
      <c r="B122" s="120"/>
      <c r="C122" s="242" t="s">
        <v>281</v>
      </c>
      <c r="D122" s="242" t="s">
        <v>436</v>
      </c>
      <c r="E122" s="120"/>
      <c r="F122" s="120"/>
      <c r="G122" s="76"/>
      <c r="H122" s="242" t="s">
        <v>281</v>
      </c>
      <c r="I122" s="242" t="s">
        <v>436</v>
      </c>
      <c r="J122" s="84"/>
      <c r="K122" s="273" t="s">
        <v>308</v>
      </c>
      <c r="L122" s="76"/>
      <c r="M122" s="69" t="s">
        <v>86</v>
      </c>
      <c r="N122" s="439" t="str">
        <f>+'T,P, O2'!I72</f>
        <v/>
      </c>
      <c r="O122" s="244" t="s">
        <v>112</v>
      </c>
      <c r="R122" s="144"/>
      <c r="S122" s="126" t="s">
        <v>294</v>
      </c>
      <c r="T122" s="90" t="s">
        <v>295</v>
      </c>
      <c r="U122" s="120"/>
      <c r="V122" s="120"/>
      <c r="W122" s="120"/>
      <c r="X122" s="120"/>
      <c r="Y122" s="120"/>
      <c r="Z122" s="120"/>
      <c r="AA122" s="120"/>
      <c r="AB122" s="144"/>
      <c r="AC122" s="126" t="s">
        <v>294</v>
      </c>
      <c r="AD122" s="90" t="s">
        <v>295</v>
      </c>
      <c r="AE122" s="120"/>
      <c r="AF122" s="84"/>
      <c r="AG122" s="120"/>
      <c r="AH122" s="76"/>
      <c r="AI122" s="136"/>
      <c r="AJ122" s="136"/>
      <c r="AK122" s="136"/>
      <c r="AL122" s="214"/>
    </row>
    <row r="123" spans="1:38" ht="13.5" outlineLevel="1" thickBot="1">
      <c r="A123" s="120" t="s">
        <v>146</v>
      </c>
      <c r="B123" s="120"/>
      <c r="C123" s="76"/>
      <c r="D123" s="76"/>
      <c r="E123" s="120"/>
      <c r="F123" s="120" t="s">
        <v>146</v>
      </c>
      <c r="G123" s="76"/>
      <c r="H123" s="76"/>
      <c r="I123" s="76"/>
      <c r="J123" s="84"/>
      <c r="K123" s="273" t="s">
        <v>417</v>
      </c>
      <c r="L123" s="76"/>
      <c r="M123" s="136"/>
      <c r="N123" s="730" t="e">
        <f>Calculations!N163</f>
        <v>#DIV/0!</v>
      </c>
      <c r="O123" s="76" t="s">
        <v>146</v>
      </c>
      <c r="R123" s="94" t="s">
        <v>437</v>
      </c>
      <c r="S123" s="331"/>
      <c r="T123" s="331"/>
      <c r="U123" s="76" t="s">
        <v>30</v>
      </c>
      <c r="V123" s="120"/>
      <c r="W123" s="120"/>
      <c r="X123" s="120"/>
      <c r="Y123" s="120"/>
      <c r="Z123" s="120"/>
      <c r="AA123" s="120"/>
      <c r="AB123" s="94" t="s">
        <v>437</v>
      </c>
      <c r="AC123" s="331"/>
      <c r="AD123" s="331"/>
      <c r="AE123" s="76" t="s">
        <v>30</v>
      </c>
      <c r="AF123" s="84"/>
      <c r="AG123" s="120"/>
      <c r="AH123" s="76"/>
      <c r="AI123" s="136"/>
      <c r="AJ123" s="136"/>
      <c r="AK123" s="136"/>
      <c r="AL123" s="214"/>
    </row>
    <row r="124" spans="1:38" outlineLevel="1">
      <c r="A124" s="120" t="str">
        <f t="shared" ref="A124:A129" si="63">IF(A101="","",A101)</f>
        <v/>
      </c>
      <c r="B124" s="120"/>
      <c r="C124" s="342" t="str">
        <f>IF(A124="","",Calculations!L165)</f>
        <v/>
      </c>
      <c r="D124" s="126" t="str">
        <f t="shared" ref="D124:D129" si="64">IF(A124="","",S$48&amp;" - "&amp;T$48)</f>
        <v/>
      </c>
      <c r="E124" s="120"/>
      <c r="F124" s="120" t="str">
        <f t="shared" ref="F124:F129" si="65">IF(A101="","",A101)</f>
        <v/>
      </c>
      <c r="G124" s="76"/>
      <c r="H124" s="342" t="str">
        <f>IF(F124="","",Calculations!L164)</f>
        <v/>
      </c>
      <c r="I124" s="285" t="str">
        <f>IF(F124="","",AC$123&amp;" - "&amp;AD$123)</f>
        <v/>
      </c>
      <c r="J124" s="84"/>
      <c r="K124" s="731" t="s">
        <v>418</v>
      </c>
      <c r="AL124" s="214"/>
    </row>
    <row r="125" spans="1:38" outlineLevel="1">
      <c r="A125" s="227" t="str">
        <f t="shared" si="63"/>
        <v>Cyclone 1</v>
      </c>
      <c r="B125" s="227"/>
      <c r="C125" s="345" t="e">
        <f>IF(A125="","",Calculations!K165)</f>
        <v>#DIV/0!</v>
      </c>
      <c r="D125" s="137" t="str">
        <f t="shared" si="64"/>
        <v xml:space="preserve"> - </v>
      </c>
      <c r="E125" s="120"/>
      <c r="F125" s="227" t="str">
        <f t="shared" si="65"/>
        <v>Cyclone 1</v>
      </c>
      <c r="G125" s="158"/>
      <c r="H125" s="345" t="e">
        <f>IF(F125="","",Calculations!K164)</f>
        <v>#DIV/0!</v>
      </c>
      <c r="I125" s="154" t="str">
        <f>IF(F125="","",AC$48&amp;" - "&amp;AD$48)</f>
        <v xml:space="preserve"> - </v>
      </c>
      <c r="J125" s="84"/>
      <c r="K125" s="273" t="s">
        <v>341</v>
      </c>
      <c r="N125" s="136" t="s">
        <v>281</v>
      </c>
      <c r="O125" s="136" t="s">
        <v>436</v>
      </c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  <c r="AJ125" s="214"/>
      <c r="AK125" s="214"/>
      <c r="AL125" s="214"/>
    </row>
    <row r="126" spans="1:38" outlineLevel="1">
      <c r="A126" s="120" t="str">
        <f t="shared" si="63"/>
        <v>Cyclone 2</v>
      </c>
      <c r="B126" s="120"/>
      <c r="C126" s="343" t="e">
        <f>Calculations!J165</f>
        <v>#DIV/0!</v>
      </c>
      <c r="D126" s="123" t="str">
        <f t="shared" si="64"/>
        <v xml:space="preserve"> - </v>
      </c>
      <c r="E126" s="120"/>
      <c r="F126" s="120" t="str">
        <f t="shared" si="65"/>
        <v>Cyclone 2</v>
      </c>
      <c r="G126" s="76"/>
      <c r="H126" s="343" t="e">
        <f>Calculations!J164</f>
        <v>#DIV/0!</v>
      </c>
      <c r="I126" s="122" t="str">
        <f>IF(F126="","",AC$48&amp;" - "&amp;AD$48)</f>
        <v xml:space="preserve"> - </v>
      </c>
      <c r="J126" s="84"/>
      <c r="K126" s="75" t="s">
        <v>342</v>
      </c>
      <c r="M126" s="136" t="s">
        <v>147</v>
      </c>
      <c r="N126" s="390" t="e">
        <f>+Calculations!F167</f>
        <v>#DIV/0!</v>
      </c>
      <c r="O126" s="636" t="s">
        <v>310</v>
      </c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  <c r="AJ126" s="214"/>
      <c r="AK126" s="214"/>
      <c r="AL126" s="214"/>
    </row>
    <row r="127" spans="1:38" outlineLevel="1">
      <c r="A127" s="227" t="str">
        <f t="shared" si="63"/>
        <v>Cyclone 3</v>
      </c>
      <c r="B127" s="227"/>
      <c r="C127" s="345" t="e">
        <f>Calculations!I165</f>
        <v>#DIV/0!</v>
      </c>
      <c r="D127" s="137" t="str">
        <f t="shared" si="64"/>
        <v xml:space="preserve"> - </v>
      </c>
      <c r="E127" s="120"/>
      <c r="F127" s="227" t="str">
        <f t="shared" si="65"/>
        <v>Cyclone 3</v>
      </c>
      <c r="G127" s="158"/>
      <c r="H127" s="345" t="e">
        <f>Calculations!I164</f>
        <v>#DIV/0!</v>
      </c>
      <c r="I127" s="154" t="str">
        <f>IF(F127="","",AC$48&amp;" - "&amp;AD$48)</f>
        <v xml:space="preserve"> - </v>
      </c>
      <c r="J127" s="84"/>
      <c r="K127" s="157" t="s">
        <v>183</v>
      </c>
      <c r="L127" s="57"/>
      <c r="M127" s="397" t="s">
        <v>146</v>
      </c>
      <c r="N127" s="391" t="e">
        <f>+Calculations!F165</f>
        <v>#DIV/0!</v>
      </c>
      <c r="O127" s="388" t="s">
        <v>304</v>
      </c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  <c r="AJ127" s="214"/>
      <c r="AK127" s="214"/>
      <c r="AL127" s="214"/>
    </row>
    <row r="128" spans="1:38" outlineLevel="1">
      <c r="A128" s="120" t="str">
        <f t="shared" si="63"/>
        <v>Cyclone 4</v>
      </c>
      <c r="B128" s="120"/>
      <c r="C128" s="343" t="e">
        <f>Calculations!H165</f>
        <v>#DIV/0!</v>
      </c>
      <c r="D128" s="123" t="str">
        <f t="shared" si="64"/>
        <v xml:space="preserve"> - </v>
      </c>
      <c r="E128" s="120"/>
      <c r="F128" s="120" t="str">
        <f t="shared" si="65"/>
        <v>Cyclone 4</v>
      </c>
      <c r="G128" s="76"/>
      <c r="H128" s="343" t="e">
        <f>Calculations!H164</f>
        <v>#DIV/0!</v>
      </c>
      <c r="I128" s="122" t="str">
        <f>IF(F128="","",AC$48&amp;" - "&amp;AD$48)</f>
        <v xml:space="preserve"> - </v>
      </c>
      <c r="J128" s="84"/>
      <c r="K128" s="75" t="s">
        <v>343</v>
      </c>
      <c r="M128" s="136" t="s">
        <v>146</v>
      </c>
      <c r="N128" s="392" t="e">
        <f>+Calculations!E163</f>
        <v>#DIV/0!</v>
      </c>
      <c r="O128" s="381" t="s">
        <v>344</v>
      </c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  <c r="AJ128" s="214"/>
      <c r="AK128" s="214"/>
      <c r="AL128" s="214"/>
    </row>
    <row r="129" spans="1:38" outlineLevel="1">
      <c r="A129" s="227" t="str">
        <f t="shared" si="63"/>
        <v>Cyclone 5</v>
      </c>
      <c r="B129" s="227"/>
      <c r="C129" s="348" t="e">
        <f>Calculations!G165</f>
        <v>#DIV/0!</v>
      </c>
      <c r="D129" s="351" t="str">
        <f t="shared" si="64"/>
        <v xml:space="preserve"> - </v>
      </c>
      <c r="E129" s="120"/>
      <c r="F129" s="227" t="str">
        <f t="shared" si="65"/>
        <v>Cyclone 5</v>
      </c>
      <c r="G129" s="158"/>
      <c r="H129" s="348" t="e">
        <f>Calculations!G164</f>
        <v>#DIV/0!</v>
      </c>
      <c r="I129" s="142" t="str">
        <f>IF(F129="","",AC$48&amp;" - "&amp;AD$48)</f>
        <v xml:space="preserve"> - </v>
      </c>
      <c r="J129" s="84"/>
      <c r="K129" s="814" t="s">
        <v>491</v>
      </c>
      <c r="M129" s="136" t="s">
        <v>146</v>
      </c>
      <c r="N129" s="638" t="e">
        <f>Calculations!P163</f>
        <v>#DIV/0!</v>
      </c>
      <c r="O129" s="637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  <c r="AJ129" s="214"/>
      <c r="AK129" s="214"/>
      <c r="AL129" s="214"/>
    </row>
    <row r="130" spans="1:38"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  <c r="AJ130" s="214"/>
      <c r="AK130" s="214"/>
      <c r="AL130" s="214"/>
    </row>
    <row r="131" spans="1:38">
      <c r="A131" s="444" t="s">
        <v>475</v>
      </c>
      <c r="B131" s="443"/>
      <c r="C131" s="443" t="s">
        <v>480</v>
      </c>
      <c r="D131" s="767"/>
      <c r="E131" s="444"/>
      <c r="F131" s="445"/>
      <c r="G131" s="445"/>
      <c r="H131" s="445"/>
      <c r="I131" s="445"/>
      <c r="J131" s="445"/>
      <c r="K131" s="446"/>
      <c r="L131" s="447"/>
      <c r="M131" s="445"/>
      <c r="N131" s="445"/>
      <c r="O131" s="735">
        <f>+General!D103</f>
        <v>0</v>
      </c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  <c r="AJ131" s="214"/>
      <c r="AK131" s="214"/>
      <c r="AL131" s="214"/>
    </row>
    <row r="132" spans="1:38">
      <c r="A132" s="278"/>
      <c r="B132" s="278"/>
      <c r="C132" s="279"/>
      <c r="D132" s="280"/>
      <c r="E132" s="280"/>
      <c r="F132" s="281"/>
      <c r="G132" s="281"/>
      <c r="H132" s="281"/>
      <c r="I132" s="281"/>
      <c r="J132" s="281"/>
      <c r="K132" s="282"/>
      <c r="L132" s="283"/>
      <c r="M132" s="281"/>
      <c r="N132" s="281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  <c r="AJ132" s="214"/>
      <c r="AK132" s="214"/>
      <c r="AL132" s="214"/>
    </row>
    <row r="133" spans="1:38">
      <c r="A133" s="812" t="s">
        <v>286</v>
      </c>
      <c r="B133" s="813"/>
      <c r="C133" s="813"/>
      <c r="D133" s="813"/>
      <c r="E133" s="84"/>
      <c r="F133" s="812" t="s">
        <v>476</v>
      </c>
      <c r="G133" s="813"/>
      <c r="H133" s="813"/>
      <c r="I133" s="813"/>
      <c r="J133" s="804"/>
      <c r="K133" s="804"/>
      <c r="L133" s="804"/>
      <c r="M133" s="804"/>
      <c r="N133" s="804"/>
      <c r="O133" s="80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  <c r="AJ133" s="214"/>
      <c r="AK133" s="214"/>
      <c r="AL133" s="214"/>
    </row>
    <row r="134" spans="1:38">
      <c r="A134" s="273"/>
      <c r="B134" s="264"/>
      <c r="C134" s="76"/>
      <c r="D134" s="264"/>
      <c r="E134" s="54"/>
      <c r="F134" s="264"/>
      <c r="G134" s="51"/>
      <c r="H134" s="51"/>
      <c r="I134" s="51"/>
      <c r="J134" s="144"/>
      <c r="K134" s="264"/>
      <c r="M134" s="274"/>
      <c r="N134" s="27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  <c r="AJ134" s="214"/>
      <c r="AK134" s="214"/>
      <c r="AL134" s="214"/>
    </row>
    <row r="135" spans="1:38">
      <c r="A135" s="753"/>
      <c r="B135" s="753"/>
      <c r="C135" s="786"/>
      <c r="D135" s="786"/>
      <c r="E135" s="753"/>
      <c r="F135" s="787"/>
      <c r="G135" s="786"/>
      <c r="H135" s="786"/>
      <c r="I135" s="786"/>
      <c r="J135" s="753"/>
      <c r="K135" s="787"/>
      <c r="L135" s="786"/>
      <c r="M135" s="757"/>
      <c r="N135" s="757"/>
      <c r="O135" s="786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</row>
    <row r="136" spans="1:38">
      <c r="A136" s="753"/>
      <c r="B136" s="753"/>
      <c r="C136" s="751"/>
      <c r="D136" s="751"/>
      <c r="E136" s="753"/>
      <c r="F136" s="787"/>
      <c r="G136" s="788"/>
      <c r="H136" s="788"/>
      <c r="I136" s="788"/>
      <c r="J136" s="753"/>
      <c r="K136" s="754"/>
      <c r="L136" s="788"/>
      <c r="M136" s="788"/>
      <c r="N136" s="788"/>
      <c r="O136" s="788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  <c r="AJ136" s="214"/>
      <c r="AK136" s="214"/>
      <c r="AL136" s="214"/>
    </row>
    <row r="137" spans="1:38">
      <c r="A137" s="754"/>
      <c r="B137" s="753"/>
      <c r="C137" s="786"/>
      <c r="D137" s="751"/>
      <c r="E137" s="753"/>
      <c r="F137" s="754"/>
      <c r="G137" s="753"/>
      <c r="H137" s="753"/>
      <c r="I137" s="751"/>
      <c r="J137" s="753"/>
      <c r="K137" s="754"/>
      <c r="L137" s="786"/>
      <c r="M137" s="789"/>
      <c r="N137" s="786"/>
      <c r="O137" s="790"/>
      <c r="Q137"/>
    </row>
    <row r="138" spans="1:38">
      <c r="A138" s="754"/>
      <c r="B138" s="753"/>
      <c r="C138" s="786"/>
      <c r="D138" s="751"/>
      <c r="E138" s="753"/>
      <c r="F138" s="754"/>
      <c r="G138" s="753"/>
      <c r="H138" s="753"/>
      <c r="I138" s="751"/>
      <c r="J138" s="753"/>
      <c r="K138" s="754"/>
      <c r="L138" s="786"/>
      <c r="M138" s="791"/>
      <c r="N138" s="786"/>
      <c r="O138" s="790"/>
      <c r="Q138"/>
    </row>
    <row r="139" spans="1:38">
      <c r="A139" s="754"/>
      <c r="B139" s="753"/>
      <c r="C139" s="786"/>
      <c r="D139" s="751"/>
      <c r="E139" s="753"/>
      <c r="F139" s="754"/>
      <c r="G139" s="753"/>
      <c r="H139" s="753"/>
      <c r="I139" s="751"/>
      <c r="J139" s="753"/>
      <c r="K139" s="754"/>
      <c r="L139" s="786"/>
      <c r="M139" s="791"/>
      <c r="N139" s="786"/>
      <c r="O139" s="790"/>
      <c r="Q139"/>
    </row>
    <row r="140" spans="1:38">
      <c r="A140" s="754"/>
      <c r="B140" s="753"/>
      <c r="C140" s="786"/>
      <c r="D140" s="751"/>
      <c r="E140" s="753"/>
      <c r="F140" s="754"/>
      <c r="G140" s="753"/>
      <c r="H140" s="753"/>
      <c r="I140" s="751"/>
      <c r="J140" s="753"/>
      <c r="K140" s="754"/>
      <c r="L140" s="786"/>
      <c r="M140" s="789"/>
      <c r="N140" s="786"/>
      <c r="O140" s="790"/>
      <c r="Q140"/>
    </row>
    <row r="141" spans="1:38">
      <c r="A141" s="754"/>
      <c r="B141" s="753"/>
      <c r="C141" s="786"/>
      <c r="D141" s="751"/>
      <c r="E141" s="753"/>
      <c r="F141" s="754"/>
      <c r="G141" s="753"/>
      <c r="H141" s="753"/>
      <c r="I141" s="751"/>
      <c r="J141" s="753"/>
      <c r="K141" s="754"/>
      <c r="L141" s="786"/>
      <c r="M141" s="789"/>
      <c r="N141" s="786"/>
      <c r="O141" s="790"/>
      <c r="Q141"/>
    </row>
    <row r="142" spans="1:38">
      <c r="A142" s="754"/>
      <c r="B142" s="753"/>
      <c r="C142" s="786"/>
      <c r="D142" s="751"/>
      <c r="E142" s="753"/>
      <c r="F142" s="754"/>
      <c r="G142" s="753"/>
      <c r="H142" s="753"/>
      <c r="I142" s="751"/>
      <c r="J142" s="753"/>
      <c r="K142" s="754"/>
      <c r="L142" s="786"/>
      <c r="M142" s="789"/>
      <c r="N142" s="786"/>
      <c r="O142" s="790"/>
      <c r="Q142"/>
    </row>
    <row r="143" spans="1:38">
      <c r="A143" s="754"/>
      <c r="B143" s="753"/>
      <c r="C143" s="786"/>
      <c r="D143" s="751"/>
      <c r="E143" s="753"/>
      <c r="F143" s="754"/>
      <c r="G143" s="753"/>
      <c r="H143" s="753"/>
      <c r="I143" s="751"/>
      <c r="J143" s="753"/>
      <c r="K143" s="754"/>
      <c r="L143" s="786"/>
      <c r="M143" s="789"/>
      <c r="N143" s="786"/>
      <c r="O143" s="790"/>
      <c r="Q143"/>
    </row>
    <row r="144" spans="1:38">
      <c r="A144" s="754"/>
      <c r="B144" s="753"/>
      <c r="C144" s="786"/>
      <c r="D144" s="751"/>
      <c r="E144" s="753"/>
      <c r="F144" s="754"/>
      <c r="G144" s="753"/>
      <c r="H144" s="753"/>
      <c r="I144" s="751"/>
      <c r="J144" s="753"/>
      <c r="K144" s="754"/>
      <c r="L144" s="786"/>
      <c r="M144" s="786"/>
      <c r="N144" s="786"/>
      <c r="O144" s="790"/>
      <c r="Q144"/>
    </row>
    <row r="145" spans="1:17">
      <c r="A145" s="753"/>
      <c r="B145" s="753"/>
      <c r="C145" s="786"/>
      <c r="D145" s="751"/>
      <c r="E145" s="753"/>
      <c r="F145" s="754"/>
      <c r="G145" s="753"/>
      <c r="H145" s="753"/>
      <c r="I145" s="751"/>
      <c r="J145" s="753"/>
      <c r="K145" s="754"/>
      <c r="L145" s="753"/>
      <c r="M145" s="753"/>
      <c r="N145" s="753"/>
      <c r="O145" s="790"/>
      <c r="Q145"/>
    </row>
    <row r="146" spans="1:17">
      <c r="A146" s="753"/>
      <c r="B146" s="753"/>
      <c r="C146" s="786"/>
      <c r="D146" s="751"/>
      <c r="E146" s="753"/>
      <c r="F146" s="754"/>
      <c r="G146" s="753"/>
      <c r="H146" s="753"/>
      <c r="I146" s="751"/>
      <c r="J146" s="753"/>
      <c r="K146" s="754"/>
      <c r="L146" s="753"/>
      <c r="M146" s="753"/>
      <c r="N146" s="753"/>
      <c r="O146" s="790"/>
      <c r="Q146"/>
    </row>
    <row r="147" spans="1:17">
      <c r="A147" s="753"/>
      <c r="B147" s="753"/>
      <c r="C147" s="786"/>
      <c r="D147" s="751"/>
      <c r="E147" s="753"/>
      <c r="F147" s="754"/>
      <c r="G147" s="753"/>
      <c r="H147" s="753"/>
      <c r="I147" s="751"/>
      <c r="J147" s="753"/>
      <c r="K147" s="754"/>
      <c r="L147" s="753"/>
      <c r="M147" s="753"/>
      <c r="N147" s="753"/>
      <c r="O147" s="790"/>
      <c r="Q147"/>
    </row>
    <row r="148" spans="1:17">
      <c r="A148" s="753"/>
      <c r="B148" s="753"/>
      <c r="C148" s="786"/>
      <c r="D148" s="751"/>
      <c r="E148" s="753"/>
      <c r="F148" s="754"/>
      <c r="G148" s="753"/>
      <c r="H148" s="753"/>
      <c r="I148" s="751"/>
      <c r="J148" s="753"/>
      <c r="K148" s="754"/>
      <c r="L148" s="753"/>
      <c r="M148" s="753"/>
      <c r="N148" s="753"/>
      <c r="O148" s="790"/>
      <c r="Q148"/>
    </row>
    <row r="149" spans="1:17">
      <c r="A149" s="753"/>
      <c r="B149" s="753"/>
      <c r="C149" s="786"/>
      <c r="D149" s="751"/>
      <c r="E149" s="753"/>
      <c r="F149" s="754"/>
      <c r="G149" s="753"/>
      <c r="H149" s="753"/>
      <c r="I149" s="751"/>
      <c r="J149" s="753"/>
      <c r="K149" s="754"/>
      <c r="L149" s="753"/>
      <c r="M149" s="753"/>
      <c r="N149" s="753"/>
      <c r="O149" s="790"/>
      <c r="Q149"/>
    </row>
    <row r="150" spans="1:17">
      <c r="A150" s="753"/>
      <c r="B150" s="753"/>
      <c r="C150" s="786"/>
      <c r="D150" s="751"/>
      <c r="E150" s="753"/>
      <c r="F150" s="754"/>
      <c r="G150" s="753"/>
      <c r="H150" s="753"/>
      <c r="I150" s="751"/>
      <c r="J150" s="753"/>
      <c r="K150" s="754"/>
      <c r="L150" s="753"/>
      <c r="M150" s="753"/>
      <c r="N150" s="753"/>
      <c r="O150" s="790"/>
      <c r="Q150"/>
    </row>
    <row r="151" spans="1:17">
      <c r="A151" s="753"/>
      <c r="B151" s="753"/>
      <c r="C151" s="786"/>
      <c r="D151" s="751"/>
      <c r="E151" s="753"/>
      <c r="F151" s="754"/>
      <c r="G151" s="753"/>
      <c r="H151" s="753"/>
      <c r="I151" s="751"/>
      <c r="J151" s="753"/>
      <c r="K151" s="754"/>
      <c r="L151" s="753"/>
      <c r="M151" s="753"/>
      <c r="N151" s="753"/>
      <c r="O151" s="790"/>
      <c r="Q151"/>
    </row>
    <row r="152" spans="1:17">
      <c r="A152" s="753"/>
      <c r="B152" s="753"/>
      <c r="C152" s="786"/>
      <c r="D152" s="751"/>
      <c r="E152" s="753"/>
      <c r="F152" s="812" t="s">
        <v>481</v>
      </c>
      <c r="G152" s="813"/>
      <c r="H152" s="813"/>
      <c r="I152" s="813"/>
      <c r="J152" s="812"/>
      <c r="K152" s="803"/>
      <c r="L152" s="804"/>
      <c r="M152" s="804"/>
      <c r="N152" s="804"/>
      <c r="O152" s="805"/>
      <c r="Q152"/>
    </row>
    <row r="153" spans="1:17">
      <c r="A153" s="753"/>
      <c r="B153" s="753"/>
      <c r="C153" s="786"/>
      <c r="D153" s="751"/>
      <c r="E153" s="753"/>
      <c r="F153" s="754"/>
      <c r="G153" s="753"/>
      <c r="H153" s="753"/>
      <c r="I153" s="751"/>
      <c r="J153" s="753"/>
      <c r="K153" s="754"/>
      <c r="L153" s="753"/>
      <c r="M153" s="753"/>
      <c r="N153" s="753"/>
      <c r="O153" s="790"/>
      <c r="Q153"/>
    </row>
    <row r="154" spans="1:17">
      <c r="A154" s="753"/>
      <c r="B154" s="753"/>
      <c r="C154" s="786"/>
      <c r="D154" s="751"/>
      <c r="E154" s="753"/>
      <c r="F154" s="754"/>
      <c r="G154" s="753"/>
      <c r="H154" s="753"/>
      <c r="I154" s="751"/>
      <c r="J154" s="753"/>
      <c r="K154" s="754"/>
      <c r="L154" s="753"/>
      <c r="M154" s="753"/>
      <c r="N154" s="753"/>
      <c r="O154" s="790"/>
      <c r="Q154"/>
    </row>
    <row r="155" spans="1:17">
      <c r="A155" s="753"/>
      <c r="B155" s="753"/>
      <c r="C155" s="786"/>
      <c r="D155" s="751"/>
      <c r="E155" s="753"/>
      <c r="F155" s="754"/>
      <c r="G155" s="753"/>
      <c r="H155" s="753"/>
      <c r="I155" s="751"/>
      <c r="J155" s="753"/>
      <c r="K155" s="754"/>
      <c r="L155" s="753"/>
      <c r="M155" s="753"/>
      <c r="N155" s="753"/>
      <c r="O155" s="790"/>
      <c r="Q155"/>
    </row>
    <row r="156" spans="1:17">
      <c r="A156" s="753"/>
      <c r="B156" s="753"/>
      <c r="C156" s="786"/>
      <c r="D156" s="751"/>
      <c r="E156" s="753"/>
      <c r="F156" s="754"/>
      <c r="G156" s="753"/>
      <c r="H156" s="753"/>
      <c r="I156" s="751"/>
      <c r="J156" s="753"/>
      <c r="K156" s="754"/>
      <c r="L156" s="753"/>
      <c r="M156" s="753"/>
      <c r="N156" s="753"/>
      <c r="O156" s="790"/>
      <c r="Q156"/>
    </row>
    <row r="157" spans="1:17">
      <c r="A157" s="753"/>
      <c r="B157" s="753"/>
      <c r="C157" s="786"/>
      <c r="D157" s="751"/>
      <c r="E157" s="753"/>
      <c r="F157" s="754"/>
      <c r="G157" s="753"/>
      <c r="H157" s="753"/>
      <c r="I157" s="751"/>
      <c r="J157" s="753"/>
      <c r="K157" s="754"/>
      <c r="L157" s="753"/>
      <c r="M157" s="753"/>
      <c r="N157" s="753"/>
      <c r="O157" s="790"/>
      <c r="Q157"/>
    </row>
    <row r="158" spans="1:17">
      <c r="A158" s="753"/>
      <c r="B158" s="753"/>
      <c r="C158" s="786"/>
      <c r="D158" s="751"/>
      <c r="E158" s="753"/>
      <c r="F158" s="754"/>
      <c r="G158" s="753"/>
      <c r="H158" s="753"/>
      <c r="I158" s="751"/>
      <c r="J158" s="753"/>
      <c r="K158" s="754"/>
      <c r="L158" s="753"/>
      <c r="M158" s="753"/>
      <c r="N158" s="753"/>
      <c r="O158" s="790"/>
      <c r="Q158"/>
    </row>
    <row r="159" spans="1:17">
      <c r="A159" s="753"/>
      <c r="B159" s="753"/>
      <c r="C159" s="786"/>
      <c r="D159" s="751"/>
      <c r="E159" s="753"/>
      <c r="F159" s="754"/>
      <c r="G159" s="753"/>
      <c r="H159" s="753"/>
      <c r="I159" s="751"/>
      <c r="J159" s="753"/>
      <c r="K159" s="754"/>
      <c r="L159" s="753"/>
      <c r="M159" s="753"/>
      <c r="N159" s="753"/>
      <c r="O159" s="790"/>
      <c r="Q159"/>
    </row>
    <row r="160" spans="1:17">
      <c r="A160" s="753"/>
      <c r="B160" s="753"/>
      <c r="C160" s="786"/>
      <c r="D160" s="751"/>
      <c r="E160" s="753"/>
      <c r="F160" s="754"/>
      <c r="G160" s="753"/>
      <c r="H160" s="753"/>
      <c r="I160" s="751"/>
      <c r="J160" s="753"/>
      <c r="K160" s="754"/>
      <c r="L160" s="753"/>
      <c r="M160" s="753"/>
      <c r="N160" s="753"/>
      <c r="O160" s="790"/>
      <c r="Q160"/>
    </row>
    <row r="161" spans="1:17">
      <c r="A161" s="753"/>
      <c r="B161" s="753"/>
      <c r="C161" s="786"/>
      <c r="D161" s="751"/>
      <c r="E161" s="753"/>
      <c r="F161" s="754"/>
      <c r="G161" s="753"/>
      <c r="H161" s="753"/>
      <c r="I161" s="751"/>
      <c r="J161" s="753"/>
      <c r="K161" s="754"/>
      <c r="L161" s="753"/>
      <c r="M161" s="753"/>
      <c r="N161" s="753"/>
      <c r="O161" s="790"/>
      <c r="Q161"/>
    </row>
    <row r="162" spans="1:17">
      <c r="A162" s="753"/>
      <c r="B162" s="753"/>
      <c r="C162" s="786"/>
      <c r="D162" s="751"/>
      <c r="E162" s="753"/>
      <c r="F162" s="754"/>
      <c r="G162" s="753"/>
      <c r="H162" s="753"/>
      <c r="I162" s="751"/>
      <c r="J162" s="753"/>
      <c r="K162" s="754"/>
      <c r="L162" s="753"/>
      <c r="M162" s="753"/>
      <c r="N162" s="753"/>
      <c r="O162" s="790"/>
      <c r="Q162"/>
    </row>
    <row r="163" spans="1:17">
      <c r="A163" s="753"/>
      <c r="B163" s="753"/>
      <c r="C163" s="786"/>
      <c r="D163" s="751"/>
      <c r="E163" s="753"/>
      <c r="F163" s="754"/>
      <c r="G163" s="753"/>
      <c r="H163" s="753"/>
      <c r="I163" s="751"/>
      <c r="J163" s="753"/>
      <c r="K163" s="754"/>
      <c r="L163" s="753"/>
      <c r="M163" s="753"/>
      <c r="N163" s="753"/>
      <c r="O163" s="790"/>
      <c r="Q163"/>
    </row>
    <row r="164" spans="1:17">
      <c r="A164" s="753"/>
      <c r="B164" s="753"/>
      <c r="C164" s="786"/>
      <c r="D164" s="751"/>
      <c r="E164" s="753"/>
      <c r="F164" s="754"/>
      <c r="G164" s="753"/>
      <c r="H164" s="753"/>
      <c r="I164" s="751"/>
      <c r="J164" s="753"/>
      <c r="K164" s="754"/>
      <c r="L164" s="753"/>
      <c r="M164" s="753"/>
      <c r="N164" s="753"/>
      <c r="O164" s="790"/>
      <c r="Q164"/>
    </row>
    <row r="165" spans="1:17">
      <c r="A165" s="753"/>
      <c r="B165" s="753"/>
      <c r="C165" s="786"/>
      <c r="D165" s="751"/>
      <c r="E165" s="753"/>
      <c r="F165" s="754"/>
      <c r="G165" s="753"/>
      <c r="H165" s="753"/>
      <c r="I165" s="751"/>
      <c r="J165" s="753"/>
      <c r="K165" s="754"/>
      <c r="L165" s="753"/>
      <c r="M165" s="753"/>
      <c r="N165" s="753"/>
      <c r="O165" s="790"/>
      <c r="Q165"/>
    </row>
    <row r="166" spans="1:17">
      <c r="A166" s="753"/>
      <c r="B166" s="753"/>
      <c r="C166" s="786"/>
      <c r="D166" s="751"/>
      <c r="E166" s="753"/>
      <c r="F166" s="754"/>
      <c r="G166" s="753"/>
      <c r="H166" s="753"/>
      <c r="I166" s="751"/>
      <c r="J166" s="753"/>
      <c r="K166" s="754"/>
      <c r="L166" s="753"/>
      <c r="M166" s="753"/>
      <c r="N166" s="753"/>
      <c r="O166" s="790"/>
      <c r="Q166"/>
    </row>
    <row r="167" spans="1:17">
      <c r="A167" s="753"/>
      <c r="B167" s="753"/>
      <c r="C167" s="786"/>
      <c r="D167" s="751"/>
      <c r="E167" s="753"/>
      <c r="F167" s="754"/>
      <c r="G167" s="753"/>
      <c r="H167" s="753"/>
      <c r="I167" s="751"/>
      <c r="J167" s="753"/>
      <c r="K167" s="754"/>
      <c r="L167" s="753"/>
      <c r="M167" s="753"/>
      <c r="N167" s="753"/>
      <c r="O167" s="790"/>
      <c r="Q167"/>
    </row>
    <row r="168" spans="1:17">
      <c r="A168" s="753"/>
      <c r="B168" s="753"/>
      <c r="C168" s="786"/>
      <c r="D168" s="751"/>
      <c r="E168" s="753"/>
      <c r="F168" s="754"/>
      <c r="G168" s="753"/>
      <c r="H168" s="753"/>
      <c r="I168" s="751"/>
      <c r="J168" s="753"/>
      <c r="K168" s="754"/>
      <c r="L168" s="753"/>
      <c r="M168" s="753"/>
      <c r="N168" s="753"/>
      <c r="O168" s="790"/>
      <c r="Q168"/>
    </row>
    <row r="169" spans="1:17">
      <c r="A169" s="753"/>
      <c r="B169" s="753"/>
      <c r="C169" s="786"/>
      <c r="D169" s="751"/>
      <c r="E169" s="753"/>
      <c r="F169" s="754"/>
      <c r="G169" s="753"/>
      <c r="H169" s="753"/>
      <c r="I169" s="751"/>
      <c r="J169" s="753"/>
      <c r="K169" s="754"/>
      <c r="L169" s="753"/>
      <c r="M169" s="753"/>
      <c r="N169" s="753"/>
      <c r="O169" s="790"/>
      <c r="Q169"/>
    </row>
    <row r="170" spans="1:17">
      <c r="A170" s="120"/>
      <c r="B170" s="54"/>
      <c r="C170" s="356"/>
      <c r="D170" s="76"/>
      <c r="E170" s="753"/>
      <c r="F170" s="120" t="str">
        <f t="shared" ref="F170" si="66">IF(A170="","",A170)</f>
        <v/>
      </c>
      <c r="G170" s="54"/>
      <c r="H170" s="51"/>
      <c r="I170" s="51"/>
      <c r="J170" s="144"/>
      <c r="K170" s="120"/>
      <c r="L170" s="54"/>
      <c r="M170" s="136"/>
      <c r="N170" s="136"/>
      <c r="O170" s="136"/>
      <c r="Q170"/>
    </row>
    <row r="171" spans="1:17">
      <c r="A171" s="812" t="s">
        <v>262</v>
      </c>
      <c r="B171" s="813"/>
      <c r="C171" s="813"/>
      <c r="D171" s="813"/>
      <c r="E171" s="802"/>
      <c r="F171" s="806" t="s">
        <v>477</v>
      </c>
      <c r="G171" s="807"/>
      <c r="H171" s="806" t="s">
        <v>478</v>
      </c>
      <c r="I171" s="807"/>
      <c r="J171" s="807"/>
      <c r="K171" s="806" t="s">
        <v>479</v>
      </c>
      <c r="L171" s="807"/>
      <c r="M171" s="807"/>
      <c r="N171" s="806"/>
      <c r="O171" s="807"/>
    </row>
    <row r="172" spans="1:17">
      <c r="A172" s="273"/>
      <c r="B172" s="120"/>
      <c r="C172" s="120"/>
      <c r="D172" s="120"/>
      <c r="E172" s="754"/>
      <c r="F172" s="808"/>
      <c r="G172" s="808"/>
      <c r="H172" s="808"/>
      <c r="I172" s="808"/>
      <c r="J172" s="808"/>
      <c r="K172" s="808"/>
      <c r="L172" s="808"/>
      <c r="M172" s="808"/>
      <c r="N172" s="808"/>
      <c r="O172" s="808"/>
    </row>
    <row r="173" spans="1:17">
      <c r="A173" s="751"/>
      <c r="B173" s="786"/>
      <c r="C173" s="751"/>
      <c r="D173" s="751"/>
      <c r="E173" s="786"/>
      <c r="F173" s="753"/>
      <c r="G173" s="754"/>
      <c r="H173" s="786"/>
      <c r="I173" s="786"/>
      <c r="J173" s="757"/>
      <c r="K173" s="751"/>
      <c r="L173" s="786"/>
      <c r="M173" s="786"/>
      <c r="N173" s="786"/>
    </row>
    <row r="174" spans="1:17">
      <c r="A174" s="751"/>
      <c r="B174" s="788"/>
      <c r="C174" s="788"/>
      <c r="D174" s="788"/>
      <c r="E174" s="800"/>
      <c r="F174" s="754"/>
      <c r="G174" s="753"/>
      <c r="H174" s="751"/>
      <c r="I174" s="751"/>
      <c r="J174" s="792"/>
      <c r="K174" s="793"/>
      <c r="L174" s="786"/>
      <c r="M174" s="751"/>
      <c r="N174" s="751"/>
    </row>
    <row r="175" spans="1:17">
      <c r="A175" s="793"/>
      <c r="B175" s="753"/>
      <c r="C175" s="786"/>
      <c r="D175" s="801"/>
      <c r="E175" s="751"/>
      <c r="F175" s="754"/>
      <c r="G175" s="753"/>
      <c r="H175" s="794"/>
      <c r="I175" s="751"/>
      <c r="J175" s="790"/>
      <c r="K175" s="793"/>
      <c r="L175" s="786"/>
      <c r="M175" s="794"/>
      <c r="N175" s="751"/>
    </row>
    <row r="176" spans="1:17">
      <c r="A176" s="793"/>
      <c r="B176" s="753"/>
      <c r="C176" s="786"/>
      <c r="D176" s="801"/>
      <c r="E176" s="751"/>
      <c r="F176" s="754"/>
      <c r="G176" s="753"/>
      <c r="H176" s="794"/>
      <c r="I176" s="751"/>
      <c r="J176" s="757"/>
      <c r="K176" s="793"/>
      <c r="L176" s="786"/>
      <c r="M176" s="794"/>
      <c r="N176" s="751"/>
    </row>
    <row r="177" spans="1:21">
      <c r="A177" s="793"/>
      <c r="B177" s="753"/>
      <c r="C177" s="786"/>
      <c r="D177" s="801"/>
      <c r="E177" s="751"/>
      <c r="F177" s="754"/>
      <c r="G177" s="753"/>
      <c r="H177" s="794"/>
      <c r="I177" s="751"/>
      <c r="J177" s="757"/>
      <c r="K177" s="793"/>
      <c r="L177" s="786"/>
      <c r="M177" s="794"/>
      <c r="N177" s="751"/>
    </row>
    <row r="178" spans="1:21">
      <c r="A178" s="793"/>
      <c r="B178" s="753"/>
      <c r="C178" s="786"/>
      <c r="D178" s="801"/>
      <c r="E178" s="751"/>
      <c r="F178" s="754"/>
      <c r="G178" s="754"/>
      <c r="H178" s="794"/>
      <c r="I178" s="751"/>
      <c r="J178" s="757"/>
      <c r="K178" s="793"/>
      <c r="L178" s="786"/>
      <c r="M178" s="794"/>
      <c r="N178" s="751"/>
    </row>
    <row r="179" spans="1:21">
      <c r="A179" s="793"/>
      <c r="B179" s="753"/>
      <c r="C179" s="786"/>
      <c r="D179" s="801"/>
      <c r="E179" s="751"/>
      <c r="F179" s="754"/>
      <c r="G179" s="754"/>
      <c r="H179" s="794"/>
      <c r="I179" s="794"/>
      <c r="J179" s="757"/>
      <c r="K179" s="793"/>
      <c r="L179" s="786"/>
      <c r="M179" s="794"/>
      <c r="N179" s="794"/>
    </row>
    <row r="180" spans="1:21">
      <c r="A180" s="793"/>
      <c r="B180" s="753"/>
      <c r="C180" s="786"/>
      <c r="D180" s="801"/>
      <c r="E180" s="751"/>
      <c r="F180" s="754"/>
      <c r="G180" s="754"/>
      <c r="H180" s="794"/>
      <c r="I180" s="751"/>
      <c r="J180" s="757"/>
      <c r="K180" s="793"/>
      <c r="L180" s="786"/>
      <c r="M180" s="794"/>
      <c r="N180" s="751"/>
    </row>
    <row r="181" spans="1:21">
      <c r="A181" s="120"/>
      <c r="B181" s="76"/>
      <c r="C181" s="136"/>
      <c r="D181" s="136"/>
      <c r="E181" s="757"/>
      <c r="F181" s="120"/>
      <c r="G181" s="120"/>
      <c r="H181" s="120"/>
      <c r="I181" s="120"/>
      <c r="J181" s="120"/>
      <c r="K181" s="120"/>
      <c r="L181" s="76"/>
      <c r="M181" s="136"/>
      <c r="N181" s="136"/>
    </row>
    <row r="182" spans="1:21">
      <c r="E182" s="802"/>
    </row>
    <row r="183" spans="1:21">
      <c r="A183" s="120"/>
      <c r="B183" s="76"/>
      <c r="C183" s="136"/>
      <c r="D183" s="136"/>
      <c r="E183" s="757"/>
      <c r="F183" s="120"/>
      <c r="G183" s="120"/>
      <c r="H183" s="120"/>
      <c r="I183" s="120"/>
      <c r="J183" s="120"/>
      <c r="K183" s="120"/>
      <c r="L183" s="76"/>
      <c r="M183" s="136"/>
      <c r="N183" s="136"/>
    </row>
    <row r="184" spans="1:21">
      <c r="A184" s="796"/>
      <c r="B184" s="751"/>
      <c r="C184" s="771"/>
      <c r="D184" s="794"/>
      <c r="E184" s="786"/>
      <c r="F184" s="754"/>
      <c r="G184" s="754"/>
      <c r="H184" s="786"/>
      <c r="I184" s="786"/>
      <c r="J184" s="754"/>
      <c r="K184" s="754"/>
      <c r="L184" s="751"/>
      <c r="M184" s="786"/>
      <c r="N184" s="786"/>
    </row>
    <row r="185" spans="1:21">
      <c r="A185" s="796"/>
      <c r="B185" s="751"/>
      <c r="C185" s="757"/>
      <c r="D185" s="797"/>
      <c r="E185" s="751"/>
      <c r="F185" s="754"/>
      <c r="G185" s="754"/>
      <c r="H185" s="751"/>
      <c r="I185" s="751"/>
      <c r="J185" s="754"/>
      <c r="K185" s="754"/>
      <c r="L185" s="751"/>
      <c r="M185" s="751"/>
      <c r="N185" s="751"/>
    </row>
    <row r="186" spans="1:21">
      <c r="A186" s="798"/>
      <c r="B186" s="753"/>
      <c r="C186" s="753"/>
      <c r="D186" s="753"/>
      <c r="E186" s="753"/>
      <c r="F186" s="754"/>
      <c r="G186" s="754"/>
      <c r="H186" s="795"/>
      <c r="I186" s="751"/>
      <c r="J186" s="754"/>
      <c r="K186" s="754"/>
      <c r="L186" s="751"/>
      <c r="M186" s="795"/>
      <c r="N186" s="751"/>
    </row>
    <row r="187" spans="1:21">
      <c r="A187" s="753"/>
      <c r="B187" s="751"/>
      <c r="C187" s="757"/>
      <c r="D187" s="757"/>
      <c r="E187" s="757"/>
      <c r="F187" s="754"/>
      <c r="G187" s="754"/>
      <c r="H187" s="795"/>
      <c r="I187" s="751"/>
      <c r="J187" s="754"/>
      <c r="K187" s="754"/>
      <c r="L187" s="751"/>
      <c r="M187" s="795"/>
      <c r="N187" s="751"/>
    </row>
    <row r="188" spans="1:21">
      <c r="A188" s="796"/>
      <c r="B188" s="753"/>
      <c r="C188" s="753"/>
      <c r="D188" s="757"/>
      <c r="E188" s="757"/>
      <c r="F188" s="754"/>
      <c r="G188" s="754"/>
      <c r="H188" s="795"/>
      <c r="I188" s="751"/>
      <c r="J188" s="754"/>
      <c r="K188" s="754"/>
      <c r="L188" s="751"/>
      <c r="M188" s="795"/>
      <c r="N188" s="751"/>
    </row>
    <row r="189" spans="1:21">
      <c r="A189" s="799"/>
      <c r="B189" s="753"/>
      <c r="C189" s="757"/>
      <c r="D189" s="797"/>
      <c r="E189" s="757"/>
      <c r="F189" s="754"/>
      <c r="G189" s="754"/>
      <c r="H189" s="795"/>
      <c r="I189" s="751"/>
      <c r="J189" s="754"/>
      <c r="K189" s="754"/>
      <c r="L189" s="751"/>
      <c r="M189" s="795"/>
      <c r="N189" s="751"/>
    </row>
    <row r="190" spans="1:21">
      <c r="A190" s="799"/>
      <c r="B190" s="753"/>
      <c r="C190" s="757"/>
      <c r="D190" s="797"/>
      <c r="E190" s="757"/>
      <c r="F190" s="754"/>
      <c r="G190" s="754"/>
      <c r="H190" s="795"/>
      <c r="I190" s="751"/>
      <c r="J190" s="754"/>
      <c r="K190" s="754"/>
      <c r="L190" s="751"/>
      <c r="M190" s="795"/>
      <c r="N190" s="751"/>
    </row>
    <row r="191" spans="1:21">
      <c r="A191" s="799"/>
      <c r="B191" s="753"/>
      <c r="C191" s="757"/>
      <c r="D191" s="797"/>
      <c r="E191" s="757"/>
      <c r="F191" s="754"/>
      <c r="G191" s="751"/>
      <c r="H191" s="795"/>
      <c r="I191" s="751"/>
      <c r="J191" s="84"/>
    </row>
    <row r="192" spans="1:21">
      <c r="A192" s="802"/>
      <c r="B192" s="802"/>
      <c r="C192" s="811"/>
      <c r="D192" s="811"/>
      <c r="E192" s="753"/>
      <c r="F192" s="753"/>
      <c r="G192" s="753"/>
      <c r="H192" s="753"/>
      <c r="I192" s="753"/>
      <c r="Q192" s="753"/>
      <c r="R192" s="753"/>
      <c r="S192" s="753"/>
      <c r="T192" s="753"/>
      <c r="U192" s="753"/>
    </row>
    <row r="193" spans="17:17">
      <c r="Q193"/>
    </row>
    <row r="194" spans="17:17">
      <c r="Q194"/>
    </row>
    <row r="195" spans="17:17">
      <c r="Q195"/>
    </row>
    <row r="196" spans="17:17">
      <c r="Q196"/>
    </row>
    <row r="197" spans="17:17">
      <c r="Q197"/>
    </row>
    <row r="198" spans="17:17">
      <c r="Q198"/>
    </row>
    <row r="199" spans="17:17">
      <c r="Q199"/>
    </row>
    <row r="200" spans="17:17">
      <c r="Q200"/>
    </row>
  </sheetData>
  <phoneticPr fontId="0" type="noConversion"/>
  <conditionalFormatting sqref="C22:C31">
    <cfRule type="cellIs" dxfId="21" priority="12" stopIfTrue="1" operator="notBetween">
      <formula>S22</formula>
      <formula>T22</formula>
    </cfRule>
  </conditionalFormatting>
  <conditionalFormatting sqref="N22:N28">
    <cfRule type="cellIs" dxfId="20" priority="14" stopIfTrue="1" operator="notBetween">
      <formula>0</formula>
      <formula>AH22</formula>
    </cfRule>
  </conditionalFormatting>
  <conditionalFormatting sqref="H11:H14">
    <cfRule type="cellIs" dxfId="19" priority="15" stopIfTrue="1" operator="notBetween">
      <formula>AD11</formula>
      <formula>AE11</formula>
    </cfRule>
  </conditionalFormatting>
  <conditionalFormatting sqref="H9:H10">
    <cfRule type="cellIs" dxfId="18" priority="16" stopIfTrue="1" operator="notBetween">
      <formula>0</formula>
      <formula>AE9</formula>
    </cfRule>
  </conditionalFormatting>
  <conditionalFormatting sqref="AJ118 AJ43">
    <cfRule type="cellIs" dxfId="17" priority="17" stopIfTrue="1" operator="greaterThan">
      <formula>#REF!</formula>
    </cfRule>
    <cfRule type="cellIs" dxfId="16" priority="18" stopIfTrue="1" operator="lessThan">
      <formula>0</formula>
    </cfRule>
  </conditionalFormatting>
  <conditionalFormatting sqref="C38:C43">
    <cfRule type="cellIs" dxfId="15" priority="19" stopIfTrue="1" operator="notBetween">
      <formula>$S$37</formula>
      <formula>$T$37</formula>
    </cfRule>
  </conditionalFormatting>
  <conditionalFormatting sqref="H38:H43">
    <cfRule type="cellIs" dxfId="14" priority="20" stopIfTrue="1" operator="notBetween">
      <formula>$AC$37</formula>
      <formula>$AD$37</formula>
    </cfRule>
  </conditionalFormatting>
  <conditionalFormatting sqref="N38:N43">
    <cfRule type="cellIs" dxfId="13" priority="21" stopIfTrue="1" operator="notBetween">
      <formula>0</formula>
      <formula>$AJ$37</formula>
    </cfRule>
  </conditionalFormatting>
  <conditionalFormatting sqref="K56:K57 K16:K17 K93">
    <cfRule type="cellIs" dxfId="12" priority="24" stopIfTrue="1" operator="greaterThan">
      <formula>#REF!</formula>
    </cfRule>
  </conditionalFormatting>
  <conditionalFormatting sqref="L10:N10 L12">
    <cfRule type="cellIs" dxfId="11" priority="25" stopIfTrue="1" operator="greaterThan">
      <formula>0.05</formula>
    </cfRule>
  </conditionalFormatting>
  <conditionalFormatting sqref="L11:N11">
    <cfRule type="cellIs" dxfId="10" priority="26" stopIfTrue="1" operator="greaterThan">
      <formula>0.1</formula>
    </cfRule>
  </conditionalFormatting>
  <conditionalFormatting sqref="A94:O94">
    <cfRule type="expression" dxfId="9" priority="28" stopIfTrue="1">
      <formula>$O$93&lt;&gt;"y"</formula>
    </cfRule>
  </conditionalFormatting>
  <conditionalFormatting sqref="A95:O124 A134:O151 F191:J191 F183:N190 A172:E181 A183:E191 E182 A192:D192 F173:N181 G172:H172 J172:N172 A125:J129 K125:O128">
    <cfRule type="expression" dxfId="8" priority="10" stopIfTrue="1">
      <formula>$O$93&lt;&gt;"y"</formula>
    </cfRule>
    <cfRule type="expression" dxfId="7" priority="29" stopIfTrue="1">
      <formula>"y"</formula>
    </cfRule>
  </conditionalFormatting>
  <conditionalFormatting sqref="A58:O91">
    <cfRule type="expression" dxfId="6" priority="11" stopIfTrue="1">
      <formula>$O$56&lt;&gt;2</formula>
    </cfRule>
  </conditionalFormatting>
  <conditionalFormatting sqref="K131">
    <cfRule type="cellIs" dxfId="5" priority="7" stopIfTrue="1" operator="greaterThan">
      <formula>#REF!</formula>
    </cfRule>
  </conditionalFormatting>
  <conditionalFormatting sqref="A132:O132">
    <cfRule type="expression" dxfId="4" priority="8" stopIfTrue="1">
      <formula>$O$93&lt;&gt;"y"</formula>
    </cfRule>
  </conditionalFormatting>
  <conditionalFormatting sqref="A153:O170 A152:E152">
    <cfRule type="expression" dxfId="3" priority="6" stopIfTrue="1">
      <formula>$O$93&lt;&gt;"y"</formula>
    </cfRule>
    <cfRule type="expression" dxfId="2" priority="9" stopIfTrue="1">
      <formula>"y"</formula>
    </cfRule>
  </conditionalFormatting>
  <conditionalFormatting sqref="K129:O129">
    <cfRule type="expression" dxfId="1" priority="2" stopIfTrue="1">
      <formula>$O$93&lt;&gt;"y"</formula>
    </cfRule>
    <cfRule type="expression" dxfId="0" priority="3" stopIfTrue="1">
      <formula>"y"</formula>
    </cfRule>
  </conditionalFormatting>
  <pageMargins left="0.74803149606299213" right="0.74803149606299213" top="0.73" bottom="0.51" header="0.78" footer="0.76"/>
  <pageSetup paperSize="9" scale="55" fitToHeight="2" orientation="portrait" r:id="rId1"/>
  <headerFooter alignWithMargins="0"/>
  <rowBreaks count="1" manualBreakCount="1">
    <brk id="92" max="1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64"/>
  <sheetViews>
    <sheetView workbookViewId="0"/>
  </sheetViews>
  <sheetFormatPr defaultRowHeight="12.75"/>
  <cols>
    <col min="1" max="1" width="9.140625" style="5"/>
    <col min="2" max="2" width="17.5703125" style="5" customWidth="1"/>
    <col min="3" max="3" width="12.42578125" style="5" bestFit="1" customWidth="1"/>
    <col min="4" max="4" width="11" style="5" bestFit="1" customWidth="1"/>
    <col min="5" max="7" width="9.140625" style="5"/>
    <col min="8" max="8" width="12.5703125" style="5" bestFit="1" customWidth="1"/>
    <col min="9" max="16384" width="9.140625" style="5"/>
  </cols>
  <sheetData>
    <row r="1" spans="1:12" s="2" customFormat="1" ht="20.25">
      <c r="F1" s="2" t="s">
        <v>4</v>
      </c>
    </row>
    <row r="2" spans="1:12" s="4" customFormat="1" ht="18.75" thickBot="1">
      <c r="A2" s="1" t="s">
        <v>0</v>
      </c>
      <c r="B2" s="3"/>
      <c r="C2" s="3"/>
      <c r="D2" s="3"/>
      <c r="E2" s="3"/>
      <c r="F2" s="3"/>
      <c r="G2" s="3"/>
      <c r="H2" s="3"/>
      <c r="I2" s="3"/>
    </row>
    <row r="5" spans="1:12">
      <c r="C5" s="15" t="s">
        <v>5</v>
      </c>
      <c r="D5" s="5" t="s">
        <v>6</v>
      </c>
      <c r="E5" s="15" t="s">
        <v>7</v>
      </c>
      <c r="F5" s="15" t="s">
        <v>8</v>
      </c>
    </row>
    <row r="6" spans="1:12">
      <c r="B6" s="5">
        <v>1</v>
      </c>
      <c r="C6" s="5" t="s">
        <v>9</v>
      </c>
      <c r="D6" s="16" t="s">
        <v>10</v>
      </c>
      <c r="E6" s="5">
        <v>6.0400000000000002E-2</v>
      </c>
      <c r="F6" s="5">
        <v>3.27</v>
      </c>
    </row>
    <row r="7" spans="1:12">
      <c r="B7" s="5">
        <v>2</v>
      </c>
      <c r="C7" s="5" t="s">
        <v>9</v>
      </c>
      <c r="D7" s="5" t="s">
        <v>11</v>
      </c>
      <c r="E7" s="5">
        <v>0.78</v>
      </c>
      <c r="F7" s="5">
        <v>3.5</v>
      </c>
    </row>
    <row r="8" spans="1:12">
      <c r="B8" s="5">
        <v>3</v>
      </c>
      <c r="C8" s="5" t="s">
        <v>12</v>
      </c>
      <c r="D8" s="16" t="s">
        <v>10</v>
      </c>
      <c r="E8" s="5">
        <v>0.26600000000000001</v>
      </c>
      <c r="F8" s="5">
        <v>3.24</v>
      </c>
    </row>
    <row r="9" spans="1:12">
      <c r="B9" s="5">
        <v>4</v>
      </c>
      <c r="C9" s="5" t="s">
        <v>12</v>
      </c>
      <c r="D9" s="5" t="s">
        <v>11</v>
      </c>
      <c r="E9" s="5">
        <v>0.33600000000000002</v>
      </c>
      <c r="F9" s="5">
        <v>2.04</v>
      </c>
    </row>
    <row r="11" spans="1:12">
      <c r="C11" s="5" t="s">
        <v>13</v>
      </c>
    </row>
    <row r="13" spans="1:12">
      <c r="B13" s="5" t="s">
        <v>14</v>
      </c>
      <c r="F13" s="16"/>
    </row>
    <row r="14" spans="1:12">
      <c r="D14" s="5" t="s">
        <v>15</v>
      </c>
      <c r="H14" s="5" t="s">
        <v>16</v>
      </c>
      <c r="L14" s="5" t="s">
        <v>17</v>
      </c>
    </row>
    <row r="15" spans="1:12">
      <c r="C15" s="5" t="s">
        <v>18</v>
      </c>
      <c r="D15" s="5">
        <v>1</v>
      </c>
      <c r="E15" s="5">
        <v>2</v>
      </c>
      <c r="F15" s="15">
        <v>3</v>
      </c>
      <c r="G15" s="5">
        <v>4</v>
      </c>
      <c r="H15" s="5">
        <v>1</v>
      </c>
      <c r="I15" s="5">
        <v>2</v>
      </c>
      <c r="J15" s="5">
        <v>3</v>
      </c>
      <c r="K15" s="5">
        <v>4</v>
      </c>
      <c r="L15" s="20" t="e">
        <f>IF(#REF!=0,IF(#REF!=0,1,2),IF(#REF!=0,3,4))</f>
        <v>#REF!</v>
      </c>
    </row>
    <row r="16" spans="1:12">
      <c r="B16" s="5">
        <v>1</v>
      </c>
      <c r="C16" s="5" t="e">
        <f>C29*100</f>
        <v>#REF!</v>
      </c>
      <c r="D16" s="17" t="e">
        <f>C16/100</f>
        <v>#REF!</v>
      </c>
      <c r="E16" s="17" t="e">
        <f>1-2/PI()*(ACOS(C16/100)-SQRT(1-(C16/100)^2)*(C16/100))</f>
        <v>#REF!</v>
      </c>
      <c r="F16" s="17" t="e">
        <f>1-SIN((1-C16/100)*$F$22*PI()/180)/SIN($F$22*PI()/180)</f>
        <v>#REF!</v>
      </c>
      <c r="G16" s="17" t="e">
        <f>F16</f>
        <v>#REF!</v>
      </c>
      <c r="H16" s="17" t="e">
        <f>$E$6+$F$6*(1/D16-1)^2</f>
        <v>#REF!</v>
      </c>
      <c r="I16" s="17" t="e">
        <f>$E$7+$F$7*(1/E16-1)^2</f>
        <v>#REF!</v>
      </c>
      <c r="J16" s="17" t="e">
        <f>$E$8+$F$8*(1/F16-1)^2</f>
        <v>#REF!</v>
      </c>
      <c r="K16" s="17" t="e">
        <f>$E$9+$F$9*(1/F16-1)^2</f>
        <v>#REF!</v>
      </c>
      <c r="L16" s="17" t="e">
        <f>HLOOKUP($L$15,$H$15:$K$25,B16+1)</f>
        <v>#REF!</v>
      </c>
    </row>
    <row r="17" spans="2:12">
      <c r="B17" s="5">
        <v>2</v>
      </c>
      <c r="C17" s="5">
        <v>100</v>
      </c>
      <c r="D17" s="17">
        <f>C17/100</f>
        <v>1</v>
      </c>
      <c r="E17" s="17">
        <f>1-2/PI()*(ACOS(C17/100)-SQRT(1-(C17/100)^2)*(C17/100))</f>
        <v>1</v>
      </c>
      <c r="F17" s="17" t="e">
        <f>1-SIN((1-C17/100)*$F$22*PI()/180)/SIN($F$22*PI()/180)</f>
        <v>#REF!</v>
      </c>
      <c r="G17" s="17" t="e">
        <f>F17</f>
        <v>#REF!</v>
      </c>
      <c r="H17" s="17">
        <f>$E$6+$F$6*(1/D17-1)^2</f>
        <v>6.0400000000000002E-2</v>
      </c>
      <c r="I17" s="17">
        <f>$E$7+$F$7*(1/E17-1)^2</f>
        <v>0.78</v>
      </c>
      <c r="J17" s="17" t="e">
        <f>$E$8+$F$8*(1/F17-1)^2</f>
        <v>#REF!</v>
      </c>
      <c r="K17" s="17" t="e">
        <f>$E$9+$F$9*(1/F17-1)^2</f>
        <v>#REF!</v>
      </c>
      <c r="L17" s="17" t="e">
        <f>HLOOKUP($L$15,$H$15:$K$25,B17+1)</f>
        <v>#REF!</v>
      </c>
    </row>
    <row r="18" spans="2:12">
      <c r="B18" s="5">
        <v>3</v>
      </c>
      <c r="C18" s="5" t="e">
        <f>C52*100</f>
        <v>#REF!</v>
      </c>
      <c r="D18" s="17" t="e">
        <f>C18/100</f>
        <v>#REF!</v>
      </c>
      <c r="E18" s="17" t="e">
        <f>1-2/PI()*(ACOS(C18/100)-SQRT(1-(C18/100)^2)*(C18/100))</f>
        <v>#REF!</v>
      </c>
      <c r="F18" s="17" t="e">
        <f>1-SIN((1-C18/100)*$F$22*PI()/180)/SIN($F$22*PI()/180)</f>
        <v>#REF!</v>
      </c>
      <c r="G18" s="17" t="e">
        <f>F18</f>
        <v>#REF!</v>
      </c>
      <c r="H18" s="17" t="e">
        <f>$E$6+$F$6*(1/D18-1)^2</f>
        <v>#REF!</v>
      </c>
      <c r="I18" s="17" t="e">
        <f>$E$7+$F$7*(1/E18-1)^2</f>
        <v>#REF!</v>
      </c>
      <c r="J18" s="17" t="e">
        <f>$E$8+$F$8*(1/F18-1)^2</f>
        <v>#REF!</v>
      </c>
      <c r="K18" s="17" t="e">
        <f>$E$9+$F$9*(1/F18-1)^2</f>
        <v>#REF!</v>
      </c>
      <c r="L18" s="17" t="e">
        <f>HLOOKUP($L$15,$H$15:$K$25,B18+1)</f>
        <v>#REF!</v>
      </c>
    </row>
    <row r="19" spans="2:12">
      <c r="B19" s="5">
        <v>4</v>
      </c>
      <c r="C19" s="5" t="e">
        <f>C59*100</f>
        <v>#REF!</v>
      </c>
      <c r="D19" s="17" t="e">
        <f>C19/100</f>
        <v>#REF!</v>
      </c>
      <c r="E19" s="17" t="e">
        <f>1-2/PI()*(ACOS(C19/100)-SQRT(1-(C19/100)^2)*(C19/100))</f>
        <v>#REF!</v>
      </c>
      <c r="F19" s="17" t="e">
        <f>1-SIN((1-C19/100)*$F$22*PI()/180)/SIN($F$22*PI()/180)</f>
        <v>#REF!</v>
      </c>
      <c r="G19" s="17" t="e">
        <f>F19</f>
        <v>#REF!</v>
      </c>
      <c r="H19" s="17" t="e">
        <f>$E$6+$F$6*(1/D19-1)^2</f>
        <v>#REF!</v>
      </c>
      <c r="I19" s="17" t="e">
        <f>$E$7+$F$7*(1/E19-1)^2</f>
        <v>#REF!</v>
      </c>
      <c r="J19" s="17" t="e">
        <f>$E$8+$F$8*(1/F19-1)^2</f>
        <v>#REF!</v>
      </c>
      <c r="K19" s="17" t="e">
        <f>$E$9+$F$9*(1/F19-1)^2</f>
        <v>#REF!</v>
      </c>
      <c r="L19" s="17" t="e">
        <f>HLOOKUP($L$15,$H$15:$K$25,B19+1)</f>
        <v>#REF!</v>
      </c>
    </row>
    <row r="20" spans="2:12">
      <c r="D20" s="17"/>
      <c r="E20" s="17"/>
      <c r="F20" s="17"/>
      <c r="G20" s="17"/>
      <c r="H20" s="17"/>
      <c r="I20" s="17"/>
      <c r="J20" s="17"/>
      <c r="K20" s="17"/>
      <c r="L20" s="17"/>
    </row>
    <row r="21" spans="2:12">
      <c r="D21" s="17"/>
      <c r="E21" s="17"/>
      <c r="F21" s="17" t="s">
        <v>31</v>
      </c>
      <c r="G21" s="17"/>
      <c r="H21" s="17"/>
      <c r="I21" s="17"/>
      <c r="J21" s="17"/>
      <c r="K21" s="17"/>
      <c r="L21" s="17"/>
    </row>
    <row r="22" spans="2:12">
      <c r="D22" s="17"/>
      <c r="E22" s="17"/>
      <c r="F22" s="17" t="e">
        <f>#REF!</f>
        <v>#REF!</v>
      </c>
      <c r="G22" s="17" t="s">
        <v>41</v>
      </c>
      <c r="H22" s="17"/>
      <c r="I22" s="17"/>
      <c r="J22" s="17"/>
      <c r="K22" s="17"/>
      <c r="L22" s="17"/>
    </row>
    <row r="23" spans="2:12">
      <c r="D23" s="17"/>
      <c r="E23" s="17"/>
      <c r="F23" s="17" t="e">
        <f>F22/180*PI()</f>
        <v>#REF!</v>
      </c>
      <c r="G23" s="17" t="s">
        <v>42</v>
      </c>
      <c r="H23" s="17"/>
      <c r="I23" s="17"/>
      <c r="J23" s="17"/>
      <c r="K23" s="17"/>
      <c r="L23" s="17"/>
    </row>
    <row r="24" spans="2:12">
      <c r="D24" s="17"/>
      <c r="E24" s="17"/>
      <c r="F24" s="17"/>
      <c r="G24" s="17"/>
      <c r="H24" s="17"/>
      <c r="I24" s="17"/>
      <c r="J24" s="17"/>
      <c r="K24" s="17"/>
      <c r="L24" s="17"/>
    </row>
    <row r="25" spans="2:12">
      <c r="D25" s="17"/>
      <c r="E25" s="17"/>
      <c r="F25" s="17"/>
      <c r="G25" s="17"/>
      <c r="H25" s="17"/>
      <c r="I25" s="17"/>
      <c r="J25" s="17"/>
      <c r="K25" s="17"/>
      <c r="L25" s="17"/>
    </row>
    <row r="26" spans="2:12">
      <c r="D26" s="17"/>
      <c r="E26" s="17"/>
      <c r="F26" s="17"/>
      <c r="G26" s="17"/>
      <c r="H26" s="17"/>
      <c r="I26" s="17"/>
      <c r="J26" s="17"/>
      <c r="K26" s="17"/>
      <c r="L26" s="17"/>
    </row>
    <row r="27" spans="2:12">
      <c r="F27" s="17"/>
      <c r="G27" s="17"/>
      <c r="J27" s="17"/>
      <c r="K27" s="17"/>
    </row>
    <row r="29" spans="2:12">
      <c r="B29" s="5" t="s">
        <v>19</v>
      </c>
      <c r="C29" s="18" t="e">
        <f>#REF!</f>
        <v>#REF!</v>
      </c>
      <c r="D29" s="5" t="s">
        <v>20</v>
      </c>
      <c r="E29" s="5" t="s">
        <v>21</v>
      </c>
      <c r="F29" s="5" t="e">
        <f>#REF!</f>
        <v>#REF!</v>
      </c>
      <c r="G29" s="5" t="s">
        <v>3</v>
      </c>
      <c r="H29" s="5" t="s">
        <v>22</v>
      </c>
      <c r="I29" s="5" t="e">
        <f>#REF!</f>
        <v>#REF!</v>
      </c>
      <c r="J29" s="5" t="s">
        <v>23</v>
      </c>
    </row>
    <row r="30" spans="2:12">
      <c r="B30" s="5" t="s">
        <v>24</v>
      </c>
      <c r="C30" s="5" t="s">
        <v>25</v>
      </c>
      <c r="D30" s="5" t="s">
        <v>26</v>
      </c>
      <c r="E30" s="16" t="s">
        <v>27</v>
      </c>
      <c r="F30" s="5" t="s">
        <v>28</v>
      </c>
    </row>
    <row r="31" spans="2:12">
      <c r="B31" s="5" t="s">
        <v>1</v>
      </c>
      <c r="C31" s="5" t="s">
        <v>29</v>
      </c>
      <c r="D31" s="5" t="s">
        <v>30</v>
      </c>
      <c r="E31" s="5" t="s">
        <v>29</v>
      </c>
      <c r="F31" s="5" t="s">
        <v>29</v>
      </c>
    </row>
    <row r="32" spans="2:12">
      <c r="B32" s="5" t="e">
        <f>#REF!</f>
        <v>#REF!</v>
      </c>
      <c r="C32" s="5" t="e">
        <f>#REF!</f>
        <v>#REF!</v>
      </c>
      <c r="D32" s="19" t="e">
        <f>B32/3600/$I$29</f>
        <v>#REF!</v>
      </c>
      <c r="E32" s="19" t="e">
        <f>($F$29/2*D32^2*$L$16)/100</f>
        <v>#REF!</v>
      </c>
      <c r="F32" s="19" t="e">
        <f>C32-E32</f>
        <v>#REF!</v>
      </c>
    </row>
    <row r="33" spans="2:9">
      <c r="B33" s="5" t="e">
        <f>#REF!</f>
        <v>#REF!</v>
      </c>
      <c r="C33" s="5" t="e">
        <f>#REF!</f>
        <v>#REF!</v>
      </c>
      <c r="D33" s="19" t="e">
        <f>B33/3600/$I$29</f>
        <v>#REF!</v>
      </c>
      <c r="E33" s="19" t="e">
        <f>($F$29/2*D33^2*$L$16)/100</f>
        <v>#REF!</v>
      </c>
      <c r="F33" s="19" t="e">
        <f>C33-E33</f>
        <v>#REF!</v>
      </c>
    </row>
    <row r="34" spans="2:9">
      <c r="B34" s="5" t="e">
        <f>#REF!</f>
        <v>#REF!</v>
      </c>
      <c r="C34" s="5" t="e">
        <f>#REF!</f>
        <v>#REF!</v>
      </c>
      <c r="D34" s="19" t="e">
        <f>B34/3600/$I$29</f>
        <v>#REF!</v>
      </c>
      <c r="E34" s="19" t="e">
        <f>($F$29/2*D34^2*$L$16)/100</f>
        <v>#REF!</v>
      </c>
      <c r="F34" s="19" t="e">
        <f>C34-E34</f>
        <v>#REF!</v>
      </c>
    </row>
    <row r="36" spans="2:9">
      <c r="B36" s="21" t="s">
        <v>33</v>
      </c>
      <c r="C36" s="22">
        <v>1</v>
      </c>
      <c r="D36" s="6"/>
      <c r="E36" s="6"/>
      <c r="F36" s="6" t="s">
        <v>34</v>
      </c>
      <c r="G36" s="6"/>
      <c r="H36" s="6"/>
      <c r="I36" s="7"/>
    </row>
    <row r="37" spans="2:9">
      <c r="B37" s="10" t="s">
        <v>24</v>
      </c>
      <c r="C37" s="8" t="s">
        <v>32</v>
      </c>
      <c r="D37" s="8" t="s">
        <v>25</v>
      </c>
      <c r="E37" s="11"/>
      <c r="F37" s="8" t="s">
        <v>24</v>
      </c>
      <c r="G37" s="8" t="s">
        <v>32</v>
      </c>
      <c r="H37" s="8" t="s">
        <v>25</v>
      </c>
      <c r="I37" s="9"/>
    </row>
    <row r="38" spans="2:9">
      <c r="B38" s="10" t="s">
        <v>1</v>
      </c>
      <c r="C38" s="8"/>
      <c r="D38" s="8" t="s">
        <v>29</v>
      </c>
      <c r="E38" s="8"/>
      <c r="F38" s="8" t="s">
        <v>1</v>
      </c>
      <c r="G38" s="8"/>
      <c r="H38" s="8" t="s">
        <v>29</v>
      </c>
      <c r="I38" s="9"/>
    </row>
    <row r="39" spans="2:9">
      <c r="B39" s="10" t="e">
        <f>#REF!</f>
        <v>#REF!</v>
      </c>
      <c r="C39" s="8" t="e">
        <f>B39*B39</f>
        <v>#REF!</v>
      </c>
      <c r="D39" s="8" t="e">
        <f>#REF!</f>
        <v>#REF!</v>
      </c>
      <c r="E39" s="23"/>
      <c r="F39" s="23">
        <v>0</v>
      </c>
      <c r="G39" s="8">
        <f>F39*F39</f>
        <v>0</v>
      </c>
      <c r="H39" s="8">
        <v>0</v>
      </c>
      <c r="I39" s="9"/>
    </row>
    <row r="40" spans="2:9">
      <c r="B40" s="10" t="e">
        <f>#REF!</f>
        <v>#REF!</v>
      </c>
      <c r="C40" s="8" t="e">
        <f>B40*B40</f>
        <v>#REF!</v>
      </c>
      <c r="D40" s="8" t="e">
        <f>#REF!</f>
        <v>#REF!</v>
      </c>
      <c r="E40" s="23"/>
      <c r="F40" s="23" t="e">
        <f>#REF!</f>
        <v>#REF!</v>
      </c>
      <c r="G40" s="8" t="e">
        <f>F40*F40</f>
        <v>#REF!</v>
      </c>
      <c r="H40" s="8" t="e">
        <f>#REF!</f>
        <v>#REF!</v>
      </c>
      <c r="I40" s="9"/>
    </row>
    <row r="41" spans="2:9">
      <c r="B41" s="10" t="e">
        <f>#REF!</f>
        <v>#REF!</v>
      </c>
      <c r="C41" s="8" t="e">
        <f>B41*B41</f>
        <v>#REF!</v>
      </c>
      <c r="D41" s="8" t="e">
        <f>#REF!</f>
        <v>#REF!</v>
      </c>
      <c r="E41" s="23"/>
      <c r="F41" s="23"/>
      <c r="G41" s="8"/>
      <c r="H41" s="8"/>
      <c r="I41" s="9"/>
    </row>
    <row r="42" spans="2:9">
      <c r="B42" s="10"/>
      <c r="C42" s="8"/>
      <c r="D42" s="8"/>
      <c r="E42" s="23"/>
      <c r="F42" s="23"/>
      <c r="G42" s="8"/>
      <c r="H42" s="8"/>
      <c r="I42" s="9"/>
    </row>
    <row r="43" spans="2:9">
      <c r="B43" s="10" t="s">
        <v>7</v>
      </c>
      <c r="C43" s="8" t="s">
        <v>8</v>
      </c>
      <c r="D43" s="8" t="s">
        <v>35</v>
      </c>
      <c r="E43" s="8"/>
      <c r="F43" s="8"/>
      <c r="G43" s="8"/>
      <c r="H43" s="8" t="s">
        <v>36</v>
      </c>
      <c r="I43" s="9"/>
    </row>
    <row r="44" spans="2:9">
      <c r="B44" s="10" t="e">
        <f t="array" ref="B44:D47">LINEST(D39:D41,B39:C41,1,1)</f>
        <v>#VALUE!</v>
      </c>
      <c r="C44" s="8" t="e">
        <v>#VALUE!</v>
      </c>
      <c r="D44" s="8" t="e">
        <v>#VALUE!</v>
      </c>
      <c r="E44" s="8"/>
      <c r="F44" s="8"/>
      <c r="G44" s="8"/>
      <c r="H44" s="8" t="e">
        <f>H40/G40</f>
        <v>#REF!</v>
      </c>
      <c r="I44" s="9"/>
    </row>
    <row r="45" spans="2:9">
      <c r="B45" s="10" t="e">
        <v>#VALUE!</v>
      </c>
      <c r="C45" s="8" t="e">
        <v>#VALUE!</v>
      </c>
      <c r="D45" s="8" t="e">
        <v>#VALUE!</v>
      </c>
      <c r="E45" s="8"/>
      <c r="F45" s="8"/>
      <c r="G45" s="8"/>
      <c r="H45" s="8"/>
      <c r="I45" s="9"/>
    </row>
    <row r="46" spans="2:9">
      <c r="B46" s="10" t="e">
        <v>#VALUE!</v>
      </c>
      <c r="C46" s="8" t="e">
        <v>#VALUE!</v>
      </c>
      <c r="D46" s="8" t="e">
        <v>#VALUE!</v>
      </c>
      <c r="E46" s="8"/>
      <c r="F46" s="8"/>
      <c r="G46" s="8" t="s">
        <v>37</v>
      </c>
      <c r="H46" s="8" t="e">
        <f>C44/(B44-H44)</f>
        <v>#VALUE!</v>
      </c>
      <c r="I46" s="9"/>
    </row>
    <row r="47" spans="2:9">
      <c r="B47" s="10" t="e">
        <v>#VALUE!</v>
      </c>
      <c r="C47" s="8" t="e">
        <v>#VALUE!</v>
      </c>
      <c r="D47" s="8" t="e">
        <v>#VALUE!</v>
      </c>
      <c r="E47" s="8"/>
      <c r="F47" s="8"/>
      <c r="G47" s="8" t="s">
        <v>38</v>
      </c>
      <c r="H47" s="8" t="e">
        <f>D44/(B44-H44)</f>
        <v>#VALUE!</v>
      </c>
      <c r="I47" s="9"/>
    </row>
    <row r="48" spans="2:9">
      <c r="B48" s="10"/>
      <c r="C48" s="8"/>
      <c r="D48" s="8"/>
      <c r="E48" s="8"/>
      <c r="F48" s="8"/>
      <c r="G48" s="8"/>
      <c r="H48" s="8"/>
      <c r="I48" s="9"/>
    </row>
    <row r="49" spans="2:9">
      <c r="B49" s="10"/>
      <c r="C49" s="8"/>
      <c r="D49" s="8"/>
      <c r="E49" s="8"/>
      <c r="F49" s="8"/>
      <c r="G49" s="8"/>
      <c r="H49" s="8" t="s">
        <v>39</v>
      </c>
      <c r="I49" s="9" t="s">
        <v>40</v>
      </c>
    </row>
    <row r="50" spans="2:9">
      <c r="B50" s="12"/>
      <c r="C50" s="13"/>
      <c r="D50" s="13"/>
      <c r="E50" s="13"/>
      <c r="F50" s="13"/>
      <c r="G50" s="13"/>
      <c r="H50" s="13" t="e">
        <f>-H46/2+SQRT((H46/2)^2-H47)</f>
        <v>#VALUE!</v>
      </c>
      <c r="I50" s="14" t="e">
        <f>H50^2*H44</f>
        <v>#VALUE!</v>
      </c>
    </row>
    <row r="52" spans="2:9">
      <c r="B52" s="5" t="s">
        <v>19</v>
      </c>
      <c r="C52" s="18" t="e">
        <f>#REF!</f>
        <v>#REF!</v>
      </c>
      <c r="D52" s="5" t="s">
        <v>20</v>
      </c>
    </row>
    <row r="53" spans="2:9">
      <c r="B53" s="5" t="s">
        <v>24</v>
      </c>
      <c r="C53" s="5" t="s">
        <v>25</v>
      </c>
      <c r="D53" s="5" t="s">
        <v>26</v>
      </c>
      <c r="E53" s="16" t="s">
        <v>27</v>
      </c>
      <c r="F53" s="5" t="s">
        <v>28</v>
      </c>
    </row>
    <row r="54" spans="2:9">
      <c r="B54" s="5" t="s">
        <v>1</v>
      </c>
      <c r="C54" s="5" t="s">
        <v>29</v>
      </c>
      <c r="D54" s="5" t="s">
        <v>30</v>
      </c>
      <c r="E54" s="5" t="s">
        <v>29</v>
      </c>
      <c r="F54" s="5" t="s">
        <v>29</v>
      </c>
    </row>
    <row r="55" spans="2:9">
      <c r="B55" s="5" t="e">
        <f>#REF!</f>
        <v>#REF!</v>
      </c>
      <c r="C55" s="19" t="e">
        <f>$D$44+B55*$C$44+B55*B55*$B$44</f>
        <v>#VALUE!</v>
      </c>
      <c r="D55" s="19" t="e">
        <f>B55/3600/$I$29</f>
        <v>#REF!</v>
      </c>
      <c r="E55" s="19" t="e">
        <f>($F$29/2*D55^2*$L$18)/100</f>
        <v>#REF!</v>
      </c>
      <c r="F55" s="19" t="e">
        <f>C55-E55</f>
        <v>#VALUE!</v>
      </c>
    </row>
    <row r="56" spans="2:9">
      <c r="B56" s="5" t="e">
        <f>#REF!</f>
        <v>#REF!</v>
      </c>
      <c r="C56" s="19" t="e">
        <f>$D$44+B56*$C$44+B56*B56*$B$44</f>
        <v>#VALUE!</v>
      </c>
      <c r="D56" s="19" t="e">
        <f>B56/3600/$I$29</f>
        <v>#REF!</v>
      </c>
      <c r="E56" s="19" t="e">
        <f>($F$29/2*D56^2*$L$18)/100</f>
        <v>#REF!</v>
      </c>
      <c r="F56" s="19" t="e">
        <f>C56-E56</f>
        <v>#VALUE!</v>
      </c>
    </row>
    <row r="57" spans="2:9">
      <c r="B57" s="5" t="e">
        <f>#REF!</f>
        <v>#REF!</v>
      </c>
      <c r="C57" s="19" t="e">
        <f>$D$44+B57*$C$44+B57*B57*$B$44</f>
        <v>#VALUE!</v>
      </c>
      <c r="D57" s="19" t="e">
        <f>B57/3600/$I$29</f>
        <v>#REF!</v>
      </c>
      <c r="E57" s="19" t="e">
        <f>($F$29/2*D57^2*$L$18)/100</f>
        <v>#REF!</v>
      </c>
      <c r="F57" s="19" t="e">
        <f>C57-E57</f>
        <v>#VALUE!</v>
      </c>
    </row>
    <row r="59" spans="2:9">
      <c r="B59" s="5" t="s">
        <v>19</v>
      </c>
      <c r="C59" s="18" t="e">
        <f>#REF!</f>
        <v>#REF!</v>
      </c>
      <c r="D59" s="5" t="s">
        <v>20</v>
      </c>
    </row>
    <row r="60" spans="2:9">
      <c r="B60" s="5" t="s">
        <v>24</v>
      </c>
      <c r="C60" s="5" t="s">
        <v>25</v>
      </c>
      <c r="D60" s="5" t="s">
        <v>26</v>
      </c>
      <c r="E60" s="16" t="s">
        <v>27</v>
      </c>
      <c r="F60" s="5" t="s">
        <v>28</v>
      </c>
    </row>
    <row r="61" spans="2:9">
      <c r="B61" s="5" t="s">
        <v>1</v>
      </c>
      <c r="C61" s="5" t="s">
        <v>29</v>
      </c>
      <c r="D61" s="5" t="s">
        <v>30</v>
      </c>
      <c r="E61" s="5" t="s">
        <v>29</v>
      </c>
      <c r="F61" s="5" t="s">
        <v>29</v>
      </c>
    </row>
    <row r="62" spans="2:9">
      <c r="B62" s="5" t="e">
        <f>B55</f>
        <v>#REF!</v>
      </c>
      <c r="C62" s="19" t="e">
        <f>$D$44+B62*$C$44+B62*B62*$B$44</f>
        <v>#VALUE!</v>
      </c>
      <c r="D62" s="19" t="e">
        <f>B62/3600/$I$29</f>
        <v>#REF!</v>
      </c>
      <c r="E62" s="19" t="e">
        <f>($F$29/2*D62^2*$L$19)/100</f>
        <v>#REF!</v>
      </c>
      <c r="F62" s="19" t="e">
        <f>C62-E62</f>
        <v>#VALUE!</v>
      </c>
    </row>
    <row r="63" spans="2:9">
      <c r="B63" s="5" t="e">
        <f>B56</f>
        <v>#REF!</v>
      </c>
      <c r="C63" s="19" t="e">
        <f>$D$44+B63*$C$44+B63*B63*$B$44</f>
        <v>#VALUE!</v>
      </c>
      <c r="D63" s="19" t="e">
        <f>B63/3600/$I$29</f>
        <v>#REF!</v>
      </c>
      <c r="E63" s="19" t="e">
        <f>($F$29/2*D63^2*$L$19)/100</f>
        <v>#REF!</v>
      </c>
      <c r="F63" s="19" t="e">
        <f>C63-E63</f>
        <v>#VALUE!</v>
      </c>
    </row>
    <row r="64" spans="2:9">
      <c r="B64" s="5" t="e">
        <f>B57</f>
        <v>#REF!</v>
      </c>
      <c r="C64" s="19" t="e">
        <f>$D$44+B64*$C$44+B64*B64*$B$44</f>
        <v>#VALUE!</v>
      </c>
      <c r="D64" s="19" t="e">
        <f>B64/3600/$I$29</f>
        <v>#REF!</v>
      </c>
      <c r="E64" s="19" t="e">
        <f>($F$29/2*D64^2*$L$19)/100</f>
        <v>#REF!</v>
      </c>
      <c r="F64" s="19" t="e">
        <f>C64-E64</f>
        <v>#VALUE!</v>
      </c>
    </row>
  </sheetData>
  <phoneticPr fontId="0" type="noConversion"/>
  <pageMargins left="1.1811023622047245" right="0.74803149606299213" top="0.98425196850393704" bottom="0.98425196850393704" header="0.51181102362204722" footer="0.51181102362204722"/>
  <pageSetup paperSize="9" scale="60" orientation="portrait" r:id="rId1"/>
  <headerFooter alignWithMargins="0">
    <oddFooter>&amp;L&amp;8Holcim/CTS/Jan C. Kaminsky/&amp;F/&amp;A/&amp;D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Template</vt:lpstr>
      <vt:lpstr>General</vt:lpstr>
      <vt:lpstr>T,P, O2</vt:lpstr>
      <vt:lpstr>Geometry</vt:lpstr>
      <vt:lpstr>Calculations</vt:lpstr>
      <vt:lpstr>Evaluation</vt:lpstr>
      <vt:lpstr>Sheet1</vt:lpstr>
      <vt:lpstr>pamb</vt:lpstr>
      <vt:lpstr>Calculations!Print_Area</vt:lpstr>
      <vt:lpstr>Evaluation!Print_Area</vt:lpstr>
      <vt:lpstr>Geometry!Print_Area</vt:lpstr>
      <vt:lpstr>Sheet1!Print_Area</vt:lpstr>
      <vt:lpstr>'T,P, O2'!Print_Area</vt:lpstr>
      <vt:lpstr>Template!Print_Area</vt:lpstr>
      <vt:lpstr>Calculations!Print_Titles</vt:lpstr>
      <vt:lpstr>Evaluation!Print_Titles</vt:lpstr>
      <vt:lpstr>Geometry!Print_Titles</vt:lpstr>
      <vt:lpstr>'T,P, O2'!Print_Titles</vt:lpstr>
      <vt:lpstr>Template!Print_Titles</vt:lpstr>
    </vt:vector>
  </TitlesOfParts>
  <Company>Holcim Group Support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Preheater Assessment tool</dc:title>
  <dc:creator>Christian Engmann</dc:creator>
  <cp:lastModifiedBy>Robert Pitt</cp:lastModifiedBy>
  <cp:lastPrinted>2012-11-06T10:44:54Z</cp:lastPrinted>
  <dcterms:created xsi:type="dcterms:W3CDTF">2001-04-11T06:34:10Z</dcterms:created>
  <dcterms:modified xsi:type="dcterms:W3CDTF">2012-11-09T13:52:05Z</dcterms:modified>
</cp:coreProperties>
</file>