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Homework/Week #1 Homework/"/>
    </mc:Choice>
  </mc:AlternateContent>
  <xr:revisionPtr revIDLastSave="0" documentId="8_{F4C222AB-5E7B-E548-A331-7D1DA231892F}" xr6:coauthVersionLast="47" xr6:coauthVersionMax="47" xr10:uidLastSave="{00000000-0000-0000-0000-000000000000}"/>
  <bookViews>
    <workbookView xWindow="1040" yWindow="580" windowWidth="28020" windowHeight="18960" xr2:uid="{00000000-000D-0000-FFFF-FFFF00000000}"/>
  </bookViews>
  <sheets>
    <sheet name="Crowdfunding" sheetId="1" r:id="rId1"/>
    <sheet name="Sub-Category by Outcomes" sheetId="4" r:id="rId2"/>
    <sheet name="Primary Category by Outcomes" sheetId="3" r:id="rId3"/>
    <sheet name="Months by Outcomes" sheetId="5" r:id="rId4"/>
    <sheet name="Crowdfunding Goal Analysis" sheetId="6" r:id="rId5"/>
    <sheet name="Statistical Analysis" sheetId="7" r:id="rId6"/>
    <sheet name="Both Cat. by % Success" sheetId="8" r:id="rId7"/>
    <sheet name="Both Cat. By % Funded" sheetId="10" r:id="rId8"/>
    <sheet name="Months by % Success" sheetId="19" r:id="rId9"/>
    <sheet name="Countries by % Success" sheetId="12" r:id="rId10"/>
    <sheet name="Years by % Success" sheetId="13" r:id="rId11"/>
    <sheet name="Outcome by StdDev Goal-Pledge" sheetId="18" r:id="rId12"/>
  </sheets>
  <calcPr calcId="191029"/>
  <pivotCaches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D1" i="7" a="1"/>
  <c r="D1" i="7" s="1"/>
  <c r="A1" i="7" a="1"/>
  <c r="A1" i="7" s="1"/>
  <c r="H2" i="6"/>
  <c r="H3" i="6"/>
  <c r="H4" i="6"/>
  <c r="H5" i="6"/>
  <c r="H6" i="6"/>
  <c r="H7" i="6"/>
  <c r="H8" i="6"/>
  <c r="H9" i="6"/>
  <c r="H10" i="6"/>
  <c r="H11" i="6"/>
  <c r="H12" i="6"/>
  <c r="H13" i="6"/>
  <c r="G2" i="6"/>
  <c r="G3" i="6"/>
  <c r="G4" i="6"/>
  <c r="G5" i="6"/>
  <c r="G6" i="6"/>
  <c r="G7" i="6"/>
  <c r="G8" i="6"/>
  <c r="G9" i="6"/>
  <c r="G10" i="6"/>
  <c r="G11" i="6"/>
  <c r="G12" i="6"/>
  <c r="G13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4" i="10"/>
  <c r="D23" i="10"/>
  <c r="D22" i="10"/>
  <c r="D21" i="10"/>
  <c r="D20" i="10"/>
  <c r="D19" i="10"/>
  <c r="D16" i="10"/>
  <c r="D15" i="10"/>
  <c r="D14" i="10"/>
  <c r="D13" i="10"/>
  <c r="D12" i="10"/>
  <c r="D11" i="10"/>
  <c r="D10" i="10"/>
  <c r="D9" i="10"/>
  <c r="D8" i="10"/>
  <c r="D7" i="10"/>
  <c r="D6" i="10"/>
  <c r="D5" i="10"/>
  <c r="H16" i="13"/>
  <c r="H14" i="13"/>
  <c r="H13" i="13"/>
  <c r="H12" i="13"/>
  <c r="H11" i="13"/>
  <c r="H10" i="13"/>
  <c r="H9" i="13"/>
  <c r="H8" i="13"/>
  <c r="H7" i="13"/>
  <c r="H6" i="13"/>
  <c r="H5" i="13"/>
  <c r="H10" i="12"/>
  <c r="H9" i="12"/>
  <c r="H8" i="12"/>
  <c r="H7" i="12"/>
  <c r="H6" i="12"/>
  <c r="H5" i="12"/>
  <c r="H4" i="12"/>
  <c r="H3" i="12"/>
  <c r="C40" i="10"/>
  <c r="B40" i="10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K3" i="7" l="1"/>
  <c r="D40" i="10"/>
  <c r="G41" i="8"/>
  <c r="G40" i="8"/>
  <c r="L2" i="7"/>
  <c r="L3" i="7"/>
  <c r="M2" i="7"/>
  <c r="I3" i="7"/>
  <c r="M3" i="7"/>
  <c r="J2" i="7"/>
  <c r="N2" i="7"/>
  <c r="J3" i="7"/>
  <c r="N3" i="7"/>
  <c r="K2" i="7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<sst xmlns="http://schemas.openxmlformats.org/spreadsheetml/2006/main" count="8321" uniqueCount="2136">
  <si>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</si>
  <si>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</si>
  <si>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</si>
  <si>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</si>
  <si>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</si>
  <si>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</si>
  <si>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</si>
  <si>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</si>
  <si>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</si>
  <si>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</si>
  <si>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</si>
  <si>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</si>
  <si>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</si>
  <si>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</si>
  <si>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</si>
  <si>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</si>
  <si>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</si>
  <si>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</si>
  <si>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</si>
  <si>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</si>
  <si>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</si>
  <si>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</si>
  <si>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</si>
  <si>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</si>
  <si>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</si>
  <si>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</si>
  <si>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</si>
  <si>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</si>
  <si>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</si>
  <si>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</si>
  <si>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</si>
  <si>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</si>
  <si>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</si>
  <si>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</si>
  <si>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</si>
  <si>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</si>
  <si>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</si>
  <si>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</si>
  <si>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</si>
  <si>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</si>
  <si>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</si>
  <si>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</si>
  <si>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</si>
  <si>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</si>
  <si>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</si>
  <si>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</si>
  <si>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</si>
  <si>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</si>
  <si>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</si>
  <si>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</si>
  <si>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</si>
  <si>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</si>
  <si>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</si>
  <si>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</si>
  <si>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</si>
  <si>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</si>
  <si>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</si>
  <si>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</si>
  <si>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</si>
  <si>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</si>
  <si>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</si>
  <si>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</si>
  <si>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</si>
  <si>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</si>
  <si>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</si>
  <si>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</si>
  <si>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</si>
  <si>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</si>
  <si>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</si>
  <si>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</si>
  <si>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</si>
  <si>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</si>
  <si>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</si>
  <si>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</si>
  <si>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</si>
  <si>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</si>
  <si>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</si>
  <si>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</si>
  <si>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</si>
  <si>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</si>
  <si>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</si>
  <si>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</si>
  <si>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</si>
  <si>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</si>
  <si>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</si>
  <si>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</si>
  <si>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</si>
  <si>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</si>
  <si>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</si>
  <si>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</si>
  <si>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</si>
  <si>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</si>
  <si>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</si>
  <si>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</si>
  <si>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</si>
  <si>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</si>
  <si>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</si>
  <si>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</si>
  <si>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</si>
  <si>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</si>
  <si>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</si>
  <si>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</si>
  <si>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</si>
  <si>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</si>
  <si>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</si>
  <si>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</si>
  <si>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</si>
  <si>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</si>
  <si>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</si>
  <si>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</si>
  <si>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</si>
  <si>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</si>
  <si>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</si>
  <si>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</si>
  <si>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</si>
  <si>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</si>
  <si>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</si>
  <si>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</si>
  <si>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</si>
  <si>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</si>
  <si>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</si>
  <si>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</si>
  <si>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</si>
  <si>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</si>
  <si>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</si>
  <si>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</si>
  <si>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</si>
  <si>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</si>
  <si>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</si>
  <si>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</si>
  <si>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</si>
  <si>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</si>
  <si>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</si>
  <si>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</si>
  <si>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</si>
  <si>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</si>
  <si>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</si>
  <si>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</si>
  <si>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</si>
  <si>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</si>
  <si>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</si>
  <si>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</si>
  <si>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</si>
  <si>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</si>
  <si>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</si>
  <si>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</si>
  <si>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</si>
  <si>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</si>
  <si>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</si>
  <si>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</si>
  <si>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</si>
  <si>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</si>
  <si>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</si>
  <si>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</si>
  <si>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</si>
  <si>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</si>
  <si>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</si>
  <si>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</si>
  <si>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</si>
  <si>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</si>
  <si>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</si>
  <si>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</si>
  <si>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</si>
  <si>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</si>
  <si>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</si>
  <si>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</si>
  <si>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</si>
  <si>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</si>
  <si>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</si>
  <si>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</si>
  <si>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</si>
  <si>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</si>
  <si>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</si>
  <si>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</si>
  <si>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</si>
  <si>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</si>
  <si>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</si>
  <si>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</si>
  <si>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</si>
  <si>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</si>
  <si>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</si>
  <si>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</si>
  <si>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</si>
  <si>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</si>
  <si>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</si>
  <si>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</si>
  <si>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</si>
  <si>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</si>
  <si>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</si>
  <si>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</si>
  <si>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</si>
  <si>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</si>
  <si>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</si>
  <si>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</si>
  <si>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</si>
  <si>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</si>
  <si>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</si>
  <si>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</si>
  <si>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</si>
  <si>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</si>
  <si>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</si>
  <si>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</si>
  <si>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</si>
  <si>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</si>
  <si>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</si>
  <si>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</si>
  <si>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</si>
  <si>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</si>
  <si>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</si>
  <si>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</si>
  <si>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</si>
  <si>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</si>
  <si>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</si>
  <si>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</si>
  <si>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</si>
  <si>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</si>
  <si>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</si>
  <si>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</si>
  <si>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</si>
  <si>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</si>
  <si>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</si>
  <si>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</si>
  <si>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</si>
  <si>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</si>
  <si>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</si>
  <si>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</si>
  <si>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</si>
  <si>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</si>
  <si>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</si>
  <si>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</si>
  <si>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</si>
  <si>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</si>
  <si>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</si>
  <si>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</si>
  <si>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</si>
  <si>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</si>
  <si>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</si>
  <si>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</si>
  <si>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</si>
  <si>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</si>
  <si>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</si>
  <si>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</si>
  <si>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</si>
  <si>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</si>
  <si>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</si>
  <si>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</si>
  <si>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</si>
  <si>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</si>
  <si>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</si>
  <si>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</si>
  <si>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</si>
  <si>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</si>
  <si>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</si>
  <si>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</si>
  <si>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</si>
  <si>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</si>
  <si>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</si>
  <si>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</si>
  <si>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</si>
  <si>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</si>
  <si>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</si>
  <si>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</si>
  <si>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</si>
  <si>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</si>
  <si>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</si>
  <si>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</si>
  <si>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</si>
  <si>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</si>
  <si>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</si>
  <si>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</si>
  <si>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</si>
  <si>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</si>
  <si>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</si>
  <si>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</si>
  <si>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</si>
  <si>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</si>
  <si>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</si>
  <si>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</si>
  <si>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</si>
  <si>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</si>
  <si>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</si>
  <si>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</si>
  <si>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</si>
  <si>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</si>
  <si>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</si>
  <si>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</si>
  <si>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</si>
  <si>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</si>
  <si>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</si>
  <si>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</si>
  <si>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</si>
  <si>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</si>
  <si>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</si>
  <si>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</si>
  <si>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</si>
  <si>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</si>
  <si>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</si>
  <si>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</si>
  <si>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</si>
  <si>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</si>
  <si>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</si>
  <si>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</si>
  <si>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</si>
  <si>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</si>
  <si>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</si>
  <si>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</si>
  <si>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</si>
  <si>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</si>
  <si>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</si>
  <si>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</si>
  <si>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</si>
  <si>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</si>
  <si>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</si>
  <si>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</si>
  <si>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</si>
  <si>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</si>
  <si>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</si>
  <si>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</si>
  <si>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</si>
  <si>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</si>
  <si>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</si>
  <si>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</si>
  <si>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</si>
  <si>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</si>
  <si>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</si>
  <si>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</si>
  <si>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</si>
  <si>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</si>
  <si>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</si>
  <si>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</si>
  <si>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</si>
  <si>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</si>
  <si>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</si>
  <si>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</si>
  <si>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</si>
  <si>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</si>
  <si>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</si>
  <si>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</si>
  <si>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</si>
  <si>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</si>
  <si>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</si>
  <si>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</si>
  <si>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</si>
  <si>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</si>
  <si>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</si>
  <si>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</si>
  <si>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</si>
  <si>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</si>
  <si>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</si>
  <si>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</si>
  <si>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</si>
  <si>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</si>
  <si>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</si>
  <si>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</si>
  <si>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</si>
  <si>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</si>
  <si>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</si>
  <si>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</si>
  <si>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</si>
  <si>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</si>
  <si>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</si>
  <si>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</si>
  <si>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</si>
  <si>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</si>
  <si>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</si>
  <si>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</si>
  <si>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</si>
  <si>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</si>
  <si>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</si>
  <si>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</si>
  <si>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</si>
  <si>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</si>
  <si>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</si>
  <si>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</si>
  <si>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</si>
  <si>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</si>
  <si>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</si>
  <si>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</si>
  <si>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</si>
  <si>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</si>
  <si>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</si>
  <si>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</si>
  <si>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</si>
  <si>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</si>
  <si>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</si>
  <si>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</si>
  <si>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</si>
  <si>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</si>
  <si>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</si>
  <si>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</si>
  <si>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</si>
  <si>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</si>
  <si>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</si>
  <si>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</si>
  <si>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</si>
  <si>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</si>
  <si>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</si>
  <si>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</si>
  <si>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</si>
  <si>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</si>
  <si>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</si>
  <si>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</si>
  <si>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</si>
  <si>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</si>
  <si>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</si>
  <si>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</si>
  <si>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</si>
  <si>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</si>
  <si>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</si>
  <si>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</si>
  <si>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</si>
  <si>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</si>
  <si>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</si>
  <si>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</si>
  <si>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</si>
  <si>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</si>
  <si>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</si>
  <si>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</si>
  <si>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</si>
  <si>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</si>
  <si>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</si>
  <si>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</si>
  <si>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</si>
  <si>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</si>
  <si>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</si>
  <si>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</si>
  <si>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</si>
  <si>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</si>
  <si>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</si>
  <si>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</si>
  <si>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</si>
  <si>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</si>
  <si>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</si>
  <si>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</si>
  <si>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</si>
  <si>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</si>
  <si>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</si>
  <si>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</si>
  <si>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</si>
  <si>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</si>
  <si>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</si>
  <si>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</si>
  <si>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</si>
  <si>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</si>
  <si>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</si>
  <si>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</si>
  <si>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</si>
  <si>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</si>
  <si>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</si>
  <si>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</si>
  <si>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</si>
  <si>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</si>
  <si>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</si>
  <si>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</si>
  <si>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</si>
  <si>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</si>
  <si>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</si>
  <si>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</si>
  <si>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</si>
  <si>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</si>
  <si>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</si>
  <si>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</si>
  <si>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</si>
  <si>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</si>
  <si>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</si>
  <si>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</si>
  <si>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</si>
  <si>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</si>
  <si>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</si>
  <si>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</si>
  <si>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</si>
  <si>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</si>
  <si>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</si>
  <si>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</si>
  <si>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</si>
  <si>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</si>
  <si>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</si>
  <si>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</si>
  <si>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</si>
  <si>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</si>
  <si>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</si>
  <si>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</si>
  <si>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</si>
  <si>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</si>
  <si>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</si>
  <si>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</si>
  <si>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</si>
  <si>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</si>
  <si>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</si>
  <si>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</si>
  <si>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</si>
  <si>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</si>
  <si>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</si>
  <si>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</si>
  <si>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</si>
  <si>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</si>
  <si>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</si>
  <si>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</si>
  <si>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</si>
  <si>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</si>
  <si>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</si>
  <si>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</si>
  <si>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</si>
  <si>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</si>
  <si>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</si>
  <si>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</si>
  <si>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</si>
  <si>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</si>
  <si>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</si>
  <si>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</si>
  <si>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</si>
  <si>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</si>
  <si>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</si>
  <si>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</si>
  <si>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</si>
  <si>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</si>
  <si>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</si>
  <si>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</si>
  <si>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</si>
  <si>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</si>
  <si>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</si>
  <si>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</si>
  <si>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</si>
  <si>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</si>
  <si>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</si>
  <si>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</si>
  <si>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</si>
  <si>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</si>
  <si>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</si>
  <si>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</si>
  <si>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</si>
  <si>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</si>
  <si>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</si>
  <si>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</si>
  <si>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</si>
  <si>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</si>
  <si>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</si>
  <si>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</si>
  <si>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</si>
  <si>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</si>
  <si>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</si>
  <si>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</si>
  <si>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</si>
  <si>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</si>
  <si>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</si>
  <si>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</si>
  <si>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</si>
  <si>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</si>
  <si>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</si>
  <si>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</si>
  <si>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</si>
  <si>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</si>
  <si>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</si>
  <si>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</si>
  <si>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</si>
  <si>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</si>
  <si>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</si>
  <si>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</si>
  <si>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</si>
  <si>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</si>
  <si>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</si>
  <si>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</si>
  <si>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</si>
  <si>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</si>
  <si>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</si>
  <si>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</si>
  <si>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</si>
  <si>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</si>
  <si>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</si>
  <si>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</si>
  <si>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</si>
  <si>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</si>
  <si>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</si>
  <si>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</si>
  <si>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</si>
  <si>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</si>
  <si>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</si>
  <si>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</si>
  <si>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</si>
  <si>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</si>
  <si>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</si>
  <si>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</si>
  <si>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</si>
  <si>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</si>
  <si>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</si>
  <si>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</si>
  <si>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</si>
  <si>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</si>
  <si>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</si>
  <si>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</si>
  <si>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</si>
  <si>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</si>
  <si>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</si>
  <si>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</si>
  <si>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</si>
  <si>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</si>
  <si>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</si>
  <si>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</si>
  <si>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</si>
  <si>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</si>
  <si>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</si>
  <si>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</si>
  <si>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</si>
  <si>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</si>
  <si>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</si>
  <si>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</si>
  <si>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</si>
  <si>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</si>
  <si>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</si>
  <si>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</si>
  <si>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</si>
  <si>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</si>
  <si>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</si>
  <si>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</si>
  <si>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</si>
  <si>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</si>
  <si>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</si>
  <si>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</si>
  <si>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</si>
  <si>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</si>
  <si>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</si>
  <si>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</si>
  <si>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</si>
  <si>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</si>
  <si>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</si>
  <si>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</si>
  <si>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</si>
  <si>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</si>
  <si>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</si>
  <si>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</si>
  <si>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</si>
  <si>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</si>
  <si>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</si>
  <si>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</si>
  <si>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</si>
  <si>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</si>
  <si>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</si>
  <si>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</si>
  <si>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</si>
  <si>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</si>
  <si>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</si>
  <si>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</si>
  <si>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</si>
  <si>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</si>
  <si>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</si>
  <si>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</si>
  <si>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</si>
  <si>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</si>
  <si>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</si>
  <si>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</si>
  <si>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</si>
  <si>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</si>
  <si>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</si>
  <si>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</si>
  <si>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</si>
  <si>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</si>
  <si>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</si>
  <si>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</si>
  <si>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</si>
  <si>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</si>
  <si>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</si>
  <si>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</si>
  <si>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</si>
  <si>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</si>
  <si>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</si>
  <si>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</si>
  <si>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</si>
  <si>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</si>
  <si>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</si>
  <si>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</si>
  <si>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</si>
  <si>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</si>
  <si>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</si>
  <si>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</si>
  <si>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</si>
  <si>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</si>
  <si>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</si>
  <si>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</si>
  <si>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</si>
  <si>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</si>
  <si>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</si>
  <si>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</si>
  <si>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</si>
  <si>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</si>
  <si>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</si>
  <si>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</si>
  <si>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</si>
  <si>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</si>
  <si>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</si>
  <si>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</si>
  <si>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</si>
  <si>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</si>
  <si>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</si>
  <si>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</si>
  <si>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</si>
  <si>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</si>
  <si>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</si>
  <si>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</si>
  <si>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</si>
  <si>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</si>
  <si>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</si>
  <si>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</si>
  <si>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</si>
  <si>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</si>
  <si>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</si>
  <si>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</si>
  <si>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</si>
  <si>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</si>
  <si>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</si>
  <si>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</si>
  <si>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</si>
  <si>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</si>
  <si>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</si>
  <si>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</si>
  <si>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</si>
  <si>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</si>
  <si>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</si>
  <si>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</si>
  <si>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</si>
  <si>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</si>
  <si>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</si>
  <si>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</si>
  <si>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</si>
  <si>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</si>
  <si>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</si>
  <si>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</si>
  <si>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</si>
  <si>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</si>
  <si>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</si>
  <si>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</si>
  <si>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</si>
  <si>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</si>
  <si>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</si>
  <si>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</si>
  <si>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</si>
  <si>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</si>
  <si>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</si>
  <si>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</si>
  <si>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</si>
  <si>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</si>
  <si>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</si>
  <si>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</si>
  <si>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</si>
  <si>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</si>
  <si>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</si>
  <si>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</si>
  <si>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</si>
  <si>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</si>
  <si>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</si>
  <si>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</si>
  <si>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</si>
  <si>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</si>
  <si>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</si>
  <si>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</si>
  <si>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</si>
  <si>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</si>
  <si>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</si>
  <si>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</si>
  <si>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</si>
  <si>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</si>
  <si>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</si>
  <si>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</si>
  <si>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</si>
  <si>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</si>
  <si>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</si>
  <si>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</si>
  <si>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</si>
  <si>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</si>
  <si>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</si>
  <si>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</si>
  <si>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</si>
  <si>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</si>
  <si>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</si>
  <si>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</si>
  <si>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</si>
  <si>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</si>
  <si>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</si>
  <si>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</si>
  <si>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</si>
  <si>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</si>
  <si>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</si>
  <si>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</si>
  <si>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</si>
  <si>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</si>
  <si>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</si>
  <si>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</si>
  <si>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</si>
  <si>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</si>
  <si>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</si>
  <si>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</si>
  <si>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</si>
  <si>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</si>
  <si>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</si>
  <si>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</si>
  <si>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</si>
  <si>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</si>
  <si>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</si>
  <si>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</si>
  <si>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</si>
  <si>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</si>
  <si>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</si>
  <si>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</si>
  <si>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</si>
  <si>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</si>
  <si>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</si>
  <si>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</si>
  <si>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</si>
  <si>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</si>
  <si>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</si>
  <si>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</si>
  <si>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</si>
  <si>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</si>
  <si>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</si>
  <si>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</si>
  <si>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</si>
  <si>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</si>
  <si>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</si>
  <si>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</si>
  <si>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</si>
  <si>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</si>
  <si>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</si>
  <si>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</si>
  <si>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</si>
  <si>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</si>
  <si>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</si>
  <si>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</si>
  <si>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</si>
  <si>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</si>
  <si>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</si>
  <si>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</si>
  <si>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</si>
  <si>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</si>
  <si>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</si>
  <si>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</si>
  <si>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</si>
  <si>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</si>
  <si>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</si>
  <si>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</si>
  <si>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</si>
  <si>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</si>
  <si>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</si>
  <si>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</si>
  <si>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</si>
  <si>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</si>
  <si>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</si>
  <si>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</si>
  <si>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</si>
  <si>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</si>
  <si>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</si>
  <si>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</si>
  <si>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</si>
  <si>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</si>
  <si>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</si>
  <si>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</si>
  <si>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</si>
  <si>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</si>
  <si>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</si>
  <si>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</si>
  <si>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</si>
  <si>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</si>
  <si>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</si>
  <si>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</si>
  <si>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</si>
  <si>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</si>
  <si>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</si>
  <si>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</si>
  <si>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</si>
  <si>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</si>
  <si>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</si>
  <si>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</si>
  <si>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</si>
  <si>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</si>
  <si>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</si>
  <si>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</si>
  <si>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</si>
  <si>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</si>
  <si>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</si>
  <si>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</si>
  <si>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</si>
  <si>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</si>
  <si>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</si>
  <si>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</si>
  <si>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</si>
  <si>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</si>
  <si>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</si>
  <si>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</si>
  <si>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</si>
  <si>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</si>
  <si>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</si>
  <si>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</si>
  <si>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</si>
  <si>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</si>
  <si>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</si>
  <si>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</si>
  <si>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</si>
  <si>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</si>
  <si>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</si>
  <si>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</si>
  <si>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</si>
  <si>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</si>
  <si>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</si>
  <si>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</si>
  <si>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</si>
  <si>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</si>
  <si>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</si>
  <si>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</si>
  <si>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</si>
  <si>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</si>
  <si>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</si>
  <si>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</si>
  <si>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</si>
  <si>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</si>
  <si>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</si>
  <si>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</si>
  <si>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</si>
  <si>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</si>
  <si>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</si>
  <si>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</si>
  <si>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</si>
  <si>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</si>
  <si>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</si>
  <si>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</si>
  <si>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</si>
  <si>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</si>
  <si>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</si>
  <si>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</si>
  <si>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</si>
  <si>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</si>
  <si>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</si>
  <si>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</si>
  <si>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</si>
  <si>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</si>
  <si>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</si>
  <si>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</si>
  <si>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</si>
  <si>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</si>
  <si>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</si>
  <si>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</si>
  <si>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</si>
  <si>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</si>
  <si>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</si>
  <si>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</si>
  <si>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</si>
  <si>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</si>
  <si>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</si>
  <si>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</si>
  <si>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</si>
  <si>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</si>
  <si>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</si>
  <si>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</si>
  <si>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</si>
  <si>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</si>
  <si>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</si>
  <si>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</si>
  <si>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</si>
  <si>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</si>
  <si>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</si>
  <si>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</si>
  <si>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</si>
  <si>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</si>
  <si>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</si>
  <si>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</si>
  <si>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</si>
  <si>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</si>
  <si>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</si>
  <si>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</si>
  <si>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</si>
  <si>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</si>
  <si>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</si>
  <si>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</si>
  <si>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</si>
  <si>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</si>
  <si>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</si>
  <si>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</si>
  <si>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</si>
  <si>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</si>
  <si>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</si>
  <si>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</si>
  <si>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</si>
  <si>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</si>
  <si>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</si>
  <si>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</si>
  <si>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</si>
  <si>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</si>
  <si>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</si>
  <si>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</si>
  <si>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</si>
  <si>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</si>
  <si>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</si>
  <si>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</si>
  <si>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</si>
  <si>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</si>
  <si>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</si>
  <si>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</si>
  <si>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</si>
  <si>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</si>
  <si>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</si>
  <si>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</si>
  <si>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</si>
  <si>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</si>
  <si>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</si>
  <si>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</si>
  <si>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</si>
  <si>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</si>
  <si>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</si>
  <si>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</si>
  <si>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</si>
  <si>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</si>
  <si>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</si>
  <si>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</si>
  <si>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</si>
  <si>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</si>
  <si>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</si>
  <si>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</si>
  <si>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</si>
  <si>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</si>
  <si>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</si>
  <si>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</si>
  <si>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</si>
  <si>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</si>
  <si>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</si>
  <si>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</si>
  <si>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</si>
  <si>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</si>
  <si>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</si>
  <si>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</si>
  <si>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</si>
  <si>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</si>
  <si>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</si>
  <si>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</si>
  <si>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</si>
  <si>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</si>
  <si>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</si>
  <si>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</si>
  <si>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</si>
  <si>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</si>
  <si>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</si>
  <si>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</si>
  <si>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</si>
  <si>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</si>
  <si>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</si>
  <si>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</si>
  <si>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</si>
  <si>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</si>
  <si>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</si>
  <si>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</si>
  <si>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</si>
  <si>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</si>
  <si>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</si>
  <si>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</si>
  <si>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</si>
  <si>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</si>
  <si>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</si>
  <si>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</si>
  <si>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</si>
  <si>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</si>
  <si>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</si>
  <si>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</si>
  <si>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</si>
  <si>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</si>
  <si>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</si>
  <si>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</si>
  <si>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</si>
  <si>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</si>
  <si>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</si>
  <si>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</si>
  <si>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</si>
  <si>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</si>
  <si>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</si>
  <si>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</si>
  <si>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</si>
  <si>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</si>
  <si>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</si>
  <si>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</si>
  <si>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</si>
  <si>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</si>
  <si>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</si>
  <si>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</si>
  <si>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</si>
  <si>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</si>
  <si>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</si>
  <si>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</si>
  <si>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</si>
  <si>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</si>
  <si>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</si>
  <si>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</si>
  <si>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</si>
  <si>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</si>
  <si>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</si>
  <si>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</si>
  <si>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</si>
  <si>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</si>
  <si>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</si>
  <si>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</si>
  <si>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</si>
  <si>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</si>
  <si>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</si>
  <si>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</si>
  <si>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</si>
  <si>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</si>
  <si>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</si>
  <si>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</si>
  <si>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</si>
  <si>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</si>
  <si>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</si>
  <si>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</si>
  <si>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</si>
  <si>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</si>
  <si>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</si>
  <si>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</si>
  <si>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</si>
  <si>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</si>
  <si>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</si>
  <si>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</si>
  <si>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</si>
  <si>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</si>
  <si>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</si>
  <si>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</si>
  <si>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</si>
  <si>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</si>
  <si>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</si>
  <si>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</si>
  <si>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</si>
  <si>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</si>
  <si>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</si>
  <si>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</si>
  <si>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</si>
  <si>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</si>
  <si>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</si>
  <si>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</si>
  <si>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</si>
  <si>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</si>
  <si>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</si>
  <si>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</si>
  <si>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</si>
  <si>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</si>
  <si>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</si>
  <si>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</si>
  <si>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</si>
  <si>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</si>
  <si>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</si>
  <si>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</si>
  <si>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</si>
  <si>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</si>
  <si>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</si>
  <si>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</si>
  <si>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</si>
  <si>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</si>
  <si>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</si>
  <si>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</si>
  <si>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</si>
  <si>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</si>
  <si>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</si>
  <si>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</si>
  <si>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</si>
  <si>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</si>
  <si>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</si>
  <si>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</si>
  <si>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</si>
  <si>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</si>
  <si>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</si>
  <si>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</si>
  <si>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</si>
  <si>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</si>
  <si>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</si>
  <si>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</si>
  <si>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</si>
  <si>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</si>
  <si>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</si>
  <si>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</si>
  <si>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</si>
  <si>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</si>
  <si>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</si>
  <si>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</si>
  <si>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</si>
  <si>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</si>
  <si>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</si>
  <si>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</si>
  <si>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</si>
  <si>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</si>
  <si>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</si>
  <si>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</si>
  <si>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</si>
  <si>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</si>
  <si>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</si>
  <si>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</si>
  <si>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</si>
  <si>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</si>
  <si>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</si>
  <si>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</si>
  <si>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</si>
  <si>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</si>
  <si>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</si>
  <si>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</si>
  <si>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</si>
  <si>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</si>
  <si>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</si>
  <si>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</si>
  <si>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</si>
  <si>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</si>
  <si>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</si>
  <si>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</si>
  <si>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</si>
  <si>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</si>
  <si>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</si>
  <si>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</si>
  <si>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</si>
  <si>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</si>
  <si>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</si>
  <si>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</si>
  <si>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</si>
  <si>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</si>
  <si>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</si>
  <si>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</si>
  <si>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</si>
  <si>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</si>
  <si>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</si>
  <si>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</si>
  <si>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</si>
  <si>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</si>
  <si>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</si>
  <si>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</si>
  <si>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</si>
  <si>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</si>
  <si>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</si>
  <si>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</si>
  <si>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</si>
  <si>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</si>
  <si>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</si>
  <si>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</si>
  <si>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</si>
  <si>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</si>
  <si>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</si>
  <si>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</si>
  <si>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</si>
  <si>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</si>
  <si>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</si>
  <si>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</si>
  <si>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</si>
  <si>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</si>
  <si>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</si>
  <si>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</si>
  <si>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</si>
  <si>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</si>
  <si>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</si>
  <si>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</si>
  <si>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</si>
  <si>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</si>
  <si>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</si>
  <si>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</si>
  <si>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</si>
  <si>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</si>
  <si>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</si>
  <si>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</si>
  <si>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</si>
  <si>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</si>
  <si>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</si>
  <si>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</si>
  <si>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</si>
  <si>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</si>
  <si>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</si>
  <si>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</si>
  <si>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</si>
  <si>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</si>
  <si>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</si>
  <si>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</si>
  <si>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</si>
  <si>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</si>
  <si>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</si>
  <si>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</si>
  <si>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</si>
  <si>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</si>
  <si>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</si>
  <si>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</si>
  <si>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</si>
  <si>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</si>
  <si>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</si>
  <si>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</si>
  <si>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</si>
  <si>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</si>
  <si>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</si>
  <si>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</si>
  <si>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</si>
  <si>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</si>
  <si>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</si>
  <si>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</si>
  <si>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</si>
  <si>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</si>
  <si>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</si>
  <si>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</si>
  <si>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</si>
  <si>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</si>
  <si>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</si>
  <si>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</si>
  <si>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</si>
  <si>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</si>
  <si>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</si>
  <si>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</si>
  <si>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</si>
  <si>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</si>
  <si>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</si>
  <si>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</si>
  <si>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</si>
  <si>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</si>
  <si>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</si>
  <si>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</si>
  <si>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</si>
  <si>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</si>
  <si>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</si>
  <si>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</si>
  <si>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</si>
  <si>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</si>
  <si>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</si>
  <si>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</si>
  <si>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</si>
  <si>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</si>
  <si>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</si>
  <si>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</si>
  <si>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</si>
  <si>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</si>
  <si>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</si>
  <si>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</si>
  <si>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</si>
  <si>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</si>
  <si>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</si>
  <si>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</si>
  <si>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</si>
  <si>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</si>
  <si>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</si>
  <si>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</si>
  <si>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</si>
  <si>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</si>
  <si>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</si>
  <si>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</si>
  <si>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</si>
  <si>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</si>
  <si>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</si>
  <si>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</si>
  <si>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</si>
  <si>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</si>
  <si>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</si>
  <si>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</si>
  <si>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</si>
  <si>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</si>
  <si>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</si>
  <si>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</si>
  <si>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</si>
  <si>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</si>
  <si>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</si>
  <si>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</si>
  <si>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</si>
  <si>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</si>
  <si>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</si>
  <si>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</si>
  <si>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</si>
  <si>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</si>
  <si>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</si>
  <si>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</si>
  <si>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</si>
  <si>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</si>
  <si>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</si>
  <si>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</si>
  <si>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</si>
  <si>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</si>
  <si>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</si>
  <si>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</si>
  <si>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</si>
  <si>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</si>
  <si>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</si>
  <si>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</si>
  <si>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</si>
  <si>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</si>
  <si>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</si>
  <si>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</si>
  <si>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</si>
  <si>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</si>
  <si>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</si>
  <si>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</si>
  <si>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</si>
  <si>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</si>
  <si>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</si>
  <si>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</si>
  <si>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</si>
  <si>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</si>
  <si>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</si>
  <si>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</si>
  <si>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</si>
  <si>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</si>
  <si>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</si>
  <si>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</si>
  <si>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</si>
  <si>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</si>
  <si>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</si>
  <si>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</si>
  <si>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</si>
  <si>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</si>
  <si>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</si>
  <si>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</si>
  <si>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</si>
  <si>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</si>
  <si>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</si>
  <si>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</si>
  <si>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</si>
  <si>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</si>
  <si>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</si>
  <si>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</si>
  <si>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</si>
  <si>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</si>
  <si>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</si>
  <si>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</si>
  <si>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</si>
  <si>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</si>
  <si>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</si>
  <si>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</si>
  <si>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</si>
  <si>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</si>
  <si>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</si>
  <si>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</si>
  <si>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</si>
  <si>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</si>
  <si>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</si>
  <si>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</si>
  <si>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</si>
  <si>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</si>
  <si>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</si>
  <si>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</si>
  <si>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</si>
  <si>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</si>
  <si>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</si>
  <si>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</si>
  <si>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</si>
  <si>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</si>
  <si>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</si>
  <si>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</si>
  <si>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</si>
  <si>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</si>
  <si>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</si>
  <si>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</si>
  <si>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</si>
  <si>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</si>
  <si>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</si>
  <si>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</si>
  <si>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</si>
  <si>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</si>
  <si>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</si>
  <si>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</si>
  <si>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</si>
  <si>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</si>
  <si>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</si>
  <si>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</si>
  <si>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</si>
  <si>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</si>
  <si>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</si>
  <si>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</si>
  <si>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</si>
  <si>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</si>
  <si>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</si>
  <si>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</si>
  <si>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</si>
  <si>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</si>
  <si>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</si>
  <si>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</si>
  <si>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</si>
  <si>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</si>
  <si>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</si>
  <si>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</si>
  <si>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</si>
  <si>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</si>
  <si>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</si>
  <si>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</si>
  <si>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</si>
  <si>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</si>
  <si>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</si>
  <si>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</si>
  <si>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</si>
  <si>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</si>
  <si>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</si>
  <si>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</si>
  <si>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</si>
  <si>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</si>
  <si>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</si>
  <si>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</si>
  <si>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</si>
  <si>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</si>
  <si>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</si>
  <si>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</si>
  <si>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</si>
  <si>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</si>
  <si>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</si>
  <si>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</si>
  <si>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</si>
  <si>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</si>
  <si>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</si>
  <si>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</si>
  <si>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</si>
  <si>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</si>
  <si>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</si>
  <si>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</si>
  <si>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</si>
  <si>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</si>
  <si>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</si>
  <si>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</si>
  <si>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</si>
  <si>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</si>
  <si>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</si>
  <si>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</si>
  <si>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</si>
  <si>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</si>
  <si>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</si>
  <si>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</si>
  <si>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</si>
  <si>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</si>
  <si>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</si>
  <si>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</si>
  <si>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</si>
  <si>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</si>
  <si>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</si>
  <si>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</si>
  <si>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</si>
  <si>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</si>
  <si>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</si>
  <si>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</si>
  <si>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</si>
  <si>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</si>
  <si>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</si>
  <si>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</si>
  <si>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</si>
  <si>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</si>
  <si>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</si>
  <si>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</si>
  <si>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</si>
  <si>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</si>
  <si>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</si>
  <si>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</si>
  <si>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</si>
  <si>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</si>
  <si>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</si>
  <si>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</si>
  <si>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</si>
  <si>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</si>
  <si>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</si>
  <si>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</si>
  <si>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</si>
  <si>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</si>
  <si>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</si>
  <si>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</si>
  <si>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</si>
  <si>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</si>
  <si>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</si>
  <si>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</si>
  <si>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</si>
  <si>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</si>
  <si>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</si>
  <si>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</si>
  <si>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</si>
  <si>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</si>
  <si>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</si>
  <si>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</si>
  <si>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</si>
  <si>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</si>
  <si>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</si>
  <si>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</si>
  <si>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</si>
  <si>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</si>
  <si>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</si>
  <si>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</si>
  <si>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</si>
  <si>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</si>
  <si>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</si>
  <si>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</si>
  <si>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</si>
  <si>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</si>
  <si>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</si>
  <si>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</si>
  <si>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</si>
  <si>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</si>
  <si>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</si>
  <si>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</si>
  <si>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</si>
  <si>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</si>
  <si>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</si>
  <si>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</si>
  <si>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</si>
  <si>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</si>
  <si>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</si>
  <si>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</si>
  <si>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</si>
  <si>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</si>
  <si>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</si>
  <si>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</si>
  <si>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</si>
  <si>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</si>
  <si>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</si>
  <si>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</si>
  <si>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</si>
  <si>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</si>
  <si>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</si>
  <si>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</si>
  <si>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</si>
  <si>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</si>
  <si>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</si>
  <si>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</si>
  <si>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</si>
  <si>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</si>
  <si>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</si>
  <si>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</si>
  <si>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</si>
  <si>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</si>
  <si>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</si>
  <si>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</si>
  <si>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</si>
  <si>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</si>
  <si>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</si>
  <si>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</si>
  <si>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</si>
  <si>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</si>
  <si>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</si>
  <si>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</si>
  <si>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</si>
  <si>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</si>
  <si>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</si>
  <si>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</si>
  <si>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</si>
  <si>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</si>
  <si>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</si>
  <si>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</si>
  <si>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</si>
  <si>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</si>
  <si>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</si>
  <si>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</si>
  <si>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</si>
  <si>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</si>
  <si>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</si>
  <si>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</si>
  <si>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</si>
  <si>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</si>
  <si>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</si>
  <si>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</si>
  <si>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</si>
  <si>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</si>
  <si>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</si>
  <si>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</si>
  <si>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</si>
  <si>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</si>
  <si>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</si>
  <si>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</si>
  <si>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</si>
  <si>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</si>
  <si>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</si>
  <si>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</si>
  <si>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</si>
  <si>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</si>
  <si>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</si>
  <si>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</si>
  <si>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</si>
  <si>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</si>
  <si>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</si>
  <si>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</si>
  <si>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</si>
  <si>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</si>
  <si>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</si>
  <si>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</si>
  <si>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</si>
  <si>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</si>
  <si>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</si>
  <si>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</si>
  <si>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</si>
  <si>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</si>
  <si>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</si>
  <si>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</si>
  <si>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</si>
  <si>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</si>
  <si>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</si>
  <si>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</si>
  <si>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</si>
  <si>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</si>
  <si>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</si>
  <si>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</si>
  <si>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</si>
  <si>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</si>
  <si>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</si>
  <si>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</si>
  <si>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</si>
  <si>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</si>
  <si>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</si>
  <si>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</si>
  <si>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</si>
  <si>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</si>
  <si>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</si>
  <si>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</si>
  <si>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</si>
  <si>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</si>
  <si>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</si>
  <si>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</si>
  <si>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</si>
  <si>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</si>
  <si>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</si>
  <si>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</si>
  <si>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</si>
  <si>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</si>
  <si>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</si>
  <si>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</si>
  <si>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</si>
  <si>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</si>
  <si>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</si>
  <si>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</si>
  <si>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</si>
  <si>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</si>
  <si>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</si>
  <si>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</si>
  <si>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</si>
  <si>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</si>
  <si>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</si>
  <si>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</si>
  <si>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</si>
  <si>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</si>
  <si>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</si>
  <si>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</si>
  <si>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</si>
  <si>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</si>
  <si>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</si>
  <si>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</si>
  <si>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</si>
  <si>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</si>
  <si>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</si>
  <si>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</si>
  <si>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</si>
  <si>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</si>
  <si>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</si>
  <si>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</si>
  <si>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</si>
  <si>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</si>
  <si>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</si>
  <si>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</si>
  <si>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</si>
  <si>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</si>
  <si>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</si>
  <si>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</si>
  <si>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</si>
  <si>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</si>
  <si>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</si>
  <si>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</si>
  <si>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</si>
  <si>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</si>
  <si>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</si>
  <si>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</si>
  <si>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</si>
  <si>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</si>
  <si>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</si>
  <si>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</si>
  <si>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</si>
  <si>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</si>
  <si>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</si>
  <si>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</si>
  <si>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</si>
  <si>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</si>
  <si>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</si>
  <si>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</si>
  <si>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</si>
  <si>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</si>
  <si>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</si>
  <si>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</si>
  <si>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</si>
  <si>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</si>
  <si>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</si>
  <si>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</si>
  <si>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</si>
  <si>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</si>
  <si>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</si>
  <si>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</si>
  <si>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</si>
  <si>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</si>
  <si>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</si>
  <si>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</si>
  <si>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</si>
  <si>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</si>
  <si>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</si>
  <si>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</si>
  <si>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</si>
  <si>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</si>
  <si>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</si>
  <si>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</si>
  <si>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</si>
  <si>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</si>
  <si>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</si>
  <si>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</si>
  <si>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</si>
  <si>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</si>
  <si>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</si>
  <si>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</si>
  <si>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</si>
  <si>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</si>
  <si>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</si>
  <si>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</si>
  <si>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</si>
  <si>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</si>
  <si>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</si>
  <si>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</si>
  <si>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</si>
  <si>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</si>
  <si>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</si>
  <si>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</si>
  <si>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</si>
  <si>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</si>
  <si>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</si>
  <si>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</si>
  <si>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</si>
  <si>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</si>
  <si>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</si>
  <si>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</si>
  <si>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</si>
  <si>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</si>
  <si>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</si>
  <si>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</si>
  <si>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</si>
  <si>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</si>
  <si>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</si>
  <si>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</si>
  <si>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</si>
  <si>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</si>
  <si>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</si>
  <si>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</si>
  <si>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</si>
  <si>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</si>
  <si>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</si>
  <si>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</si>
  <si>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</si>
  <si>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</si>
  <si>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</si>
  <si>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</si>
  <si>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</si>
  <si>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</si>
  <si>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</si>
  <si>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</si>
  <si>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</si>
  <si>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</si>
  <si>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</si>
  <si>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</si>
  <si>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</si>
  <si>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</si>
  <si>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</si>
  <si>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</si>
  <si>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</si>
  <si>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</si>
  <si>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</si>
  <si>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</si>
  <si>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</si>
  <si>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</si>
  <si>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</si>
  <si>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</si>
  <si>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</si>
  <si>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</si>
  <si>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</si>
  <si>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</si>
  <si>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</si>
  <si>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</si>
  <si>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</si>
  <si>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</si>
  <si>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</si>
  <si>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</si>
  <si>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</si>
  <si>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</si>
  <si>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</si>
  <si>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</si>
  <si>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</si>
  <si>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</si>
  <si>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</si>
  <si>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</si>
  <si>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</si>
  <si>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</si>
  <si>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</si>
  <si>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</si>
  <si>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</si>
  <si>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</si>
  <si>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</si>
  <si>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</si>
  <si>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</si>
  <si>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</si>
  <si>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</si>
  <si>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</si>
  <si>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</si>
  <si>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</si>
  <si>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</si>
  <si>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</si>
  <si>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</si>
  <si>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</si>
  <si>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</si>
  <si>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</si>
  <si>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</si>
  <si>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</si>
  <si>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</si>
  <si>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</si>
  <si>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</si>
  <si>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</si>
  <si>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</si>
  <si>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</si>
  <si>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</si>
  <si>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</si>
  <si>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</si>
  <si>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</si>
  <si>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</si>
  <si>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</si>
  <si>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</si>
  <si>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</si>
  <si>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</si>
  <si>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</si>
  <si>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</si>
  <si>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</si>
  <si>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</si>
  <si>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</si>
  <si>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</si>
  <si>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</si>
  <si>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</si>
  <si>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</si>
  <si>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</si>
  <si>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</si>
  <si>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</si>
  <si>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</si>
  <si>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</si>
  <si>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</si>
  <si>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</si>
  <si>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</si>
  <si>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</si>
  <si>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</si>
  <si>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</si>
  <si>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</si>
  <si>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</si>
  <si>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</si>
  <si>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</si>
  <si>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</si>
  <si>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</si>
  <si>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</si>
  <si>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</si>
  <si>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</si>
  <si>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</si>
  <si>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</si>
  <si>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</si>
  <si>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</si>
  <si>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</si>
  <si>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</si>
  <si>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</si>
  <si>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</si>
  <si>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</si>
  <si>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</si>
  <si>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</si>
  <si>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</si>
  <si>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</si>
  <si>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</si>
  <si>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</si>
  <si>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</si>
  <si>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</si>
  <si>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</si>
  <si>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</si>
  <si>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</si>
  <si>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</si>
  <si>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</si>
  <si>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</si>
  <si>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</si>
  <si>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</si>
  <si>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</si>
  <si>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</si>
  <si>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</si>
  <si>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</si>
  <si>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</si>
  <si>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</si>
  <si>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</si>
  <si>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</si>
  <si>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</si>
  <si>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</si>
  <si>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</si>
  <si>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</si>
  <si>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</si>
  <si>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</si>
  <si>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</si>
  <si>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</si>
  <si>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</si>
  <si>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</si>
  <si>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</si>
  <si>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</si>
  <si>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</si>
  <si>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</si>
  <si>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</si>
  <si>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</si>
  <si>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</si>
  <si>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</si>
  <si>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</si>
  <si>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</si>
  <si>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</si>
  <si>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</si>
  <si>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</si>
  <si>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</si>
  <si>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</si>
  <si>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</si>
  <si>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</si>
  <si>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</si>
  <si>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</si>
  <si>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</si>
  <si>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</si>
  <si>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</si>
  <si>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</si>
  <si>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</si>
  <si>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</si>
  <si>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</si>
  <si>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</si>
  <si>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</si>
  <si>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</si>
  <si>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</si>
  <si>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</si>
  <si>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</si>
  <si>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</si>
  <si>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</si>
  <si>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</si>
  <si>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</si>
  <si>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</si>
  <si>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</si>
  <si>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</si>
  <si>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</si>
  <si>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</si>
  <si>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</si>
  <si>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</si>
  <si>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</si>
  <si>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</si>
  <si>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</si>
  <si>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</si>
  <si>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</si>
  <si>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</si>
  <si>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</si>
  <si>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</si>
  <si>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</si>
  <si>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</si>
  <si>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</si>
  <si>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</si>
  <si>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</si>
  <si>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</si>
  <si>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</si>
  <si>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</si>
  <si>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</si>
  <si>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</si>
  <si>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</si>
  <si>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</si>
  <si>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</si>
  <si>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</si>
  <si>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</si>
  <si>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</si>
  <si>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</si>
  <si>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</si>
  <si>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</si>
  <si>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</si>
  <si>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</si>
  <si>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</si>
  <si>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</si>
  <si>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</si>
  <si>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</si>
  <si>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</si>
  <si>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</si>
  <si>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</si>
  <si>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</si>
  <si>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</si>
  <si>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</si>
  <si>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</si>
  <si>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</si>
  <si>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</si>
  <si>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</si>
  <si>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</si>
  <si>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</si>
  <si>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</si>
  <si>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</si>
  <si>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</si>
  <si>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</si>
  <si>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</si>
  <si>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</si>
  <si>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</si>
  <si>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</si>
  <si>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</si>
  <si>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</si>
  <si>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</si>
  <si>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</si>
  <si>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</si>
  <si>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</si>
  <si>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</si>
  <si>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</si>
  <si>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</si>
  <si>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</si>
  <si>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</si>
  <si>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</si>
  <si>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</si>
  <si>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</si>
  <si>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</si>
  <si>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</si>
  <si>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</si>
  <si>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</si>
  <si>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</si>
  <si>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</si>
  <si>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</si>
  <si>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</si>
  <si>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</si>
  <si>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</si>
  <si>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</si>
  <si>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</si>
  <si>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</si>
  <si>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</si>
  <si>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</si>
  <si>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</si>
  <si>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</si>
  <si>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</si>
  <si>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</si>
  <si>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</si>
  <si>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</si>
  <si>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</si>
  <si>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</si>
  <si>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type</t>
  </si>
  <si>
    <t>Primary Category</t>
  </si>
  <si>
    <t>Primary Category Average:</t>
  </si>
  <si>
    <t>Subcategory</t>
  </si>
  <si>
    <t>Subcategory Average: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</si>
  <si>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</si>
  <si>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</si>
  <si>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</si>
  <si>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</si>
  <si>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</si>
  <si>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</si>
  <si>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</si>
  <si>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</si>
  <si>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</si>
  <si>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</si>
  <si>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</si>
  <si>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</si>
  <si>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</si>
  <si>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</si>
  <si>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StdDev of goal</t>
  </si>
  <si>
    <t>StdDev of pledged</t>
  </si>
  <si>
    <t>% Success</t>
  </si>
  <si>
    <t>Month</t>
  </si>
  <si>
    <t>Countries</t>
  </si>
  <si>
    <t>Year</t>
  </si>
  <si>
    <t>%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</si>
</sst>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 applyAlignment="1">
      <alignment wrapText="1"/>
    </xf>
    <xf numFmtId="43" fontId="16" fillId="0" borderId="0" xfId="42" applyNumberFormat="1" applyFont="1" applyAlignment="1">
      <alignment horizontal="center"/>
    </xf>
    <xf numFmtId="43" fontId="0" fillId="0" borderId="0" xfId="42" applyNumberFormat="1" applyFont="1" applyAlignment="1"/>
    <xf numFmtId="9" fontId="16" fillId="0" borderId="0" xfId="43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33" borderId="0" xfId="0" applyFill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3" applyFont="1"/>
    <xf numFmtId="9" fontId="0" fillId="0" borderId="0" xfId="43" applyFont="1" applyBorder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9" fontId="16" fillId="0" borderId="11" xfId="43" applyFont="1" applyBorder="1"/>
    <xf numFmtId="4" fontId="0" fillId="0" borderId="0" xfId="44" applyNumberFormat="1" applyFont="1"/>
    <xf numFmtId="3" fontId="0" fillId="0" borderId="0" xfId="44" applyNumberFormat="1" applyFont="1"/>
    <xf numFmtId="0" fontId="0" fillId="34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0" fontId="0" fillId="0" borderId="0" xfId="43" applyNumberFormat="1" applyFont="1" applyAlignment="1">
      <alignment horizontal="center"/>
    </xf>
    <xf numFmtId="10" fontId="0" fillId="35" borderId="0" xfId="43" applyNumberFormat="1" applyFont="1" applyFill="1" applyAlignment="1">
      <alignment horizontal="center"/>
    </xf>
    <xf numFmtId="0" fontId="16" fillId="0" borderId="0" xfId="43" applyNumberFormat="1" applyFont="1" applyAlignment="1">
      <alignment horizontal="left"/>
    </xf>
    <xf numFmtId="10" fontId="16" fillId="37" borderId="0" xfId="43" applyNumberFormat="1" applyFont="1" applyFill="1" applyAlignment="1">
      <alignment horizontal="center"/>
    </xf>
    <xf numFmtId="10" fontId="16" fillId="35" borderId="0" xfId="43" applyNumberFormat="1" applyFont="1" applyFill="1" applyAlignment="1">
      <alignment horizontal="center"/>
    </xf>
    <xf numFmtId="9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left" indent="1"/>
    </xf>
    <xf numFmtId="165" fontId="0" fillId="0" borderId="0" xfId="0" applyNumberFormat="1" applyAlignment="1">
      <alignment horizontal="center"/>
    </xf>
    <xf numFmtId="165" fontId="0" fillId="35" borderId="0" xfId="0" applyNumberFormat="1" applyFill="1" applyAlignment="1">
      <alignment horizontal="center"/>
    </xf>
    <xf numFmtId="165" fontId="0" fillId="0" borderId="0" xfId="0" applyNumberFormat="1"/>
    <xf numFmtId="9" fontId="1" fillId="0" borderId="0" xfId="0" applyNumberFormat="1" applyFont="1"/>
    <xf numFmtId="10" fontId="16" fillId="0" borderId="0" xfId="43" applyNumberFormat="1" applyFont="1" applyFill="1" applyAlignment="1">
      <alignment horizontal="center"/>
    </xf>
    <xf numFmtId="10" fontId="0" fillId="0" borderId="0" xfId="43" applyNumberFormat="1" applyFont="1" applyFill="1" applyAlignment="1">
      <alignment horizontal="center"/>
    </xf>
    <xf numFmtId="0" fontId="0" fillId="35" borderId="0" xfId="0" applyFill="1"/>
    <xf numFmtId="10" fontId="0" fillId="0" borderId="0" xfId="0" applyNumberFormat="1" applyAlignment="1">
      <alignment horizontal="center"/>
    </xf>
    <xf numFmtId="165" fontId="16" fillId="36" borderId="0" xfId="0" applyNumberFormat="1" applyFont="1" applyFill="1"/>
    <xf numFmtId="165" fontId="0" fillId="36" borderId="0" xfId="0" applyNumberFormat="1" applyFill="1"/>
    <xf numFmtId="10" fontId="0" fillId="38" borderId="0" xfId="43" applyNumberFormat="1" applyFont="1" applyFill="1" applyAlignment="1">
      <alignment horizontal="center"/>
    </xf>
    <xf numFmtId="10" fontId="16" fillId="38" borderId="0" xfId="43" applyNumberFormat="1" applyFont="1" applyFill="1" applyAlignment="1">
      <alignment horizontal="center"/>
    </xf>
    <xf numFmtId="4" fontId="0" fillId="0" borderId="0" xfId="0" applyNumberFormat="1"/>
    <xf numFmtId="10" fontId="16" fillId="36" borderId="0" xfId="43" applyNumberFormat="1" applyFont="1" applyFill="1" applyAlignment="1">
      <alignment horizontal="center"/>
    </xf>
    <xf numFmtId="10" fontId="0" fillId="36" borderId="0" xfId="43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8" borderId="0" xfId="0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4" formatCode="#,##0.00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(Processed).xlsx]Sub-Category by Outcomes!SubCatOutcomesPivotTable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F-0B46-9EDC-56D5662D2FF4}"/>
            </c:ext>
          </c:extLst>
        </c:ser>
        <c:ser>
          <c:idx val="1"/>
          <c:order val="1"/>
          <c:tx>
            <c:strRef>
              <c:f>'Sub-Category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F-0B46-9EDC-56D5662D2FF4}"/>
            </c:ext>
          </c:extLst>
        </c:ser>
        <c:ser>
          <c:idx val="2"/>
          <c:order val="2"/>
          <c:tx>
            <c:strRef>
              <c:f>'Sub-Category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F-0B46-9EDC-56D5662D2FF4}"/>
            </c:ext>
          </c:extLst>
        </c:ser>
        <c:ser>
          <c:idx val="3"/>
          <c:order val="3"/>
          <c:tx>
            <c:strRef>
              <c:f>'Sub-Category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F-0B46-9EDC-56D5662D2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(Processed).xlsx]Primary Category by Outcomes!PrimaryOutcomesPivotTable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'Primary 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'Primary 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'Primary 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'Primary 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(Processed).xlsx]Months by Outcomes!MonthsPivotTable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'Months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'Months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'Months by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Months by %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by % Success'!$G$4</c:f>
              <c:strCache>
                <c:ptCount val="1"/>
                <c:pt idx="0">
                  <c:v>% Success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'Months by % Success'!$F$5:$F$16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% Success'!$G$5:$G$16</c:f>
              <c:numCache>
                <c:formatCode>0.00%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0-844C-864C-2C590D3863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389447871"/>
        <c:axId val="389930623"/>
      </c:barChart>
      <c:catAx>
        <c:axId val="38944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0623"/>
        <c:crosses val="autoZero"/>
        <c:auto val="1"/>
        <c:lblAlgn val="ctr"/>
        <c:lblOffset val="100"/>
        <c:noMultiLvlLbl val="0"/>
      </c:catAx>
      <c:valAx>
        <c:axId val="3899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/>
              <a:t>Countries by %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'Countries by % Success'!$H$2</c:f>
              <c:strCache>
                <c:ptCount val="1"/>
                <c:pt idx="0">
                  <c:v>% Success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'Countries by % Success'!$G$3:$G$9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by % Success'!$H$3:$H$9</c:f>
              <c:numCache>
                <c:formatCode>0.00%</c:formatCode>
                <c:ptCount val="7"/>
                <c:pt idx="0">
                  <c:v>0.55813953488372092</c:v>
                </c:pt>
                <c:pt idx="1">
                  <c:v>0.5</c:v>
                </c:pt>
                <c:pt idx="2">
                  <c:v>0.52173913043478259</c:v>
                </c:pt>
                <c:pt idx="3">
                  <c:v>0.54838709677419351</c:v>
                </c:pt>
                <c:pt idx="4">
                  <c:v>0.58333333333333337</c:v>
                </c:pt>
                <c:pt idx="5">
                  <c:v>0.54166666666666663</c:v>
                </c:pt>
                <c:pt idx="6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6D41-9F18-3C6B6CB88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85622863"/>
        <c:axId val="761177871"/>
      </c:barChart>
      <c:catAx>
        <c:axId val="48562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77871"/>
        <c:crosses val="autoZero"/>
        <c:auto val="1"/>
        <c:lblAlgn val="ctr"/>
        <c:lblOffset val="100"/>
        <c:noMultiLvlLbl val="0"/>
      </c:catAx>
      <c:valAx>
        <c:axId val="76117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Year by % Successful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'Years by % Success'!$H$4</c:f>
              <c:strCache>
                <c:ptCount val="1"/>
                <c:pt idx="0">
                  <c:v>% 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'Years by % Success'!$G$5:$G$14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'Years by % Success'!$H$5:$H$14</c:f>
              <c:numCache>
                <c:formatCode>0.00%</c:formatCode>
                <c:ptCount val="10"/>
                <c:pt idx="0">
                  <c:v>0.53703703703703709</c:v>
                </c:pt>
                <c:pt idx="1">
                  <c:v>0.5436893203883495</c:v>
                </c:pt>
                <c:pt idx="2">
                  <c:v>0.5357142857142857</c:v>
                </c:pt>
                <c:pt idx="3">
                  <c:v>0.54545454545454541</c:v>
                </c:pt>
                <c:pt idx="4">
                  <c:v>0.58823529411764708</c:v>
                </c:pt>
                <c:pt idx="5">
                  <c:v>0.51428571428571423</c:v>
                </c:pt>
                <c:pt idx="6">
                  <c:v>0.5</c:v>
                </c:pt>
                <c:pt idx="7">
                  <c:v>0.6633663366336634</c:v>
                </c:pt>
                <c:pt idx="8">
                  <c:v>0.59803921568627449</c:v>
                </c:pt>
                <c:pt idx="9">
                  <c:v>0.62616822429906538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0-4549-BB62-B6C67983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388191"/>
        <c:axId val="486355951"/>
      </c:barChart>
      <c:catAx>
        <c:axId val="48638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55951"/>
        <c:crosses val="autoZero"/>
        <c:auto val="1"/>
        <c:lblAlgn val="ctr"/>
        <c:lblOffset val="100"/>
        <c:noMultiLvlLbl val="0"/>
      </c:catAx>
      <c:valAx>
        <c:axId val="48635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(Processed).xlsx]Outcome by StdDev Goal-Pledge!OutcomeByStdDevPivotTable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'Outcome by StdDev Goal-Pledge'!$B$3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'Outcome by StdDev Goal-Pledge'!$C$3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12700</xdr:rowOff>
    </xdr:from>
    <xdr:to>
      <xdr:col>17</xdr:col>
      <xdr:colOff>520700</xdr:colOff>
      <xdr:row>26</xdr:row>
      <xdr:rowOff>0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238028</xdr:colOff>
      <xdr:row>0</xdr:row>
      <xdr:rowOff>57727</xdr:rowOff>
    </xdr:from>
    <xdr:to>
      <xdr:col>11</xdr:col>
      <xdr:colOff>470284</xdr:colOff>
      <xdr:row>21</xdr:row>
      <xdr:rowOff>0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12700</xdr:rowOff>
    </xdr:from>
    <xdr:to>
      <xdr:col>12</xdr:col>
      <xdr:colOff>314325</xdr:colOff>
      <xdr:row>17</xdr:row>
      <xdr:rowOff>50800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121227</xdr:colOff>
      <xdr:row>14</xdr:row>
      <xdr:rowOff>19627</xdr:rowOff>
    </xdr:from>
    <xdr:to>
      <xdr:col>7</xdr:col>
      <xdr:colOff>1339272</xdr:colOff>
      <xdr:row>27</xdr:row>
      <xdr:rowOff>61191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249189</xdr:colOff>
      <xdr:row>2</xdr:row>
      <xdr:rowOff>0</xdr:rowOff>
    </xdr:from>
    <xdr:to>
      <xdr:col>15</xdr:col>
      <xdr:colOff>30980</xdr:colOff>
      <xdr:row>22</xdr:row>
      <xdr:rowOff>190501</xdr:rowOff>
    </xdr:to>
    <xdr:graphicFrame macro="">
      <xdr:nvGraphicFramePr>
        <xdr:cNvPr id="5" name="SuccessByMonthChart">
          <a:extLst>
            <a:ext uri="{FF2B5EF4-FFF2-40B4-BE49-F238E27FC236}">
              <a16:creationId xmlns:a16="http://schemas.microsoft.com/office/drawing/2014/main" id="{6C31102D-ADBB-F627-BD95-2B944E2FF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50800</xdr:rowOff>
    </xdr:from>
    <xdr:to>
      <xdr:col>8</xdr:col>
      <xdr:colOff>25400</xdr:colOff>
      <xdr:row>29</xdr:row>
      <xdr:rowOff>50800</xdr:rowOff>
    </xdr:to>
    <xdr:graphicFrame macro="">
      <xdr:nvGraphicFramePr>
        <xdr:cNvPr id="4" name="CountriesBySuccessChart">
          <a:extLst>
            <a:ext uri="{FF2B5EF4-FFF2-40B4-BE49-F238E27FC236}">
              <a16:creationId xmlns:a16="http://schemas.microsoft.com/office/drawing/2014/main" id="{4AB96A64-5033-8CAE-7C49-4907FB4EF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7</xdr:col>
      <xdr:colOff>1460500</xdr:colOff>
      <xdr:row>35</xdr:row>
      <xdr:rowOff>0</xdr:rowOff>
    </xdr:to>
    <xdr:graphicFrame macro="">
      <xdr:nvGraphicFramePr>
        <xdr:cNvPr id="6" name="YearsBySuccessChart">
          <a:extLst>
            <a:ext uri="{FF2B5EF4-FFF2-40B4-BE49-F238E27FC236}">
              <a16:creationId xmlns:a16="http://schemas.microsoft.com/office/drawing/2014/main" id="{112C1B00-E5C4-3E91-0899-E057DA79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165100</xdr:rowOff>
    </xdr:from>
    <xdr:to>
      <xdr:col>4</xdr:col>
      <xdr:colOff>457200</xdr:colOff>
      <xdr:row>22</xdr:row>
      <xdr:rowOff>63500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27.637896180553" createdVersion="8" refreshedVersion="8" minRefreshableVersion="3" recordCount="1000" xr:uid="{25B9C5B8-AB14-014F-910A-56313FE5B90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164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 count="986">
        <n v="0"/>
        <n v="10.4"/>
        <n v="1.31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x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x v="1"/>
    <x v="1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x v="2"/>
    <x v="2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x v="3"/>
    <x v="3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x v="4"/>
    <x v="4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x v="5"/>
    <x v="5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x v="6"/>
    <x v="6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x v="7"/>
    <x v="7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x v="8"/>
    <x v="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x v="9"/>
    <x v="9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x v="10"/>
    <x v="10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x v="11"/>
    <x v="11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x v="12"/>
    <x v="12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x v="13"/>
    <x v="13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x v="14"/>
    <x v="14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x v="15"/>
    <x v="15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x v="16"/>
    <x v="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x v="17"/>
    <x v="17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x v="18"/>
    <x v="18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x v="19"/>
    <x v="1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x v="20"/>
    <x v="20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x v="21"/>
    <x v="2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x v="22"/>
    <x v="2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x v="23"/>
    <x v="23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x v="24"/>
    <x v="24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x v="25"/>
    <x v="25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x v="26"/>
    <x v="2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x v="27"/>
    <x v="27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x v="28"/>
    <x v="28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x v="29"/>
    <x v="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x v="30"/>
    <x v="30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x v="31"/>
    <x v="3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x v="32"/>
    <x v="3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x v="33"/>
    <x v="33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x v="34"/>
    <x v="34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x v="35"/>
    <x v="35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x v="36"/>
    <x v="36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x v="37"/>
    <x v="37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x v="38"/>
    <x v="3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x v="39"/>
    <x v="3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x v="40"/>
    <x v="40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x v="41"/>
    <x v="41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x v="42"/>
    <x v="42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x v="43"/>
    <x v="43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x v="44"/>
    <x v="44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x v="45"/>
    <x v="45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x v="46"/>
    <x v="46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x v="47"/>
    <x v="47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x v="48"/>
    <x v="48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x v="49"/>
    <x v="49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x v="50"/>
    <x v="50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x v="51"/>
    <x v="51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x v="52"/>
    <x v="52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x v="53"/>
    <x v="53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x v="54"/>
    <x v="54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x v="55"/>
    <x v="55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x v="56"/>
    <x v="56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x v="57"/>
    <x v="57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x v="58"/>
    <x v="58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x v="59"/>
    <x v="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x v="60"/>
    <x v="60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x v="61"/>
    <x v="6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x v="62"/>
    <x v="62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x v="63"/>
    <x v="63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x v="64"/>
    <x v="64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x v="65"/>
    <x v="6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x v="66"/>
    <x v="66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x v="67"/>
    <x v="6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x v="68"/>
    <x v="68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x v="69"/>
    <x v="69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x v="70"/>
    <x v="70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x v="71"/>
    <x v="71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x v="72"/>
    <x v="72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x v="73"/>
    <x v="73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x v="74"/>
    <x v="74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x v="75"/>
    <x v="75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x v="76"/>
    <x v="76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x v="77"/>
    <x v="7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x v="78"/>
    <x v="7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x v="79"/>
    <x v="79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x v="80"/>
    <x v="80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x v="81"/>
    <x v="81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x v="82"/>
    <x v="8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x v="83"/>
    <x v="83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x v="84"/>
    <x v="84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x v="85"/>
    <x v="85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x v="86"/>
    <x v="86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x v="87"/>
    <x v="87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x v="88"/>
    <x v="88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x v="89"/>
    <x v="89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x v="58"/>
    <x v="90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x v="90"/>
    <x v="91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x v="91"/>
    <x v="92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x v="92"/>
    <x v="93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x v="93"/>
    <x v="9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x v="94"/>
    <x v="95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x v="95"/>
    <x v="96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x v="96"/>
    <x v="9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x v="97"/>
    <x v="98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x v="98"/>
    <x v="99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x v="99"/>
    <x v="100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x v="100"/>
    <x v="10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x v="101"/>
    <x v="10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x v="102"/>
    <x v="1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x v="103"/>
    <x v="10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x v="104"/>
    <x v="10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x v="105"/>
    <x v="106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x v="106"/>
    <x v="10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x v="107"/>
    <x v="108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x v="108"/>
    <x v="10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x v="109"/>
    <x v="110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x v="110"/>
    <x v="11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x v="111"/>
    <x v="112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x v="112"/>
    <x v="113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x v="113"/>
    <x v="114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x v="114"/>
    <x v="115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x v="115"/>
    <x v="116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x v="116"/>
    <x v="117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x v="117"/>
    <x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x v="118"/>
    <x v="119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x v="119"/>
    <x v="120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x v="120"/>
    <x v="121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x v="121"/>
    <x v="12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x v="122"/>
    <x v="12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x v="123"/>
    <x v="124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x v="124"/>
    <x v="125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x v="125"/>
    <x v="126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x v="126"/>
    <x v="127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x v="127"/>
    <x v="128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x v="128"/>
    <x v="129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x v="129"/>
    <x v="130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x v="130"/>
    <x v="13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x v="131"/>
    <x v="132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x v="132"/>
    <x v="133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x v="133"/>
    <x v="134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x v="134"/>
    <x v="135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x v="135"/>
    <x v="136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x v="136"/>
    <x v="13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x v="137"/>
    <x v="138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x v="138"/>
    <x v="13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x v="139"/>
    <x v="140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x v="140"/>
    <x v="14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x v="141"/>
    <x v="142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x v="142"/>
    <x v="143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x v="143"/>
    <x v="144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x v="144"/>
    <x v="145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x v="145"/>
    <x v="146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x v="146"/>
    <x v="147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x v="147"/>
    <x v="14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x v="148"/>
    <x v="1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x v="99"/>
    <x v="100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x v="149"/>
    <x v="150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x v="150"/>
    <x v="151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x v="151"/>
    <x v="152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x v="152"/>
    <x v="15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x v="153"/>
    <x v="154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x v="154"/>
    <x v="155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x v="155"/>
    <x v="156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x v="156"/>
    <x v="15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x v="157"/>
    <x v="158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x v="158"/>
    <x v="15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x v="159"/>
    <x v="160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x v="160"/>
    <x v="161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x v="161"/>
    <x v="162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x v="162"/>
    <x v="16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x v="163"/>
    <x v="164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x v="164"/>
    <x v="165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x v="165"/>
    <x v="16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x v="166"/>
    <x v="167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x v="167"/>
    <x v="1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x v="168"/>
    <x v="169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x v="169"/>
    <x v="170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x v="170"/>
    <x v="171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x v="171"/>
    <x v="172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x v="172"/>
    <x v="173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x v="173"/>
    <x v="174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x v="174"/>
    <x v="1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x v="175"/>
    <x v="17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x v="176"/>
    <x v="177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x v="177"/>
    <x v="17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x v="178"/>
    <x v="179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x v="179"/>
    <x v="180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x v="180"/>
    <x v="181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x v="181"/>
    <x v="18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x v="182"/>
    <x v="18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x v="183"/>
    <x v="184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x v="184"/>
    <x v="185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x v="185"/>
    <x v="186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x v="186"/>
    <x v="187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x v="187"/>
    <x v="188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x v="188"/>
    <x v="18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x v="189"/>
    <x v="190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x v="190"/>
    <x v="191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x v="191"/>
    <x v="192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x v="192"/>
    <x v="19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x v="193"/>
    <x v="194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x v="194"/>
    <x v="19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x v="195"/>
    <x v="196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x v="196"/>
    <x v="197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x v="197"/>
    <x v="19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x v="50"/>
    <x v="50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x v="198"/>
    <x v="199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x v="199"/>
    <x v="200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x v="200"/>
    <x v="201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x v="201"/>
    <x v="20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x v="202"/>
    <x v="203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x v="203"/>
    <x v="204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x v="204"/>
    <x v="205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x v="205"/>
    <x v="206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x v="206"/>
    <x v="207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x v="207"/>
    <x v="208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x v="208"/>
    <x v="209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x v="209"/>
    <x v="210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x v="210"/>
    <x v="211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x v="211"/>
    <x v="212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x v="212"/>
    <x v="213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x v="213"/>
    <x v="214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x v="214"/>
    <x v="2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x v="215"/>
    <x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x v="216"/>
    <x v="217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x v="217"/>
    <x v="21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x v="218"/>
    <x v="21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x v="219"/>
    <x v="220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x v="220"/>
    <x v="221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x v="221"/>
    <x v="222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x v="222"/>
    <x v="223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x v="223"/>
    <x v="224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x v="224"/>
    <x v="225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x v="225"/>
    <x v="226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x v="226"/>
    <x v="227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x v="227"/>
    <x v="228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x v="228"/>
    <x v="2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x v="229"/>
    <x v="230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x v="230"/>
    <x v="231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x v="231"/>
    <x v="232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x v="232"/>
    <x v="233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x v="233"/>
    <x v="23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x v="234"/>
    <x v="23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x v="235"/>
    <x v="236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x v="236"/>
    <x v="237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x v="237"/>
    <x v="238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x v="238"/>
    <x v="239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x v="239"/>
    <x v="240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x v="240"/>
    <x v="24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x v="241"/>
    <x v="242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x v="242"/>
    <x v="243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x v="243"/>
    <x v="244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x v="244"/>
    <x v="245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x v="245"/>
    <x v="246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x v="246"/>
    <x v="247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x v="247"/>
    <x v="248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x v="248"/>
    <x v="249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x v="249"/>
    <x v="250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x v="250"/>
    <x v="25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x v="251"/>
    <x v="252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x v="252"/>
    <x v="253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x v="253"/>
    <x v="254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x v="254"/>
    <x v="255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x v="255"/>
    <x v="256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x v="256"/>
    <x v="257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x v="257"/>
    <x v="2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x v="258"/>
    <x v="259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x v="259"/>
    <x v="260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x v="260"/>
    <x v="26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x v="261"/>
    <x v="26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x v="262"/>
    <x v="26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x v="263"/>
    <x v="264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x v="264"/>
    <x v="265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x v="265"/>
    <x v="266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x v="266"/>
    <x v="267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x v="267"/>
    <x v="268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x v="268"/>
    <x v="269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x v="269"/>
    <x v="270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x v="270"/>
    <x v="271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x v="271"/>
    <x v="27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x v="272"/>
    <x v="27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x v="273"/>
    <x v="274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x v="274"/>
    <x v="27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x v="275"/>
    <x v="27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x v="276"/>
    <x v="277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x v="277"/>
    <x v="278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x v="278"/>
    <x v="279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x v="279"/>
    <x v="280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x v="280"/>
    <x v="281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x v="281"/>
    <x v="28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x v="282"/>
    <x v="283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x v="283"/>
    <x v="284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x v="284"/>
    <x v="285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x v="285"/>
    <x v="286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x v="286"/>
    <x v="287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x v="287"/>
    <x v="28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x v="288"/>
    <x v="28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x v="289"/>
    <x v="29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x v="290"/>
    <x v="291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x v="291"/>
    <x v="292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x v="292"/>
    <x v="293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x v="293"/>
    <x v="294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x v="294"/>
    <x v="295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x v="295"/>
    <x v="296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x v="296"/>
    <x v="297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x v="297"/>
    <x v="298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x v="298"/>
    <x v="299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x v="299"/>
    <x v="300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x v="300"/>
    <x v="301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x v="301"/>
    <x v="30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x v="302"/>
    <x v="303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x v="303"/>
    <x v="304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x v="304"/>
    <x v="305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x v="305"/>
    <x v="30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x v="306"/>
    <x v="307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x v="307"/>
    <x v="308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x v="308"/>
    <x v="309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x v="309"/>
    <x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x v="310"/>
    <x v="31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x v="311"/>
    <x v="31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x v="312"/>
    <x v="313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x v="313"/>
    <x v="314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x v="314"/>
    <x v="315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x v="315"/>
    <x v="3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x v="316"/>
    <x v="317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x v="317"/>
    <x v="318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x v="318"/>
    <x v="31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x v="319"/>
    <x v="320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x v="320"/>
    <x v="321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x v="321"/>
    <x v="32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x v="322"/>
    <x v="323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x v="323"/>
    <x v="32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x v="324"/>
    <x v="325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x v="325"/>
    <x v="326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x v="326"/>
    <x v="327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x v="327"/>
    <x v="328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x v="328"/>
    <x v="329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x v="329"/>
    <x v="33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x v="330"/>
    <x v="331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x v="331"/>
    <x v="33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x v="332"/>
    <x v="333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x v="333"/>
    <x v="334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x v="334"/>
    <x v="335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x v="335"/>
    <x v="336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x v="336"/>
    <x v="337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x v="337"/>
    <x v="338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x v="338"/>
    <x v="339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x v="339"/>
    <x v="340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x v="340"/>
    <x v="341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x v="341"/>
    <x v="3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x v="342"/>
    <x v="343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x v="343"/>
    <x v="34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x v="344"/>
    <x v="345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x v="345"/>
    <x v="346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x v="346"/>
    <x v="347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x v="297"/>
    <x v="298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x v="347"/>
    <x v="34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x v="348"/>
    <x v="34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x v="349"/>
    <x v="350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x v="350"/>
    <x v="351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x v="351"/>
    <x v="352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x v="352"/>
    <x v="353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x v="353"/>
    <x v="354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x v="354"/>
    <x v="355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x v="355"/>
    <x v="356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x v="356"/>
    <x v="357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x v="357"/>
    <x v="358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x v="358"/>
    <x v="359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x v="359"/>
    <x v="3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x v="360"/>
    <x v="361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x v="361"/>
    <x v="362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x v="362"/>
    <x v="363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x v="363"/>
    <x v="364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x v="364"/>
    <x v="365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x v="365"/>
    <x v="366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x v="366"/>
    <x v="367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x v="367"/>
    <x v="3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x v="211"/>
    <x v="369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x v="368"/>
    <x v="37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x v="369"/>
    <x v="371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x v="370"/>
    <x v="372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x v="371"/>
    <x v="373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x v="372"/>
    <x v="374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x v="373"/>
    <x v="375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x v="374"/>
    <x v="376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x v="375"/>
    <x v="377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x v="376"/>
    <x v="378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x v="377"/>
    <x v="379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x v="378"/>
    <x v="380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x v="379"/>
    <x v="381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x v="380"/>
    <x v="382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x v="381"/>
    <x v="383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x v="382"/>
    <x v="384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x v="383"/>
    <x v="385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x v="384"/>
    <x v="386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x v="385"/>
    <x v="3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x v="386"/>
    <x v="388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x v="387"/>
    <x v="389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x v="388"/>
    <x v="390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x v="389"/>
    <x v="391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x v="390"/>
    <x v="39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x v="391"/>
    <x v="393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x v="392"/>
    <x v="39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x v="393"/>
    <x v="3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x v="394"/>
    <x v="396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x v="50"/>
    <x v="50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x v="395"/>
    <x v="397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x v="396"/>
    <x v="398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x v="397"/>
    <x v="399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x v="398"/>
    <x v="400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x v="399"/>
    <x v="401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x v="400"/>
    <x v="40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x v="401"/>
    <x v="403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x v="402"/>
    <x v="404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x v="403"/>
    <x v="405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x v="404"/>
    <x v="40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x v="405"/>
    <x v="407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x v="406"/>
    <x v="408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x v="407"/>
    <x v="409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x v="408"/>
    <x v="410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x v="409"/>
    <x v="4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x v="410"/>
    <x v="412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x v="411"/>
    <x v="413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x v="412"/>
    <x v="414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x v="413"/>
    <x v="41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x v="414"/>
    <x v="41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x v="415"/>
    <x v="417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x v="416"/>
    <x v="418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x v="417"/>
    <x v="419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x v="418"/>
    <x v="42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x v="419"/>
    <x v="421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x v="420"/>
    <x v="422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x v="421"/>
    <x v="42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x v="422"/>
    <x v="42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x v="423"/>
    <x v="425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x v="424"/>
    <x v="42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x v="425"/>
    <x v="427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x v="426"/>
    <x v="42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x v="427"/>
    <x v="42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x v="315"/>
    <x v="430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x v="428"/>
    <x v="431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x v="429"/>
    <x v="43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x v="430"/>
    <x v="43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x v="431"/>
    <x v="434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x v="432"/>
    <x v="43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x v="433"/>
    <x v="436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x v="434"/>
    <x v="437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x v="435"/>
    <x v="438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x v="436"/>
    <x v="439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x v="437"/>
    <x v="440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x v="438"/>
    <x v="44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x v="439"/>
    <x v="44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x v="440"/>
    <x v="44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x v="441"/>
    <x v="444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x v="442"/>
    <x v="445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x v="443"/>
    <x v="446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x v="444"/>
    <x v="447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x v="445"/>
    <x v="448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x v="446"/>
    <x v="449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x v="447"/>
    <x v="450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x v="448"/>
    <x v="45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x v="449"/>
    <x v="452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x v="450"/>
    <x v="45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x v="451"/>
    <x v="45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x v="452"/>
    <x v="455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x v="453"/>
    <x v="456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x v="454"/>
    <x v="457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x v="455"/>
    <x v="458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x v="456"/>
    <x v="459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x v="457"/>
    <x v="460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x v="458"/>
    <x v="461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x v="459"/>
    <x v="46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x v="460"/>
    <x v="463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x v="461"/>
    <x v="464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x v="462"/>
    <x v="465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x v="463"/>
    <x v="46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x v="464"/>
    <x v="467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x v="465"/>
    <x v="46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x v="466"/>
    <x v="469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x v="75"/>
    <x v="470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x v="467"/>
    <x v="471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x v="468"/>
    <x v="472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x v="469"/>
    <x v="47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x v="470"/>
    <x v="474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x v="471"/>
    <x v="475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x v="472"/>
    <x v="476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x v="473"/>
    <x v="477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x v="474"/>
    <x v="478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x v="475"/>
    <x v="479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x v="476"/>
    <x v="48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x v="477"/>
    <x v="4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x v="478"/>
    <x v="482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x v="479"/>
    <x v="483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x v="480"/>
    <x v="484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x v="481"/>
    <x v="485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x v="482"/>
    <x v="486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x v="483"/>
    <x v="487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x v="484"/>
    <x v="488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x v="485"/>
    <x v="489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x v="486"/>
    <x v="490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x v="487"/>
    <x v="491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x v="488"/>
    <x v="492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x v="489"/>
    <x v="493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x v="490"/>
    <x v="49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x v="491"/>
    <x v="495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x v="0"/>
    <x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x v="492"/>
    <x v="496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x v="493"/>
    <x v="497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x v="494"/>
    <x v="498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x v="495"/>
    <x v="499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x v="496"/>
    <x v="500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x v="497"/>
    <x v="50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x v="498"/>
    <x v="502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x v="499"/>
    <x v="503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x v="500"/>
    <x v="504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x v="501"/>
    <x v="505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x v="502"/>
    <x v="506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x v="503"/>
    <x v="507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x v="504"/>
    <x v="508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x v="505"/>
    <x v="50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x v="506"/>
    <x v="510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x v="507"/>
    <x v="511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x v="508"/>
    <x v="5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x v="509"/>
    <x v="51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x v="510"/>
    <x v="514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x v="511"/>
    <x v="51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x v="512"/>
    <x v="51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x v="513"/>
    <x v="51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x v="514"/>
    <x v="518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x v="515"/>
    <x v="51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x v="516"/>
    <x v="520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x v="517"/>
    <x v="521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x v="518"/>
    <x v="522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x v="519"/>
    <x v="523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x v="520"/>
    <x v="52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x v="521"/>
    <x v="525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x v="522"/>
    <x v="52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x v="523"/>
    <x v="527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x v="524"/>
    <x v="52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x v="525"/>
    <x v="529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x v="526"/>
    <x v="530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x v="527"/>
    <x v="531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x v="528"/>
    <x v="532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x v="529"/>
    <x v="533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x v="530"/>
    <x v="53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x v="531"/>
    <x v="535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x v="532"/>
    <x v="536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x v="533"/>
    <x v="537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x v="534"/>
    <x v="5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x v="535"/>
    <x v="539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x v="536"/>
    <x v="540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x v="537"/>
    <x v="541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x v="538"/>
    <x v="542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x v="539"/>
    <x v="543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x v="540"/>
    <x v="54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x v="443"/>
    <x v="446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x v="541"/>
    <x v="545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x v="542"/>
    <x v="54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x v="543"/>
    <x v="547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x v="544"/>
    <x v="548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x v="545"/>
    <x v="549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x v="546"/>
    <x v="55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x v="547"/>
    <x v="551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x v="548"/>
    <x v="552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x v="549"/>
    <x v="55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x v="550"/>
    <x v="55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x v="551"/>
    <x v="555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x v="314"/>
    <x v="556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x v="552"/>
    <x v="557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x v="553"/>
    <x v="558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x v="554"/>
    <x v="559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x v="555"/>
    <x v="560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x v="556"/>
    <x v="561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x v="557"/>
    <x v="56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x v="558"/>
    <x v="56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x v="559"/>
    <x v="56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x v="560"/>
    <x v="565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x v="561"/>
    <x v="56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x v="562"/>
    <x v="56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x v="563"/>
    <x v="568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x v="564"/>
    <x v="569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x v="565"/>
    <x v="570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x v="566"/>
    <x v="571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x v="567"/>
    <x v="5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x v="568"/>
    <x v="573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x v="569"/>
    <x v="574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x v="570"/>
    <x v="575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x v="571"/>
    <x v="576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x v="572"/>
    <x v="577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x v="573"/>
    <x v="578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x v="574"/>
    <x v="579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x v="575"/>
    <x v="580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x v="576"/>
    <x v="58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x v="577"/>
    <x v="582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x v="578"/>
    <x v="583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x v="579"/>
    <x v="584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x v="580"/>
    <x v="585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x v="581"/>
    <x v="586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x v="582"/>
    <x v="587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x v="583"/>
    <x v="5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x v="584"/>
    <x v="58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x v="585"/>
    <x v="59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x v="586"/>
    <x v="591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x v="587"/>
    <x v="59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x v="588"/>
    <x v="593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x v="297"/>
    <x v="298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x v="589"/>
    <x v="59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x v="590"/>
    <x v="595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x v="591"/>
    <x v="59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x v="592"/>
    <x v="597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x v="593"/>
    <x v="598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x v="594"/>
    <x v="599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x v="595"/>
    <x v="600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x v="416"/>
    <x v="6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x v="596"/>
    <x v="602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x v="597"/>
    <x v="603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x v="598"/>
    <x v="60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x v="599"/>
    <x v="605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x v="600"/>
    <x v="606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x v="601"/>
    <x v="607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x v="602"/>
    <x v="608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x v="402"/>
    <x v="609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x v="203"/>
    <x v="61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x v="603"/>
    <x v="611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x v="604"/>
    <x v="612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x v="605"/>
    <x v="613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x v="606"/>
    <x v="614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x v="607"/>
    <x v="615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x v="608"/>
    <x v="616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x v="609"/>
    <x v="617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x v="377"/>
    <x v="61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x v="610"/>
    <x v="619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x v="611"/>
    <x v="620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x v="612"/>
    <x v="621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x v="613"/>
    <x v="622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x v="614"/>
    <x v="62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x v="615"/>
    <x v="624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x v="616"/>
    <x v="625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x v="617"/>
    <x v="626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x v="618"/>
    <x v="62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x v="619"/>
    <x v="628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x v="620"/>
    <x v="62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x v="621"/>
    <x v="630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x v="622"/>
    <x v="63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x v="623"/>
    <x v="632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x v="624"/>
    <x v="63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x v="625"/>
    <x v="634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x v="626"/>
    <x v="63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x v="627"/>
    <x v="63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x v="628"/>
    <x v="637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x v="629"/>
    <x v="638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x v="630"/>
    <x v="63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x v="631"/>
    <x v="640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x v="632"/>
    <x v="641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x v="633"/>
    <x v="64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x v="50"/>
    <x v="50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x v="634"/>
    <x v="643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x v="635"/>
    <x v="64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x v="636"/>
    <x v="645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x v="637"/>
    <x v="6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x v="638"/>
    <x v="647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x v="639"/>
    <x v="648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x v="640"/>
    <x v="649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x v="641"/>
    <x v="65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x v="642"/>
    <x v="651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x v="643"/>
    <x v="65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x v="644"/>
    <x v="65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x v="645"/>
    <x v="654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x v="646"/>
    <x v="65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x v="647"/>
    <x v="65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x v="648"/>
    <x v="657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x v="649"/>
    <x v="65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x v="650"/>
    <x v="659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x v="651"/>
    <x v="66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x v="652"/>
    <x v="661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x v="653"/>
    <x v="66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x v="654"/>
    <x v="663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x v="655"/>
    <x v="664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x v="656"/>
    <x v="66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x v="657"/>
    <x v="666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x v="658"/>
    <x v="667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x v="659"/>
    <x v="668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x v="660"/>
    <x v="66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x v="661"/>
    <x v="670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x v="662"/>
    <x v="671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x v="663"/>
    <x v="672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x v="664"/>
    <x v="673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x v="665"/>
    <x v="674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x v="666"/>
    <x v="675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x v="667"/>
    <x v="676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x v="668"/>
    <x v="677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x v="669"/>
    <x v="678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x v="670"/>
    <x v="679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x v="671"/>
    <x v="680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x v="672"/>
    <x v="68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x v="673"/>
    <x v="682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x v="674"/>
    <x v="683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x v="675"/>
    <x v="684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x v="676"/>
    <x v="685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x v="677"/>
    <x v="686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x v="678"/>
    <x v="687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x v="679"/>
    <x v="688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x v="680"/>
    <x v="689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x v="681"/>
    <x v="690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x v="682"/>
    <x v="691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x v="247"/>
    <x v="248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x v="683"/>
    <x v="692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x v="684"/>
    <x v="693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x v="685"/>
    <x v="694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x v="686"/>
    <x v="695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x v="687"/>
    <x v="69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x v="688"/>
    <x v="69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x v="689"/>
    <x v="698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x v="690"/>
    <x v="699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x v="691"/>
    <x v="700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x v="692"/>
    <x v="701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x v="693"/>
    <x v="70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x v="694"/>
    <x v="703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x v="695"/>
    <x v="704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x v="696"/>
    <x v="705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x v="697"/>
    <x v="706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x v="698"/>
    <x v="707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x v="699"/>
    <x v="70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x v="700"/>
    <x v="709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x v="701"/>
    <x v="710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x v="702"/>
    <x v="711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x v="703"/>
    <x v="71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x v="704"/>
    <x v="713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x v="705"/>
    <x v="714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x v="706"/>
    <x v="715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x v="707"/>
    <x v="71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x v="708"/>
    <x v="717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x v="709"/>
    <x v="718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x v="710"/>
    <x v="71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x v="711"/>
    <x v="720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x v="712"/>
    <x v="72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x v="713"/>
    <x v="722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x v="714"/>
    <x v="723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x v="715"/>
    <x v="72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x v="716"/>
    <x v="725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x v="717"/>
    <x v="726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x v="718"/>
    <x v="727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x v="719"/>
    <x v="728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x v="720"/>
    <x v="729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x v="721"/>
    <x v="730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x v="722"/>
    <x v="731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x v="723"/>
    <x v="732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x v="724"/>
    <x v="733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x v="725"/>
    <x v="734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x v="726"/>
    <x v="735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x v="727"/>
    <x v="736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x v="728"/>
    <x v="737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x v="729"/>
    <x v="738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x v="730"/>
    <x v="739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x v="731"/>
    <x v="740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x v="99"/>
    <x v="100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x v="732"/>
    <x v="741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x v="733"/>
    <x v="74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x v="734"/>
    <x v="743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x v="735"/>
    <x v="744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x v="562"/>
    <x v="745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x v="736"/>
    <x v="746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x v="737"/>
    <x v="74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x v="738"/>
    <x v="748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x v="739"/>
    <x v="74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x v="740"/>
    <x v="750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x v="741"/>
    <x v="751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x v="742"/>
    <x v="752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x v="207"/>
    <x v="75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x v="743"/>
    <x v="75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x v="744"/>
    <x v="75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x v="49"/>
    <x v="756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x v="745"/>
    <x v="7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x v="746"/>
    <x v="758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x v="747"/>
    <x v="759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x v="748"/>
    <x v="760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x v="749"/>
    <x v="761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x v="750"/>
    <x v="76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x v="751"/>
    <x v="763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x v="752"/>
    <x v="764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x v="197"/>
    <x v="765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x v="753"/>
    <x v="7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x v="754"/>
    <x v="76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x v="755"/>
    <x v="76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x v="756"/>
    <x v="769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x v="757"/>
    <x v="770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x v="758"/>
    <x v="77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x v="759"/>
    <x v="772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x v="760"/>
    <x v="773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x v="761"/>
    <x v="774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x v="762"/>
    <x v="775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x v="763"/>
    <x v="776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x v="764"/>
    <x v="777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x v="765"/>
    <x v="77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x v="766"/>
    <x v="779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x v="767"/>
    <x v="780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x v="768"/>
    <x v="781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x v="769"/>
    <x v="782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x v="770"/>
    <x v="783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x v="771"/>
    <x v="784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x v="772"/>
    <x v="785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x v="773"/>
    <x v="786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x v="774"/>
    <x v="787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x v="775"/>
    <x v="7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x v="776"/>
    <x v="789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x v="99"/>
    <x v="100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x v="777"/>
    <x v="790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x v="778"/>
    <x v="791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x v="106"/>
    <x v="792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x v="779"/>
    <x v="79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x v="780"/>
    <x v="794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x v="781"/>
    <x v="795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x v="782"/>
    <x v="796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x v="783"/>
    <x v="797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x v="784"/>
    <x v="798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x v="785"/>
    <x v="7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x v="786"/>
    <x v="800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x v="787"/>
    <x v="801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x v="788"/>
    <x v="802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x v="789"/>
    <x v="803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x v="790"/>
    <x v="804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x v="723"/>
    <x v="80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x v="791"/>
    <x v="806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x v="792"/>
    <x v="807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x v="793"/>
    <x v="808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x v="794"/>
    <x v="809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x v="795"/>
    <x v="810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x v="796"/>
    <x v="811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x v="797"/>
    <x v="81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x v="798"/>
    <x v="813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x v="799"/>
    <x v="814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x v="800"/>
    <x v="815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x v="801"/>
    <x v="81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x v="802"/>
    <x v="817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x v="803"/>
    <x v="818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x v="804"/>
    <x v="819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x v="805"/>
    <x v="820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x v="806"/>
    <x v="82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x v="807"/>
    <x v="822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x v="808"/>
    <x v="823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x v="809"/>
    <x v="824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x v="810"/>
    <x v="82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x v="811"/>
    <x v="82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x v="812"/>
    <x v="827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x v="813"/>
    <x v="828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x v="814"/>
    <x v="82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x v="815"/>
    <x v="830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x v="816"/>
    <x v="8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x v="817"/>
    <x v="832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x v="818"/>
    <x v="833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x v="819"/>
    <x v="834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x v="820"/>
    <x v="83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x v="695"/>
    <x v="836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x v="821"/>
    <x v="837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x v="822"/>
    <x v="838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x v="99"/>
    <x v="100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x v="823"/>
    <x v="839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x v="824"/>
    <x v="840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x v="825"/>
    <x v="841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x v="826"/>
    <x v="842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x v="827"/>
    <x v="843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x v="828"/>
    <x v="84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x v="829"/>
    <x v="845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x v="830"/>
    <x v="846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x v="831"/>
    <x v="847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x v="832"/>
    <x v="848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x v="833"/>
    <x v="849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x v="834"/>
    <x v="850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x v="835"/>
    <x v="851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x v="836"/>
    <x v="852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x v="837"/>
    <x v="853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x v="838"/>
    <x v="854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x v="839"/>
    <x v="85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x v="762"/>
    <x v="85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x v="840"/>
    <x v="857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x v="841"/>
    <x v="858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x v="842"/>
    <x v="859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x v="843"/>
    <x v="86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x v="844"/>
    <x v="861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x v="845"/>
    <x v="862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x v="846"/>
    <x v="863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x v="847"/>
    <x v="86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x v="848"/>
    <x v="865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x v="849"/>
    <x v="866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x v="675"/>
    <x v="86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x v="850"/>
    <x v="868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x v="851"/>
    <x v="86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x v="852"/>
    <x v="8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x v="853"/>
    <x v="871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x v="854"/>
    <x v="872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x v="855"/>
    <x v="873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x v="856"/>
    <x v="874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x v="857"/>
    <x v="875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x v="858"/>
    <x v="876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x v="859"/>
    <x v="877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x v="860"/>
    <x v="878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x v="861"/>
    <x v="87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x v="862"/>
    <x v="880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x v="863"/>
    <x v="881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x v="9"/>
    <x v="882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x v="611"/>
    <x v="883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x v="864"/>
    <x v="88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x v="865"/>
    <x v="885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x v="866"/>
    <x v="886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x v="867"/>
    <x v="88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x v="50"/>
    <x v="50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x v="868"/>
    <x v="888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x v="869"/>
    <x v="889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x v="870"/>
    <x v="890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x v="871"/>
    <x v="89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x v="872"/>
    <x v="892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x v="873"/>
    <x v="89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x v="874"/>
    <x v="894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x v="875"/>
    <x v="895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x v="876"/>
    <x v="89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x v="877"/>
    <x v="897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x v="878"/>
    <x v="898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x v="879"/>
    <x v="899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x v="880"/>
    <x v="900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x v="881"/>
    <x v="901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x v="882"/>
    <x v="902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x v="883"/>
    <x v="903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x v="884"/>
    <x v="904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x v="885"/>
    <x v="905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x v="886"/>
    <x v="906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x v="887"/>
    <x v="907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x v="888"/>
    <x v="908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x v="889"/>
    <x v="9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x v="890"/>
    <x v="910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x v="891"/>
    <x v="91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x v="892"/>
    <x v="912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x v="893"/>
    <x v="913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x v="894"/>
    <x v="914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x v="895"/>
    <x v="915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x v="896"/>
    <x v="916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x v="897"/>
    <x v="917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x v="898"/>
    <x v="918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x v="899"/>
    <x v="919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x v="900"/>
    <x v="92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x v="901"/>
    <x v="921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x v="902"/>
    <x v="92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x v="903"/>
    <x v="923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x v="904"/>
    <x v="924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x v="905"/>
    <x v="925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x v="906"/>
    <x v="926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x v="907"/>
    <x v="927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x v="908"/>
    <x v="928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x v="909"/>
    <x v="929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x v="910"/>
    <x v="93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x v="911"/>
    <x v="93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x v="912"/>
    <x v="9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x v="913"/>
    <x v="933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x v="914"/>
    <x v="934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x v="915"/>
    <x v="935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x v="916"/>
    <x v="936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x v="297"/>
    <x v="298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x v="917"/>
    <x v="93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x v="918"/>
    <x v="938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x v="919"/>
    <x v="939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x v="920"/>
    <x v="940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x v="921"/>
    <x v="941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x v="922"/>
    <x v="942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x v="923"/>
    <x v="943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x v="924"/>
    <x v="944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x v="925"/>
    <x v="94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x v="926"/>
    <x v="946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x v="927"/>
    <x v="947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x v="928"/>
    <x v="94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x v="929"/>
    <x v="949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x v="930"/>
    <x v="950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x v="931"/>
    <x v="951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x v="932"/>
    <x v="95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x v="933"/>
    <x v="95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x v="934"/>
    <x v="954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x v="935"/>
    <x v="955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x v="936"/>
    <x v="956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x v="937"/>
    <x v="957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x v="938"/>
    <x v="95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x v="939"/>
    <x v="959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x v="940"/>
    <x v="960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x v="941"/>
    <x v="961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x v="942"/>
    <x v="96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x v="943"/>
    <x v="963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x v="944"/>
    <x v="9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x v="945"/>
    <x v="965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x v="946"/>
    <x v="966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x v="947"/>
    <x v="967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x v="948"/>
    <x v="968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x v="949"/>
    <x v="969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x v="950"/>
    <x v="970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x v="951"/>
    <x v="971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x v="952"/>
    <x v="972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x v="953"/>
    <x v="973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x v="802"/>
    <x v="974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x v="954"/>
    <x v="975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x v="955"/>
    <x v="976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x v="551"/>
    <x v="977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x v="956"/>
    <x v="978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x v="957"/>
    <x v="979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x v="958"/>
    <x v="980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x v="959"/>
    <x v="981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x v="960"/>
    <x v="982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x v="961"/>
    <x v="983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x v="962"/>
    <x v="984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x v="963"/>
    <x v="985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29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Succes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38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6">
    <format dxfId="33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2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1">
      <pivotArea collapsedLevelsAreSubtotals="1" fieldPosition="0">
        <references count="1">
          <reference field="18" count="1">
            <x v="3"/>
          </reference>
        </references>
      </pivotArea>
    </format>
    <format dxfId="30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29">
      <pivotArea dataOnly="0" labelOnly="1" fieldPosition="0">
        <references count="1">
          <reference field="18" count="1">
            <x v="3"/>
          </reference>
        </references>
      </pivotArea>
    </format>
    <format dxfId="28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C38" firstHeaderRow="0" firstDataRow="1" firstDataCol="1" rowPageCount="2" colPageCount="1"/>
  <pivotFields count="22">
    <pivotField showAll="0"/>
    <pivotField showAll="0"/>
    <pivotField showAll="0"/>
    <pivotField dataField="1" numFmtId="164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numFmtId="164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2"/>
        <item x="85"/>
        <item x="600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Page" multipleItemSelectionAllowed="1" showAll="0">
      <items count="5">
        <item h="1" x="3"/>
        <item h="1"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9" hier="-1"/>
    <pageField fld="6" hier="-1"/>
  </pageFields>
  <dataFields count="2">
    <dataField name="Sum of goal" fld="3" baseField="0" baseItem="0" numFmtId="165"/>
    <dataField name="Sum of pledged" fld="4" baseField="0" baseItem="0" numFmtId="165"/>
  </dataFields>
  <formats count="20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3">
      <pivotArea collapsedLevelsAreSubtotals="1" fieldPosition="0">
        <references count="1">
          <reference field="18" count="1">
            <x v="4"/>
          </reference>
        </references>
      </pivotArea>
    </format>
    <format dxfId="22">
      <pivotArea collapsedLevelsAreSubtotals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21">
      <pivotArea collapsedLevelsAreSubtotals="1" fieldPosition="0">
        <references count="1">
          <reference field="18" count="1">
            <x v="5"/>
          </reference>
        </references>
      </pivotArea>
    </format>
    <format dxfId="20">
      <pivotArea collapsedLevelsAreSubtotals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9">
      <pivotArea collapsedLevelsAreSubtotals="1" fieldPosition="0">
        <references count="1">
          <reference field="18" count="1">
            <x v="6"/>
          </reference>
        </references>
      </pivotArea>
    </format>
    <format dxfId="18">
      <pivotArea collapsedLevelsAreSubtotals="1" fieldPosition="0">
        <references count="2">
          <reference field="18" count="1" selected="0">
            <x v="6"/>
          </reference>
          <reference field="19" count="3">
            <x v="5"/>
            <x v="11"/>
            <x v="14"/>
          </reference>
        </references>
      </pivotArea>
    </format>
    <format dxfId="17">
      <pivotArea dataOnly="0" labelOnly="1" fieldPosition="0">
        <references count="1">
          <reference field="18" count="4">
            <x v="3"/>
            <x v="4"/>
            <x v="5"/>
            <x v="6"/>
          </reference>
        </references>
      </pivotArea>
    </format>
    <format dxfId="16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5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4">
      <pivotArea dataOnly="0" labelOnly="1" fieldPosition="0">
        <references count="2">
          <reference field="18" count="1" selected="0">
            <x v="6"/>
          </reference>
          <reference field="19" count="3">
            <x v="5"/>
            <x v="11"/>
            <x v="14"/>
          </reference>
        </references>
      </pivotArea>
    </format>
    <format dxfId="13">
      <pivotArea collapsedLevelsAreSubtotals="1" fieldPosition="0">
        <references count="1">
          <reference field="18" count="1">
            <x v="3"/>
          </reference>
        </references>
      </pivotArea>
    </format>
    <format dxfId="12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1">
      <pivotArea dataOnly="0" labelOnly="1" fieldPosition="0">
        <references count="1">
          <reference field="18" count="1">
            <x v="3"/>
          </reference>
        </references>
      </pivotArea>
    </format>
    <format dxfId="10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9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8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2191-42CB-1344-8886-5BF8AF98D1C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1293F-785D-474D-A627-04E8A4894FB8}" name="CountriesBySucces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F10" firstHeaderRow="1" firstDataRow="2" firstDataCol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YearsBySucces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6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C8" firstHeaderRow="0" firstDataRow="1" firstDataCol="1" rowPageCount="1" colPageCount="1"/>
  <pivotFields count="22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1">
    <format dxfId="7">
      <pivotArea outline="0" collapsedLevelsAreSubtotals="1" fieldPosition="0"/>
    </format>
  </formats>
  <chartFormats count="2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T1001" totalsRowShown="0" headerRowDxfId="60">
  <autoFilter ref="A1:T1001" xr:uid="{066447BB-EF83-1C4B-BDB1-12DD3E79F922}"/>
  <tableColumns count="20">
    <tableColumn id="1" xr3:uid="{86CFFC30-6CAF-344F-B4E7-E3422CA49F8B}" name="id"/>
    <tableColumn id="2" xr3:uid="{A53721F3-C1CF-A445-BE8D-1935058BDBD6}" name="name"/>
    <tableColumn id="3" xr3:uid="{1EAB572C-3F82-6B43-BED7-26D4CCF94C2F}" name="blurb" dataDxfId="59"/>
    <tableColumn id="4" xr3:uid="{A69607A8-3351-C64A-A0FC-3B8EDDD1FEDA}" name="goal" dataDxfId="58"/>
    <tableColumn id="5" xr3:uid="{E88C1DAF-7F5D-E64B-BAC1-EF034F273982}" name="pledged" dataDxfId="57"/>
    <tableColumn id="6" xr3:uid="{170AF3E3-9E44-A042-80EA-228D06AC1486}" name="Percent Funded" dataDxfId="56" dataCellStyle="Percent">
      <calculatedColumnFormula>E2/D2</calculatedColumnFormula>
    </tableColumn>
    <tableColumn id="7" xr3:uid="{DCD4BBE4-5A0B-1142-8392-D66BDBF9F0C4}" name="outcome"/>
    <tableColumn id="8" xr3:uid="{ABDF83E5-96DF-1F47-9382-58DEDE2D8527}" name="backers_count"/>
    <tableColumn id="9" xr3:uid="{CB52619C-504A-3E49-A890-C6F0FAFF9492}" name="Average Donation" dataDxfId="55" dataCellStyle="Currency">
      <calculatedColumnFormula>IF(H2&lt;&gt;0,E2/H2,0)</calculatedColumnFormula>
    </tableColumn>
    <tableColumn id="10" xr3:uid="{C71C53A6-B04F-404D-A087-97191B014A0E}" name="country"/>
    <tableColumn id="11" xr3:uid="{BA18B4EF-A94A-2649-9F43-898A6EC85609}" name="currency"/>
    <tableColumn id="12" xr3:uid="{5CD1C630-756D-BC42-9959-0ECF5B709B1C}" name="launched_at"/>
    <tableColumn id="13" xr3:uid="{295A9F4C-57E1-D84D-9472-8801AD495CB8}" name="deadline"/>
    <tableColumn id="14" xr3:uid="{78CA7643-92FE-0A47-B71F-88E93BD4FD68}" name="Date Created Conversion" dataDxfId="54">
      <calculatedColumnFormula>(((L2/60)/60)/24)+DATE(1970,1,1)</calculatedColumnFormula>
    </tableColumn>
    <tableColumn id="15" xr3:uid="{04CB6133-A5AA-284C-9C22-726A78D88381}" name="Date Ended Conversion" dataDxfId="53">
      <calculatedColumnFormula>(((M2/60)/60)/24)+DATE(1970,1,1)</calculatedColumnFormula>
    </tableColumn>
    <tableColumn id="16" xr3:uid="{357D5003-9E92-CA4D-A54D-4641AE7DF993}" name="staff_pick"/>
    <tableColumn id="17" xr3:uid="{75AD7878-4952-514B-8697-4A88EDCBED06}" name="spotlight"/>
    <tableColumn id="18" xr3:uid="{425DF25D-DF4D-3E4C-A5A9-80F7B8B1A76A}" name="category &amp; sub-category"/>
    <tableColumn id="19" xr3:uid="{3D3FD46E-823F-8D49-AB0E-A9B89CE29CE9}" name="Primary Category"/>
    <tableColumn id="20" xr3:uid="{F1C6CA44-07E2-484A-BF7D-B72819916E7A}" name="Sub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52" dataDxfId="50" headerRowBorderDxfId="51" tableBorderDxfId="49" headerRowCellStyle="Percent" dataCellStyle="Percent">
  <autoFilter ref="A1:H13" xr:uid="{61BAF1E6-3A46-C64B-BA19-61C4ACA3424B}"/>
  <tableColumns count="8">
    <tableColumn id="1" xr3:uid="{15B99052-6BA4-054C-B8BE-0EDD6AEA0854}" name="Goal" dataDxfId="48" totalsRowDxfId="47"/>
    <tableColumn id="2" xr3:uid="{147E0842-B87B-DA44-8920-8DF36139E65D}" name="Number Successful"/>
    <tableColumn id="3" xr3:uid="{FE355B83-9CB5-2847-A446-19F256F5B7D2}" name="Number Failed"/>
    <tableColumn id="4" xr3:uid="{AF063FEA-A88A-F744-BD80-2C5E3525C9AD}" name="Number Canceled"/>
    <tableColumn id="5" xr3:uid="{BDA7893E-9EAE-734B-B87E-BF23A8F37DA4}" name="Total Projects">
      <calculatedColumnFormula>SUM(B2:D2)</calculatedColumnFormula>
    </tableColumn>
    <tableColumn id="6" xr3:uid="{FF1D83A0-DFD6-B848-8515-E59DF7C58631}" name="Percentage Successful" dataDxfId="46" totalsRowDxfId="45" dataCellStyle="Percent">
      <calculatedColumnFormula>B2/$E2</calculatedColumnFormula>
    </tableColumn>
    <tableColumn id="7" xr3:uid="{21D1C718-8D2D-E04C-8896-E5EE530DD608}" name="Percentage Failed" dataDxfId="44" totalsRowDxfId="43" dataCellStyle="Percent">
      <calculatedColumnFormula>C2/$E2</calculatedColumnFormula>
    </tableColumn>
    <tableColumn id="8" xr3:uid="{BE6528B4-6FB1-2D42-9D13-2CD1A1E6A991}" name="Percentage Canceled" dataDxfId="42" totalsRowDxfId="41" dataCellStyle="Percent">
      <calculatedColumnFormula>D2/$E2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0DC2D5-2EFC-3144-85C2-A62504B82144}" name="StatisticalAnalysisTable" displayName="StatisticalAnalysisTable" ref="H1:N3" totalsRowShown="0" dataDxfId="40" dataCellStyle="Comma">
  <autoFilter ref="H1:N3" xr:uid="{AE0DC2D5-2EFC-3144-85C2-A62504B82144}"/>
  <tableColumns count="7">
    <tableColumn id="1" xr3:uid="{F669D211-953E-AB44-89A8-791D4F399048}" name="type"/>
    <tableColumn id="2" xr3:uid="{D3CBBA69-6DF1-E04B-B20D-BE4CB50F02BF}" name="mean" dataDxfId="39" dataCellStyle="Comma">
      <calculatedColumnFormula>AVERAGE($E$1:$E$364)</calculatedColumnFormula>
    </tableColumn>
    <tableColumn id="3" xr3:uid="{59E47809-B621-9C44-8AB5-6FD0C01893CF}" name="median" dataDxfId="38" dataCellStyle="Comma">
      <calculatedColumnFormula>MEDIAN($E$1:$E$364)</calculatedColumnFormula>
    </tableColumn>
    <tableColumn id="4" xr3:uid="{A26C91A3-DEF7-E841-A6A7-88A9D8C3290F}" name="minimum" dataDxfId="37" dataCellStyle="Comma">
      <calculatedColumnFormula>MIN($E$1:$E$364)</calculatedColumnFormula>
    </tableColumn>
    <tableColumn id="5" xr3:uid="{1BE32AEF-A39A-4E40-AB94-7B0AFD742998}" name="maximum" dataDxfId="36" dataCellStyle="Comma">
      <calculatedColumnFormula>MAX($E$1:$E$364)</calculatedColumnFormula>
    </tableColumn>
    <tableColumn id="6" xr3:uid="{C04F1A55-0E61-BB43-BE3F-A58BB59DA2AF}" name="variance" dataDxfId="35" dataCellStyle="Comma">
      <calculatedColumnFormula>_xlfn.VAR.P($E$1:$E$364)</calculatedColumnFormula>
    </tableColumn>
    <tableColumn id="7" xr3:uid="{ECCD2305-73E5-874E-A399-AD11E7E4398A}" name="standard deviation" dataDxfId="34" dataCellStyle="Comma">
      <calculatedColumnFormula>_xlfn.STDEV.P($E$1:$E$364)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2" sqref="B2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4" max="5" width="12.5" style="9" bestFit="1" customWidth="1"/>
    <col min="6" max="6" width="16.1640625" style="4" customWidth="1"/>
    <col min="8" max="8" width="15.33203125" customWidth="1"/>
    <col min="9" max="9" width="19.6640625" style="6" customWidth="1"/>
    <col min="12" max="12" width="13.5" customWidth="1"/>
    <col min="13" max="13" width="11.1640625" bestFit="1" customWidth="1"/>
    <col min="14" max="15" width="24.83203125" style="13" customWidth="1"/>
    <col min="16" max="16" width="11.6640625" customWidth="1"/>
    <col min="18" max="18" width="28" bestFit="1" customWidth="1"/>
    <col min="19" max="19" width="16.6640625" customWidth="1"/>
    <col min="20" max="20" width="15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8" t="s">
        <v>2</v>
      </c>
      <c r="E1" s="8" t="s">
        <v>3</v>
      </c>
      <c r="F1" s="7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2069</v>
      </c>
      <c r="O1" s="12" t="s">
        <v>2070</v>
      </c>
      <c r="P1" s="1" t="s">
        <v>10</v>
      </c>
      <c r="Q1" s="1" t="s">
        <v>11</v>
      </c>
      <c r="R1" s="1" t="s">
        <v>2028</v>
      </c>
      <c r="S1" s="1" t="s">
        <v>2111</v>
      </c>
      <c r="T1" s="1" t="s">
        <v>2113</v>
      </c>
    </row>
    <row r="2" spans="1:20" ht="17" x14ac:dyDescent="0.2">
      <c r="A2">
        <v>0</v>
      </c>
      <c r="B2" t="s">
        <v>12</v>
      </c>
      <c r="C2" s="3" t="s">
        <v>13</v>
      </c>
      <c r="D2" s="9">
        <v>100</v>
      </c>
      <c r="E2" s="9">
        <v>0</v>
      </c>
      <c r="F2" s="4">
        <f>E2/D2</f>
        <v>0</v>
      </c>
      <c r="G2" t="s">
        <v>14</v>
      </c>
      <c r="H2">
        <v>0</v>
      </c>
      <c r="I2" s="6">
        <f>IF(H2&lt;&gt;0,E2/H2,0)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">
        <v>2036</v>
      </c>
      <c r="T2" t="s">
        <v>2051</v>
      </c>
    </row>
    <row r="3" spans="1:20" ht="17" x14ac:dyDescent="0.2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s="4">
        <f>E3/D3</f>
        <v>10.4</v>
      </c>
      <c r="G3" t="s">
        <v>20</v>
      </c>
      <c r="H3">
        <v>158</v>
      </c>
      <c r="I3" s="6">
        <f t="shared" ref="I3:I66" si="0">IF(H3&lt;&gt;0,E3/H3,0)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>(((L3/60)/60)/24)+DATE(1970,1,1)</f>
        <v>41870.208333333336</v>
      </c>
      <c r="O3" s="13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2039</v>
      </c>
      <c r="T3" t="s">
        <v>2060</v>
      </c>
    </row>
    <row r="4" spans="1:20" ht="34" x14ac:dyDescent="0.2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s="4">
        <v>1.31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ref="N4:N66" si="2">(((L4/60)/60)/24)+DATE(1970,1,1)</f>
        <v>41595.25</v>
      </c>
      <c r="O4" s="13">
        <f t="shared" si="1"/>
        <v>41597.25</v>
      </c>
      <c r="P4" t="b">
        <v>0</v>
      </c>
      <c r="Q4" t="b">
        <v>0</v>
      </c>
      <c r="R4" t="s">
        <v>28</v>
      </c>
      <c r="S4" t="s">
        <v>2042</v>
      </c>
      <c r="T4" t="s">
        <v>2067</v>
      </c>
    </row>
    <row r="5" spans="1:20" ht="34" x14ac:dyDescent="0.2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s="4">
        <f t="shared" ref="F5:F67" si="3">E5/D5</f>
        <v>0.58976190476190471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2"/>
        <v>43688.208333333328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t="s">
        <v>2039</v>
      </c>
      <c r="T5" t="s">
        <v>2060</v>
      </c>
    </row>
    <row r="6" spans="1:20" ht="17" x14ac:dyDescent="0.2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s="4">
        <f t="shared" si="3"/>
        <v>0.69276315789473686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2"/>
        <v>43485.25</v>
      </c>
      <c r="O6" s="13">
        <f t="shared" si="1"/>
        <v>43489.25</v>
      </c>
      <c r="P6" t="b">
        <v>0</v>
      </c>
      <c r="Q6" t="b">
        <v>0</v>
      </c>
      <c r="R6" t="s">
        <v>33</v>
      </c>
      <c r="S6" t="s">
        <v>2043</v>
      </c>
      <c r="T6" t="s">
        <v>2058</v>
      </c>
    </row>
    <row r="7" spans="1:20" ht="17" x14ac:dyDescent="0.2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s="4">
        <f t="shared" si="3"/>
        <v>1.7361842105263159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2"/>
        <v>41149.208333333336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t="s">
        <v>2043</v>
      </c>
      <c r="T7" t="s">
        <v>2058</v>
      </c>
    </row>
    <row r="8" spans="1:20" ht="17" x14ac:dyDescent="0.2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s="4">
        <f t="shared" si="3"/>
        <v>0.20961538461538462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2"/>
        <v>42991.208333333328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t="s">
        <v>2035</v>
      </c>
      <c r="T8" t="s">
        <v>2047</v>
      </c>
    </row>
    <row r="9" spans="1:20" ht="17" x14ac:dyDescent="0.2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s="4">
        <f t="shared" si="3"/>
        <v>3.2757777777777779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2"/>
        <v>42229.208333333328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t="s">
        <v>2043</v>
      </c>
      <c r="T9" t="s">
        <v>2058</v>
      </c>
    </row>
    <row r="10" spans="1:20" ht="17" x14ac:dyDescent="0.2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s="4">
        <f t="shared" si="3"/>
        <v>0.19932788374205268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2"/>
        <v>40399.208333333336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t="s">
        <v>2043</v>
      </c>
      <c r="T10" t="s">
        <v>2058</v>
      </c>
    </row>
    <row r="11" spans="1:20" ht="17" x14ac:dyDescent="0.2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s="4">
        <f t="shared" si="3"/>
        <v>0.51741935483870971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2"/>
        <v>41536.208333333336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t="s">
        <v>2039</v>
      </c>
      <c r="T11" t="s">
        <v>2049</v>
      </c>
    </row>
    <row r="12" spans="1:20" ht="17" x14ac:dyDescent="0.2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s="4">
        <f t="shared" si="3"/>
        <v>2.6611538461538462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2"/>
        <v>40404.208333333336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t="s">
        <v>2035</v>
      </c>
      <c r="T12" t="s">
        <v>2048</v>
      </c>
    </row>
    <row r="13" spans="1:20" ht="34" x14ac:dyDescent="0.2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s="4">
        <f t="shared" si="3"/>
        <v>0.48095238095238096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2"/>
        <v>40442.208333333336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t="s">
        <v>2043</v>
      </c>
      <c r="T13" t="s">
        <v>2058</v>
      </c>
    </row>
    <row r="14" spans="1:20" ht="17" x14ac:dyDescent="0.2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s="4">
        <f t="shared" si="3"/>
        <v>0.89349206349206345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2"/>
        <v>43760.208333333328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t="s">
        <v>2035</v>
      </c>
      <c r="T14" t="s">
        <v>2048</v>
      </c>
    </row>
    <row r="15" spans="1:20" ht="34" x14ac:dyDescent="0.2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s="4">
        <f t="shared" si="3"/>
        <v>2.4511904761904764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2"/>
        <v>42532.208333333328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t="s">
        <v>2039</v>
      </c>
      <c r="T15" t="s">
        <v>2052</v>
      </c>
    </row>
    <row r="16" spans="1:20" ht="17" x14ac:dyDescent="0.2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s="4">
        <f t="shared" si="3"/>
        <v>0.66769503546099296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2"/>
        <v>40974.25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t="s">
        <v>2039</v>
      </c>
      <c r="T16" t="s">
        <v>2052</v>
      </c>
    </row>
    <row r="17" spans="1:20" ht="17" x14ac:dyDescent="0.2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s="4">
        <f t="shared" si="3"/>
        <v>0.47307881773399013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2"/>
        <v>43809.25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t="s">
        <v>2042</v>
      </c>
      <c r="T17" t="s">
        <v>2066</v>
      </c>
    </row>
    <row r="18" spans="1:20" ht="17" x14ac:dyDescent="0.2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s="4">
        <f t="shared" si="3"/>
        <v>6.4947058823529416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2"/>
        <v>41661.25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t="s">
        <v>2041</v>
      </c>
      <c r="T18" t="s">
        <v>2056</v>
      </c>
    </row>
    <row r="19" spans="1:20" ht="17" x14ac:dyDescent="0.2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s="4">
        <f t="shared" si="3"/>
        <v>1.5939125295508274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2"/>
        <v>40555.25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t="s">
        <v>2035</v>
      </c>
      <c r="T19" t="s">
        <v>2045</v>
      </c>
    </row>
    <row r="20" spans="1:20" ht="17" x14ac:dyDescent="0.2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s="4">
        <f t="shared" si="3"/>
        <v>0.66912087912087914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2"/>
        <v>43351.208333333328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t="s">
        <v>2043</v>
      </c>
      <c r="T20" t="s">
        <v>2058</v>
      </c>
    </row>
    <row r="21" spans="1:20" ht="17" x14ac:dyDescent="0.2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s="4">
        <f t="shared" si="3"/>
        <v>0.48529600000000001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2"/>
        <v>43528.25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t="s">
        <v>2043</v>
      </c>
      <c r="T21" t="s">
        <v>2058</v>
      </c>
    </row>
    <row r="22" spans="1:20" ht="17" x14ac:dyDescent="0.2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s="4">
        <f t="shared" si="3"/>
        <v>1.1224279210925645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2"/>
        <v>41848.208333333336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t="s">
        <v>2035</v>
      </c>
      <c r="T22" t="s">
        <v>2048</v>
      </c>
    </row>
    <row r="23" spans="1:20" ht="17" x14ac:dyDescent="0.2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s="4">
        <f t="shared" si="3"/>
        <v>0.40992553191489361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2"/>
        <v>40770.208333333336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t="s">
        <v>2043</v>
      </c>
      <c r="T23" t="s">
        <v>2058</v>
      </c>
    </row>
    <row r="24" spans="1:20" ht="17" x14ac:dyDescent="0.2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s="4">
        <f t="shared" si="3"/>
        <v>1.2807106598984772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2"/>
        <v>43193.208333333328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t="s">
        <v>2043</v>
      </c>
      <c r="T24" t="s">
        <v>2058</v>
      </c>
    </row>
    <row r="25" spans="1:20" ht="17" x14ac:dyDescent="0.2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s="4">
        <f t="shared" si="3"/>
        <v>3.3204444444444445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2"/>
        <v>43510.25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t="s">
        <v>2035</v>
      </c>
      <c r="T25" t="s">
        <v>2047</v>
      </c>
    </row>
    <row r="26" spans="1:20" ht="17" x14ac:dyDescent="0.2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s="4">
        <f t="shared" si="3"/>
        <v>1.1283225108225108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2"/>
        <v>41811.208333333336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t="s">
        <v>2042</v>
      </c>
      <c r="T26" t="s">
        <v>2066</v>
      </c>
    </row>
    <row r="27" spans="1:20" ht="17" x14ac:dyDescent="0.2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s="4">
        <f t="shared" si="3"/>
        <v>2.1643636363636363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2"/>
        <v>40681.208333333336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t="s">
        <v>2037</v>
      </c>
      <c r="T27" t="s">
        <v>2065</v>
      </c>
    </row>
    <row r="28" spans="1:20" ht="17" x14ac:dyDescent="0.2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s="4">
        <f t="shared" si="3"/>
        <v>0.4819906976744186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2"/>
        <v>43312.208333333328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t="s">
        <v>2043</v>
      </c>
      <c r="T28" t="s">
        <v>2058</v>
      </c>
    </row>
    <row r="29" spans="1:20" ht="17" x14ac:dyDescent="0.2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s="4">
        <f t="shared" si="3"/>
        <v>0.79949999999999999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2"/>
        <v>42280.208333333328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t="s">
        <v>2039</v>
      </c>
      <c r="T29" t="s">
        <v>2060</v>
      </c>
    </row>
    <row r="30" spans="1:20" ht="17" x14ac:dyDescent="0.2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s="4">
        <f t="shared" si="3"/>
        <v>1.0522553516819573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2"/>
        <v>40218.25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t="s">
        <v>2043</v>
      </c>
      <c r="T30" t="s">
        <v>2058</v>
      </c>
    </row>
    <row r="31" spans="1:20" ht="17" x14ac:dyDescent="0.2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s="4">
        <f t="shared" si="3"/>
        <v>3.2889978213507627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2"/>
        <v>43301.208333333328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t="s">
        <v>2035</v>
      </c>
      <c r="T31" t="s">
        <v>2062</v>
      </c>
    </row>
    <row r="32" spans="1:20" ht="17" x14ac:dyDescent="0.2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s="4">
        <f t="shared" si="3"/>
        <v>1.606111111111111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2"/>
        <v>43609.208333333328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t="s">
        <v>2035</v>
      </c>
      <c r="T32" t="s">
        <v>2045</v>
      </c>
    </row>
    <row r="33" spans="1:20" ht="17" x14ac:dyDescent="0.2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s="4">
        <f t="shared" si="3"/>
        <v>3.1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2"/>
        <v>42374.25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t="s">
        <v>2037</v>
      </c>
      <c r="T33" t="s">
        <v>2065</v>
      </c>
    </row>
    <row r="34" spans="1:20" ht="17" x14ac:dyDescent="0.2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s="4">
        <f t="shared" si="3"/>
        <v>0.86807920792079207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2"/>
        <v>43110.25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t="s">
        <v>2035</v>
      </c>
      <c r="T34" t="s">
        <v>2047</v>
      </c>
    </row>
    <row r="35" spans="1:20" ht="17" x14ac:dyDescent="0.2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s="4">
        <f t="shared" si="3"/>
        <v>3.7782071713147412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2"/>
        <v>41917.208333333336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t="s">
        <v>2043</v>
      </c>
      <c r="T35" t="s">
        <v>2058</v>
      </c>
    </row>
    <row r="36" spans="1:20" ht="34" x14ac:dyDescent="0.2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s="4">
        <f t="shared" si="3"/>
        <v>1.5080645161290323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2"/>
        <v>42817.208333333328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t="s">
        <v>2035</v>
      </c>
      <c r="T36" t="s">
        <v>2047</v>
      </c>
    </row>
    <row r="37" spans="1:20" ht="17" x14ac:dyDescent="0.2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s="4">
        <f t="shared" si="3"/>
        <v>1.5030119521912351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2"/>
        <v>43484.25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t="s">
        <v>2035</v>
      </c>
      <c r="T37" t="s">
        <v>2048</v>
      </c>
    </row>
    <row r="38" spans="1:20" ht="17" x14ac:dyDescent="0.2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s="4">
        <f t="shared" si="3"/>
        <v>1.572857142857143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2"/>
        <v>40600.25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t="s">
        <v>2043</v>
      </c>
      <c r="T38" t="s">
        <v>2058</v>
      </c>
    </row>
    <row r="39" spans="1:20" ht="34" x14ac:dyDescent="0.2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s="4">
        <f t="shared" si="3"/>
        <v>1.3998765432098765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2"/>
        <v>43744.208333333328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t="s">
        <v>2041</v>
      </c>
      <c r="T39" t="s">
        <v>2050</v>
      </c>
    </row>
    <row r="40" spans="1:20" ht="17" x14ac:dyDescent="0.2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s="4">
        <f t="shared" si="3"/>
        <v>3.2532258064516131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2"/>
        <v>40469.208333333336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t="s">
        <v>2040</v>
      </c>
      <c r="T40" t="s">
        <v>2057</v>
      </c>
    </row>
    <row r="41" spans="1:20" ht="17" x14ac:dyDescent="0.2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s="4">
        <f t="shared" si="3"/>
        <v>0.50777777777777777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2"/>
        <v>41330.25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t="s">
        <v>2043</v>
      </c>
      <c r="T41" t="s">
        <v>2058</v>
      </c>
    </row>
    <row r="42" spans="1:20" ht="17" x14ac:dyDescent="0.2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s="4">
        <f t="shared" si="3"/>
        <v>1.6906818181818182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2"/>
        <v>40334.208333333336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t="s">
        <v>2042</v>
      </c>
      <c r="T42" t="s">
        <v>2066</v>
      </c>
    </row>
    <row r="43" spans="1:20" ht="17" x14ac:dyDescent="0.2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s="4">
        <f t="shared" si="3"/>
        <v>2.1292857142857144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2"/>
        <v>41156.208333333336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t="s">
        <v>2039</v>
      </c>
      <c r="T43" t="s">
        <v>2060</v>
      </c>
    </row>
    <row r="44" spans="1:20" ht="17" x14ac:dyDescent="0.2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s="4">
        <f t="shared" si="3"/>
        <v>4.4394444444444447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2"/>
        <v>40728.208333333336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t="s">
        <v>2036</v>
      </c>
      <c r="T44" t="s">
        <v>2051</v>
      </c>
    </row>
    <row r="45" spans="1:20" ht="17" x14ac:dyDescent="0.2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s="4">
        <f t="shared" si="3"/>
        <v>1.859390243902439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2"/>
        <v>41844.208333333336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t="s">
        <v>2041</v>
      </c>
      <c r="T45" t="s">
        <v>2059</v>
      </c>
    </row>
    <row r="46" spans="1:20" ht="17" x14ac:dyDescent="0.2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s="4">
        <f t="shared" si="3"/>
        <v>6.5881249999999998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2"/>
        <v>43541.208333333328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t="s">
        <v>2041</v>
      </c>
      <c r="T46" t="s">
        <v>2050</v>
      </c>
    </row>
    <row r="47" spans="1:20" ht="34" x14ac:dyDescent="0.2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s="4">
        <f t="shared" si="3"/>
        <v>0.4768421052631579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2"/>
        <v>42676.208333333328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t="s">
        <v>2043</v>
      </c>
      <c r="T47" t="s">
        <v>2058</v>
      </c>
    </row>
    <row r="48" spans="1:20" ht="17" x14ac:dyDescent="0.2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s="4">
        <f t="shared" si="3"/>
        <v>1.1478378378378378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2"/>
        <v>40367.208333333336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t="s">
        <v>2039</v>
      </c>
      <c r="T48" t="s">
        <v>2060</v>
      </c>
    </row>
    <row r="49" spans="1:20" ht="17" x14ac:dyDescent="0.2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s="4">
        <f t="shared" si="3"/>
        <v>4.7526666666666664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2"/>
        <v>41727.208333333336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t="s">
        <v>2043</v>
      </c>
      <c r="T49" t="s">
        <v>2058</v>
      </c>
    </row>
    <row r="50" spans="1:20" ht="17" x14ac:dyDescent="0.2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s="4">
        <f t="shared" si="3"/>
        <v>3.86972972972973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2"/>
        <v>42180.208333333328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t="s">
        <v>2043</v>
      </c>
      <c r="T50" t="s">
        <v>2058</v>
      </c>
    </row>
    <row r="51" spans="1:20" ht="17" x14ac:dyDescent="0.2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s="4">
        <f t="shared" si="3"/>
        <v>1.89625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2"/>
        <v>43758.208333333328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t="s">
        <v>2039</v>
      </c>
      <c r="T51" t="s">
        <v>2060</v>
      </c>
    </row>
    <row r="52" spans="1:20" ht="34" x14ac:dyDescent="0.2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s="4">
        <f t="shared" si="3"/>
        <v>0.02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2"/>
        <v>41487.208333333336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t="s">
        <v>2039</v>
      </c>
      <c r="T52" t="s">
        <v>2054</v>
      </c>
    </row>
    <row r="53" spans="1:20" ht="17" x14ac:dyDescent="0.2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s="4">
        <f t="shared" si="3"/>
        <v>0.91867805186590767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2"/>
        <v>40995.208333333336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t="s">
        <v>2042</v>
      </c>
      <c r="T53" t="s">
        <v>2066</v>
      </c>
    </row>
    <row r="54" spans="1:20" ht="17" x14ac:dyDescent="0.2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s="4">
        <f t="shared" si="3"/>
        <v>0.34152777777777776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2"/>
        <v>40436.208333333336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t="s">
        <v>2043</v>
      </c>
      <c r="T54" t="s">
        <v>2058</v>
      </c>
    </row>
    <row r="55" spans="1:20" ht="17" x14ac:dyDescent="0.2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s="4">
        <f t="shared" si="3"/>
        <v>1.4040909090909091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2"/>
        <v>41779.208333333336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t="s">
        <v>2035</v>
      </c>
      <c r="T55" t="s">
        <v>2048</v>
      </c>
    </row>
    <row r="56" spans="1:20" ht="34" x14ac:dyDescent="0.2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s="4">
        <f t="shared" si="3"/>
        <v>0.89866666666666661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2"/>
        <v>43170.25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t="s">
        <v>2042</v>
      </c>
      <c r="T56" t="s">
        <v>2066</v>
      </c>
    </row>
    <row r="57" spans="1:20" ht="34" x14ac:dyDescent="0.2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s="4">
        <f t="shared" si="3"/>
        <v>1.7796969696969698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2"/>
        <v>43311.208333333328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t="s">
        <v>2039</v>
      </c>
      <c r="T57" t="s">
        <v>2053</v>
      </c>
    </row>
    <row r="58" spans="1:20" ht="34" x14ac:dyDescent="0.2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s="4">
        <f t="shared" si="3"/>
        <v>1.436625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2"/>
        <v>42014.25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t="s">
        <v>2042</v>
      </c>
      <c r="T58" t="s">
        <v>2066</v>
      </c>
    </row>
    <row r="59" spans="1:20" ht="17" x14ac:dyDescent="0.2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s="4">
        <f t="shared" si="3"/>
        <v>2.1527586206896552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2"/>
        <v>42979.208333333328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t="s">
        <v>2037</v>
      </c>
      <c r="T59" t="s">
        <v>2065</v>
      </c>
    </row>
    <row r="60" spans="1:20" ht="17" x14ac:dyDescent="0.2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s="4">
        <f t="shared" si="3"/>
        <v>2.2711111111111113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2"/>
        <v>42268.208333333328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t="s">
        <v>2043</v>
      </c>
      <c r="T60" t="s">
        <v>2058</v>
      </c>
    </row>
    <row r="61" spans="1:20" ht="17" x14ac:dyDescent="0.2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s="4">
        <f t="shared" si="3"/>
        <v>2.7507142857142859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2"/>
        <v>42898.208333333328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t="s">
        <v>2043</v>
      </c>
      <c r="T61" t="s">
        <v>2058</v>
      </c>
    </row>
    <row r="62" spans="1:20" ht="17" x14ac:dyDescent="0.2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s="4">
        <f t="shared" si="3"/>
        <v>1.4437048832271762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2"/>
        <v>41107.208333333336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t="s">
        <v>2043</v>
      </c>
      <c r="T62" t="s">
        <v>2058</v>
      </c>
    </row>
    <row r="63" spans="1:20" ht="34" x14ac:dyDescent="0.2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s="4">
        <f t="shared" si="3"/>
        <v>0.92745983935742971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2"/>
        <v>40595.25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t="s">
        <v>2043</v>
      </c>
      <c r="T63" t="s">
        <v>2058</v>
      </c>
    </row>
    <row r="64" spans="1:20" ht="34" x14ac:dyDescent="0.2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s="4">
        <f t="shared" si="3"/>
        <v>7.226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2"/>
        <v>42160.208333333328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t="s">
        <v>2042</v>
      </c>
      <c r="T64" t="s">
        <v>2067</v>
      </c>
    </row>
    <row r="65" spans="1:20" ht="17" x14ac:dyDescent="0.2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s="4">
        <f t="shared" si="3"/>
        <v>0.11851063829787234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2"/>
        <v>42853.208333333328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t="s">
        <v>2043</v>
      </c>
      <c r="T65" t="s">
        <v>2058</v>
      </c>
    </row>
    <row r="66" spans="1:20" ht="17" x14ac:dyDescent="0.2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s="4">
        <f t="shared" si="3"/>
        <v>0.97642857142857142</v>
      </c>
      <c r="G66" t="s">
        <v>14</v>
      </c>
      <c r="H66">
        <v>38</v>
      </c>
      <c r="I66" s="6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2"/>
        <v>43283.208333333328</v>
      </c>
      <c r="O66" s="13">
        <f t="shared" si="1"/>
        <v>43298.208333333328</v>
      </c>
      <c r="P66" t="b">
        <v>0</v>
      </c>
      <c r="Q66" t="b">
        <v>1</v>
      </c>
      <c r="R66" t="s">
        <v>28</v>
      </c>
      <c r="S66" t="s">
        <v>2042</v>
      </c>
      <c r="T66" t="s">
        <v>2067</v>
      </c>
    </row>
    <row r="67" spans="1:20" ht="17" x14ac:dyDescent="0.2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s="4">
        <f t="shared" si="3"/>
        <v>2.3614754098360655</v>
      </c>
      <c r="G67" t="s">
        <v>20</v>
      </c>
      <c r="H67">
        <v>236</v>
      </c>
      <c r="I67" s="6">
        <f t="shared" ref="I67:I130" si="4">IF(H67&lt;&gt;0,E67/H67,0)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3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2043</v>
      </c>
      <c r="T67" t="s">
        <v>2058</v>
      </c>
    </row>
    <row r="68" spans="1:20" ht="17" x14ac:dyDescent="0.2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s="4">
        <f t="shared" ref="F68:F131" si="7">E68/D68</f>
        <v>0.45068965517241377</v>
      </c>
      <c r="G68" t="s">
        <v>14</v>
      </c>
      <c r="H68">
        <v>12</v>
      </c>
      <c r="I68" s="6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6"/>
        <v>42107.208333333328</v>
      </c>
      <c r="P68" t="b">
        <v>0</v>
      </c>
      <c r="Q68" t="b">
        <v>1</v>
      </c>
      <c r="R68" t="s">
        <v>33</v>
      </c>
      <c r="S68" t="s">
        <v>2043</v>
      </c>
      <c r="T68" t="s">
        <v>2058</v>
      </c>
    </row>
    <row r="69" spans="1:20" ht="34" x14ac:dyDescent="0.2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s="4">
        <f t="shared" si="7"/>
        <v>1.6238567493112948</v>
      </c>
      <c r="G69" t="s">
        <v>20</v>
      </c>
      <c r="H69">
        <v>4065</v>
      </c>
      <c r="I69" s="6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6"/>
        <v>40208.25</v>
      </c>
      <c r="P69" t="b">
        <v>0</v>
      </c>
      <c r="Q69" t="b">
        <v>1</v>
      </c>
      <c r="R69" t="s">
        <v>65</v>
      </c>
      <c r="S69" t="s">
        <v>2042</v>
      </c>
      <c r="T69" t="s">
        <v>2066</v>
      </c>
    </row>
    <row r="70" spans="1:20" ht="17" x14ac:dyDescent="0.2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s="4">
        <f t="shared" si="7"/>
        <v>2.5452631578947367</v>
      </c>
      <c r="G70" t="s">
        <v>20</v>
      </c>
      <c r="H70">
        <v>246</v>
      </c>
      <c r="I70" s="6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6"/>
        <v>42990.208333333328</v>
      </c>
      <c r="P70" t="b">
        <v>0</v>
      </c>
      <c r="Q70" t="b">
        <v>1</v>
      </c>
      <c r="R70" t="s">
        <v>33</v>
      </c>
      <c r="S70" t="s">
        <v>2043</v>
      </c>
      <c r="T70" t="s">
        <v>2058</v>
      </c>
    </row>
    <row r="71" spans="1:20" ht="17" x14ac:dyDescent="0.2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s="4">
        <f t="shared" si="7"/>
        <v>0.24063291139240506</v>
      </c>
      <c r="G71" t="s">
        <v>74</v>
      </c>
      <c r="H71">
        <v>17</v>
      </c>
      <c r="I71" s="6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6"/>
        <v>40565.25</v>
      </c>
      <c r="P71" t="b">
        <v>0</v>
      </c>
      <c r="Q71" t="b">
        <v>0</v>
      </c>
      <c r="R71" t="s">
        <v>33</v>
      </c>
      <c r="S71" t="s">
        <v>2043</v>
      </c>
      <c r="T71" t="s">
        <v>2058</v>
      </c>
    </row>
    <row r="72" spans="1:20" ht="17" x14ac:dyDescent="0.2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s="4">
        <f t="shared" si="7"/>
        <v>1.2374140625000001</v>
      </c>
      <c r="G72" t="s">
        <v>20</v>
      </c>
      <c r="H72">
        <v>2475</v>
      </c>
      <c r="I72" s="6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6"/>
        <v>40533.25</v>
      </c>
      <c r="P72" t="b">
        <v>0</v>
      </c>
      <c r="Q72" t="b">
        <v>1</v>
      </c>
      <c r="R72" t="s">
        <v>33</v>
      </c>
      <c r="S72" t="s">
        <v>2043</v>
      </c>
      <c r="T72" t="s">
        <v>2058</v>
      </c>
    </row>
    <row r="73" spans="1:20" ht="34" x14ac:dyDescent="0.2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s="4">
        <f t="shared" si="7"/>
        <v>1.0806666666666667</v>
      </c>
      <c r="G73" t="s">
        <v>20</v>
      </c>
      <c r="H73">
        <v>76</v>
      </c>
      <c r="I73" s="6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6"/>
        <v>43803.25</v>
      </c>
      <c r="P73" t="b">
        <v>0</v>
      </c>
      <c r="Q73" t="b">
        <v>0</v>
      </c>
      <c r="R73" t="s">
        <v>33</v>
      </c>
      <c r="S73" t="s">
        <v>2043</v>
      </c>
      <c r="T73" t="s">
        <v>2058</v>
      </c>
    </row>
    <row r="74" spans="1:20" ht="17" x14ac:dyDescent="0.2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s="4">
        <f t="shared" si="7"/>
        <v>6.7033333333333331</v>
      </c>
      <c r="G74" t="s">
        <v>20</v>
      </c>
      <c r="H74">
        <v>54</v>
      </c>
      <c r="I74" s="6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6"/>
        <v>42222.208333333328</v>
      </c>
      <c r="P74" t="b">
        <v>0</v>
      </c>
      <c r="Q74" t="b">
        <v>0</v>
      </c>
      <c r="R74" t="s">
        <v>71</v>
      </c>
      <c r="S74" t="s">
        <v>2035</v>
      </c>
      <c r="T74" t="s">
        <v>2045</v>
      </c>
    </row>
    <row r="75" spans="1:20" ht="17" x14ac:dyDescent="0.2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s="4">
        <f t="shared" si="7"/>
        <v>6.609285714285714</v>
      </c>
      <c r="G75" t="s">
        <v>20</v>
      </c>
      <c r="H75">
        <v>88</v>
      </c>
      <c r="I75" s="6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6"/>
        <v>42704.25</v>
      </c>
      <c r="P75" t="b">
        <v>0</v>
      </c>
      <c r="Q75" t="b">
        <v>0</v>
      </c>
      <c r="R75" t="s">
        <v>159</v>
      </c>
      <c r="S75" t="s">
        <v>2039</v>
      </c>
      <c r="T75" t="s">
        <v>2053</v>
      </c>
    </row>
    <row r="76" spans="1:20" ht="17" x14ac:dyDescent="0.2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s="4">
        <f t="shared" si="7"/>
        <v>1.2246153846153847</v>
      </c>
      <c r="G76" t="s">
        <v>20</v>
      </c>
      <c r="H76">
        <v>85</v>
      </c>
      <c r="I76" s="6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6"/>
        <v>42457.208333333328</v>
      </c>
      <c r="P76" t="b">
        <v>0</v>
      </c>
      <c r="Q76" t="b">
        <v>0</v>
      </c>
      <c r="R76" t="s">
        <v>148</v>
      </c>
      <c r="S76" t="s">
        <v>2039</v>
      </c>
      <c r="T76" t="s">
        <v>2054</v>
      </c>
    </row>
    <row r="77" spans="1:20" ht="17" x14ac:dyDescent="0.2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s="4">
        <f t="shared" si="7"/>
        <v>1.5057731958762886</v>
      </c>
      <c r="G77" t="s">
        <v>20</v>
      </c>
      <c r="H77">
        <v>170</v>
      </c>
      <c r="I77" s="6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6"/>
        <v>43304.208333333328</v>
      </c>
      <c r="P77" t="b">
        <v>0</v>
      </c>
      <c r="Q77" t="b">
        <v>0</v>
      </c>
      <c r="R77" t="s">
        <v>122</v>
      </c>
      <c r="S77" t="s">
        <v>2040</v>
      </c>
      <c r="T77" t="s">
        <v>2057</v>
      </c>
    </row>
    <row r="78" spans="1:20" ht="17" x14ac:dyDescent="0.2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s="4">
        <f t="shared" si="7"/>
        <v>0.78106590724165992</v>
      </c>
      <c r="G78" t="s">
        <v>14</v>
      </c>
      <c r="H78">
        <v>1684</v>
      </c>
      <c r="I78" s="6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6"/>
        <v>42076.208333333328</v>
      </c>
      <c r="P78" t="b">
        <v>1</v>
      </c>
      <c r="Q78" t="b">
        <v>1</v>
      </c>
      <c r="R78" t="s">
        <v>33</v>
      </c>
      <c r="S78" t="s">
        <v>2043</v>
      </c>
      <c r="T78" t="s">
        <v>2058</v>
      </c>
    </row>
    <row r="79" spans="1:20" ht="17" x14ac:dyDescent="0.2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s="4">
        <f t="shared" si="7"/>
        <v>0.46947368421052632</v>
      </c>
      <c r="G79" t="s">
        <v>14</v>
      </c>
      <c r="H79">
        <v>56</v>
      </c>
      <c r="I79" s="6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6"/>
        <v>40462.208333333336</v>
      </c>
      <c r="P79" t="b">
        <v>0</v>
      </c>
      <c r="Q79" t="b">
        <v>1</v>
      </c>
      <c r="R79" t="s">
        <v>71</v>
      </c>
      <c r="S79" t="s">
        <v>2035</v>
      </c>
      <c r="T79" t="s">
        <v>2045</v>
      </c>
    </row>
    <row r="80" spans="1:20" ht="34" x14ac:dyDescent="0.2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s="4">
        <f t="shared" si="7"/>
        <v>3.008</v>
      </c>
      <c r="G80" t="s">
        <v>20</v>
      </c>
      <c r="H80">
        <v>330</v>
      </c>
      <c r="I80" s="6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6"/>
        <v>43207.208333333328</v>
      </c>
      <c r="P80" t="b">
        <v>0</v>
      </c>
      <c r="Q80" t="b">
        <v>0</v>
      </c>
      <c r="R80" t="s">
        <v>206</v>
      </c>
      <c r="S80" t="s">
        <v>2041</v>
      </c>
      <c r="T80" t="s">
        <v>2064</v>
      </c>
    </row>
    <row r="81" spans="1:20" ht="17" x14ac:dyDescent="0.2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s="4">
        <f t="shared" si="7"/>
        <v>0.6959861591695502</v>
      </c>
      <c r="G81" t="s">
        <v>14</v>
      </c>
      <c r="H81">
        <v>838</v>
      </c>
      <c r="I81" s="6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6"/>
        <v>43272.208333333328</v>
      </c>
      <c r="P81" t="b">
        <v>0</v>
      </c>
      <c r="Q81" t="b">
        <v>0</v>
      </c>
      <c r="R81" t="s">
        <v>33</v>
      </c>
      <c r="S81" t="s">
        <v>2043</v>
      </c>
      <c r="T81" t="s">
        <v>2058</v>
      </c>
    </row>
    <row r="82" spans="1:20" ht="17" x14ac:dyDescent="0.2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s="4">
        <f t="shared" si="7"/>
        <v>6.374545454545455</v>
      </c>
      <c r="G82" t="s">
        <v>20</v>
      </c>
      <c r="H82">
        <v>127</v>
      </c>
      <c r="I82" s="6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6"/>
        <v>43006.208333333328</v>
      </c>
      <c r="P82" t="b">
        <v>0</v>
      </c>
      <c r="Q82" t="b">
        <v>0</v>
      </c>
      <c r="R82" t="s">
        <v>89</v>
      </c>
      <c r="S82" t="s">
        <v>2037</v>
      </c>
      <c r="T82" t="s">
        <v>2065</v>
      </c>
    </row>
    <row r="83" spans="1:20" ht="17" x14ac:dyDescent="0.2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s="4">
        <f t="shared" si="7"/>
        <v>2.253392857142857</v>
      </c>
      <c r="G83" t="s">
        <v>20</v>
      </c>
      <c r="H83">
        <v>411</v>
      </c>
      <c r="I83" s="6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6"/>
        <v>43087.25</v>
      </c>
      <c r="P83" t="b">
        <v>0</v>
      </c>
      <c r="Q83" t="b">
        <v>0</v>
      </c>
      <c r="R83" t="s">
        <v>23</v>
      </c>
      <c r="S83" t="s">
        <v>2039</v>
      </c>
      <c r="T83" t="s">
        <v>2060</v>
      </c>
    </row>
    <row r="84" spans="1:20" ht="17" x14ac:dyDescent="0.2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s="4">
        <f t="shared" si="7"/>
        <v>14.973000000000001</v>
      </c>
      <c r="G84" t="s">
        <v>20</v>
      </c>
      <c r="H84">
        <v>180</v>
      </c>
      <c r="I84" s="6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6"/>
        <v>43489.25</v>
      </c>
      <c r="P84" t="b">
        <v>0</v>
      </c>
      <c r="Q84" t="b">
        <v>1</v>
      </c>
      <c r="R84" t="s">
        <v>89</v>
      </c>
      <c r="S84" t="s">
        <v>2037</v>
      </c>
      <c r="T84" t="s">
        <v>2065</v>
      </c>
    </row>
    <row r="85" spans="1:20" ht="17" x14ac:dyDescent="0.2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s="4">
        <f t="shared" si="7"/>
        <v>0.37590225563909774</v>
      </c>
      <c r="G85" t="s">
        <v>14</v>
      </c>
      <c r="H85">
        <v>1000</v>
      </c>
      <c r="I85" s="6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6"/>
        <v>42601.208333333328</v>
      </c>
      <c r="P85" t="b">
        <v>0</v>
      </c>
      <c r="Q85" t="b">
        <v>0</v>
      </c>
      <c r="R85" t="s">
        <v>50</v>
      </c>
      <c r="S85" t="s">
        <v>2039</v>
      </c>
      <c r="T85" t="s">
        <v>2049</v>
      </c>
    </row>
    <row r="86" spans="1:20" ht="17" x14ac:dyDescent="0.2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s="4">
        <f t="shared" si="7"/>
        <v>1.3236942675159236</v>
      </c>
      <c r="G86" t="s">
        <v>20</v>
      </c>
      <c r="H86">
        <v>374</v>
      </c>
      <c r="I86" s="6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6"/>
        <v>41128.208333333336</v>
      </c>
      <c r="P86" t="b">
        <v>0</v>
      </c>
      <c r="Q86" t="b">
        <v>0</v>
      </c>
      <c r="R86" t="s">
        <v>65</v>
      </c>
      <c r="S86" t="s">
        <v>2042</v>
      </c>
      <c r="T86" t="s">
        <v>2066</v>
      </c>
    </row>
    <row r="87" spans="1:20" ht="17" x14ac:dyDescent="0.2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s="4">
        <f t="shared" si="7"/>
        <v>1.3122448979591836</v>
      </c>
      <c r="G87" t="s">
        <v>20</v>
      </c>
      <c r="H87">
        <v>71</v>
      </c>
      <c r="I87" s="6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6"/>
        <v>40805.208333333336</v>
      </c>
      <c r="P87" t="b">
        <v>0</v>
      </c>
      <c r="Q87" t="b">
        <v>0</v>
      </c>
      <c r="R87" t="s">
        <v>60</v>
      </c>
      <c r="S87" t="s">
        <v>2039</v>
      </c>
      <c r="T87" t="s">
        <v>2052</v>
      </c>
    </row>
    <row r="88" spans="1:20" ht="17" x14ac:dyDescent="0.2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s="4">
        <f t="shared" si="7"/>
        <v>1.6763513513513513</v>
      </c>
      <c r="G88" t="s">
        <v>20</v>
      </c>
      <c r="H88">
        <v>203</v>
      </c>
      <c r="I88" s="6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6"/>
        <v>42141.208333333328</v>
      </c>
      <c r="P88" t="b">
        <v>1</v>
      </c>
      <c r="Q88" t="b">
        <v>0</v>
      </c>
      <c r="R88" t="s">
        <v>33</v>
      </c>
      <c r="S88" t="s">
        <v>2043</v>
      </c>
      <c r="T88" t="s">
        <v>2058</v>
      </c>
    </row>
    <row r="89" spans="1:20" ht="34" x14ac:dyDescent="0.2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s="4">
        <f t="shared" si="7"/>
        <v>0.6198488664987406</v>
      </c>
      <c r="G89" t="s">
        <v>14</v>
      </c>
      <c r="H89">
        <v>1482</v>
      </c>
      <c r="I89" s="6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6"/>
        <v>40621.208333333336</v>
      </c>
      <c r="P89" t="b">
        <v>0</v>
      </c>
      <c r="Q89" t="b">
        <v>1</v>
      </c>
      <c r="R89" t="s">
        <v>23</v>
      </c>
      <c r="S89" t="s">
        <v>2039</v>
      </c>
      <c r="T89" t="s">
        <v>2060</v>
      </c>
    </row>
    <row r="90" spans="1:20" ht="17" x14ac:dyDescent="0.2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s="4">
        <f t="shared" si="7"/>
        <v>2.6074999999999999</v>
      </c>
      <c r="G90" t="s">
        <v>20</v>
      </c>
      <c r="H90">
        <v>113</v>
      </c>
      <c r="I90" s="6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6"/>
        <v>42132.208333333328</v>
      </c>
      <c r="P90" t="b">
        <v>0</v>
      </c>
      <c r="Q90" t="b">
        <v>0</v>
      </c>
      <c r="R90" t="s">
        <v>206</v>
      </c>
      <c r="S90" t="s">
        <v>2041</v>
      </c>
      <c r="T90" t="s">
        <v>2064</v>
      </c>
    </row>
    <row r="91" spans="1:20" ht="17" x14ac:dyDescent="0.2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s="4">
        <f t="shared" si="7"/>
        <v>2.5258823529411765</v>
      </c>
      <c r="G91" t="s">
        <v>20</v>
      </c>
      <c r="H91">
        <v>96</v>
      </c>
      <c r="I91" s="6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6"/>
        <v>40285.208333333336</v>
      </c>
      <c r="P91" t="b">
        <v>0</v>
      </c>
      <c r="Q91" t="b">
        <v>0</v>
      </c>
      <c r="R91" t="s">
        <v>33</v>
      </c>
      <c r="S91" t="s">
        <v>2043</v>
      </c>
      <c r="T91" t="s">
        <v>2058</v>
      </c>
    </row>
    <row r="92" spans="1:20" ht="17" x14ac:dyDescent="0.2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s="4">
        <f t="shared" si="7"/>
        <v>0.7861538461538462</v>
      </c>
      <c r="G92" t="s">
        <v>14</v>
      </c>
      <c r="H92">
        <v>106</v>
      </c>
      <c r="I92" s="6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6"/>
        <v>42425.25</v>
      </c>
      <c r="P92" t="b">
        <v>0</v>
      </c>
      <c r="Q92" t="b">
        <v>1</v>
      </c>
      <c r="R92" t="s">
        <v>33</v>
      </c>
      <c r="S92" t="s">
        <v>2043</v>
      </c>
      <c r="T92" t="s">
        <v>2058</v>
      </c>
    </row>
    <row r="93" spans="1:20" ht="17" x14ac:dyDescent="0.2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s="4">
        <f t="shared" si="7"/>
        <v>0.48404406999351912</v>
      </c>
      <c r="G93" t="s">
        <v>14</v>
      </c>
      <c r="H93">
        <v>679</v>
      </c>
      <c r="I93" s="6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6"/>
        <v>42616.208333333328</v>
      </c>
      <c r="P93" t="b">
        <v>0</v>
      </c>
      <c r="Q93" t="b">
        <v>0</v>
      </c>
      <c r="R93" t="s">
        <v>206</v>
      </c>
      <c r="S93" t="s">
        <v>2041</v>
      </c>
      <c r="T93" t="s">
        <v>2064</v>
      </c>
    </row>
    <row r="94" spans="1:20" ht="34" x14ac:dyDescent="0.2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s="4">
        <f t="shared" si="7"/>
        <v>2.5887500000000001</v>
      </c>
      <c r="G94" t="s">
        <v>20</v>
      </c>
      <c r="H94">
        <v>498</v>
      </c>
      <c r="I94" s="6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6"/>
        <v>40353.208333333336</v>
      </c>
      <c r="P94" t="b">
        <v>0</v>
      </c>
      <c r="Q94" t="b">
        <v>1</v>
      </c>
      <c r="R94" t="s">
        <v>89</v>
      </c>
      <c r="S94" t="s">
        <v>2037</v>
      </c>
      <c r="T94" t="s">
        <v>2065</v>
      </c>
    </row>
    <row r="95" spans="1:20" ht="17" x14ac:dyDescent="0.2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s="4">
        <f t="shared" si="7"/>
        <v>0.60548713235294116</v>
      </c>
      <c r="G95" t="s">
        <v>74</v>
      </c>
      <c r="H95">
        <v>610</v>
      </c>
      <c r="I95" s="6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6"/>
        <v>41206.208333333336</v>
      </c>
      <c r="P95" t="b">
        <v>0</v>
      </c>
      <c r="Q95" t="b">
        <v>1</v>
      </c>
      <c r="R95" t="s">
        <v>33</v>
      </c>
      <c r="S95" t="s">
        <v>2043</v>
      </c>
      <c r="T95" t="s">
        <v>2058</v>
      </c>
    </row>
    <row r="96" spans="1:20" ht="17" x14ac:dyDescent="0.2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s="4">
        <f t="shared" si="7"/>
        <v>3.036896551724138</v>
      </c>
      <c r="G96" t="s">
        <v>20</v>
      </c>
      <c r="H96">
        <v>180</v>
      </c>
      <c r="I96" s="6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6"/>
        <v>43573.208333333328</v>
      </c>
      <c r="P96" t="b">
        <v>0</v>
      </c>
      <c r="Q96" t="b">
        <v>0</v>
      </c>
      <c r="R96" t="s">
        <v>28</v>
      </c>
      <c r="S96" t="s">
        <v>2042</v>
      </c>
      <c r="T96" t="s">
        <v>2067</v>
      </c>
    </row>
    <row r="97" spans="1:20" ht="34" x14ac:dyDescent="0.2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s="4">
        <f t="shared" si="7"/>
        <v>1.1299999999999999</v>
      </c>
      <c r="G97" t="s">
        <v>20</v>
      </c>
      <c r="H97">
        <v>27</v>
      </c>
      <c r="I97" s="6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6"/>
        <v>43759.208333333328</v>
      </c>
      <c r="P97" t="b">
        <v>0</v>
      </c>
      <c r="Q97" t="b">
        <v>0</v>
      </c>
      <c r="R97" t="s">
        <v>42</v>
      </c>
      <c r="S97" t="s">
        <v>2035</v>
      </c>
      <c r="T97" t="s">
        <v>2047</v>
      </c>
    </row>
    <row r="98" spans="1:20" ht="17" x14ac:dyDescent="0.2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s="4">
        <f t="shared" si="7"/>
        <v>2.1737876614060259</v>
      </c>
      <c r="G98" t="s">
        <v>20</v>
      </c>
      <c r="H98">
        <v>2331</v>
      </c>
      <c r="I98" s="6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6"/>
        <v>40625.208333333336</v>
      </c>
      <c r="P98" t="b">
        <v>0</v>
      </c>
      <c r="Q98" t="b">
        <v>0</v>
      </c>
      <c r="R98" t="s">
        <v>33</v>
      </c>
      <c r="S98" t="s">
        <v>2043</v>
      </c>
      <c r="T98" t="s">
        <v>2058</v>
      </c>
    </row>
    <row r="99" spans="1:20" ht="17" x14ac:dyDescent="0.2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s="4">
        <f t="shared" si="7"/>
        <v>9.2669230769230762</v>
      </c>
      <c r="G99" t="s">
        <v>20</v>
      </c>
      <c r="H99">
        <v>113</v>
      </c>
      <c r="I99" s="6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6"/>
        <v>42234.208333333328</v>
      </c>
      <c r="P99" t="b">
        <v>0</v>
      </c>
      <c r="Q99" t="b">
        <v>0</v>
      </c>
      <c r="R99" t="s">
        <v>17</v>
      </c>
      <c r="S99" t="s">
        <v>2036</v>
      </c>
      <c r="T99" t="s">
        <v>2051</v>
      </c>
    </row>
    <row r="100" spans="1:20" ht="17" x14ac:dyDescent="0.2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s="4">
        <f t="shared" si="7"/>
        <v>0.33692229038854804</v>
      </c>
      <c r="G100" t="s">
        <v>14</v>
      </c>
      <c r="H100">
        <v>1220</v>
      </c>
      <c r="I100" s="6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6"/>
        <v>42216.208333333328</v>
      </c>
      <c r="P100" t="b">
        <v>0</v>
      </c>
      <c r="Q100" t="b">
        <v>0</v>
      </c>
      <c r="R100" t="s">
        <v>89</v>
      </c>
      <c r="S100" t="s">
        <v>2037</v>
      </c>
      <c r="T100" t="s">
        <v>2065</v>
      </c>
    </row>
    <row r="101" spans="1:20" ht="34" x14ac:dyDescent="0.2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s="4">
        <f t="shared" si="7"/>
        <v>1.9672368421052631</v>
      </c>
      <c r="G101" t="s">
        <v>20</v>
      </c>
      <c r="H101">
        <v>164</v>
      </c>
      <c r="I101" s="6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6"/>
        <v>41997.25</v>
      </c>
      <c r="P101" t="b">
        <v>0</v>
      </c>
      <c r="Q101" t="b">
        <v>0</v>
      </c>
      <c r="R101" t="s">
        <v>33</v>
      </c>
      <c r="S101" t="s">
        <v>2043</v>
      </c>
      <c r="T101" t="s">
        <v>2058</v>
      </c>
    </row>
    <row r="102" spans="1:20" ht="17" x14ac:dyDescent="0.2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s="4">
        <f t="shared" si="7"/>
        <v>0.01</v>
      </c>
      <c r="G102" t="s">
        <v>14</v>
      </c>
      <c r="H102">
        <v>1</v>
      </c>
      <c r="I102" s="6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6"/>
        <v>40853.208333333336</v>
      </c>
      <c r="P102" t="b">
        <v>0</v>
      </c>
      <c r="Q102" t="b">
        <v>0</v>
      </c>
      <c r="R102" t="s">
        <v>33</v>
      </c>
      <c r="S102" t="s">
        <v>2043</v>
      </c>
      <c r="T102" t="s">
        <v>2058</v>
      </c>
    </row>
    <row r="103" spans="1:20" ht="17" x14ac:dyDescent="0.2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s="4">
        <f t="shared" si="7"/>
        <v>10.214444444444444</v>
      </c>
      <c r="G103" t="s">
        <v>20</v>
      </c>
      <c r="H103">
        <v>164</v>
      </c>
      <c r="I103" s="6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6"/>
        <v>42063.25</v>
      </c>
      <c r="P103" t="b">
        <v>0</v>
      </c>
      <c r="Q103" t="b">
        <v>1</v>
      </c>
      <c r="R103" t="s">
        <v>50</v>
      </c>
      <c r="S103" t="s">
        <v>2039</v>
      </c>
      <c r="T103" t="s">
        <v>2049</v>
      </c>
    </row>
    <row r="104" spans="1:20" ht="17" x14ac:dyDescent="0.2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s="4">
        <f t="shared" si="7"/>
        <v>2.8167567567567566</v>
      </c>
      <c r="G104" t="s">
        <v>20</v>
      </c>
      <c r="H104">
        <v>336</v>
      </c>
      <c r="I104" s="6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6"/>
        <v>43241.208333333328</v>
      </c>
      <c r="P104" t="b">
        <v>0</v>
      </c>
      <c r="Q104" t="b">
        <v>1</v>
      </c>
      <c r="R104" t="s">
        <v>65</v>
      </c>
      <c r="S104" t="s">
        <v>2042</v>
      </c>
      <c r="T104" t="s">
        <v>2066</v>
      </c>
    </row>
    <row r="105" spans="1:20" ht="17" x14ac:dyDescent="0.2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s="4">
        <f t="shared" si="7"/>
        <v>0.24610000000000001</v>
      </c>
      <c r="G105" t="s">
        <v>14</v>
      </c>
      <c r="H105">
        <v>37</v>
      </c>
      <c r="I105" s="6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6"/>
        <v>40484.208333333336</v>
      </c>
      <c r="P105" t="b">
        <v>0</v>
      </c>
      <c r="Q105" t="b">
        <v>0</v>
      </c>
      <c r="R105" t="s">
        <v>50</v>
      </c>
      <c r="S105" t="s">
        <v>2039</v>
      </c>
      <c r="T105" t="s">
        <v>2049</v>
      </c>
    </row>
    <row r="106" spans="1:20" ht="17" x14ac:dyDescent="0.2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s="4">
        <f t="shared" si="7"/>
        <v>1.4314010067114094</v>
      </c>
      <c r="G106" t="s">
        <v>20</v>
      </c>
      <c r="H106">
        <v>1917</v>
      </c>
      <c r="I106" s="6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6"/>
        <v>42879.208333333328</v>
      </c>
      <c r="P106" t="b">
        <v>0</v>
      </c>
      <c r="Q106" t="b">
        <v>0</v>
      </c>
      <c r="R106" t="s">
        <v>60</v>
      </c>
      <c r="S106" t="s">
        <v>2039</v>
      </c>
      <c r="T106" t="s">
        <v>2052</v>
      </c>
    </row>
    <row r="107" spans="1:20" ht="17" x14ac:dyDescent="0.2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s="4">
        <f t="shared" si="7"/>
        <v>1.4454411764705883</v>
      </c>
      <c r="G107" t="s">
        <v>20</v>
      </c>
      <c r="H107">
        <v>95</v>
      </c>
      <c r="I107" s="6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6"/>
        <v>41384.208333333336</v>
      </c>
      <c r="P107" t="b">
        <v>0</v>
      </c>
      <c r="Q107" t="b">
        <v>0</v>
      </c>
      <c r="R107" t="s">
        <v>28</v>
      </c>
      <c r="S107" t="s">
        <v>2042</v>
      </c>
      <c r="T107" t="s">
        <v>2067</v>
      </c>
    </row>
    <row r="108" spans="1:20" ht="17" x14ac:dyDescent="0.2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s="4">
        <f t="shared" si="7"/>
        <v>3.5912820512820511</v>
      </c>
      <c r="G108" t="s">
        <v>20</v>
      </c>
      <c r="H108">
        <v>147</v>
      </c>
      <c r="I108" s="6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6"/>
        <v>43721.208333333328</v>
      </c>
      <c r="P108" t="b">
        <v>0</v>
      </c>
      <c r="Q108" t="b">
        <v>0</v>
      </c>
      <c r="R108" t="s">
        <v>33</v>
      </c>
      <c r="S108" t="s">
        <v>2043</v>
      </c>
      <c r="T108" t="s">
        <v>2058</v>
      </c>
    </row>
    <row r="109" spans="1:20" ht="34" x14ac:dyDescent="0.2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s="4">
        <f t="shared" si="7"/>
        <v>1.8648571428571428</v>
      </c>
      <c r="G109" t="s">
        <v>20</v>
      </c>
      <c r="H109">
        <v>86</v>
      </c>
      <c r="I109" s="6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6"/>
        <v>43230.208333333328</v>
      </c>
      <c r="P109" t="b">
        <v>0</v>
      </c>
      <c r="Q109" t="b">
        <v>1</v>
      </c>
      <c r="R109" t="s">
        <v>33</v>
      </c>
      <c r="S109" t="s">
        <v>2043</v>
      </c>
      <c r="T109" t="s">
        <v>2058</v>
      </c>
    </row>
    <row r="110" spans="1:20" ht="34" x14ac:dyDescent="0.2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s="4">
        <f t="shared" si="7"/>
        <v>5.9526666666666666</v>
      </c>
      <c r="G110" t="s">
        <v>20</v>
      </c>
      <c r="H110">
        <v>83</v>
      </c>
      <c r="I110" s="6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6"/>
        <v>41042.208333333336</v>
      </c>
      <c r="P110" t="b">
        <v>0</v>
      </c>
      <c r="Q110" t="b">
        <v>0</v>
      </c>
      <c r="R110" t="s">
        <v>42</v>
      </c>
      <c r="S110" t="s">
        <v>2035</v>
      </c>
      <c r="T110" t="s">
        <v>2047</v>
      </c>
    </row>
    <row r="111" spans="1:20" ht="17" x14ac:dyDescent="0.2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s="4">
        <f t="shared" si="7"/>
        <v>0.5921153846153846</v>
      </c>
      <c r="G111" t="s">
        <v>14</v>
      </c>
      <c r="H111">
        <v>60</v>
      </c>
      <c r="I111" s="6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6"/>
        <v>41653.25</v>
      </c>
      <c r="P111" t="b">
        <v>0</v>
      </c>
      <c r="Q111" t="b">
        <v>0</v>
      </c>
      <c r="R111" t="s">
        <v>269</v>
      </c>
      <c r="S111" t="s">
        <v>2035</v>
      </c>
      <c r="T111" t="s">
        <v>2063</v>
      </c>
    </row>
    <row r="112" spans="1:20" ht="34" x14ac:dyDescent="0.2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s="4">
        <f t="shared" si="7"/>
        <v>0.14962780898876404</v>
      </c>
      <c r="G112" t="s">
        <v>14</v>
      </c>
      <c r="H112">
        <v>296</v>
      </c>
      <c r="I112" s="6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6"/>
        <v>43373.208333333328</v>
      </c>
      <c r="P112" t="b">
        <v>0</v>
      </c>
      <c r="Q112" t="b">
        <v>0</v>
      </c>
      <c r="R112" t="s">
        <v>17</v>
      </c>
      <c r="S112" t="s">
        <v>2036</v>
      </c>
      <c r="T112" t="s">
        <v>2051</v>
      </c>
    </row>
    <row r="113" spans="1:20" ht="17" x14ac:dyDescent="0.2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s="4">
        <f t="shared" si="7"/>
        <v>1.1995602605863191</v>
      </c>
      <c r="G113" t="s">
        <v>20</v>
      </c>
      <c r="H113">
        <v>676</v>
      </c>
      <c r="I113" s="6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6"/>
        <v>41180.208333333336</v>
      </c>
      <c r="P113" t="b">
        <v>0</v>
      </c>
      <c r="Q113" t="b">
        <v>0</v>
      </c>
      <c r="R113" t="s">
        <v>133</v>
      </c>
      <c r="S113" t="s">
        <v>2041</v>
      </c>
      <c r="T113" t="s">
        <v>2059</v>
      </c>
    </row>
    <row r="114" spans="1:20" ht="17" x14ac:dyDescent="0.2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s="4">
        <f t="shared" si="7"/>
        <v>2.6882978723404256</v>
      </c>
      <c r="G114" t="s">
        <v>20</v>
      </c>
      <c r="H114">
        <v>361</v>
      </c>
      <c r="I114" s="6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6"/>
        <v>41890.208333333336</v>
      </c>
      <c r="P114" t="b">
        <v>0</v>
      </c>
      <c r="Q114" t="b">
        <v>0</v>
      </c>
      <c r="R114" t="s">
        <v>28</v>
      </c>
      <c r="S114" t="s">
        <v>2042</v>
      </c>
      <c r="T114" t="s">
        <v>2067</v>
      </c>
    </row>
    <row r="115" spans="1:20" ht="17" x14ac:dyDescent="0.2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s="4">
        <f t="shared" si="7"/>
        <v>3.7687878787878786</v>
      </c>
      <c r="G115" t="s">
        <v>20</v>
      </c>
      <c r="H115">
        <v>131</v>
      </c>
      <c r="I115" s="6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6"/>
        <v>42997.208333333328</v>
      </c>
      <c r="P115" t="b">
        <v>0</v>
      </c>
      <c r="Q115" t="b">
        <v>0</v>
      </c>
      <c r="R115" t="s">
        <v>17</v>
      </c>
      <c r="S115" t="s">
        <v>2036</v>
      </c>
      <c r="T115" t="s">
        <v>2051</v>
      </c>
    </row>
    <row r="116" spans="1:20" ht="17" x14ac:dyDescent="0.2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s="4">
        <f t="shared" si="7"/>
        <v>7.2715789473684209</v>
      </c>
      <c r="G116" t="s">
        <v>20</v>
      </c>
      <c r="H116">
        <v>126</v>
      </c>
      <c r="I116" s="6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6"/>
        <v>43565.208333333328</v>
      </c>
      <c r="P116" t="b">
        <v>0</v>
      </c>
      <c r="Q116" t="b">
        <v>1</v>
      </c>
      <c r="R116" t="s">
        <v>65</v>
      </c>
      <c r="S116" t="s">
        <v>2042</v>
      </c>
      <c r="T116" t="s">
        <v>2066</v>
      </c>
    </row>
    <row r="117" spans="1:20" ht="17" x14ac:dyDescent="0.2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s="4">
        <f t="shared" si="7"/>
        <v>0.87211757648470301</v>
      </c>
      <c r="G117" t="s">
        <v>14</v>
      </c>
      <c r="H117">
        <v>3304</v>
      </c>
      <c r="I117" s="6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6"/>
        <v>43091.25</v>
      </c>
      <c r="P117" t="b">
        <v>0</v>
      </c>
      <c r="Q117" t="b">
        <v>0</v>
      </c>
      <c r="R117" t="s">
        <v>119</v>
      </c>
      <c r="S117" t="s">
        <v>2041</v>
      </c>
      <c r="T117" t="s">
        <v>2050</v>
      </c>
    </row>
    <row r="118" spans="1:20" ht="34" x14ac:dyDescent="0.2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s="4">
        <f t="shared" si="7"/>
        <v>0.88</v>
      </c>
      <c r="G118" t="s">
        <v>14</v>
      </c>
      <c r="H118">
        <v>73</v>
      </c>
      <c r="I118" s="6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6"/>
        <v>42266.208333333328</v>
      </c>
      <c r="P118" t="b">
        <v>0</v>
      </c>
      <c r="Q118" t="b">
        <v>0</v>
      </c>
      <c r="R118" t="s">
        <v>33</v>
      </c>
      <c r="S118" t="s">
        <v>2043</v>
      </c>
      <c r="T118" t="s">
        <v>2058</v>
      </c>
    </row>
    <row r="119" spans="1:20" ht="17" x14ac:dyDescent="0.2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s="4">
        <f t="shared" si="7"/>
        <v>1.7393877551020409</v>
      </c>
      <c r="G119" t="s">
        <v>20</v>
      </c>
      <c r="H119">
        <v>275</v>
      </c>
      <c r="I119" s="6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6"/>
        <v>40814.208333333336</v>
      </c>
      <c r="P119" t="b">
        <v>0</v>
      </c>
      <c r="Q119" t="b">
        <v>0</v>
      </c>
      <c r="R119" t="s">
        <v>269</v>
      </c>
      <c r="S119" t="s">
        <v>2035</v>
      </c>
      <c r="T119" t="s">
        <v>2063</v>
      </c>
    </row>
    <row r="120" spans="1:20" ht="17" x14ac:dyDescent="0.2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s="4">
        <f t="shared" si="7"/>
        <v>1.1761111111111111</v>
      </c>
      <c r="G120" t="s">
        <v>20</v>
      </c>
      <c r="H120">
        <v>67</v>
      </c>
      <c r="I120" s="6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6"/>
        <v>41671.25</v>
      </c>
      <c r="P120" t="b">
        <v>0</v>
      </c>
      <c r="Q120" t="b">
        <v>0</v>
      </c>
      <c r="R120" t="s">
        <v>122</v>
      </c>
      <c r="S120" t="s">
        <v>2040</v>
      </c>
      <c r="T120" t="s">
        <v>2057</v>
      </c>
    </row>
    <row r="121" spans="1:20" ht="34" x14ac:dyDescent="0.2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s="4">
        <f t="shared" si="7"/>
        <v>2.1496</v>
      </c>
      <c r="G121" t="s">
        <v>20</v>
      </c>
      <c r="H121">
        <v>154</v>
      </c>
      <c r="I121" s="6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6"/>
        <v>41823.208333333336</v>
      </c>
      <c r="P121" t="b">
        <v>0</v>
      </c>
      <c r="Q121" t="b">
        <v>1</v>
      </c>
      <c r="R121" t="s">
        <v>42</v>
      </c>
      <c r="S121" t="s">
        <v>2035</v>
      </c>
      <c r="T121" t="s">
        <v>2047</v>
      </c>
    </row>
    <row r="122" spans="1:20" ht="17" x14ac:dyDescent="0.2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s="4">
        <f t="shared" si="7"/>
        <v>1.4949667110519307</v>
      </c>
      <c r="G122" t="s">
        <v>20</v>
      </c>
      <c r="H122">
        <v>1782</v>
      </c>
      <c r="I122" s="6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6"/>
        <v>42115.208333333328</v>
      </c>
      <c r="P122" t="b">
        <v>0</v>
      </c>
      <c r="Q122" t="b">
        <v>1</v>
      </c>
      <c r="R122" t="s">
        <v>292</v>
      </c>
      <c r="S122" t="s">
        <v>2037</v>
      </c>
      <c r="T122" t="s">
        <v>2055</v>
      </c>
    </row>
    <row r="123" spans="1:20" ht="17" x14ac:dyDescent="0.2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s="4">
        <f t="shared" si="7"/>
        <v>2.1933995584988963</v>
      </c>
      <c r="G123" t="s">
        <v>20</v>
      </c>
      <c r="H123">
        <v>903</v>
      </c>
      <c r="I123" s="6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6"/>
        <v>41930.208333333336</v>
      </c>
      <c r="P123" t="b">
        <v>0</v>
      </c>
      <c r="Q123" t="b">
        <v>0</v>
      </c>
      <c r="R123" t="s">
        <v>89</v>
      </c>
      <c r="S123" t="s">
        <v>2037</v>
      </c>
      <c r="T123" t="s">
        <v>2065</v>
      </c>
    </row>
    <row r="124" spans="1:20" ht="17" x14ac:dyDescent="0.2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s="4">
        <f t="shared" si="7"/>
        <v>0.64367690058479532</v>
      </c>
      <c r="G124" t="s">
        <v>14</v>
      </c>
      <c r="H124">
        <v>3387</v>
      </c>
      <c r="I124" s="6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6"/>
        <v>41997.25</v>
      </c>
      <c r="P124" t="b">
        <v>0</v>
      </c>
      <c r="Q124" t="b">
        <v>0</v>
      </c>
      <c r="R124" t="s">
        <v>119</v>
      </c>
      <c r="S124" t="s">
        <v>2041</v>
      </c>
      <c r="T124" t="s">
        <v>2050</v>
      </c>
    </row>
    <row r="125" spans="1:20" ht="17" x14ac:dyDescent="0.2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s="4">
        <f t="shared" si="7"/>
        <v>0.18622397298818233</v>
      </c>
      <c r="G125" t="s">
        <v>14</v>
      </c>
      <c r="H125">
        <v>662</v>
      </c>
      <c r="I125" s="6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6"/>
        <v>42335.25</v>
      </c>
      <c r="P125" t="b">
        <v>1</v>
      </c>
      <c r="Q125" t="b">
        <v>0</v>
      </c>
      <c r="R125" t="s">
        <v>33</v>
      </c>
      <c r="S125" t="s">
        <v>2043</v>
      </c>
      <c r="T125" t="s">
        <v>2058</v>
      </c>
    </row>
    <row r="126" spans="1:20" ht="17" x14ac:dyDescent="0.2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s="4">
        <f t="shared" si="7"/>
        <v>3.6776923076923076</v>
      </c>
      <c r="G126" t="s">
        <v>20</v>
      </c>
      <c r="H126">
        <v>94</v>
      </c>
      <c r="I126" s="6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6"/>
        <v>43651.208333333328</v>
      </c>
      <c r="P126" t="b">
        <v>0</v>
      </c>
      <c r="Q126" t="b">
        <v>0</v>
      </c>
      <c r="R126" t="s">
        <v>122</v>
      </c>
      <c r="S126" t="s">
        <v>2040</v>
      </c>
      <c r="T126" t="s">
        <v>2057</v>
      </c>
    </row>
    <row r="127" spans="1:20" ht="17" x14ac:dyDescent="0.2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s="4">
        <f t="shared" si="7"/>
        <v>1.5990566037735849</v>
      </c>
      <c r="G127" t="s">
        <v>20</v>
      </c>
      <c r="H127">
        <v>180</v>
      </c>
      <c r="I127" s="6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6"/>
        <v>43366.208333333328</v>
      </c>
      <c r="P127" t="b">
        <v>0</v>
      </c>
      <c r="Q127" t="b">
        <v>0</v>
      </c>
      <c r="R127" t="s">
        <v>33</v>
      </c>
      <c r="S127" t="s">
        <v>2043</v>
      </c>
      <c r="T127" t="s">
        <v>2058</v>
      </c>
    </row>
    <row r="128" spans="1:20" ht="17" x14ac:dyDescent="0.2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s="4">
        <f t="shared" si="7"/>
        <v>0.38633185349611543</v>
      </c>
      <c r="G128" t="s">
        <v>14</v>
      </c>
      <c r="H128">
        <v>774</v>
      </c>
      <c r="I128" s="6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6"/>
        <v>42624.208333333328</v>
      </c>
      <c r="P128" t="b">
        <v>0</v>
      </c>
      <c r="Q128" t="b">
        <v>1</v>
      </c>
      <c r="R128" t="s">
        <v>33</v>
      </c>
      <c r="S128" t="s">
        <v>2043</v>
      </c>
      <c r="T128" t="s">
        <v>2058</v>
      </c>
    </row>
    <row r="129" spans="1:20" ht="17" x14ac:dyDescent="0.2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s="4">
        <f t="shared" si="7"/>
        <v>0.51421511627906979</v>
      </c>
      <c r="G129" t="s">
        <v>14</v>
      </c>
      <c r="H129">
        <v>672</v>
      </c>
      <c r="I129" s="6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6"/>
        <v>40313.208333333336</v>
      </c>
      <c r="P129" t="b">
        <v>0</v>
      </c>
      <c r="Q129" t="b">
        <v>0</v>
      </c>
      <c r="R129" t="s">
        <v>33</v>
      </c>
      <c r="S129" t="s">
        <v>2043</v>
      </c>
      <c r="T129" t="s">
        <v>2058</v>
      </c>
    </row>
    <row r="130" spans="1:20" ht="17" x14ac:dyDescent="0.2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s="4">
        <f t="shared" si="7"/>
        <v>0.60334277620396604</v>
      </c>
      <c r="G130" t="s">
        <v>74</v>
      </c>
      <c r="H130">
        <v>532</v>
      </c>
      <c r="I130" s="6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6"/>
        <v>40430.208333333336</v>
      </c>
      <c r="P130" t="b">
        <v>0</v>
      </c>
      <c r="Q130" t="b">
        <v>0</v>
      </c>
      <c r="R130" t="s">
        <v>23</v>
      </c>
      <c r="S130" t="s">
        <v>2039</v>
      </c>
      <c r="T130" t="s">
        <v>2060</v>
      </c>
    </row>
    <row r="131" spans="1:20" ht="17" x14ac:dyDescent="0.2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s="4">
        <f t="shared" si="7"/>
        <v>3.2026936026936029E-2</v>
      </c>
      <c r="G131" t="s">
        <v>74</v>
      </c>
      <c r="H131">
        <v>55</v>
      </c>
      <c r="I131" s="6">
        <f t="shared" ref="I131:I194" si="8">IF(H131&lt;&gt;0,E131/H131,0)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3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2036</v>
      </c>
      <c r="T131" t="s">
        <v>2051</v>
      </c>
    </row>
    <row r="132" spans="1:20" ht="17" x14ac:dyDescent="0.2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s="4">
        <f t="shared" ref="F132:F195" si="11">E132/D132</f>
        <v>1.5546875</v>
      </c>
      <c r="G132" t="s">
        <v>20</v>
      </c>
      <c r="H132">
        <v>533</v>
      </c>
      <c r="I132" s="6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9"/>
        <v>40842.208333333336</v>
      </c>
      <c r="O132" s="13">
        <f t="shared" si="10"/>
        <v>40858.25</v>
      </c>
      <c r="P132" t="b">
        <v>0</v>
      </c>
      <c r="Q132" t="b">
        <v>0</v>
      </c>
      <c r="R132" t="s">
        <v>53</v>
      </c>
      <c r="S132" t="s">
        <v>2035</v>
      </c>
      <c r="T132" t="s">
        <v>2048</v>
      </c>
    </row>
    <row r="133" spans="1:20" ht="34" x14ac:dyDescent="0.2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s="4">
        <f t="shared" si="11"/>
        <v>1.0085974499089254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9"/>
        <v>41607.25</v>
      </c>
      <c r="O133" s="13">
        <f t="shared" si="10"/>
        <v>41620.25</v>
      </c>
      <c r="P133" t="b">
        <v>0</v>
      </c>
      <c r="Q133" t="b">
        <v>0</v>
      </c>
      <c r="R133" t="s">
        <v>28</v>
      </c>
      <c r="S133" t="s">
        <v>2042</v>
      </c>
      <c r="T133" t="s">
        <v>2067</v>
      </c>
    </row>
    <row r="134" spans="1:20" ht="17" x14ac:dyDescent="0.2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s="4">
        <f t="shared" si="11"/>
        <v>1.1618181818181819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9"/>
        <v>43112.25</v>
      </c>
      <c r="O134" s="13">
        <f t="shared" si="10"/>
        <v>43128.25</v>
      </c>
      <c r="P134" t="b">
        <v>0</v>
      </c>
      <c r="Q134" t="b">
        <v>1</v>
      </c>
      <c r="R134" t="s">
        <v>33</v>
      </c>
      <c r="S134" t="s">
        <v>2043</v>
      </c>
      <c r="T134" t="s">
        <v>2058</v>
      </c>
    </row>
    <row r="135" spans="1:20" ht="17" x14ac:dyDescent="0.2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s="4">
        <f t="shared" si="11"/>
        <v>3.1077777777777778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9"/>
        <v>40767.208333333336</v>
      </c>
      <c r="O135" s="13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2039</v>
      </c>
      <c r="T135" t="s">
        <v>2068</v>
      </c>
    </row>
    <row r="136" spans="1:20" ht="17" x14ac:dyDescent="0.2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s="4">
        <f t="shared" si="11"/>
        <v>0.89736683417085428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9"/>
        <v>40713.208333333336</v>
      </c>
      <c r="O136" s="13">
        <f t="shared" si="10"/>
        <v>40762.208333333336</v>
      </c>
      <c r="P136" t="b">
        <v>0</v>
      </c>
      <c r="Q136" t="b">
        <v>1</v>
      </c>
      <c r="R136" t="s">
        <v>42</v>
      </c>
      <c r="S136" t="s">
        <v>2035</v>
      </c>
      <c r="T136" t="s">
        <v>2047</v>
      </c>
    </row>
    <row r="137" spans="1:20" ht="17" x14ac:dyDescent="0.2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s="4">
        <f t="shared" si="11"/>
        <v>0.71272727272727276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9"/>
        <v>41340.25</v>
      </c>
      <c r="O137" s="13">
        <f t="shared" si="10"/>
        <v>41345.208333333336</v>
      </c>
      <c r="P137" t="b">
        <v>0</v>
      </c>
      <c r="Q137" t="b">
        <v>1</v>
      </c>
      <c r="R137" t="s">
        <v>33</v>
      </c>
      <c r="S137" t="s">
        <v>2043</v>
      </c>
      <c r="T137" t="s">
        <v>2058</v>
      </c>
    </row>
    <row r="138" spans="1:20" ht="17" x14ac:dyDescent="0.2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s="4">
        <f t="shared" si="11"/>
        <v>3.2862318840579711E-2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9"/>
        <v>41797.208333333336</v>
      </c>
      <c r="O138" s="13">
        <f t="shared" si="10"/>
        <v>41809.208333333336</v>
      </c>
      <c r="P138" t="b">
        <v>0</v>
      </c>
      <c r="Q138" t="b">
        <v>1</v>
      </c>
      <c r="R138" t="s">
        <v>53</v>
      </c>
      <c r="S138" t="s">
        <v>2035</v>
      </c>
      <c r="T138" t="s">
        <v>2048</v>
      </c>
    </row>
    <row r="139" spans="1:20" ht="17" x14ac:dyDescent="0.2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s="4">
        <f t="shared" si="11"/>
        <v>2.617777777777778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9"/>
        <v>40457.208333333336</v>
      </c>
      <c r="O139" s="13">
        <f t="shared" si="10"/>
        <v>40463.208333333336</v>
      </c>
      <c r="P139" t="b">
        <v>0</v>
      </c>
      <c r="Q139" t="b">
        <v>0</v>
      </c>
      <c r="R139" t="s">
        <v>68</v>
      </c>
      <c r="S139" t="s">
        <v>2041</v>
      </c>
      <c r="T139" t="s">
        <v>2056</v>
      </c>
    </row>
    <row r="140" spans="1:20" ht="34" x14ac:dyDescent="0.2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s="4">
        <f t="shared" si="11"/>
        <v>0.96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9"/>
        <v>41180.208333333336</v>
      </c>
      <c r="O140" s="13">
        <f t="shared" si="10"/>
        <v>41186.208333333336</v>
      </c>
      <c r="P140" t="b">
        <v>0</v>
      </c>
      <c r="Q140" t="b">
        <v>0</v>
      </c>
      <c r="R140" t="s">
        <v>292</v>
      </c>
      <c r="S140" t="s">
        <v>2037</v>
      </c>
      <c r="T140" t="s">
        <v>2055</v>
      </c>
    </row>
    <row r="141" spans="1:20" ht="17" x14ac:dyDescent="0.2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s="4">
        <f t="shared" si="11"/>
        <v>0.20896851248642778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9"/>
        <v>42115.208333333328</v>
      </c>
      <c r="O141" s="13">
        <f t="shared" si="10"/>
        <v>42131.208333333328</v>
      </c>
      <c r="P141" t="b">
        <v>0</v>
      </c>
      <c r="Q141" t="b">
        <v>1</v>
      </c>
      <c r="R141" t="s">
        <v>65</v>
      </c>
      <c r="S141" t="s">
        <v>2042</v>
      </c>
      <c r="T141" t="s">
        <v>2066</v>
      </c>
    </row>
    <row r="142" spans="1:20" ht="34" x14ac:dyDescent="0.2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s="4">
        <f t="shared" si="11"/>
        <v>2.2316363636363636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9"/>
        <v>43156.25</v>
      </c>
      <c r="O142" s="13">
        <f t="shared" si="10"/>
        <v>43161.25</v>
      </c>
      <c r="P142" t="b">
        <v>0</v>
      </c>
      <c r="Q142" t="b">
        <v>0</v>
      </c>
      <c r="R142" t="s">
        <v>42</v>
      </c>
      <c r="S142" t="s">
        <v>2035</v>
      </c>
      <c r="T142" t="s">
        <v>2047</v>
      </c>
    </row>
    <row r="143" spans="1:20" ht="17" x14ac:dyDescent="0.2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s="4">
        <f t="shared" si="11"/>
        <v>1.0159097978227061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9"/>
        <v>42167.208333333328</v>
      </c>
      <c r="O143" s="13">
        <f t="shared" si="10"/>
        <v>42173.208333333328</v>
      </c>
      <c r="P143" t="b">
        <v>0</v>
      </c>
      <c r="Q143" t="b">
        <v>0</v>
      </c>
      <c r="R143" t="s">
        <v>28</v>
      </c>
      <c r="S143" t="s">
        <v>2042</v>
      </c>
      <c r="T143" t="s">
        <v>2067</v>
      </c>
    </row>
    <row r="144" spans="1:20" ht="34" x14ac:dyDescent="0.2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s="4">
        <f t="shared" si="11"/>
        <v>2.3003999999999998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9"/>
        <v>41005.208333333336</v>
      </c>
      <c r="O144" s="13">
        <f t="shared" si="10"/>
        <v>41046.208333333336</v>
      </c>
      <c r="P144" t="b">
        <v>0</v>
      </c>
      <c r="Q144" t="b">
        <v>0</v>
      </c>
      <c r="R144" t="s">
        <v>28</v>
      </c>
      <c r="S144" t="s">
        <v>2042</v>
      </c>
      <c r="T144" t="s">
        <v>2067</v>
      </c>
    </row>
    <row r="145" spans="1:20" ht="17" x14ac:dyDescent="0.2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s="4">
        <f t="shared" si="11"/>
        <v>1.355925925925926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9"/>
        <v>40357.208333333336</v>
      </c>
      <c r="O145" s="13">
        <f t="shared" si="10"/>
        <v>40377.208333333336</v>
      </c>
      <c r="P145" t="b">
        <v>0</v>
      </c>
      <c r="Q145" t="b">
        <v>0</v>
      </c>
      <c r="R145" t="s">
        <v>60</v>
      </c>
      <c r="S145" t="s">
        <v>2039</v>
      </c>
      <c r="T145" t="s">
        <v>2052</v>
      </c>
    </row>
    <row r="146" spans="1:20" ht="17" x14ac:dyDescent="0.2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s="4">
        <f t="shared" si="11"/>
        <v>1.2909999999999999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9"/>
        <v>43633.208333333328</v>
      </c>
      <c r="O146" s="13">
        <f t="shared" si="10"/>
        <v>43641.208333333328</v>
      </c>
      <c r="P146" t="b">
        <v>0</v>
      </c>
      <c r="Q146" t="b">
        <v>0</v>
      </c>
      <c r="R146" t="s">
        <v>33</v>
      </c>
      <c r="S146" t="s">
        <v>2043</v>
      </c>
      <c r="T146" t="s">
        <v>2058</v>
      </c>
    </row>
    <row r="147" spans="1:20" ht="17" x14ac:dyDescent="0.2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s="4">
        <f t="shared" si="11"/>
        <v>2.3651200000000001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9"/>
        <v>41889.208333333336</v>
      </c>
      <c r="O147" s="13">
        <f t="shared" si="10"/>
        <v>41894.208333333336</v>
      </c>
      <c r="P147" t="b">
        <v>0</v>
      </c>
      <c r="Q147" t="b">
        <v>0</v>
      </c>
      <c r="R147" t="s">
        <v>65</v>
      </c>
      <c r="S147" t="s">
        <v>2042</v>
      </c>
      <c r="T147" t="s">
        <v>2066</v>
      </c>
    </row>
    <row r="148" spans="1:20" ht="34" x14ac:dyDescent="0.2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s="4">
        <f t="shared" si="11"/>
        <v>0.17249999999999999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9"/>
        <v>40855.25</v>
      </c>
      <c r="O148" s="13">
        <f t="shared" si="10"/>
        <v>40875.25</v>
      </c>
      <c r="P148" t="b">
        <v>0</v>
      </c>
      <c r="Q148" t="b">
        <v>0</v>
      </c>
      <c r="R148" t="s">
        <v>33</v>
      </c>
      <c r="S148" t="s">
        <v>2043</v>
      </c>
      <c r="T148" t="s">
        <v>2058</v>
      </c>
    </row>
    <row r="149" spans="1:20" ht="34" x14ac:dyDescent="0.2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s="4">
        <f t="shared" si="11"/>
        <v>1.1249397590361445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9"/>
        <v>42534.208333333328</v>
      </c>
      <c r="O149" s="13">
        <f t="shared" si="10"/>
        <v>42540.208333333328</v>
      </c>
      <c r="P149" t="b">
        <v>0</v>
      </c>
      <c r="Q149" t="b">
        <v>1</v>
      </c>
      <c r="R149" t="s">
        <v>33</v>
      </c>
      <c r="S149" t="s">
        <v>2043</v>
      </c>
      <c r="T149" t="s">
        <v>2058</v>
      </c>
    </row>
    <row r="150" spans="1:20" ht="17" x14ac:dyDescent="0.2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s="4">
        <f t="shared" si="11"/>
        <v>1.2102150537634409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9"/>
        <v>42941.208333333328</v>
      </c>
      <c r="O150" s="13">
        <f t="shared" si="10"/>
        <v>42950.208333333328</v>
      </c>
      <c r="P150" t="b">
        <v>0</v>
      </c>
      <c r="Q150" t="b">
        <v>0</v>
      </c>
      <c r="R150" t="s">
        <v>65</v>
      </c>
      <c r="S150" t="s">
        <v>2042</v>
      </c>
      <c r="T150" t="s">
        <v>2066</v>
      </c>
    </row>
    <row r="151" spans="1:20" ht="17" x14ac:dyDescent="0.2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s="4">
        <f t="shared" si="11"/>
        <v>2.1987096774193549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9"/>
        <v>41275.25</v>
      </c>
      <c r="O151" s="13">
        <f t="shared" si="10"/>
        <v>41327.25</v>
      </c>
      <c r="P151" t="b">
        <v>0</v>
      </c>
      <c r="Q151" t="b">
        <v>0</v>
      </c>
      <c r="R151" t="s">
        <v>60</v>
      </c>
      <c r="S151" t="s">
        <v>2039</v>
      </c>
      <c r="T151" t="s">
        <v>2052</v>
      </c>
    </row>
    <row r="152" spans="1:20" ht="17" x14ac:dyDescent="0.2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s="4">
        <f t="shared" si="11"/>
        <v>0.01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9"/>
        <v>43450.25</v>
      </c>
      <c r="O152" s="13">
        <f t="shared" si="10"/>
        <v>43451.25</v>
      </c>
      <c r="P152" t="b">
        <v>0</v>
      </c>
      <c r="Q152" t="b">
        <v>0</v>
      </c>
      <c r="R152" t="s">
        <v>23</v>
      </c>
      <c r="S152" t="s">
        <v>2039</v>
      </c>
      <c r="T152" t="s">
        <v>2060</v>
      </c>
    </row>
    <row r="153" spans="1:20" ht="17" x14ac:dyDescent="0.2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s="4">
        <f t="shared" si="11"/>
        <v>0.64166909620991253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9"/>
        <v>41799.208333333336</v>
      </c>
      <c r="O153" s="13">
        <f t="shared" si="10"/>
        <v>41850.208333333336</v>
      </c>
      <c r="P153" t="b">
        <v>0</v>
      </c>
      <c r="Q153" t="b">
        <v>0</v>
      </c>
      <c r="R153" t="s">
        <v>50</v>
      </c>
      <c r="S153" t="s">
        <v>2039</v>
      </c>
      <c r="T153" t="s">
        <v>2049</v>
      </c>
    </row>
    <row r="154" spans="1:20" ht="17" x14ac:dyDescent="0.2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s="4">
        <f t="shared" si="11"/>
        <v>4.2306746987951804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9"/>
        <v>42783.25</v>
      </c>
      <c r="O154" s="13">
        <f t="shared" si="10"/>
        <v>42790.25</v>
      </c>
      <c r="P154" t="b">
        <v>0</v>
      </c>
      <c r="Q154" t="b">
        <v>0</v>
      </c>
      <c r="R154" t="s">
        <v>60</v>
      </c>
      <c r="S154" t="s">
        <v>2039</v>
      </c>
      <c r="T154" t="s">
        <v>2052</v>
      </c>
    </row>
    <row r="155" spans="1:20" ht="17" x14ac:dyDescent="0.2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s="4">
        <f t="shared" si="11"/>
        <v>0.92984160506863778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9"/>
        <v>41201.208333333336</v>
      </c>
      <c r="O155" s="13">
        <f t="shared" si="10"/>
        <v>41207.208333333336</v>
      </c>
      <c r="P155" t="b">
        <v>0</v>
      </c>
      <c r="Q155" t="b">
        <v>0</v>
      </c>
      <c r="R155" t="s">
        <v>33</v>
      </c>
      <c r="S155" t="s">
        <v>2043</v>
      </c>
      <c r="T155" t="s">
        <v>2058</v>
      </c>
    </row>
    <row r="156" spans="1:20" ht="17" x14ac:dyDescent="0.2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s="4">
        <f t="shared" si="11"/>
        <v>0.58756567425569173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9"/>
        <v>42502.208333333328</v>
      </c>
      <c r="O156" s="13">
        <f t="shared" si="10"/>
        <v>42525.208333333328</v>
      </c>
      <c r="P156" t="b">
        <v>0</v>
      </c>
      <c r="Q156" t="b">
        <v>1</v>
      </c>
      <c r="R156" t="s">
        <v>60</v>
      </c>
      <c r="S156" t="s">
        <v>2039</v>
      </c>
      <c r="T156" t="s">
        <v>2052</v>
      </c>
    </row>
    <row r="157" spans="1:20" ht="17" x14ac:dyDescent="0.2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s="4">
        <f t="shared" si="11"/>
        <v>0.65022222222222226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9"/>
        <v>40262.208333333336</v>
      </c>
      <c r="O157" s="13">
        <f t="shared" si="10"/>
        <v>40277.208333333336</v>
      </c>
      <c r="P157" t="b">
        <v>0</v>
      </c>
      <c r="Q157" t="b">
        <v>0</v>
      </c>
      <c r="R157" t="s">
        <v>33</v>
      </c>
      <c r="S157" t="s">
        <v>2043</v>
      </c>
      <c r="T157" t="s">
        <v>2058</v>
      </c>
    </row>
    <row r="158" spans="1:20" ht="17" x14ac:dyDescent="0.2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s="4">
        <f t="shared" si="11"/>
        <v>0.73939560439560437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9"/>
        <v>43743.208333333328</v>
      </c>
      <c r="O158" s="13">
        <f t="shared" si="10"/>
        <v>43767.208333333328</v>
      </c>
      <c r="P158" t="b">
        <v>0</v>
      </c>
      <c r="Q158" t="b">
        <v>0</v>
      </c>
      <c r="R158" t="s">
        <v>23</v>
      </c>
      <c r="S158" t="s">
        <v>2039</v>
      </c>
      <c r="T158" t="s">
        <v>2060</v>
      </c>
    </row>
    <row r="159" spans="1:20" ht="17" x14ac:dyDescent="0.2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s="4">
        <f t="shared" si="11"/>
        <v>0.52666666666666662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9"/>
        <v>41638.25</v>
      </c>
      <c r="O159" s="13">
        <f t="shared" si="10"/>
        <v>41650.25</v>
      </c>
      <c r="P159" t="b">
        <v>0</v>
      </c>
      <c r="Q159" t="b">
        <v>0</v>
      </c>
      <c r="R159" t="s">
        <v>122</v>
      </c>
      <c r="S159" t="s">
        <v>2040</v>
      </c>
      <c r="T159" t="s">
        <v>2057</v>
      </c>
    </row>
    <row r="160" spans="1:20" ht="17" x14ac:dyDescent="0.2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s="4">
        <f t="shared" si="11"/>
        <v>2.2095238095238097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9"/>
        <v>42346.25</v>
      </c>
      <c r="O160" s="13">
        <f t="shared" si="10"/>
        <v>42347.25</v>
      </c>
      <c r="P160" t="b">
        <v>0</v>
      </c>
      <c r="Q160" t="b">
        <v>0</v>
      </c>
      <c r="R160" t="s">
        <v>23</v>
      </c>
      <c r="S160" t="s">
        <v>2039</v>
      </c>
      <c r="T160" t="s">
        <v>2060</v>
      </c>
    </row>
    <row r="161" spans="1:20" ht="17" x14ac:dyDescent="0.2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s="4">
        <f t="shared" si="11"/>
        <v>1.0001150627615063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9"/>
        <v>43551.208333333328</v>
      </c>
      <c r="O161" s="13">
        <f t="shared" si="10"/>
        <v>43569.208333333328</v>
      </c>
      <c r="P161" t="b">
        <v>0</v>
      </c>
      <c r="Q161" t="b">
        <v>1</v>
      </c>
      <c r="R161" t="s">
        <v>33</v>
      </c>
      <c r="S161" t="s">
        <v>2043</v>
      </c>
      <c r="T161" t="s">
        <v>2058</v>
      </c>
    </row>
    <row r="162" spans="1:20" ht="17" x14ac:dyDescent="0.2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s="4">
        <f t="shared" si="11"/>
        <v>1.6231249999999999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9"/>
        <v>43582.208333333328</v>
      </c>
      <c r="O162" s="13">
        <f t="shared" si="10"/>
        <v>43598.208333333328</v>
      </c>
      <c r="P162" t="b">
        <v>0</v>
      </c>
      <c r="Q162" t="b">
        <v>0</v>
      </c>
      <c r="R162" t="s">
        <v>65</v>
      </c>
      <c r="S162" t="s">
        <v>2042</v>
      </c>
      <c r="T162" t="s">
        <v>2066</v>
      </c>
    </row>
    <row r="163" spans="1:20" ht="34" x14ac:dyDescent="0.2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s="4">
        <f t="shared" si="11"/>
        <v>0.78181818181818186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9"/>
        <v>42270.208333333328</v>
      </c>
      <c r="O163" s="13">
        <f t="shared" si="10"/>
        <v>42276.208333333328</v>
      </c>
      <c r="P163" t="b">
        <v>0</v>
      </c>
      <c r="Q163" t="b">
        <v>1</v>
      </c>
      <c r="R163" t="s">
        <v>28</v>
      </c>
      <c r="S163" t="s">
        <v>2042</v>
      </c>
      <c r="T163" t="s">
        <v>2067</v>
      </c>
    </row>
    <row r="164" spans="1:20" ht="34" x14ac:dyDescent="0.2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s="4">
        <f t="shared" si="11"/>
        <v>1.4973770491803278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9"/>
        <v>43442.25</v>
      </c>
      <c r="O164" s="13">
        <f t="shared" si="10"/>
        <v>43472.25</v>
      </c>
      <c r="P164" t="b">
        <v>0</v>
      </c>
      <c r="Q164" t="b">
        <v>0</v>
      </c>
      <c r="R164" t="s">
        <v>23</v>
      </c>
      <c r="S164" t="s">
        <v>2039</v>
      </c>
      <c r="T164" t="s">
        <v>2060</v>
      </c>
    </row>
    <row r="165" spans="1:20" ht="17" x14ac:dyDescent="0.2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s="4">
        <f t="shared" si="11"/>
        <v>2.5325714285714285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9"/>
        <v>43028.208333333328</v>
      </c>
      <c r="O165" s="13">
        <f t="shared" si="10"/>
        <v>43077.25</v>
      </c>
      <c r="P165" t="b">
        <v>0</v>
      </c>
      <c r="Q165" t="b">
        <v>1</v>
      </c>
      <c r="R165" t="s">
        <v>122</v>
      </c>
      <c r="S165" t="s">
        <v>2040</v>
      </c>
      <c r="T165" t="s">
        <v>2057</v>
      </c>
    </row>
    <row r="166" spans="1:20" ht="17" x14ac:dyDescent="0.2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s="4">
        <f t="shared" si="11"/>
        <v>1.0016943521594683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9"/>
        <v>43016.208333333328</v>
      </c>
      <c r="O166" s="13">
        <f t="shared" si="10"/>
        <v>43017.208333333328</v>
      </c>
      <c r="P166" t="b">
        <v>0</v>
      </c>
      <c r="Q166" t="b">
        <v>0</v>
      </c>
      <c r="R166" t="s">
        <v>33</v>
      </c>
      <c r="S166" t="s">
        <v>2043</v>
      </c>
      <c r="T166" t="s">
        <v>2058</v>
      </c>
    </row>
    <row r="167" spans="1:20" ht="17" x14ac:dyDescent="0.2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s="4">
        <f t="shared" si="11"/>
        <v>1.2199004424778761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9"/>
        <v>42948.208333333328</v>
      </c>
      <c r="O167" s="13">
        <f t="shared" si="10"/>
        <v>42980.208333333328</v>
      </c>
      <c r="P167" t="b">
        <v>0</v>
      </c>
      <c r="Q167" t="b">
        <v>0</v>
      </c>
      <c r="R167" t="s">
        <v>28</v>
      </c>
      <c r="S167" t="s">
        <v>2042</v>
      </c>
      <c r="T167" t="s">
        <v>2067</v>
      </c>
    </row>
    <row r="168" spans="1:20" ht="17" x14ac:dyDescent="0.2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s="4">
        <f t="shared" si="11"/>
        <v>1.3713265306122449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9"/>
        <v>40534.25</v>
      </c>
      <c r="O168" s="13">
        <f t="shared" si="10"/>
        <v>40538.25</v>
      </c>
      <c r="P168" t="b">
        <v>0</v>
      </c>
      <c r="Q168" t="b">
        <v>0</v>
      </c>
      <c r="R168" t="s">
        <v>122</v>
      </c>
      <c r="S168" t="s">
        <v>2040</v>
      </c>
      <c r="T168" t="s">
        <v>2057</v>
      </c>
    </row>
    <row r="169" spans="1:20" ht="17" x14ac:dyDescent="0.2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s="4">
        <f t="shared" si="11"/>
        <v>4.155384615384615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9"/>
        <v>41435.208333333336</v>
      </c>
      <c r="O169" s="13">
        <f t="shared" si="10"/>
        <v>41445.208333333336</v>
      </c>
      <c r="P169" t="b">
        <v>0</v>
      </c>
      <c r="Q169" t="b">
        <v>0</v>
      </c>
      <c r="R169" t="s">
        <v>33</v>
      </c>
      <c r="S169" t="s">
        <v>2043</v>
      </c>
      <c r="T169" t="s">
        <v>2058</v>
      </c>
    </row>
    <row r="170" spans="1:20" ht="17" x14ac:dyDescent="0.2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s="4">
        <f t="shared" si="11"/>
        <v>0.3130913348946136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9"/>
        <v>43518.25</v>
      </c>
      <c r="O170" s="13">
        <f t="shared" si="10"/>
        <v>43541.208333333328</v>
      </c>
      <c r="P170" t="b">
        <v>0</v>
      </c>
      <c r="Q170" t="b">
        <v>1</v>
      </c>
      <c r="R170" t="s">
        <v>60</v>
      </c>
      <c r="S170" t="s">
        <v>2039</v>
      </c>
      <c r="T170" t="s">
        <v>2052</v>
      </c>
    </row>
    <row r="171" spans="1:20" ht="17" x14ac:dyDescent="0.2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s="4">
        <f t="shared" si="11"/>
        <v>4.240815450643777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9"/>
        <v>41077.208333333336</v>
      </c>
      <c r="O171" s="13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2035</v>
      </c>
      <c r="T171" t="s">
        <v>2062</v>
      </c>
    </row>
    <row r="172" spans="1:20" ht="17" x14ac:dyDescent="0.2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s="4">
        <f t="shared" si="11"/>
        <v>2.9388623072833599E-2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9"/>
        <v>42950.208333333328</v>
      </c>
      <c r="O172" s="13">
        <f t="shared" si="10"/>
        <v>42957.208333333328</v>
      </c>
      <c r="P172" t="b">
        <v>0</v>
      </c>
      <c r="Q172" t="b">
        <v>0</v>
      </c>
      <c r="R172" t="s">
        <v>60</v>
      </c>
      <c r="S172" t="s">
        <v>2039</v>
      </c>
      <c r="T172" t="s">
        <v>2052</v>
      </c>
    </row>
    <row r="173" spans="1:20" ht="34" x14ac:dyDescent="0.2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s="4">
        <f t="shared" si="11"/>
        <v>0.1063265306122449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9"/>
        <v>41718.208333333336</v>
      </c>
      <c r="O173" s="13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2041</v>
      </c>
      <c r="T173" t="s">
        <v>2064</v>
      </c>
    </row>
    <row r="174" spans="1:20" ht="17" x14ac:dyDescent="0.2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s="4">
        <f t="shared" si="11"/>
        <v>0.82874999999999999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9"/>
        <v>41839.208333333336</v>
      </c>
      <c r="O174" s="13">
        <f t="shared" si="10"/>
        <v>41854.208333333336</v>
      </c>
      <c r="P174" t="b">
        <v>0</v>
      </c>
      <c r="Q174" t="b">
        <v>1</v>
      </c>
      <c r="R174" t="s">
        <v>42</v>
      </c>
      <c r="S174" t="s">
        <v>2035</v>
      </c>
      <c r="T174" t="s">
        <v>2047</v>
      </c>
    </row>
    <row r="175" spans="1:20" ht="34" x14ac:dyDescent="0.2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s="4">
        <f t="shared" si="11"/>
        <v>1.6301447776628748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9"/>
        <v>41412.208333333336</v>
      </c>
      <c r="O175" s="13">
        <f t="shared" si="10"/>
        <v>41418.208333333336</v>
      </c>
      <c r="P175" t="b">
        <v>0</v>
      </c>
      <c r="Q175" t="b">
        <v>0</v>
      </c>
      <c r="R175" t="s">
        <v>33</v>
      </c>
      <c r="S175" t="s">
        <v>2043</v>
      </c>
      <c r="T175" t="s">
        <v>2058</v>
      </c>
    </row>
    <row r="176" spans="1:20" ht="17" x14ac:dyDescent="0.2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s="4">
        <f t="shared" si="11"/>
        <v>8.9466666666666672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9"/>
        <v>42282.208333333328</v>
      </c>
      <c r="O176" s="13">
        <f t="shared" si="10"/>
        <v>42283.208333333328</v>
      </c>
      <c r="P176" t="b">
        <v>0</v>
      </c>
      <c r="Q176" t="b">
        <v>1</v>
      </c>
      <c r="R176" t="s">
        <v>65</v>
      </c>
      <c r="S176" t="s">
        <v>2042</v>
      </c>
      <c r="T176" t="s">
        <v>2066</v>
      </c>
    </row>
    <row r="177" spans="1:20" ht="17" x14ac:dyDescent="0.2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s="4">
        <f t="shared" si="11"/>
        <v>0.26191501103752757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9"/>
        <v>42613.208333333328</v>
      </c>
      <c r="O177" s="13">
        <f t="shared" si="10"/>
        <v>42632.208333333328</v>
      </c>
      <c r="P177" t="b">
        <v>0</v>
      </c>
      <c r="Q177" t="b">
        <v>0</v>
      </c>
      <c r="R177" t="s">
        <v>33</v>
      </c>
      <c r="S177" t="s">
        <v>2043</v>
      </c>
      <c r="T177" t="s">
        <v>2058</v>
      </c>
    </row>
    <row r="178" spans="1:20" ht="34" x14ac:dyDescent="0.2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s="4">
        <f t="shared" si="11"/>
        <v>0.74834782608695649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9"/>
        <v>42616.208333333328</v>
      </c>
      <c r="O178" s="13">
        <f t="shared" si="10"/>
        <v>42625.208333333328</v>
      </c>
      <c r="P178" t="b">
        <v>0</v>
      </c>
      <c r="Q178" t="b">
        <v>0</v>
      </c>
      <c r="R178" t="s">
        <v>33</v>
      </c>
      <c r="S178" t="s">
        <v>2043</v>
      </c>
      <c r="T178" t="s">
        <v>2058</v>
      </c>
    </row>
    <row r="179" spans="1:20" ht="17" x14ac:dyDescent="0.2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s="4">
        <f t="shared" si="11"/>
        <v>4.1647680412371137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9"/>
        <v>40497.25</v>
      </c>
      <c r="O179" s="13">
        <f t="shared" si="10"/>
        <v>40522.25</v>
      </c>
      <c r="P179" t="b">
        <v>0</v>
      </c>
      <c r="Q179" t="b">
        <v>0</v>
      </c>
      <c r="R179" t="s">
        <v>33</v>
      </c>
      <c r="S179" t="s">
        <v>2043</v>
      </c>
      <c r="T179" t="s">
        <v>2058</v>
      </c>
    </row>
    <row r="180" spans="1:20" ht="17" x14ac:dyDescent="0.2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s="4">
        <f t="shared" si="11"/>
        <v>0.96208333333333329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9"/>
        <v>42999.208333333328</v>
      </c>
      <c r="O180" s="13">
        <f t="shared" si="10"/>
        <v>43008.208333333328</v>
      </c>
      <c r="P180" t="b">
        <v>0</v>
      </c>
      <c r="Q180" t="b">
        <v>0</v>
      </c>
      <c r="R180" t="s">
        <v>17</v>
      </c>
      <c r="S180" t="s">
        <v>2036</v>
      </c>
      <c r="T180" t="s">
        <v>2051</v>
      </c>
    </row>
    <row r="181" spans="1:20" ht="34" x14ac:dyDescent="0.2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s="4">
        <f t="shared" si="11"/>
        <v>3.5771910112359548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9"/>
        <v>41350.208333333336</v>
      </c>
      <c r="O181" s="13">
        <f t="shared" si="10"/>
        <v>41351.208333333336</v>
      </c>
      <c r="P181" t="b">
        <v>0</v>
      </c>
      <c r="Q181" t="b">
        <v>1</v>
      </c>
      <c r="R181" t="s">
        <v>33</v>
      </c>
      <c r="S181" t="s">
        <v>2043</v>
      </c>
      <c r="T181" t="s">
        <v>2058</v>
      </c>
    </row>
    <row r="182" spans="1:20" ht="17" x14ac:dyDescent="0.2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s="4">
        <f t="shared" si="11"/>
        <v>3.0845714285714285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9"/>
        <v>40259.208333333336</v>
      </c>
      <c r="O182" s="13">
        <f t="shared" si="10"/>
        <v>40264.208333333336</v>
      </c>
      <c r="P182" t="b">
        <v>0</v>
      </c>
      <c r="Q182" t="b">
        <v>0</v>
      </c>
      <c r="R182" t="s">
        <v>65</v>
      </c>
      <c r="S182" t="s">
        <v>2042</v>
      </c>
      <c r="T182" t="s">
        <v>2066</v>
      </c>
    </row>
    <row r="183" spans="1:20" ht="17" x14ac:dyDescent="0.2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s="4">
        <f t="shared" si="11"/>
        <v>0.61802325581395345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9"/>
        <v>43012.208333333328</v>
      </c>
      <c r="O183" s="13">
        <f t="shared" si="10"/>
        <v>43030.208333333328</v>
      </c>
      <c r="P183" t="b">
        <v>0</v>
      </c>
      <c r="Q183" t="b">
        <v>0</v>
      </c>
      <c r="R183" t="s">
        <v>28</v>
      </c>
      <c r="S183" t="s">
        <v>2042</v>
      </c>
      <c r="T183" t="s">
        <v>2067</v>
      </c>
    </row>
    <row r="184" spans="1:20" ht="34" x14ac:dyDescent="0.2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s="4">
        <f t="shared" si="11"/>
        <v>7.2232472324723247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9"/>
        <v>43631.208333333328</v>
      </c>
      <c r="O184" s="13">
        <f t="shared" si="10"/>
        <v>43647.208333333328</v>
      </c>
      <c r="P184" t="b">
        <v>0</v>
      </c>
      <c r="Q184" t="b">
        <v>0</v>
      </c>
      <c r="R184" t="s">
        <v>33</v>
      </c>
      <c r="S184" t="s">
        <v>2043</v>
      </c>
      <c r="T184" t="s">
        <v>2058</v>
      </c>
    </row>
    <row r="185" spans="1:20" ht="34" x14ac:dyDescent="0.2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s="4">
        <f t="shared" si="11"/>
        <v>0.69117647058823528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9"/>
        <v>40430.208333333336</v>
      </c>
      <c r="O185" s="13">
        <f t="shared" si="10"/>
        <v>40443.208333333336</v>
      </c>
      <c r="P185" t="b">
        <v>0</v>
      </c>
      <c r="Q185" t="b">
        <v>0</v>
      </c>
      <c r="R185" t="s">
        <v>23</v>
      </c>
      <c r="S185" t="s">
        <v>2039</v>
      </c>
      <c r="T185" t="s">
        <v>2060</v>
      </c>
    </row>
    <row r="186" spans="1:20" ht="17" x14ac:dyDescent="0.2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s="4">
        <f t="shared" si="11"/>
        <v>2.9305555555555554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9"/>
        <v>43588.208333333328</v>
      </c>
      <c r="O186" s="13">
        <f t="shared" si="10"/>
        <v>43589.208333333328</v>
      </c>
      <c r="P186" t="b">
        <v>0</v>
      </c>
      <c r="Q186" t="b">
        <v>0</v>
      </c>
      <c r="R186" t="s">
        <v>33</v>
      </c>
      <c r="S186" t="s">
        <v>2043</v>
      </c>
      <c r="T186" t="s">
        <v>2058</v>
      </c>
    </row>
    <row r="187" spans="1:20" ht="17" x14ac:dyDescent="0.2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s="4">
        <f t="shared" si="11"/>
        <v>0.71799999999999997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9"/>
        <v>43233.208333333328</v>
      </c>
      <c r="O187" s="13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2035</v>
      </c>
      <c r="T187" t="s">
        <v>2063</v>
      </c>
    </row>
    <row r="188" spans="1:20" ht="17" x14ac:dyDescent="0.2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s="4">
        <f t="shared" si="11"/>
        <v>0.31934684684684683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9"/>
        <v>41782.208333333336</v>
      </c>
      <c r="O188" s="13">
        <f t="shared" si="10"/>
        <v>41797.208333333336</v>
      </c>
      <c r="P188" t="b">
        <v>0</v>
      </c>
      <c r="Q188" t="b">
        <v>0</v>
      </c>
      <c r="R188" t="s">
        <v>33</v>
      </c>
      <c r="S188" t="s">
        <v>2043</v>
      </c>
      <c r="T188" t="s">
        <v>2058</v>
      </c>
    </row>
    <row r="189" spans="1:20" ht="17" x14ac:dyDescent="0.2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s="4">
        <f t="shared" si="11"/>
        <v>2.2987375415282392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9"/>
        <v>41328.25</v>
      </c>
      <c r="O189" s="13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2035</v>
      </c>
      <c r="T189" t="s">
        <v>2062</v>
      </c>
    </row>
    <row r="190" spans="1:20" ht="17" x14ac:dyDescent="0.2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s="4">
        <f t="shared" si="11"/>
        <v>0.3201219512195122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9"/>
        <v>41975.25</v>
      </c>
      <c r="O190" s="13">
        <f t="shared" si="10"/>
        <v>41976.25</v>
      </c>
      <c r="P190" t="b">
        <v>0</v>
      </c>
      <c r="Q190" t="b">
        <v>0</v>
      </c>
      <c r="R190" t="s">
        <v>33</v>
      </c>
      <c r="S190" t="s">
        <v>2043</v>
      </c>
      <c r="T190" t="s">
        <v>2058</v>
      </c>
    </row>
    <row r="191" spans="1:20" ht="17" x14ac:dyDescent="0.2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s="4">
        <f t="shared" si="11"/>
        <v>0.23525352848928385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9"/>
        <v>42433.25</v>
      </c>
      <c r="O191" s="13">
        <f t="shared" si="10"/>
        <v>42433.25</v>
      </c>
      <c r="P191" t="b">
        <v>0</v>
      </c>
      <c r="Q191" t="b">
        <v>0</v>
      </c>
      <c r="R191" t="s">
        <v>33</v>
      </c>
      <c r="S191" t="s">
        <v>2043</v>
      </c>
      <c r="T191" t="s">
        <v>2058</v>
      </c>
    </row>
    <row r="192" spans="1:20" ht="17" x14ac:dyDescent="0.2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s="4">
        <f t="shared" si="11"/>
        <v>0.68594594594594593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9"/>
        <v>41429.208333333336</v>
      </c>
      <c r="O192" s="13">
        <f t="shared" si="10"/>
        <v>41430.208333333336</v>
      </c>
      <c r="P192" t="b">
        <v>0</v>
      </c>
      <c r="Q192" t="b">
        <v>1</v>
      </c>
      <c r="R192" t="s">
        <v>33</v>
      </c>
      <c r="S192" t="s">
        <v>2043</v>
      </c>
      <c r="T192" t="s">
        <v>2058</v>
      </c>
    </row>
    <row r="193" spans="1:20" ht="17" x14ac:dyDescent="0.2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s="4">
        <f t="shared" si="11"/>
        <v>0.37952380952380954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9"/>
        <v>43536.208333333328</v>
      </c>
      <c r="O193" s="13">
        <f t="shared" si="10"/>
        <v>43539.208333333328</v>
      </c>
      <c r="P193" t="b">
        <v>0</v>
      </c>
      <c r="Q193" t="b">
        <v>0</v>
      </c>
      <c r="R193" t="s">
        <v>33</v>
      </c>
      <c r="S193" t="s">
        <v>2043</v>
      </c>
      <c r="T193" t="s">
        <v>2058</v>
      </c>
    </row>
    <row r="194" spans="1:20" ht="17" x14ac:dyDescent="0.2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s="4">
        <f t="shared" si="11"/>
        <v>0.19992957746478873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9"/>
        <v>41817.208333333336</v>
      </c>
      <c r="O194" s="13">
        <f t="shared" si="10"/>
        <v>41821.208333333336</v>
      </c>
      <c r="P194" t="b">
        <v>0</v>
      </c>
      <c r="Q194" t="b">
        <v>0</v>
      </c>
      <c r="R194" t="s">
        <v>23</v>
      </c>
      <c r="S194" t="s">
        <v>2039</v>
      </c>
      <c r="T194" t="s">
        <v>2060</v>
      </c>
    </row>
    <row r="195" spans="1:20" ht="17" x14ac:dyDescent="0.2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s="4">
        <f t="shared" si="11"/>
        <v>0.45636363636363636</v>
      </c>
      <c r="G195" t="s">
        <v>14</v>
      </c>
      <c r="H195">
        <v>65</v>
      </c>
      <c r="I195" s="6">
        <f t="shared" ref="I195:I258" si="12">IF(H195&lt;&gt;0,E195/H195,0)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3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2039</v>
      </c>
      <c r="T195" t="s">
        <v>2052</v>
      </c>
    </row>
    <row r="196" spans="1:20" ht="17" x14ac:dyDescent="0.2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 s="6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3"/>
        <v>42261.208333333328</v>
      </c>
      <c r="O196" s="13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2039</v>
      </c>
      <c r="T196" t="s">
        <v>2054</v>
      </c>
    </row>
    <row r="197" spans="1:20" ht="17" x14ac:dyDescent="0.2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s="4">
        <f t="shared" si="15"/>
        <v>3.61753164556962</v>
      </c>
      <c r="G197" t="s">
        <v>20</v>
      </c>
      <c r="H197">
        <v>524</v>
      </c>
      <c r="I197" s="6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3"/>
        <v>43310.208333333328</v>
      </c>
      <c r="O197" s="13">
        <f t="shared" si="14"/>
        <v>43317.208333333328</v>
      </c>
      <c r="P197" t="b">
        <v>0</v>
      </c>
      <c r="Q197" t="b">
        <v>0</v>
      </c>
      <c r="R197" t="s">
        <v>50</v>
      </c>
      <c r="S197" t="s">
        <v>2039</v>
      </c>
      <c r="T197" t="s">
        <v>2049</v>
      </c>
    </row>
    <row r="198" spans="1:20" ht="17" x14ac:dyDescent="0.2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s="4">
        <f t="shared" si="15"/>
        <v>0.63146341463414635</v>
      </c>
      <c r="G198" t="s">
        <v>14</v>
      </c>
      <c r="H198">
        <v>100</v>
      </c>
      <c r="I198" s="6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3"/>
        <v>42616.208333333328</v>
      </c>
      <c r="O198" s="13">
        <f t="shared" si="14"/>
        <v>42635.208333333328</v>
      </c>
      <c r="P198" t="b">
        <v>0</v>
      </c>
      <c r="Q198" t="b">
        <v>0</v>
      </c>
      <c r="R198" t="s">
        <v>65</v>
      </c>
      <c r="S198" t="s">
        <v>2042</v>
      </c>
      <c r="T198" t="s">
        <v>2066</v>
      </c>
    </row>
    <row r="199" spans="1:20" ht="17" x14ac:dyDescent="0.2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s="4">
        <f t="shared" si="15"/>
        <v>2.9820475319926874</v>
      </c>
      <c r="G199" t="s">
        <v>20</v>
      </c>
      <c r="H199">
        <v>1989</v>
      </c>
      <c r="I199" s="6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3"/>
        <v>42909.208333333328</v>
      </c>
      <c r="O199" s="13">
        <f t="shared" si="14"/>
        <v>42923.208333333328</v>
      </c>
      <c r="P199" t="b">
        <v>0</v>
      </c>
      <c r="Q199" t="b">
        <v>0</v>
      </c>
      <c r="R199" t="s">
        <v>53</v>
      </c>
      <c r="S199" t="s">
        <v>2035</v>
      </c>
      <c r="T199" t="s">
        <v>2048</v>
      </c>
    </row>
    <row r="200" spans="1:20" ht="17" x14ac:dyDescent="0.2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s="4">
        <f t="shared" si="15"/>
        <v>9.5585443037974685E-2</v>
      </c>
      <c r="G200" t="s">
        <v>14</v>
      </c>
      <c r="H200">
        <v>168</v>
      </c>
      <c r="I200" s="6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3"/>
        <v>40396.208333333336</v>
      </c>
      <c r="O200" s="13">
        <f t="shared" si="14"/>
        <v>40425.208333333336</v>
      </c>
      <c r="P200" t="b">
        <v>0</v>
      </c>
      <c r="Q200" t="b">
        <v>0</v>
      </c>
      <c r="R200" t="s">
        <v>50</v>
      </c>
      <c r="S200" t="s">
        <v>2039</v>
      </c>
      <c r="T200" t="s">
        <v>2049</v>
      </c>
    </row>
    <row r="201" spans="1:20" ht="17" x14ac:dyDescent="0.2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s="4">
        <f t="shared" si="15"/>
        <v>0.5377777777777778</v>
      </c>
      <c r="G201" t="s">
        <v>14</v>
      </c>
      <c r="H201">
        <v>13</v>
      </c>
      <c r="I201" s="6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3"/>
        <v>42192.208333333328</v>
      </c>
      <c r="O201" s="13">
        <f t="shared" si="14"/>
        <v>42196.208333333328</v>
      </c>
      <c r="P201" t="b">
        <v>0</v>
      </c>
      <c r="Q201" t="b">
        <v>0</v>
      </c>
      <c r="R201" t="s">
        <v>23</v>
      </c>
      <c r="S201" t="s">
        <v>2039</v>
      </c>
      <c r="T201" t="s">
        <v>2060</v>
      </c>
    </row>
    <row r="202" spans="1:20" ht="17" x14ac:dyDescent="0.2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s="4">
        <f t="shared" si="15"/>
        <v>0.02</v>
      </c>
      <c r="G202" t="s">
        <v>14</v>
      </c>
      <c r="H202">
        <v>1</v>
      </c>
      <c r="I202" s="6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3"/>
        <v>40262.208333333336</v>
      </c>
      <c r="O202" s="13">
        <f t="shared" si="14"/>
        <v>40273.208333333336</v>
      </c>
      <c r="P202" t="b">
        <v>0</v>
      </c>
      <c r="Q202" t="b">
        <v>0</v>
      </c>
      <c r="R202" t="s">
        <v>33</v>
      </c>
      <c r="S202" t="s">
        <v>2043</v>
      </c>
      <c r="T202" t="s">
        <v>2058</v>
      </c>
    </row>
    <row r="203" spans="1:20" ht="34" x14ac:dyDescent="0.2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s="4">
        <f t="shared" si="15"/>
        <v>6.8119047619047617</v>
      </c>
      <c r="G203" t="s">
        <v>20</v>
      </c>
      <c r="H203">
        <v>157</v>
      </c>
      <c r="I203" s="6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3"/>
        <v>41845.208333333336</v>
      </c>
      <c r="O203" s="13">
        <f t="shared" si="14"/>
        <v>41863.208333333336</v>
      </c>
      <c r="P203" t="b">
        <v>0</v>
      </c>
      <c r="Q203" t="b">
        <v>0</v>
      </c>
      <c r="R203" t="s">
        <v>28</v>
      </c>
      <c r="S203" t="s">
        <v>2042</v>
      </c>
      <c r="T203" t="s">
        <v>2067</v>
      </c>
    </row>
    <row r="204" spans="1:20" ht="17" x14ac:dyDescent="0.2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s="4">
        <f t="shared" si="15"/>
        <v>0.78831325301204824</v>
      </c>
      <c r="G204" t="s">
        <v>74</v>
      </c>
      <c r="H204">
        <v>82</v>
      </c>
      <c r="I204" s="6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3"/>
        <v>40818.208333333336</v>
      </c>
      <c r="O204" s="13">
        <f t="shared" si="14"/>
        <v>40822.208333333336</v>
      </c>
      <c r="P204" t="b">
        <v>0</v>
      </c>
      <c r="Q204" t="b">
        <v>0</v>
      </c>
      <c r="R204" t="s">
        <v>17</v>
      </c>
      <c r="S204" t="s">
        <v>2036</v>
      </c>
      <c r="T204" t="s">
        <v>2051</v>
      </c>
    </row>
    <row r="205" spans="1:20" ht="34" x14ac:dyDescent="0.2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s="4">
        <f t="shared" si="15"/>
        <v>1.3440792216817234</v>
      </c>
      <c r="G205" t="s">
        <v>20</v>
      </c>
      <c r="H205">
        <v>4498</v>
      </c>
      <c r="I205" s="6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3"/>
        <v>42752.25</v>
      </c>
      <c r="O205" s="13">
        <f t="shared" si="14"/>
        <v>42754.25</v>
      </c>
      <c r="P205" t="b">
        <v>0</v>
      </c>
      <c r="Q205" t="b">
        <v>0</v>
      </c>
      <c r="R205" t="s">
        <v>33</v>
      </c>
      <c r="S205" t="s">
        <v>2043</v>
      </c>
      <c r="T205" t="s">
        <v>2058</v>
      </c>
    </row>
    <row r="206" spans="1:20" ht="17" x14ac:dyDescent="0.2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s="4">
        <f t="shared" si="15"/>
        <v>3.372E-2</v>
      </c>
      <c r="G206" t="s">
        <v>14</v>
      </c>
      <c r="H206">
        <v>40</v>
      </c>
      <c r="I206" s="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3"/>
        <v>40636.208333333336</v>
      </c>
      <c r="O206" s="13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2039</v>
      </c>
      <c r="T206" t="s">
        <v>2053</v>
      </c>
    </row>
    <row r="207" spans="1:20" ht="17" x14ac:dyDescent="0.2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s="4">
        <f t="shared" si="15"/>
        <v>4.3184615384615386</v>
      </c>
      <c r="G207" t="s">
        <v>20</v>
      </c>
      <c r="H207">
        <v>80</v>
      </c>
      <c r="I207" s="6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3"/>
        <v>43390.208333333328</v>
      </c>
      <c r="O207" s="13">
        <f t="shared" si="14"/>
        <v>43402.208333333328</v>
      </c>
      <c r="P207" t="b">
        <v>1</v>
      </c>
      <c r="Q207" t="b">
        <v>0</v>
      </c>
      <c r="R207" t="s">
        <v>33</v>
      </c>
      <c r="S207" t="s">
        <v>2043</v>
      </c>
      <c r="T207" t="s">
        <v>2058</v>
      </c>
    </row>
    <row r="208" spans="1:20" ht="17" x14ac:dyDescent="0.2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s="4">
        <f t="shared" si="15"/>
        <v>0.38844444444444443</v>
      </c>
      <c r="G208" t="s">
        <v>74</v>
      </c>
      <c r="H208">
        <v>57</v>
      </c>
      <c r="I208" s="6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3"/>
        <v>40236.25</v>
      </c>
      <c r="O208" s="13">
        <f t="shared" si="14"/>
        <v>40245.25</v>
      </c>
      <c r="P208" t="b">
        <v>0</v>
      </c>
      <c r="Q208" t="b">
        <v>0</v>
      </c>
      <c r="R208" t="s">
        <v>119</v>
      </c>
      <c r="S208" t="s">
        <v>2041</v>
      </c>
      <c r="T208" t="s">
        <v>2050</v>
      </c>
    </row>
    <row r="209" spans="1:20" ht="34" x14ac:dyDescent="0.2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s="4">
        <f t="shared" si="15"/>
        <v>4.2569999999999997</v>
      </c>
      <c r="G209" t="s">
        <v>20</v>
      </c>
      <c r="H209">
        <v>43</v>
      </c>
      <c r="I209" s="6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3"/>
        <v>43340.208333333328</v>
      </c>
      <c r="O209" s="13">
        <f t="shared" si="14"/>
        <v>43360.208333333328</v>
      </c>
      <c r="P209" t="b">
        <v>0</v>
      </c>
      <c r="Q209" t="b">
        <v>1</v>
      </c>
      <c r="R209" t="s">
        <v>23</v>
      </c>
      <c r="S209" t="s">
        <v>2039</v>
      </c>
      <c r="T209" t="s">
        <v>2060</v>
      </c>
    </row>
    <row r="210" spans="1:20" ht="17" x14ac:dyDescent="0.2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s="4">
        <f t="shared" si="15"/>
        <v>1.0112239715591671</v>
      </c>
      <c r="G210" t="s">
        <v>20</v>
      </c>
      <c r="H210">
        <v>2053</v>
      </c>
      <c r="I210" s="6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3"/>
        <v>43048.25</v>
      </c>
      <c r="O210" s="13">
        <f t="shared" si="14"/>
        <v>43072.25</v>
      </c>
      <c r="P210" t="b">
        <v>0</v>
      </c>
      <c r="Q210" t="b">
        <v>0</v>
      </c>
      <c r="R210" t="s">
        <v>42</v>
      </c>
      <c r="S210" t="s">
        <v>2035</v>
      </c>
      <c r="T210" t="s">
        <v>2047</v>
      </c>
    </row>
    <row r="211" spans="1:20" ht="17" x14ac:dyDescent="0.2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s="4">
        <f t="shared" si="15"/>
        <v>0.21188688946015424</v>
      </c>
      <c r="G211" t="s">
        <v>47</v>
      </c>
      <c r="H211">
        <v>808</v>
      </c>
      <c r="I211" s="6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3"/>
        <v>42496.208333333328</v>
      </c>
      <c r="O211" s="13">
        <f t="shared" si="14"/>
        <v>42503.208333333328</v>
      </c>
      <c r="P211" t="b">
        <v>0</v>
      </c>
      <c r="Q211" t="b">
        <v>0</v>
      </c>
      <c r="R211" t="s">
        <v>42</v>
      </c>
      <c r="S211" t="s">
        <v>2035</v>
      </c>
      <c r="T211" t="s">
        <v>2047</v>
      </c>
    </row>
    <row r="212" spans="1:20" ht="17" x14ac:dyDescent="0.2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s="4">
        <f t="shared" si="15"/>
        <v>0.67425531914893622</v>
      </c>
      <c r="G212" t="s">
        <v>14</v>
      </c>
      <c r="H212">
        <v>226</v>
      </c>
      <c r="I212" s="6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3"/>
        <v>42797.25</v>
      </c>
      <c r="O212" s="13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2035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s="4">
        <f t="shared" si="15"/>
        <v>0.9492337164750958</v>
      </c>
      <c r="G213" t="s">
        <v>14</v>
      </c>
      <c r="H213">
        <v>1625</v>
      </c>
      <c r="I213" s="6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3"/>
        <v>41513.208333333336</v>
      </c>
      <c r="O213" s="13">
        <f t="shared" si="14"/>
        <v>41537.208333333336</v>
      </c>
      <c r="P213" t="b">
        <v>0</v>
      </c>
      <c r="Q213" t="b">
        <v>0</v>
      </c>
      <c r="R213" t="s">
        <v>33</v>
      </c>
      <c r="S213" t="s">
        <v>2043</v>
      </c>
      <c r="T213" t="s">
        <v>2058</v>
      </c>
    </row>
    <row r="214" spans="1:20" ht="34" x14ac:dyDescent="0.2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s="4">
        <f t="shared" si="15"/>
        <v>1.5185185185185186</v>
      </c>
      <c r="G214" t="s">
        <v>20</v>
      </c>
      <c r="H214">
        <v>168</v>
      </c>
      <c r="I214" s="6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3"/>
        <v>43814.25</v>
      </c>
      <c r="O214" s="13">
        <f t="shared" si="14"/>
        <v>43860.25</v>
      </c>
      <c r="P214" t="b">
        <v>0</v>
      </c>
      <c r="Q214" t="b">
        <v>0</v>
      </c>
      <c r="R214" t="s">
        <v>33</v>
      </c>
      <c r="S214" t="s">
        <v>2043</v>
      </c>
      <c r="T214" t="s">
        <v>2058</v>
      </c>
    </row>
    <row r="215" spans="1:20" ht="34" x14ac:dyDescent="0.2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s="4">
        <f t="shared" si="15"/>
        <v>1.9516382252559727</v>
      </c>
      <c r="G215" t="s">
        <v>20</v>
      </c>
      <c r="H215">
        <v>4289</v>
      </c>
      <c r="I215" s="6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3"/>
        <v>40488.208333333336</v>
      </c>
      <c r="O215" s="13">
        <f t="shared" si="14"/>
        <v>40496.25</v>
      </c>
      <c r="P215" t="b">
        <v>0</v>
      </c>
      <c r="Q215" t="b">
        <v>1</v>
      </c>
      <c r="R215" t="s">
        <v>60</v>
      </c>
      <c r="S215" t="s">
        <v>2039</v>
      </c>
      <c r="T215" t="s">
        <v>2052</v>
      </c>
    </row>
    <row r="216" spans="1:20" ht="17" x14ac:dyDescent="0.2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s="4">
        <f t="shared" si="15"/>
        <v>10.231428571428571</v>
      </c>
      <c r="G216" t="s">
        <v>20</v>
      </c>
      <c r="H216">
        <v>165</v>
      </c>
      <c r="I216" s="6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3"/>
        <v>40409.208333333336</v>
      </c>
      <c r="O216" s="13">
        <f t="shared" si="14"/>
        <v>40415.208333333336</v>
      </c>
      <c r="P216" t="b">
        <v>0</v>
      </c>
      <c r="Q216" t="b">
        <v>0</v>
      </c>
      <c r="R216" t="s">
        <v>23</v>
      </c>
      <c r="S216" t="s">
        <v>2039</v>
      </c>
      <c r="T216" t="s">
        <v>2060</v>
      </c>
    </row>
    <row r="217" spans="1:20" ht="17" x14ac:dyDescent="0.2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s="4">
        <f t="shared" si="15"/>
        <v>3.8418367346938778E-2</v>
      </c>
      <c r="G217" t="s">
        <v>14</v>
      </c>
      <c r="H217">
        <v>143</v>
      </c>
      <c r="I217" s="6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3"/>
        <v>43509.25</v>
      </c>
      <c r="O217" s="13">
        <f t="shared" si="14"/>
        <v>43511.25</v>
      </c>
      <c r="P217" t="b">
        <v>0</v>
      </c>
      <c r="Q217" t="b">
        <v>0</v>
      </c>
      <c r="R217" t="s">
        <v>33</v>
      </c>
      <c r="S217" t="s">
        <v>2043</v>
      </c>
      <c r="T217" t="s">
        <v>2058</v>
      </c>
    </row>
    <row r="218" spans="1:20" ht="17" x14ac:dyDescent="0.2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s="4">
        <f t="shared" si="15"/>
        <v>1.5507066557107643</v>
      </c>
      <c r="G218" t="s">
        <v>20</v>
      </c>
      <c r="H218">
        <v>1815</v>
      </c>
      <c r="I218" s="6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3"/>
        <v>40869.25</v>
      </c>
      <c r="O218" s="13">
        <f t="shared" si="14"/>
        <v>40871.25</v>
      </c>
      <c r="P218" t="b">
        <v>0</v>
      </c>
      <c r="Q218" t="b">
        <v>0</v>
      </c>
      <c r="R218" t="s">
        <v>33</v>
      </c>
      <c r="S218" t="s">
        <v>2043</v>
      </c>
      <c r="T218" t="s">
        <v>2058</v>
      </c>
    </row>
    <row r="219" spans="1:20" ht="17" x14ac:dyDescent="0.2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s="4">
        <f t="shared" si="15"/>
        <v>0.44753477588871715</v>
      </c>
      <c r="G219" t="s">
        <v>14</v>
      </c>
      <c r="H219">
        <v>934</v>
      </c>
      <c r="I219" s="6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3"/>
        <v>43583.208333333328</v>
      </c>
      <c r="O219" s="13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2035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s="4">
        <f t="shared" si="15"/>
        <v>2.1594736842105262</v>
      </c>
      <c r="G220" t="s">
        <v>20</v>
      </c>
      <c r="H220">
        <v>397</v>
      </c>
      <c r="I220" s="6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3"/>
        <v>40858.25</v>
      </c>
      <c r="O220" s="13">
        <f t="shared" si="14"/>
        <v>40892.25</v>
      </c>
      <c r="P220" t="b">
        <v>0</v>
      </c>
      <c r="Q220" t="b">
        <v>1</v>
      </c>
      <c r="R220" t="s">
        <v>100</v>
      </c>
      <c r="S220" t="s">
        <v>2035</v>
      </c>
      <c r="T220" t="s">
        <v>2062</v>
      </c>
    </row>
    <row r="221" spans="1:20" ht="17" x14ac:dyDescent="0.2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s="4">
        <f t="shared" si="15"/>
        <v>3.3212709832134291</v>
      </c>
      <c r="G221" t="s">
        <v>20</v>
      </c>
      <c r="H221">
        <v>1539</v>
      </c>
      <c r="I221" s="6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3"/>
        <v>41137.208333333336</v>
      </c>
      <c r="O221" s="13">
        <f t="shared" si="14"/>
        <v>41149.208333333336</v>
      </c>
      <c r="P221" t="b">
        <v>0</v>
      </c>
      <c r="Q221" t="b">
        <v>0</v>
      </c>
      <c r="R221" t="s">
        <v>71</v>
      </c>
      <c r="S221" t="s">
        <v>2035</v>
      </c>
      <c r="T221" t="s">
        <v>2045</v>
      </c>
    </row>
    <row r="222" spans="1:20" ht="17" x14ac:dyDescent="0.2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s="4">
        <f t="shared" si="15"/>
        <v>8.4430379746835441E-2</v>
      </c>
      <c r="G222" t="s">
        <v>14</v>
      </c>
      <c r="H222">
        <v>17</v>
      </c>
      <c r="I222" s="6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3"/>
        <v>40725.208333333336</v>
      </c>
      <c r="O222" s="13">
        <f t="shared" si="14"/>
        <v>40743.208333333336</v>
      </c>
      <c r="P222" t="b">
        <v>1</v>
      </c>
      <c r="Q222" t="b">
        <v>0</v>
      </c>
      <c r="R222" t="s">
        <v>33</v>
      </c>
      <c r="S222" t="s">
        <v>2043</v>
      </c>
      <c r="T222" t="s">
        <v>2058</v>
      </c>
    </row>
    <row r="223" spans="1:20" ht="34" x14ac:dyDescent="0.2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s="4">
        <f t="shared" si="15"/>
        <v>0.9862551440329218</v>
      </c>
      <c r="G223" t="s">
        <v>14</v>
      </c>
      <c r="H223">
        <v>2179</v>
      </c>
      <c r="I223" s="6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3"/>
        <v>41081.208333333336</v>
      </c>
      <c r="O223" s="13">
        <f t="shared" si="14"/>
        <v>41083.208333333336</v>
      </c>
      <c r="P223" t="b">
        <v>1</v>
      </c>
      <c r="Q223" t="b">
        <v>0</v>
      </c>
      <c r="R223" t="s">
        <v>17</v>
      </c>
      <c r="S223" t="s">
        <v>2036</v>
      </c>
      <c r="T223" t="s">
        <v>2051</v>
      </c>
    </row>
    <row r="224" spans="1:20" ht="17" x14ac:dyDescent="0.2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s="4">
        <f t="shared" si="15"/>
        <v>1.3797916666666667</v>
      </c>
      <c r="G224" t="s">
        <v>20</v>
      </c>
      <c r="H224">
        <v>138</v>
      </c>
      <c r="I224" s="6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3"/>
        <v>41914.208333333336</v>
      </c>
      <c r="O224" s="13">
        <f t="shared" si="14"/>
        <v>41915.208333333336</v>
      </c>
      <c r="P224" t="b">
        <v>0</v>
      </c>
      <c r="Q224" t="b">
        <v>0</v>
      </c>
      <c r="R224" t="s">
        <v>122</v>
      </c>
      <c r="S224" t="s">
        <v>2040</v>
      </c>
      <c r="T224" t="s">
        <v>2057</v>
      </c>
    </row>
    <row r="225" spans="1:20" ht="17" x14ac:dyDescent="0.2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s="4">
        <f t="shared" si="15"/>
        <v>0.93810996563573879</v>
      </c>
      <c r="G225" t="s">
        <v>14</v>
      </c>
      <c r="H225">
        <v>931</v>
      </c>
      <c r="I225" s="6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3"/>
        <v>42445.208333333328</v>
      </c>
      <c r="O225" s="13">
        <f t="shared" si="14"/>
        <v>42459.208333333328</v>
      </c>
      <c r="P225" t="b">
        <v>0</v>
      </c>
      <c r="Q225" t="b">
        <v>0</v>
      </c>
      <c r="R225" t="s">
        <v>33</v>
      </c>
      <c r="S225" t="s">
        <v>2043</v>
      </c>
      <c r="T225" t="s">
        <v>2058</v>
      </c>
    </row>
    <row r="226" spans="1:20" ht="17" x14ac:dyDescent="0.2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s="4">
        <f t="shared" si="15"/>
        <v>4.0363930885529156</v>
      </c>
      <c r="G226" t="s">
        <v>20</v>
      </c>
      <c r="H226">
        <v>3594</v>
      </c>
      <c r="I226" s="6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3"/>
        <v>41906.208333333336</v>
      </c>
      <c r="O226" s="13">
        <f t="shared" si="14"/>
        <v>41951.25</v>
      </c>
      <c r="P226" t="b">
        <v>0</v>
      </c>
      <c r="Q226" t="b">
        <v>0</v>
      </c>
      <c r="R226" t="s">
        <v>474</v>
      </c>
      <c r="S226" t="s">
        <v>2035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s="4">
        <f t="shared" si="15"/>
        <v>2.6017404129793511</v>
      </c>
      <c r="G227" t="s">
        <v>20</v>
      </c>
      <c r="H227">
        <v>5880</v>
      </c>
      <c r="I227" s="6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3"/>
        <v>41762.208333333336</v>
      </c>
      <c r="O227" s="13">
        <f t="shared" si="14"/>
        <v>41762.208333333336</v>
      </c>
      <c r="P227" t="b">
        <v>1</v>
      </c>
      <c r="Q227" t="b">
        <v>0</v>
      </c>
      <c r="R227" t="s">
        <v>23</v>
      </c>
      <c r="S227" t="s">
        <v>2039</v>
      </c>
      <c r="T227" t="s">
        <v>2060</v>
      </c>
    </row>
    <row r="228" spans="1:20" ht="17" x14ac:dyDescent="0.2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s="4">
        <f t="shared" si="15"/>
        <v>3.6663333333333332</v>
      </c>
      <c r="G228" t="s">
        <v>20</v>
      </c>
      <c r="H228">
        <v>112</v>
      </c>
      <c r="I228" s="6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3"/>
        <v>40276.208333333336</v>
      </c>
      <c r="O228" s="13">
        <f t="shared" si="14"/>
        <v>40313.208333333336</v>
      </c>
      <c r="P228" t="b">
        <v>0</v>
      </c>
      <c r="Q228" t="b">
        <v>0</v>
      </c>
      <c r="R228" t="s">
        <v>122</v>
      </c>
      <c r="S228" t="s">
        <v>2040</v>
      </c>
      <c r="T228" t="s">
        <v>2057</v>
      </c>
    </row>
    <row r="229" spans="1:20" ht="17" x14ac:dyDescent="0.2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s="4">
        <f t="shared" si="15"/>
        <v>1.687208538587849</v>
      </c>
      <c r="G229" t="s">
        <v>20</v>
      </c>
      <c r="H229">
        <v>943</v>
      </c>
      <c r="I229" s="6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3"/>
        <v>42139.208333333328</v>
      </c>
      <c r="O229" s="13">
        <f t="shared" si="14"/>
        <v>42145.208333333328</v>
      </c>
      <c r="P229" t="b">
        <v>0</v>
      </c>
      <c r="Q229" t="b">
        <v>0</v>
      </c>
      <c r="R229" t="s">
        <v>292</v>
      </c>
      <c r="S229" t="s">
        <v>2037</v>
      </c>
      <c r="T229" t="s">
        <v>2055</v>
      </c>
    </row>
    <row r="230" spans="1:20" ht="17" x14ac:dyDescent="0.2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s="4">
        <f t="shared" si="15"/>
        <v>1.1990717911530093</v>
      </c>
      <c r="G230" t="s">
        <v>20</v>
      </c>
      <c r="H230">
        <v>2468</v>
      </c>
      <c r="I230" s="6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3"/>
        <v>42613.208333333328</v>
      </c>
      <c r="O230" s="13">
        <f t="shared" si="14"/>
        <v>42638.208333333328</v>
      </c>
      <c r="P230" t="b">
        <v>0</v>
      </c>
      <c r="Q230" t="b">
        <v>0</v>
      </c>
      <c r="R230" t="s">
        <v>71</v>
      </c>
      <c r="S230" t="s">
        <v>2035</v>
      </c>
      <c r="T230" t="s">
        <v>2045</v>
      </c>
    </row>
    <row r="231" spans="1:20" ht="17" x14ac:dyDescent="0.2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s="4">
        <f t="shared" si="15"/>
        <v>1.936892523364486</v>
      </c>
      <c r="G231" t="s">
        <v>20</v>
      </c>
      <c r="H231">
        <v>2551</v>
      </c>
      <c r="I231" s="6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3"/>
        <v>42887.208333333328</v>
      </c>
      <c r="O231" s="13">
        <f t="shared" si="14"/>
        <v>42935.208333333328</v>
      </c>
      <c r="P231" t="b">
        <v>0</v>
      </c>
      <c r="Q231" t="b">
        <v>1</v>
      </c>
      <c r="R231" t="s">
        <v>292</v>
      </c>
      <c r="S231" t="s">
        <v>2037</v>
      </c>
      <c r="T231" t="s">
        <v>2055</v>
      </c>
    </row>
    <row r="232" spans="1:20" ht="17" x14ac:dyDescent="0.2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s="4">
        <f t="shared" si="15"/>
        <v>4.2016666666666671</v>
      </c>
      <c r="G232" t="s">
        <v>20</v>
      </c>
      <c r="H232">
        <v>101</v>
      </c>
      <c r="I232" s="6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3"/>
        <v>43805.25</v>
      </c>
      <c r="O232" s="13">
        <f t="shared" si="14"/>
        <v>43805.25</v>
      </c>
      <c r="P232" t="b">
        <v>0</v>
      </c>
      <c r="Q232" t="b">
        <v>0</v>
      </c>
      <c r="R232" t="s">
        <v>89</v>
      </c>
      <c r="S232" t="s">
        <v>2037</v>
      </c>
      <c r="T232" t="s">
        <v>2065</v>
      </c>
    </row>
    <row r="233" spans="1:20" ht="17" x14ac:dyDescent="0.2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s="4">
        <f t="shared" si="15"/>
        <v>0.76708333333333334</v>
      </c>
      <c r="G233" t="s">
        <v>74</v>
      </c>
      <c r="H233">
        <v>67</v>
      </c>
      <c r="I233" s="6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3"/>
        <v>41415.208333333336</v>
      </c>
      <c r="O233" s="13">
        <f t="shared" si="14"/>
        <v>41473.208333333336</v>
      </c>
      <c r="P233" t="b">
        <v>0</v>
      </c>
      <c r="Q233" t="b">
        <v>0</v>
      </c>
      <c r="R233" t="s">
        <v>33</v>
      </c>
      <c r="S233" t="s">
        <v>2043</v>
      </c>
      <c r="T233" t="s">
        <v>2058</v>
      </c>
    </row>
    <row r="234" spans="1:20" ht="17" x14ac:dyDescent="0.2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s="4">
        <f t="shared" si="15"/>
        <v>1.7126470588235294</v>
      </c>
      <c r="G234" t="s">
        <v>20</v>
      </c>
      <c r="H234">
        <v>92</v>
      </c>
      <c r="I234" s="6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3"/>
        <v>42576.208333333328</v>
      </c>
      <c r="O234" s="13">
        <f t="shared" si="14"/>
        <v>42577.208333333328</v>
      </c>
      <c r="P234" t="b">
        <v>0</v>
      </c>
      <c r="Q234" t="b">
        <v>0</v>
      </c>
      <c r="R234" t="s">
        <v>33</v>
      </c>
      <c r="S234" t="s">
        <v>2043</v>
      </c>
      <c r="T234" t="s">
        <v>2058</v>
      </c>
    </row>
    <row r="235" spans="1:20" ht="17" x14ac:dyDescent="0.2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s="4">
        <f t="shared" si="15"/>
        <v>1.5789473684210527</v>
      </c>
      <c r="G235" t="s">
        <v>20</v>
      </c>
      <c r="H235">
        <v>62</v>
      </c>
      <c r="I235" s="6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3"/>
        <v>40706.208333333336</v>
      </c>
      <c r="O235" s="13">
        <f t="shared" si="14"/>
        <v>40722.208333333336</v>
      </c>
      <c r="P235" t="b">
        <v>0</v>
      </c>
      <c r="Q235" t="b">
        <v>0</v>
      </c>
      <c r="R235" t="s">
        <v>71</v>
      </c>
      <c r="S235" t="s">
        <v>2035</v>
      </c>
      <c r="T235" t="s">
        <v>2045</v>
      </c>
    </row>
    <row r="236" spans="1:20" ht="17" x14ac:dyDescent="0.2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s="4">
        <f t="shared" si="15"/>
        <v>1.0908</v>
      </c>
      <c r="G236" t="s">
        <v>20</v>
      </c>
      <c r="H236">
        <v>149</v>
      </c>
      <c r="I236" s="6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3"/>
        <v>42969.208333333328</v>
      </c>
      <c r="O236" s="13">
        <f t="shared" si="14"/>
        <v>42976.208333333328</v>
      </c>
      <c r="P236" t="b">
        <v>0</v>
      </c>
      <c r="Q236" t="b">
        <v>1</v>
      </c>
      <c r="R236" t="s">
        <v>89</v>
      </c>
      <c r="S236" t="s">
        <v>2037</v>
      </c>
      <c r="T236" t="s">
        <v>2065</v>
      </c>
    </row>
    <row r="237" spans="1:20" ht="34" x14ac:dyDescent="0.2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s="4">
        <f t="shared" si="15"/>
        <v>0.41732558139534881</v>
      </c>
      <c r="G237" t="s">
        <v>14</v>
      </c>
      <c r="H237">
        <v>92</v>
      </c>
      <c r="I237" s="6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3"/>
        <v>42779.25</v>
      </c>
      <c r="O237" s="13">
        <f t="shared" si="14"/>
        <v>42784.25</v>
      </c>
      <c r="P237" t="b">
        <v>0</v>
      </c>
      <c r="Q237" t="b">
        <v>0</v>
      </c>
      <c r="R237" t="s">
        <v>71</v>
      </c>
      <c r="S237" t="s">
        <v>2035</v>
      </c>
      <c r="T237" t="s">
        <v>2045</v>
      </c>
    </row>
    <row r="238" spans="1:20" ht="17" x14ac:dyDescent="0.2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s="4">
        <f t="shared" si="15"/>
        <v>0.10944303797468355</v>
      </c>
      <c r="G238" t="s">
        <v>14</v>
      </c>
      <c r="H238">
        <v>57</v>
      </c>
      <c r="I238" s="6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3"/>
        <v>43641.208333333328</v>
      </c>
      <c r="O238" s="13">
        <f t="shared" si="14"/>
        <v>43648.208333333328</v>
      </c>
      <c r="P238" t="b">
        <v>0</v>
      </c>
      <c r="Q238" t="b">
        <v>1</v>
      </c>
      <c r="R238" t="s">
        <v>23</v>
      </c>
      <c r="S238" t="s">
        <v>2039</v>
      </c>
      <c r="T238" t="s">
        <v>2060</v>
      </c>
    </row>
    <row r="239" spans="1:20" ht="34" x14ac:dyDescent="0.2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s="4">
        <f t="shared" si="15"/>
        <v>1.593763440860215</v>
      </c>
      <c r="G239" t="s">
        <v>20</v>
      </c>
      <c r="H239">
        <v>329</v>
      </c>
      <c r="I239" s="6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3"/>
        <v>41754.208333333336</v>
      </c>
      <c r="O239" s="13">
        <f t="shared" si="14"/>
        <v>41756.208333333336</v>
      </c>
      <c r="P239" t="b">
        <v>0</v>
      </c>
      <c r="Q239" t="b">
        <v>0</v>
      </c>
      <c r="R239" t="s">
        <v>71</v>
      </c>
      <c r="S239" t="s">
        <v>2035</v>
      </c>
      <c r="T239" t="s">
        <v>2045</v>
      </c>
    </row>
    <row r="240" spans="1:20" ht="17" x14ac:dyDescent="0.2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s="4">
        <f t="shared" si="15"/>
        <v>4.2241666666666671</v>
      </c>
      <c r="G240" t="s">
        <v>20</v>
      </c>
      <c r="H240">
        <v>97</v>
      </c>
      <c r="I240" s="6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3"/>
        <v>43083.25</v>
      </c>
      <c r="O240" s="13">
        <f t="shared" si="14"/>
        <v>43108.25</v>
      </c>
      <c r="P240" t="b">
        <v>0</v>
      </c>
      <c r="Q240" t="b">
        <v>1</v>
      </c>
      <c r="R240" t="s">
        <v>33</v>
      </c>
      <c r="S240" t="s">
        <v>2043</v>
      </c>
      <c r="T240" t="s">
        <v>2058</v>
      </c>
    </row>
    <row r="241" spans="1:20" ht="34" x14ac:dyDescent="0.2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s="4">
        <f t="shared" si="15"/>
        <v>0.97718749999999999</v>
      </c>
      <c r="G241" t="s">
        <v>14</v>
      </c>
      <c r="H241">
        <v>41</v>
      </c>
      <c r="I241" s="6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3"/>
        <v>42245.208333333328</v>
      </c>
      <c r="O241" s="13">
        <f t="shared" si="14"/>
        <v>42249.208333333328</v>
      </c>
      <c r="P241" t="b">
        <v>0</v>
      </c>
      <c r="Q241" t="b">
        <v>0</v>
      </c>
      <c r="R241" t="s">
        <v>65</v>
      </c>
      <c r="S241" t="s">
        <v>2042</v>
      </c>
      <c r="T241" t="s">
        <v>2066</v>
      </c>
    </row>
    <row r="242" spans="1:20" ht="17" x14ac:dyDescent="0.2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s="4">
        <f t="shared" si="15"/>
        <v>4.1878911564625847</v>
      </c>
      <c r="G242" t="s">
        <v>20</v>
      </c>
      <c r="H242">
        <v>1784</v>
      </c>
      <c r="I242" s="6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3"/>
        <v>40396.208333333336</v>
      </c>
      <c r="O242" s="13">
        <f t="shared" si="14"/>
        <v>40397.208333333336</v>
      </c>
      <c r="P242" t="b">
        <v>0</v>
      </c>
      <c r="Q242" t="b">
        <v>0</v>
      </c>
      <c r="R242" t="s">
        <v>33</v>
      </c>
      <c r="S242" t="s">
        <v>2043</v>
      </c>
      <c r="T242" t="s">
        <v>2058</v>
      </c>
    </row>
    <row r="243" spans="1:20" ht="17" x14ac:dyDescent="0.2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s="4">
        <f t="shared" si="15"/>
        <v>1.0191632047477746</v>
      </c>
      <c r="G243" t="s">
        <v>20</v>
      </c>
      <c r="H243">
        <v>1684</v>
      </c>
      <c r="I243" s="6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3"/>
        <v>41742.208333333336</v>
      </c>
      <c r="O243" s="13">
        <f t="shared" si="14"/>
        <v>41752.208333333336</v>
      </c>
      <c r="P243" t="b">
        <v>0</v>
      </c>
      <c r="Q243" t="b">
        <v>1</v>
      </c>
      <c r="R243" t="s">
        <v>68</v>
      </c>
      <c r="S243" t="s">
        <v>2041</v>
      </c>
      <c r="T243" t="s">
        <v>2056</v>
      </c>
    </row>
    <row r="244" spans="1:20" ht="17" x14ac:dyDescent="0.2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s="4">
        <f t="shared" si="15"/>
        <v>1.2772619047619047</v>
      </c>
      <c r="G244" t="s">
        <v>20</v>
      </c>
      <c r="H244">
        <v>250</v>
      </c>
      <c r="I244" s="6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3"/>
        <v>42865.208333333328</v>
      </c>
      <c r="O244" s="13">
        <f t="shared" si="14"/>
        <v>42875.208333333328</v>
      </c>
      <c r="P244" t="b">
        <v>0</v>
      </c>
      <c r="Q244" t="b">
        <v>1</v>
      </c>
      <c r="R244" t="s">
        <v>23</v>
      </c>
      <c r="S244" t="s">
        <v>2039</v>
      </c>
      <c r="T244" t="s">
        <v>2060</v>
      </c>
    </row>
    <row r="245" spans="1:20" ht="34" x14ac:dyDescent="0.2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s="4">
        <f t="shared" si="15"/>
        <v>4.4521739130434783</v>
      </c>
      <c r="G245" t="s">
        <v>20</v>
      </c>
      <c r="H245">
        <v>238</v>
      </c>
      <c r="I245" s="6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3"/>
        <v>43163.25</v>
      </c>
      <c r="O245" s="13">
        <f t="shared" si="14"/>
        <v>43166.25</v>
      </c>
      <c r="P245" t="b">
        <v>0</v>
      </c>
      <c r="Q245" t="b">
        <v>0</v>
      </c>
      <c r="R245" t="s">
        <v>33</v>
      </c>
      <c r="S245" t="s">
        <v>2043</v>
      </c>
      <c r="T245" t="s">
        <v>2058</v>
      </c>
    </row>
    <row r="246" spans="1:20" ht="34" x14ac:dyDescent="0.2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s="4">
        <f t="shared" si="15"/>
        <v>5.6971428571428575</v>
      </c>
      <c r="G246" t="s">
        <v>20</v>
      </c>
      <c r="H246">
        <v>53</v>
      </c>
      <c r="I246" s="6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3"/>
        <v>41834.208333333336</v>
      </c>
      <c r="O246" s="13">
        <f t="shared" si="14"/>
        <v>41886.208333333336</v>
      </c>
      <c r="P246" t="b">
        <v>0</v>
      </c>
      <c r="Q246" t="b">
        <v>0</v>
      </c>
      <c r="R246" t="s">
        <v>33</v>
      </c>
      <c r="S246" t="s">
        <v>2043</v>
      </c>
      <c r="T246" t="s">
        <v>2058</v>
      </c>
    </row>
    <row r="247" spans="1:20" ht="17" x14ac:dyDescent="0.2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s="4">
        <f t="shared" si="15"/>
        <v>5.0934482758620687</v>
      </c>
      <c r="G247" t="s">
        <v>20</v>
      </c>
      <c r="H247">
        <v>214</v>
      </c>
      <c r="I247" s="6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3"/>
        <v>41736.208333333336</v>
      </c>
      <c r="O247" s="13">
        <f t="shared" si="14"/>
        <v>41737.208333333336</v>
      </c>
      <c r="P247" t="b">
        <v>0</v>
      </c>
      <c r="Q247" t="b">
        <v>0</v>
      </c>
      <c r="R247" t="s">
        <v>33</v>
      </c>
      <c r="S247" t="s">
        <v>2043</v>
      </c>
      <c r="T247" t="s">
        <v>2058</v>
      </c>
    </row>
    <row r="248" spans="1:20" ht="17" x14ac:dyDescent="0.2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s="4">
        <f t="shared" si="15"/>
        <v>3.2553333333333332</v>
      </c>
      <c r="G248" t="s">
        <v>20</v>
      </c>
      <c r="H248">
        <v>222</v>
      </c>
      <c r="I248" s="6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3"/>
        <v>41491.208333333336</v>
      </c>
      <c r="O248" s="13">
        <f t="shared" si="14"/>
        <v>41495.208333333336</v>
      </c>
      <c r="P248" t="b">
        <v>0</v>
      </c>
      <c r="Q248" t="b">
        <v>0</v>
      </c>
      <c r="R248" t="s">
        <v>28</v>
      </c>
      <c r="S248" t="s">
        <v>2042</v>
      </c>
      <c r="T248" t="s">
        <v>2067</v>
      </c>
    </row>
    <row r="249" spans="1:20" ht="17" x14ac:dyDescent="0.2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s="4">
        <f t="shared" si="15"/>
        <v>9.3261616161616168</v>
      </c>
      <c r="G249" t="s">
        <v>20</v>
      </c>
      <c r="H249">
        <v>1884</v>
      </c>
      <c r="I249" s="6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3"/>
        <v>42726.25</v>
      </c>
      <c r="O249" s="13">
        <f t="shared" si="14"/>
        <v>42741.25</v>
      </c>
      <c r="P249" t="b">
        <v>0</v>
      </c>
      <c r="Q249" t="b">
        <v>1</v>
      </c>
      <c r="R249" t="s">
        <v>119</v>
      </c>
      <c r="S249" t="s">
        <v>2041</v>
      </c>
      <c r="T249" t="s">
        <v>2050</v>
      </c>
    </row>
    <row r="250" spans="1:20" ht="17" x14ac:dyDescent="0.2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s="4">
        <f t="shared" si="15"/>
        <v>2.1133870967741935</v>
      </c>
      <c r="G250" t="s">
        <v>20</v>
      </c>
      <c r="H250">
        <v>218</v>
      </c>
      <c r="I250" s="6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3"/>
        <v>42004.25</v>
      </c>
      <c r="O250" s="13">
        <f t="shared" si="14"/>
        <v>42009.25</v>
      </c>
      <c r="P250" t="b">
        <v>0</v>
      </c>
      <c r="Q250" t="b">
        <v>0</v>
      </c>
      <c r="R250" t="s">
        <v>292</v>
      </c>
      <c r="S250" t="s">
        <v>2037</v>
      </c>
      <c r="T250" t="s">
        <v>2055</v>
      </c>
    </row>
    <row r="251" spans="1:20" ht="17" x14ac:dyDescent="0.2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s="4">
        <f t="shared" si="15"/>
        <v>2.7332520325203253</v>
      </c>
      <c r="G251" t="s">
        <v>20</v>
      </c>
      <c r="H251">
        <v>6465</v>
      </c>
      <c r="I251" s="6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3"/>
        <v>42006.25</v>
      </c>
      <c r="O251" s="13">
        <f t="shared" si="14"/>
        <v>42013.25</v>
      </c>
      <c r="P251" t="b">
        <v>0</v>
      </c>
      <c r="Q251" t="b">
        <v>0</v>
      </c>
      <c r="R251" t="s">
        <v>206</v>
      </c>
      <c r="S251" t="s">
        <v>2041</v>
      </c>
      <c r="T251" t="s">
        <v>2064</v>
      </c>
    </row>
    <row r="252" spans="1:20" ht="17" x14ac:dyDescent="0.2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s="4">
        <f t="shared" si="15"/>
        <v>0.03</v>
      </c>
      <c r="G252" t="s">
        <v>14</v>
      </c>
      <c r="H252">
        <v>1</v>
      </c>
      <c r="I252" s="6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3"/>
        <v>40203.25</v>
      </c>
      <c r="O252" s="13">
        <f t="shared" si="14"/>
        <v>40238.25</v>
      </c>
      <c r="P252" t="b">
        <v>0</v>
      </c>
      <c r="Q252" t="b">
        <v>0</v>
      </c>
      <c r="R252" t="s">
        <v>23</v>
      </c>
      <c r="S252" t="s">
        <v>2039</v>
      </c>
      <c r="T252" t="s">
        <v>2060</v>
      </c>
    </row>
    <row r="253" spans="1:20" ht="17" x14ac:dyDescent="0.2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s="4">
        <f t="shared" si="15"/>
        <v>0.54084507042253516</v>
      </c>
      <c r="G253" t="s">
        <v>14</v>
      </c>
      <c r="H253">
        <v>101</v>
      </c>
      <c r="I253" s="6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3"/>
        <v>41252.25</v>
      </c>
      <c r="O253" s="13">
        <f t="shared" si="14"/>
        <v>41254.25</v>
      </c>
      <c r="P253" t="b">
        <v>0</v>
      </c>
      <c r="Q253" t="b">
        <v>0</v>
      </c>
      <c r="R253" t="s">
        <v>33</v>
      </c>
      <c r="S253" t="s">
        <v>2043</v>
      </c>
      <c r="T253" t="s">
        <v>2058</v>
      </c>
    </row>
    <row r="254" spans="1:20" ht="34" x14ac:dyDescent="0.2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s="4">
        <f t="shared" si="15"/>
        <v>6.2629999999999999</v>
      </c>
      <c r="G254" t="s">
        <v>20</v>
      </c>
      <c r="H254">
        <v>59</v>
      </c>
      <c r="I254" s="6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3"/>
        <v>41572.208333333336</v>
      </c>
      <c r="O254" s="13">
        <f t="shared" si="14"/>
        <v>41577.208333333336</v>
      </c>
      <c r="P254" t="b">
        <v>0</v>
      </c>
      <c r="Q254" t="b">
        <v>0</v>
      </c>
      <c r="R254" t="s">
        <v>33</v>
      </c>
      <c r="S254" t="s">
        <v>2043</v>
      </c>
      <c r="T254" t="s">
        <v>2058</v>
      </c>
    </row>
    <row r="255" spans="1:20" ht="17" x14ac:dyDescent="0.2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s="4">
        <f t="shared" si="15"/>
        <v>0.8902139917695473</v>
      </c>
      <c r="G255" t="s">
        <v>14</v>
      </c>
      <c r="H255">
        <v>1335</v>
      </c>
      <c r="I255" s="6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3"/>
        <v>40641.208333333336</v>
      </c>
      <c r="O255" s="13">
        <f t="shared" si="14"/>
        <v>40653.208333333336</v>
      </c>
      <c r="P255" t="b">
        <v>0</v>
      </c>
      <c r="Q255" t="b">
        <v>0</v>
      </c>
      <c r="R255" t="s">
        <v>53</v>
      </c>
      <c r="S255" t="s">
        <v>2035</v>
      </c>
      <c r="T255" t="s">
        <v>2048</v>
      </c>
    </row>
    <row r="256" spans="1:20" ht="34" x14ac:dyDescent="0.2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s="4">
        <f t="shared" si="15"/>
        <v>1.8489130434782608</v>
      </c>
      <c r="G256" t="s">
        <v>20</v>
      </c>
      <c r="H256">
        <v>88</v>
      </c>
      <c r="I256" s="6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3"/>
        <v>42787.25</v>
      </c>
      <c r="O256" s="13">
        <f t="shared" si="14"/>
        <v>42789.25</v>
      </c>
      <c r="P256" t="b">
        <v>0</v>
      </c>
      <c r="Q256" t="b">
        <v>0</v>
      </c>
      <c r="R256" t="s">
        <v>68</v>
      </c>
      <c r="S256" t="s">
        <v>2041</v>
      </c>
      <c r="T256" t="s">
        <v>2056</v>
      </c>
    </row>
    <row r="257" spans="1:20" ht="34" x14ac:dyDescent="0.2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s="4">
        <f t="shared" si="15"/>
        <v>1.2016770186335404</v>
      </c>
      <c r="G257" t="s">
        <v>20</v>
      </c>
      <c r="H257">
        <v>1697</v>
      </c>
      <c r="I257" s="6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3"/>
        <v>40590.25</v>
      </c>
      <c r="O257" s="13">
        <f t="shared" si="14"/>
        <v>40595.25</v>
      </c>
      <c r="P257" t="b">
        <v>0</v>
      </c>
      <c r="Q257" t="b">
        <v>1</v>
      </c>
      <c r="R257" t="s">
        <v>23</v>
      </c>
      <c r="S257" t="s">
        <v>2039</v>
      </c>
      <c r="T257" t="s">
        <v>2060</v>
      </c>
    </row>
    <row r="258" spans="1:20" ht="17" x14ac:dyDescent="0.2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s="4">
        <f t="shared" si="15"/>
        <v>0.23390243902439026</v>
      </c>
      <c r="G258" t="s">
        <v>14</v>
      </c>
      <c r="H258">
        <v>15</v>
      </c>
      <c r="I258" s="6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3"/>
        <v>42393.25</v>
      </c>
      <c r="O258" s="13">
        <f t="shared" si="14"/>
        <v>42430.25</v>
      </c>
      <c r="P258" t="b">
        <v>0</v>
      </c>
      <c r="Q258" t="b">
        <v>0</v>
      </c>
      <c r="R258" t="s">
        <v>23</v>
      </c>
      <c r="S258" t="s">
        <v>2039</v>
      </c>
      <c r="T258" t="s">
        <v>2060</v>
      </c>
    </row>
    <row r="259" spans="1:20" ht="17" x14ac:dyDescent="0.2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s="4">
        <f t="shared" si="15"/>
        <v>1.46</v>
      </c>
      <c r="G259" t="s">
        <v>20</v>
      </c>
      <c r="H259">
        <v>92</v>
      </c>
      <c r="I259" s="6">
        <f t="shared" ref="I259:I322" si="16">IF(H259&lt;&gt;0,E259/H259,0)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3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2043</v>
      </c>
      <c r="T259" t="s">
        <v>2058</v>
      </c>
    </row>
    <row r="260" spans="1:20" ht="17" x14ac:dyDescent="0.2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 s="6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7"/>
        <v>42712.25</v>
      </c>
      <c r="O260" s="13">
        <f t="shared" si="18"/>
        <v>42732.25</v>
      </c>
      <c r="P260" t="b">
        <v>0</v>
      </c>
      <c r="Q260" t="b">
        <v>1</v>
      </c>
      <c r="R260" t="s">
        <v>33</v>
      </c>
      <c r="S260" t="s">
        <v>2043</v>
      </c>
      <c r="T260" t="s">
        <v>2058</v>
      </c>
    </row>
    <row r="261" spans="1:20" ht="34" x14ac:dyDescent="0.2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s="4">
        <f t="shared" si="19"/>
        <v>5.9749999999999996</v>
      </c>
      <c r="G261" t="s">
        <v>20</v>
      </c>
      <c r="H261">
        <v>138</v>
      </c>
      <c r="I261" s="6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7"/>
        <v>41251.25</v>
      </c>
      <c r="O261" s="13">
        <f t="shared" si="18"/>
        <v>41270.25</v>
      </c>
      <c r="P261" t="b">
        <v>1</v>
      </c>
      <c r="Q261" t="b">
        <v>0</v>
      </c>
      <c r="R261" t="s">
        <v>122</v>
      </c>
      <c r="S261" t="s">
        <v>2040</v>
      </c>
      <c r="T261" t="s">
        <v>2057</v>
      </c>
    </row>
    <row r="262" spans="1:20" ht="17" x14ac:dyDescent="0.2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s="4">
        <f t="shared" si="19"/>
        <v>1.5769841269841269</v>
      </c>
      <c r="G262" t="s">
        <v>20</v>
      </c>
      <c r="H262">
        <v>261</v>
      </c>
      <c r="I262" s="6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7"/>
        <v>41180.208333333336</v>
      </c>
      <c r="O262" s="13">
        <f t="shared" si="18"/>
        <v>41192.208333333336</v>
      </c>
      <c r="P262" t="b">
        <v>0</v>
      </c>
      <c r="Q262" t="b">
        <v>0</v>
      </c>
      <c r="R262" t="s">
        <v>23</v>
      </c>
      <c r="S262" t="s">
        <v>2039</v>
      </c>
      <c r="T262" t="s">
        <v>2060</v>
      </c>
    </row>
    <row r="263" spans="1:20" ht="34" x14ac:dyDescent="0.2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s="4">
        <f t="shared" si="19"/>
        <v>0.31201660735468567</v>
      </c>
      <c r="G263" t="s">
        <v>14</v>
      </c>
      <c r="H263">
        <v>454</v>
      </c>
      <c r="I263" s="6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7"/>
        <v>40415.208333333336</v>
      </c>
      <c r="O263" s="13">
        <f t="shared" si="18"/>
        <v>40419.208333333336</v>
      </c>
      <c r="P263" t="b">
        <v>0</v>
      </c>
      <c r="Q263" t="b">
        <v>1</v>
      </c>
      <c r="R263" t="s">
        <v>23</v>
      </c>
      <c r="S263" t="s">
        <v>2039</v>
      </c>
      <c r="T263" t="s">
        <v>2060</v>
      </c>
    </row>
    <row r="264" spans="1:20" ht="17" x14ac:dyDescent="0.2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s="4">
        <f t="shared" si="19"/>
        <v>3.1341176470588237</v>
      </c>
      <c r="G264" t="s">
        <v>20</v>
      </c>
      <c r="H264">
        <v>107</v>
      </c>
      <c r="I264" s="6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7"/>
        <v>40638.208333333336</v>
      </c>
      <c r="O264" s="13">
        <f t="shared" si="18"/>
        <v>40664.208333333336</v>
      </c>
      <c r="P264" t="b">
        <v>0</v>
      </c>
      <c r="Q264" t="b">
        <v>1</v>
      </c>
      <c r="R264" t="s">
        <v>60</v>
      </c>
      <c r="S264" t="s">
        <v>2039</v>
      </c>
      <c r="T264" t="s">
        <v>2052</v>
      </c>
    </row>
    <row r="265" spans="1:20" ht="17" x14ac:dyDescent="0.2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s="4">
        <f t="shared" si="19"/>
        <v>3.7089655172413791</v>
      </c>
      <c r="G265" t="s">
        <v>20</v>
      </c>
      <c r="H265">
        <v>199</v>
      </c>
      <c r="I265" s="6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7"/>
        <v>40187.25</v>
      </c>
      <c r="O265" s="13">
        <f t="shared" si="18"/>
        <v>40187.25</v>
      </c>
      <c r="P265" t="b">
        <v>0</v>
      </c>
      <c r="Q265" t="b">
        <v>0</v>
      </c>
      <c r="R265" t="s">
        <v>122</v>
      </c>
      <c r="S265" t="s">
        <v>2040</v>
      </c>
      <c r="T265" t="s">
        <v>2057</v>
      </c>
    </row>
    <row r="266" spans="1:20" ht="17" x14ac:dyDescent="0.2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s="4">
        <f t="shared" si="19"/>
        <v>3.6266447368421053</v>
      </c>
      <c r="G266" t="s">
        <v>20</v>
      </c>
      <c r="H266">
        <v>5512</v>
      </c>
      <c r="I266" s="6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7"/>
        <v>41317.25</v>
      </c>
      <c r="O266" s="13">
        <f t="shared" si="18"/>
        <v>41333.25</v>
      </c>
      <c r="P266" t="b">
        <v>0</v>
      </c>
      <c r="Q266" t="b">
        <v>0</v>
      </c>
      <c r="R266" t="s">
        <v>33</v>
      </c>
      <c r="S266" t="s">
        <v>2043</v>
      </c>
      <c r="T266" t="s">
        <v>2058</v>
      </c>
    </row>
    <row r="267" spans="1:20" ht="17" x14ac:dyDescent="0.2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s="4">
        <f t="shared" si="19"/>
        <v>1.2308163265306122</v>
      </c>
      <c r="G267" t="s">
        <v>20</v>
      </c>
      <c r="H267">
        <v>86</v>
      </c>
      <c r="I267" s="6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7"/>
        <v>42372.25</v>
      </c>
      <c r="O267" s="13">
        <f t="shared" si="18"/>
        <v>42416.25</v>
      </c>
      <c r="P267" t="b">
        <v>0</v>
      </c>
      <c r="Q267" t="b">
        <v>0</v>
      </c>
      <c r="R267" t="s">
        <v>33</v>
      </c>
      <c r="S267" t="s">
        <v>2043</v>
      </c>
      <c r="T267" t="s">
        <v>2058</v>
      </c>
    </row>
    <row r="268" spans="1:20" ht="17" x14ac:dyDescent="0.2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s="4">
        <f t="shared" si="19"/>
        <v>0.76766756032171579</v>
      </c>
      <c r="G268" t="s">
        <v>14</v>
      </c>
      <c r="H268">
        <v>3182</v>
      </c>
      <c r="I268" s="6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7"/>
        <v>41950.25</v>
      </c>
      <c r="O268" s="13">
        <f t="shared" si="18"/>
        <v>41983.25</v>
      </c>
      <c r="P268" t="b">
        <v>0</v>
      </c>
      <c r="Q268" t="b">
        <v>1</v>
      </c>
      <c r="R268" t="s">
        <v>159</v>
      </c>
      <c r="S268" t="s">
        <v>2039</v>
      </c>
      <c r="T268" t="s">
        <v>2053</v>
      </c>
    </row>
    <row r="269" spans="1:20" ht="17" x14ac:dyDescent="0.2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s="4">
        <f t="shared" si="19"/>
        <v>2.3362012987012988</v>
      </c>
      <c r="G269" t="s">
        <v>20</v>
      </c>
      <c r="H269">
        <v>2768</v>
      </c>
      <c r="I269" s="6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7"/>
        <v>41206.208333333336</v>
      </c>
      <c r="O269" s="13">
        <f t="shared" si="18"/>
        <v>41222.25</v>
      </c>
      <c r="P269" t="b">
        <v>0</v>
      </c>
      <c r="Q269" t="b">
        <v>0</v>
      </c>
      <c r="R269" t="s">
        <v>33</v>
      </c>
      <c r="S269" t="s">
        <v>2043</v>
      </c>
      <c r="T269" t="s">
        <v>2058</v>
      </c>
    </row>
    <row r="270" spans="1:20" ht="17" x14ac:dyDescent="0.2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s="4">
        <f t="shared" si="19"/>
        <v>1.8053333333333332</v>
      </c>
      <c r="G270" t="s">
        <v>20</v>
      </c>
      <c r="H270">
        <v>48</v>
      </c>
      <c r="I270" s="6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7"/>
        <v>41186.208333333336</v>
      </c>
      <c r="O270" s="13">
        <f t="shared" si="18"/>
        <v>41232.25</v>
      </c>
      <c r="P270" t="b">
        <v>0</v>
      </c>
      <c r="Q270" t="b">
        <v>0</v>
      </c>
      <c r="R270" t="s">
        <v>42</v>
      </c>
      <c r="S270" t="s">
        <v>2035</v>
      </c>
      <c r="T270" t="s">
        <v>2047</v>
      </c>
    </row>
    <row r="271" spans="1:20" ht="17" x14ac:dyDescent="0.2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s="4">
        <f t="shared" si="19"/>
        <v>2.5262857142857142</v>
      </c>
      <c r="G271" t="s">
        <v>20</v>
      </c>
      <c r="H271">
        <v>87</v>
      </c>
      <c r="I271" s="6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7"/>
        <v>43496.25</v>
      </c>
      <c r="O271" s="13">
        <f t="shared" si="18"/>
        <v>43517.25</v>
      </c>
      <c r="P271" t="b">
        <v>0</v>
      </c>
      <c r="Q271" t="b">
        <v>0</v>
      </c>
      <c r="R271" t="s">
        <v>269</v>
      </c>
      <c r="S271" t="s">
        <v>2035</v>
      </c>
      <c r="T271" t="s">
        <v>2063</v>
      </c>
    </row>
    <row r="272" spans="1:20" ht="17" x14ac:dyDescent="0.2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s="4">
        <f t="shared" si="19"/>
        <v>0.27176538240368026</v>
      </c>
      <c r="G272" t="s">
        <v>74</v>
      </c>
      <c r="H272">
        <v>1890</v>
      </c>
      <c r="I272" s="6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7"/>
        <v>40514.25</v>
      </c>
      <c r="O272" s="13">
        <f t="shared" si="18"/>
        <v>40516.25</v>
      </c>
      <c r="P272" t="b">
        <v>0</v>
      </c>
      <c r="Q272" t="b">
        <v>0</v>
      </c>
      <c r="R272" t="s">
        <v>89</v>
      </c>
      <c r="S272" t="s">
        <v>2037</v>
      </c>
      <c r="T272" t="s">
        <v>2065</v>
      </c>
    </row>
    <row r="273" spans="1:20" ht="34" x14ac:dyDescent="0.2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s="4">
        <f t="shared" si="19"/>
        <v>1.2706571242680547E-2</v>
      </c>
      <c r="G273" t="s">
        <v>47</v>
      </c>
      <c r="H273">
        <v>61</v>
      </c>
      <c r="I273" s="6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7"/>
        <v>42345.25</v>
      </c>
      <c r="O273" s="13">
        <f t="shared" si="18"/>
        <v>42376.25</v>
      </c>
      <c r="P273" t="b">
        <v>0</v>
      </c>
      <c r="Q273" t="b">
        <v>0</v>
      </c>
      <c r="R273" t="s">
        <v>122</v>
      </c>
      <c r="S273" t="s">
        <v>2040</v>
      </c>
      <c r="T273" t="s">
        <v>2057</v>
      </c>
    </row>
    <row r="274" spans="1:20" ht="17" x14ac:dyDescent="0.2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s="4">
        <f t="shared" si="19"/>
        <v>3.0400978473581213</v>
      </c>
      <c r="G274" t="s">
        <v>20</v>
      </c>
      <c r="H274">
        <v>1894</v>
      </c>
      <c r="I274" s="6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7"/>
        <v>43656.208333333328</v>
      </c>
      <c r="O274" s="13">
        <f t="shared" si="18"/>
        <v>43681.208333333328</v>
      </c>
      <c r="P274" t="b">
        <v>0</v>
      </c>
      <c r="Q274" t="b">
        <v>1</v>
      </c>
      <c r="R274" t="s">
        <v>33</v>
      </c>
      <c r="S274" t="s">
        <v>2043</v>
      </c>
      <c r="T274" t="s">
        <v>2058</v>
      </c>
    </row>
    <row r="275" spans="1:20" ht="17" x14ac:dyDescent="0.2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s="4">
        <f t="shared" si="19"/>
        <v>1.3723076923076922</v>
      </c>
      <c r="G275" t="s">
        <v>20</v>
      </c>
      <c r="H275">
        <v>282</v>
      </c>
      <c r="I275" s="6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7"/>
        <v>42995.208333333328</v>
      </c>
      <c r="O275" s="13">
        <f t="shared" si="18"/>
        <v>42998.208333333328</v>
      </c>
      <c r="P275" t="b">
        <v>0</v>
      </c>
      <c r="Q275" t="b">
        <v>0</v>
      </c>
      <c r="R275" t="s">
        <v>33</v>
      </c>
      <c r="S275" t="s">
        <v>2043</v>
      </c>
      <c r="T275" t="s">
        <v>2058</v>
      </c>
    </row>
    <row r="276" spans="1:20" ht="34" x14ac:dyDescent="0.2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s="4">
        <f t="shared" si="19"/>
        <v>0.32208333333333333</v>
      </c>
      <c r="G276" t="s">
        <v>14</v>
      </c>
      <c r="H276">
        <v>15</v>
      </c>
      <c r="I276" s="6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7"/>
        <v>43045.25</v>
      </c>
      <c r="O276" s="13">
        <f t="shared" si="18"/>
        <v>43050.25</v>
      </c>
      <c r="P276" t="b">
        <v>0</v>
      </c>
      <c r="Q276" t="b">
        <v>0</v>
      </c>
      <c r="R276" t="s">
        <v>33</v>
      </c>
      <c r="S276" t="s">
        <v>2043</v>
      </c>
      <c r="T276" t="s">
        <v>2058</v>
      </c>
    </row>
    <row r="277" spans="1:20" ht="34" x14ac:dyDescent="0.2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s="4">
        <f t="shared" si="19"/>
        <v>2.4151282051282053</v>
      </c>
      <c r="G277" t="s">
        <v>20</v>
      </c>
      <c r="H277">
        <v>116</v>
      </c>
      <c r="I277" s="6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7"/>
        <v>43561.208333333328</v>
      </c>
      <c r="O277" s="13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2041</v>
      </c>
      <c r="T277" t="s">
        <v>2064</v>
      </c>
    </row>
    <row r="278" spans="1:20" ht="17" x14ac:dyDescent="0.2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s="4">
        <f t="shared" si="19"/>
        <v>0.96799999999999997</v>
      </c>
      <c r="G278" t="s">
        <v>14</v>
      </c>
      <c r="H278">
        <v>133</v>
      </c>
      <c r="I278" s="6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7"/>
        <v>41018.208333333336</v>
      </c>
      <c r="O278" s="13">
        <f t="shared" si="18"/>
        <v>41023.208333333336</v>
      </c>
      <c r="P278" t="b">
        <v>0</v>
      </c>
      <c r="Q278" t="b">
        <v>1</v>
      </c>
      <c r="R278" t="s">
        <v>89</v>
      </c>
      <c r="S278" t="s">
        <v>2037</v>
      </c>
      <c r="T278" t="s">
        <v>2065</v>
      </c>
    </row>
    <row r="279" spans="1:20" ht="34" x14ac:dyDescent="0.2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s="4">
        <f t="shared" si="19"/>
        <v>10.664285714285715</v>
      </c>
      <c r="G279" t="s">
        <v>20</v>
      </c>
      <c r="H279">
        <v>83</v>
      </c>
      <c r="I279" s="6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7"/>
        <v>40378.208333333336</v>
      </c>
      <c r="O279" s="13">
        <f t="shared" si="18"/>
        <v>40380.208333333336</v>
      </c>
      <c r="P279" t="b">
        <v>0</v>
      </c>
      <c r="Q279" t="b">
        <v>0</v>
      </c>
      <c r="R279" t="s">
        <v>33</v>
      </c>
      <c r="S279" t="s">
        <v>2043</v>
      </c>
      <c r="T279" t="s">
        <v>2058</v>
      </c>
    </row>
    <row r="280" spans="1:20" ht="17" x14ac:dyDescent="0.2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s="4">
        <f t="shared" si="19"/>
        <v>3.2588888888888889</v>
      </c>
      <c r="G280" t="s">
        <v>20</v>
      </c>
      <c r="H280">
        <v>91</v>
      </c>
      <c r="I280" s="6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7"/>
        <v>41239.25</v>
      </c>
      <c r="O280" s="13">
        <f t="shared" si="18"/>
        <v>41264.25</v>
      </c>
      <c r="P280" t="b">
        <v>0</v>
      </c>
      <c r="Q280" t="b">
        <v>0</v>
      </c>
      <c r="R280" t="s">
        <v>28</v>
      </c>
      <c r="S280" t="s">
        <v>2042</v>
      </c>
      <c r="T280" t="s">
        <v>2067</v>
      </c>
    </row>
    <row r="281" spans="1:20" ht="17" x14ac:dyDescent="0.2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s="4">
        <f t="shared" si="19"/>
        <v>1.7070000000000001</v>
      </c>
      <c r="G281" t="s">
        <v>20</v>
      </c>
      <c r="H281">
        <v>546</v>
      </c>
      <c r="I281" s="6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7"/>
        <v>43346.208333333328</v>
      </c>
      <c r="O281" s="13">
        <f t="shared" si="18"/>
        <v>43349.208333333328</v>
      </c>
      <c r="P281" t="b">
        <v>0</v>
      </c>
      <c r="Q281" t="b">
        <v>0</v>
      </c>
      <c r="R281" t="s">
        <v>33</v>
      </c>
      <c r="S281" t="s">
        <v>2043</v>
      </c>
      <c r="T281" t="s">
        <v>2058</v>
      </c>
    </row>
    <row r="282" spans="1:20" ht="34" x14ac:dyDescent="0.2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s="4">
        <f t="shared" si="19"/>
        <v>5.8144</v>
      </c>
      <c r="G282" t="s">
        <v>20</v>
      </c>
      <c r="H282">
        <v>393</v>
      </c>
      <c r="I282" s="6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7"/>
        <v>43060.25</v>
      </c>
      <c r="O282" s="13">
        <f t="shared" si="18"/>
        <v>43066.25</v>
      </c>
      <c r="P282" t="b">
        <v>0</v>
      </c>
      <c r="Q282" t="b">
        <v>0</v>
      </c>
      <c r="R282" t="s">
        <v>71</v>
      </c>
      <c r="S282" t="s">
        <v>2035</v>
      </c>
      <c r="T282" t="s">
        <v>2045</v>
      </c>
    </row>
    <row r="283" spans="1:20" ht="17" x14ac:dyDescent="0.2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s="4">
        <f t="shared" si="19"/>
        <v>0.91520972644376897</v>
      </c>
      <c r="G283" t="s">
        <v>14</v>
      </c>
      <c r="H283">
        <v>2062</v>
      </c>
      <c r="I283" s="6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7"/>
        <v>40979.25</v>
      </c>
      <c r="O283" s="13">
        <f t="shared" si="18"/>
        <v>41000.208333333336</v>
      </c>
      <c r="P283" t="b">
        <v>0</v>
      </c>
      <c r="Q283" t="b">
        <v>1</v>
      </c>
      <c r="R283" t="s">
        <v>33</v>
      </c>
      <c r="S283" t="s">
        <v>2043</v>
      </c>
      <c r="T283" t="s">
        <v>2058</v>
      </c>
    </row>
    <row r="284" spans="1:20" ht="17" x14ac:dyDescent="0.2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s="4">
        <f t="shared" si="19"/>
        <v>1.0804761904761904</v>
      </c>
      <c r="G284" t="s">
        <v>20</v>
      </c>
      <c r="H284">
        <v>133</v>
      </c>
      <c r="I284" s="6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7"/>
        <v>42701.25</v>
      </c>
      <c r="O284" s="13">
        <f t="shared" si="18"/>
        <v>42707.25</v>
      </c>
      <c r="P284" t="b">
        <v>0</v>
      </c>
      <c r="Q284" t="b">
        <v>1</v>
      </c>
      <c r="R284" t="s">
        <v>269</v>
      </c>
      <c r="S284" t="s">
        <v>2035</v>
      </c>
      <c r="T284" t="s">
        <v>2063</v>
      </c>
    </row>
    <row r="285" spans="1:20" ht="34" x14ac:dyDescent="0.2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s="4">
        <f t="shared" si="19"/>
        <v>0.18728395061728395</v>
      </c>
      <c r="G285" t="s">
        <v>14</v>
      </c>
      <c r="H285">
        <v>29</v>
      </c>
      <c r="I285" s="6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7"/>
        <v>42520.208333333328</v>
      </c>
      <c r="O285" s="13">
        <f t="shared" si="18"/>
        <v>42525.208333333328</v>
      </c>
      <c r="P285" t="b">
        <v>0</v>
      </c>
      <c r="Q285" t="b">
        <v>0</v>
      </c>
      <c r="R285" t="s">
        <v>23</v>
      </c>
      <c r="S285" t="s">
        <v>2039</v>
      </c>
      <c r="T285" t="s">
        <v>2060</v>
      </c>
    </row>
    <row r="286" spans="1:20" ht="17" x14ac:dyDescent="0.2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s="4">
        <f t="shared" si="19"/>
        <v>0.83193877551020412</v>
      </c>
      <c r="G286" t="s">
        <v>14</v>
      </c>
      <c r="H286">
        <v>132</v>
      </c>
      <c r="I286" s="6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7"/>
        <v>41030.208333333336</v>
      </c>
      <c r="O286" s="13">
        <f t="shared" si="18"/>
        <v>41035.208333333336</v>
      </c>
      <c r="P286" t="b">
        <v>0</v>
      </c>
      <c r="Q286" t="b">
        <v>0</v>
      </c>
      <c r="R286" t="s">
        <v>28</v>
      </c>
      <c r="S286" t="s">
        <v>2042</v>
      </c>
      <c r="T286" t="s">
        <v>2067</v>
      </c>
    </row>
    <row r="287" spans="1:20" ht="17" x14ac:dyDescent="0.2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s="4">
        <f t="shared" si="19"/>
        <v>7.0633333333333335</v>
      </c>
      <c r="G287" t="s">
        <v>20</v>
      </c>
      <c r="H287">
        <v>254</v>
      </c>
      <c r="I287" s="6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7"/>
        <v>42623.208333333328</v>
      </c>
      <c r="O287" s="13">
        <f t="shared" si="18"/>
        <v>42661.208333333328</v>
      </c>
      <c r="P287" t="b">
        <v>0</v>
      </c>
      <c r="Q287" t="b">
        <v>0</v>
      </c>
      <c r="R287" t="s">
        <v>33</v>
      </c>
      <c r="S287" t="s">
        <v>2043</v>
      </c>
      <c r="T287" t="s">
        <v>2058</v>
      </c>
    </row>
    <row r="288" spans="1:20" ht="17" x14ac:dyDescent="0.2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s="4">
        <f t="shared" si="19"/>
        <v>0.17446030330062445</v>
      </c>
      <c r="G288" t="s">
        <v>74</v>
      </c>
      <c r="H288">
        <v>184</v>
      </c>
      <c r="I288" s="6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7"/>
        <v>42697.25</v>
      </c>
      <c r="O288" s="13">
        <f t="shared" si="18"/>
        <v>42704.25</v>
      </c>
      <c r="P288" t="b">
        <v>0</v>
      </c>
      <c r="Q288" t="b">
        <v>0</v>
      </c>
      <c r="R288" t="s">
        <v>33</v>
      </c>
      <c r="S288" t="s">
        <v>2043</v>
      </c>
      <c r="T288" t="s">
        <v>2058</v>
      </c>
    </row>
    <row r="289" spans="1:20" ht="17" x14ac:dyDescent="0.2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s="4">
        <f t="shared" si="19"/>
        <v>2.0973015873015872</v>
      </c>
      <c r="G289" t="s">
        <v>20</v>
      </c>
      <c r="H289">
        <v>176</v>
      </c>
      <c r="I289" s="6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7"/>
        <v>42122.208333333328</v>
      </c>
      <c r="O289" s="13">
        <f t="shared" si="18"/>
        <v>42122.208333333328</v>
      </c>
      <c r="P289" t="b">
        <v>0</v>
      </c>
      <c r="Q289" t="b">
        <v>0</v>
      </c>
      <c r="R289" t="s">
        <v>50</v>
      </c>
      <c r="S289" t="s">
        <v>2039</v>
      </c>
      <c r="T289" t="s">
        <v>2049</v>
      </c>
    </row>
    <row r="290" spans="1:20" ht="17" x14ac:dyDescent="0.2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s="4">
        <f t="shared" si="19"/>
        <v>0.97785714285714287</v>
      </c>
      <c r="G290" t="s">
        <v>14</v>
      </c>
      <c r="H290">
        <v>137</v>
      </c>
      <c r="I290" s="6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7"/>
        <v>40982.208333333336</v>
      </c>
      <c r="O290" s="13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2039</v>
      </c>
      <c r="T290" t="s">
        <v>2054</v>
      </c>
    </row>
    <row r="291" spans="1:20" ht="17" x14ac:dyDescent="0.2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s="4">
        <f t="shared" si="19"/>
        <v>16.842500000000001</v>
      </c>
      <c r="G291" t="s">
        <v>20</v>
      </c>
      <c r="H291">
        <v>337</v>
      </c>
      <c r="I291" s="6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7"/>
        <v>42219.208333333328</v>
      </c>
      <c r="O291" s="13">
        <f t="shared" si="18"/>
        <v>42222.208333333328</v>
      </c>
      <c r="P291" t="b">
        <v>0</v>
      </c>
      <c r="Q291" t="b">
        <v>0</v>
      </c>
      <c r="R291" t="s">
        <v>33</v>
      </c>
      <c r="S291" t="s">
        <v>2043</v>
      </c>
      <c r="T291" t="s">
        <v>2058</v>
      </c>
    </row>
    <row r="292" spans="1:20" ht="17" x14ac:dyDescent="0.2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s="4">
        <f t="shared" si="19"/>
        <v>0.54402135231316728</v>
      </c>
      <c r="G292" t="s">
        <v>14</v>
      </c>
      <c r="H292">
        <v>908</v>
      </c>
      <c r="I292" s="6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7"/>
        <v>41404.208333333336</v>
      </c>
      <c r="O292" s="13">
        <f t="shared" si="18"/>
        <v>41436.208333333336</v>
      </c>
      <c r="P292" t="b">
        <v>0</v>
      </c>
      <c r="Q292" t="b">
        <v>1</v>
      </c>
      <c r="R292" t="s">
        <v>42</v>
      </c>
      <c r="S292" t="s">
        <v>2035</v>
      </c>
      <c r="T292" t="s">
        <v>2047</v>
      </c>
    </row>
    <row r="293" spans="1:20" ht="17" x14ac:dyDescent="0.2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s="4">
        <f t="shared" si="19"/>
        <v>4.5661111111111108</v>
      </c>
      <c r="G293" t="s">
        <v>20</v>
      </c>
      <c r="H293">
        <v>107</v>
      </c>
      <c r="I293" s="6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7"/>
        <v>40831.208333333336</v>
      </c>
      <c r="O293" s="13">
        <f t="shared" si="18"/>
        <v>40835.208333333336</v>
      </c>
      <c r="P293" t="b">
        <v>1</v>
      </c>
      <c r="Q293" t="b">
        <v>0</v>
      </c>
      <c r="R293" t="s">
        <v>28</v>
      </c>
      <c r="S293" t="s">
        <v>2042</v>
      </c>
      <c r="T293" t="s">
        <v>2067</v>
      </c>
    </row>
    <row r="294" spans="1:20" ht="17" x14ac:dyDescent="0.2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s="4">
        <f t="shared" si="19"/>
        <v>9.8219178082191785E-2</v>
      </c>
      <c r="G294" t="s">
        <v>14</v>
      </c>
      <c r="H294">
        <v>10</v>
      </c>
      <c r="I294" s="6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7"/>
        <v>40984.208333333336</v>
      </c>
      <c r="O294" s="13">
        <f t="shared" si="18"/>
        <v>41002.208333333336</v>
      </c>
      <c r="P294" t="b">
        <v>0</v>
      </c>
      <c r="Q294" t="b">
        <v>0</v>
      </c>
      <c r="R294" t="s">
        <v>17</v>
      </c>
      <c r="S294" t="s">
        <v>2036</v>
      </c>
      <c r="T294" t="s">
        <v>2051</v>
      </c>
    </row>
    <row r="295" spans="1:20" ht="17" x14ac:dyDescent="0.2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s="4">
        <f t="shared" si="19"/>
        <v>0.16384615384615384</v>
      </c>
      <c r="G295" t="s">
        <v>74</v>
      </c>
      <c r="H295">
        <v>32</v>
      </c>
      <c r="I295" s="6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7"/>
        <v>40456.208333333336</v>
      </c>
      <c r="O295" s="13">
        <f t="shared" si="18"/>
        <v>40465.208333333336</v>
      </c>
      <c r="P295" t="b">
        <v>0</v>
      </c>
      <c r="Q295" t="b">
        <v>0</v>
      </c>
      <c r="R295" t="s">
        <v>33</v>
      </c>
      <c r="S295" t="s">
        <v>2043</v>
      </c>
      <c r="T295" t="s">
        <v>2058</v>
      </c>
    </row>
    <row r="296" spans="1:20" ht="17" x14ac:dyDescent="0.2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s="4">
        <f t="shared" si="19"/>
        <v>13.396666666666667</v>
      </c>
      <c r="G296" t="s">
        <v>20</v>
      </c>
      <c r="H296">
        <v>183</v>
      </c>
      <c r="I296" s="6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7"/>
        <v>43399.208333333328</v>
      </c>
      <c r="O296" s="13">
        <f t="shared" si="18"/>
        <v>43411.25</v>
      </c>
      <c r="P296" t="b">
        <v>0</v>
      </c>
      <c r="Q296" t="b">
        <v>0</v>
      </c>
      <c r="R296" t="s">
        <v>33</v>
      </c>
      <c r="S296" t="s">
        <v>2043</v>
      </c>
      <c r="T296" t="s">
        <v>2058</v>
      </c>
    </row>
    <row r="297" spans="1:20" ht="34" x14ac:dyDescent="0.2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s="4">
        <f t="shared" si="19"/>
        <v>0.35650077760497667</v>
      </c>
      <c r="G297" t="s">
        <v>14</v>
      </c>
      <c r="H297">
        <v>1910</v>
      </c>
      <c r="I297" s="6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7"/>
        <v>41562.208333333336</v>
      </c>
      <c r="O297" s="13">
        <f t="shared" si="18"/>
        <v>41587.25</v>
      </c>
      <c r="P297" t="b">
        <v>0</v>
      </c>
      <c r="Q297" t="b">
        <v>0</v>
      </c>
      <c r="R297" t="s">
        <v>33</v>
      </c>
      <c r="S297" t="s">
        <v>2043</v>
      </c>
      <c r="T297" t="s">
        <v>2058</v>
      </c>
    </row>
    <row r="298" spans="1:20" ht="34" x14ac:dyDescent="0.2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s="4">
        <f t="shared" si="19"/>
        <v>0.54950819672131146</v>
      </c>
      <c r="G298" t="s">
        <v>14</v>
      </c>
      <c r="H298">
        <v>38</v>
      </c>
      <c r="I298" s="6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7"/>
        <v>43493.25</v>
      </c>
      <c r="O298" s="13">
        <f t="shared" si="18"/>
        <v>43515.25</v>
      </c>
      <c r="P298" t="b">
        <v>0</v>
      </c>
      <c r="Q298" t="b">
        <v>0</v>
      </c>
      <c r="R298" t="s">
        <v>33</v>
      </c>
      <c r="S298" t="s">
        <v>2043</v>
      </c>
      <c r="T298" t="s">
        <v>2058</v>
      </c>
    </row>
    <row r="299" spans="1:20" ht="17" x14ac:dyDescent="0.2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s="4">
        <f t="shared" si="19"/>
        <v>0.94236111111111109</v>
      </c>
      <c r="G299" t="s">
        <v>14</v>
      </c>
      <c r="H299">
        <v>104</v>
      </c>
      <c r="I299" s="6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7"/>
        <v>41653.25</v>
      </c>
      <c r="O299" s="13">
        <f t="shared" si="18"/>
        <v>41662.25</v>
      </c>
      <c r="P299" t="b">
        <v>0</v>
      </c>
      <c r="Q299" t="b">
        <v>1</v>
      </c>
      <c r="R299" t="s">
        <v>33</v>
      </c>
      <c r="S299" t="s">
        <v>2043</v>
      </c>
      <c r="T299" t="s">
        <v>2058</v>
      </c>
    </row>
    <row r="300" spans="1:20" ht="17" x14ac:dyDescent="0.2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s="4">
        <f t="shared" si="19"/>
        <v>1.4391428571428571</v>
      </c>
      <c r="G300" t="s">
        <v>20</v>
      </c>
      <c r="H300">
        <v>72</v>
      </c>
      <c r="I300" s="6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7"/>
        <v>42426.25</v>
      </c>
      <c r="O300" s="13">
        <f t="shared" si="18"/>
        <v>42444.208333333328</v>
      </c>
      <c r="P300" t="b">
        <v>0</v>
      </c>
      <c r="Q300" t="b">
        <v>1</v>
      </c>
      <c r="R300" t="s">
        <v>23</v>
      </c>
      <c r="S300" t="s">
        <v>2039</v>
      </c>
      <c r="T300" t="s">
        <v>2060</v>
      </c>
    </row>
    <row r="301" spans="1:20" ht="34" x14ac:dyDescent="0.2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s="4">
        <f t="shared" si="19"/>
        <v>0.51421052631578945</v>
      </c>
      <c r="G301" t="s">
        <v>14</v>
      </c>
      <c r="H301">
        <v>49</v>
      </c>
      <c r="I301" s="6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7"/>
        <v>42432.25</v>
      </c>
      <c r="O301" s="13">
        <f t="shared" si="18"/>
        <v>42488.208333333328</v>
      </c>
      <c r="P301" t="b">
        <v>0</v>
      </c>
      <c r="Q301" t="b">
        <v>0</v>
      </c>
      <c r="R301" t="s">
        <v>17</v>
      </c>
      <c r="S301" t="s">
        <v>2036</v>
      </c>
      <c r="T301" t="s">
        <v>2051</v>
      </c>
    </row>
    <row r="302" spans="1:20" ht="17" x14ac:dyDescent="0.2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s="4">
        <f t="shared" si="19"/>
        <v>0.05</v>
      </c>
      <c r="G302" t="s">
        <v>14</v>
      </c>
      <c r="H302">
        <v>1</v>
      </c>
      <c r="I302" s="6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7"/>
        <v>42977.208333333328</v>
      </c>
      <c r="O302" s="13">
        <f t="shared" si="18"/>
        <v>42978.208333333328</v>
      </c>
      <c r="P302" t="b">
        <v>0</v>
      </c>
      <c r="Q302" t="b">
        <v>1</v>
      </c>
      <c r="R302" t="s">
        <v>68</v>
      </c>
      <c r="S302" t="s">
        <v>2041</v>
      </c>
      <c r="T302" t="s">
        <v>2056</v>
      </c>
    </row>
    <row r="303" spans="1:20" ht="34" x14ac:dyDescent="0.2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s="4">
        <f t="shared" si="19"/>
        <v>13.446666666666667</v>
      </c>
      <c r="G303" t="s">
        <v>20</v>
      </c>
      <c r="H303">
        <v>295</v>
      </c>
      <c r="I303" s="6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7"/>
        <v>42061.25</v>
      </c>
      <c r="O303" s="13">
        <f t="shared" si="18"/>
        <v>42078.208333333328</v>
      </c>
      <c r="P303" t="b">
        <v>0</v>
      </c>
      <c r="Q303" t="b">
        <v>0</v>
      </c>
      <c r="R303" t="s">
        <v>42</v>
      </c>
      <c r="S303" t="s">
        <v>2035</v>
      </c>
      <c r="T303" t="s">
        <v>2047</v>
      </c>
    </row>
    <row r="304" spans="1:20" ht="17" x14ac:dyDescent="0.2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s="4">
        <f t="shared" si="19"/>
        <v>0.31844940867279897</v>
      </c>
      <c r="G304" t="s">
        <v>14</v>
      </c>
      <c r="H304">
        <v>245</v>
      </c>
      <c r="I304" s="6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7"/>
        <v>43345.208333333328</v>
      </c>
      <c r="O304" s="13">
        <f t="shared" si="18"/>
        <v>43359.208333333328</v>
      </c>
      <c r="P304" t="b">
        <v>0</v>
      </c>
      <c r="Q304" t="b">
        <v>0</v>
      </c>
      <c r="R304" t="s">
        <v>33</v>
      </c>
      <c r="S304" t="s">
        <v>2043</v>
      </c>
      <c r="T304" t="s">
        <v>2058</v>
      </c>
    </row>
    <row r="305" spans="1:20" ht="17" x14ac:dyDescent="0.2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s="4">
        <f t="shared" si="19"/>
        <v>0.82617647058823529</v>
      </c>
      <c r="G305" t="s">
        <v>14</v>
      </c>
      <c r="H305">
        <v>32</v>
      </c>
      <c r="I305" s="6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7"/>
        <v>42376.25</v>
      </c>
      <c r="O305" s="13">
        <f t="shared" si="18"/>
        <v>42381.25</v>
      </c>
      <c r="P305" t="b">
        <v>0</v>
      </c>
      <c r="Q305" t="b">
        <v>0</v>
      </c>
      <c r="R305" t="s">
        <v>60</v>
      </c>
      <c r="S305" t="s">
        <v>2039</v>
      </c>
      <c r="T305" t="s">
        <v>2052</v>
      </c>
    </row>
    <row r="306" spans="1:20" ht="17" x14ac:dyDescent="0.2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s="4">
        <f t="shared" si="19"/>
        <v>5.4614285714285717</v>
      </c>
      <c r="G306" t="s">
        <v>20</v>
      </c>
      <c r="H306">
        <v>142</v>
      </c>
      <c r="I306" s="6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7"/>
        <v>42589.208333333328</v>
      </c>
      <c r="O306" s="13">
        <f t="shared" si="18"/>
        <v>42630.208333333328</v>
      </c>
      <c r="P306" t="b">
        <v>0</v>
      </c>
      <c r="Q306" t="b">
        <v>0</v>
      </c>
      <c r="R306" t="s">
        <v>42</v>
      </c>
      <c r="S306" t="s">
        <v>2035</v>
      </c>
      <c r="T306" t="s">
        <v>2047</v>
      </c>
    </row>
    <row r="307" spans="1:20" ht="17" x14ac:dyDescent="0.2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s="4">
        <f t="shared" si="19"/>
        <v>2.8621428571428571</v>
      </c>
      <c r="G307" t="s">
        <v>20</v>
      </c>
      <c r="H307">
        <v>85</v>
      </c>
      <c r="I307" s="6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7"/>
        <v>42448.208333333328</v>
      </c>
      <c r="O307" s="13">
        <f t="shared" si="18"/>
        <v>42489.208333333328</v>
      </c>
      <c r="P307" t="b">
        <v>0</v>
      </c>
      <c r="Q307" t="b">
        <v>0</v>
      </c>
      <c r="R307" t="s">
        <v>33</v>
      </c>
      <c r="S307" t="s">
        <v>2043</v>
      </c>
      <c r="T307" t="s">
        <v>2058</v>
      </c>
    </row>
    <row r="308" spans="1:20" ht="34" x14ac:dyDescent="0.2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s="4">
        <f t="shared" si="19"/>
        <v>7.9076923076923072E-2</v>
      </c>
      <c r="G308" t="s">
        <v>14</v>
      </c>
      <c r="H308">
        <v>7</v>
      </c>
      <c r="I308" s="6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7"/>
        <v>42930.208333333328</v>
      </c>
      <c r="O308" s="13">
        <f t="shared" si="18"/>
        <v>42933.208333333328</v>
      </c>
      <c r="P308" t="b">
        <v>0</v>
      </c>
      <c r="Q308" t="b">
        <v>1</v>
      </c>
      <c r="R308" t="s">
        <v>33</v>
      </c>
      <c r="S308" t="s">
        <v>2043</v>
      </c>
      <c r="T308" t="s">
        <v>2058</v>
      </c>
    </row>
    <row r="309" spans="1:20" ht="17" x14ac:dyDescent="0.2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s="4">
        <f t="shared" si="19"/>
        <v>1.3213677811550153</v>
      </c>
      <c r="G309" t="s">
        <v>20</v>
      </c>
      <c r="H309">
        <v>659</v>
      </c>
      <c r="I309" s="6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7"/>
        <v>41066.208333333336</v>
      </c>
      <c r="O309" s="13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2041</v>
      </c>
      <c r="T309" t="s">
        <v>2050</v>
      </c>
    </row>
    <row r="310" spans="1:20" ht="17" x14ac:dyDescent="0.2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s="4">
        <f t="shared" si="19"/>
        <v>0.74077834179357027</v>
      </c>
      <c r="G310" t="s">
        <v>14</v>
      </c>
      <c r="H310">
        <v>803</v>
      </c>
      <c r="I310" s="6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7"/>
        <v>40651.208333333336</v>
      </c>
      <c r="O310" s="13">
        <f t="shared" si="18"/>
        <v>40652.208333333336</v>
      </c>
      <c r="P310" t="b">
        <v>0</v>
      </c>
      <c r="Q310" t="b">
        <v>0</v>
      </c>
      <c r="R310" t="s">
        <v>33</v>
      </c>
      <c r="S310" t="s">
        <v>2043</v>
      </c>
      <c r="T310" t="s">
        <v>2058</v>
      </c>
    </row>
    <row r="311" spans="1:20" ht="17" x14ac:dyDescent="0.2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s="4">
        <f t="shared" si="19"/>
        <v>0.75292682926829269</v>
      </c>
      <c r="G311" t="s">
        <v>74</v>
      </c>
      <c r="H311">
        <v>75</v>
      </c>
      <c r="I311" s="6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7"/>
        <v>40807.208333333336</v>
      </c>
      <c r="O311" s="13">
        <f t="shared" si="18"/>
        <v>40827.208333333336</v>
      </c>
      <c r="P311" t="b">
        <v>0</v>
      </c>
      <c r="Q311" t="b">
        <v>1</v>
      </c>
      <c r="R311" t="s">
        <v>60</v>
      </c>
      <c r="S311" t="s">
        <v>2039</v>
      </c>
      <c r="T311" t="s">
        <v>2052</v>
      </c>
    </row>
    <row r="312" spans="1:20" ht="17" x14ac:dyDescent="0.2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s="4">
        <f t="shared" si="19"/>
        <v>0.20333333333333334</v>
      </c>
      <c r="G312" t="s">
        <v>14</v>
      </c>
      <c r="H312">
        <v>16</v>
      </c>
      <c r="I312" s="6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7"/>
        <v>40277.208333333336</v>
      </c>
      <c r="O312" s="13">
        <f t="shared" si="18"/>
        <v>40293.208333333336</v>
      </c>
      <c r="P312" t="b">
        <v>0</v>
      </c>
      <c r="Q312" t="b">
        <v>0</v>
      </c>
      <c r="R312" t="s">
        <v>89</v>
      </c>
      <c r="S312" t="s">
        <v>2037</v>
      </c>
      <c r="T312" t="s">
        <v>2065</v>
      </c>
    </row>
    <row r="313" spans="1:20" ht="17" x14ac:dyDescent="0.2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s="4">
        <f t="shared" si="19"/>
        <v>2.0336507936507937</v>
      </c>
      <c r="G313" t="s">
        <v>20</v>
      </c>
      <c r="H313">
        <v>121</v>
      </c>
      <c r="I313" s="6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7"/>
        <v>40590.25</v>
      </c>
      <c r="O313" s="13">
        <f t="shared" si="18"/>
        <v>40602.25</v>
      </c>
      <c r="P313" t="b">
        <v>0</v>
      </c>
      <c r="Q313" t="b">
        <v>0</v>
      </c>
      <c r="R313" t="s">
        <v>33</v>
      </c>
      <c r="S313" t="s">
        <v>2043</v>
      </c>
      <c r="T313" t="s">
        <v>2058</v>
      </c>
    </row>
    <row r="314" spans="1:20" ht="17" x14ac:dyDescent="0.2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s="4">
        <f t="shared" si="19"/>
        <v>3.1022842639593908</v>
      </c>
      <c r="G314" t="s">
        <v>20</v>
      </c>
      <c r="H314">
        <v>3742</v>
      </c>
      <c r="I314" s="6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7"/>
        <v>41572.208333333336</v>
      </c>
      <c r="O314" s="13">
        <f t="shared" si="18"/>
        <v>41579.208333333336</v>
      </c>
      <c r="P314" t="b">
        <v>0</v>
      </c>
      <c r="Q314" t="b">
        <v>0</v>
      </c>
      <c r="R314" t="s">
        <v>33</v>
      </c>
      <c r="S314" t="s">
        <v>2043</v>
      </c>
      <c r="T314" t="s">
        <v>2058</v>
      </c>
    </row>
    <row r="315" spans="1:20" ht="17" x14ac:dyDescent="0.2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s="4">
        <f t="shared" si="19"/>
        <v>3.9531818181818181</v>
      </c>
      <c r="G315" t="s">
        <v>20</v>
      </c>
      <c r="H315">
        <v>223</v>
      </c>
      <c r="I315" s="6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7"/>
        <v>40966.25</v>
      </c>
      <c r="O315" s="13">
        <f t="shared" si="18"/>
        <v>40968.25</v>
      </c>
      <c r="P315" t="b">
        <v>0</v>
      </c>
      <c r="Q315" t="b">
        <v>0</v>
      </c>
      <c r="R315" t="s">
        <v>23</v>
      </c>
      <c r="S315" t="s">
        <v>2039</v>
      </c>
      <c r="T315" t="s">
        <v>2060</v>
      </c>
    </row>
    <row r="316" spans="1:20" ht="17" x14ac:dyDescent="0.2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s="4">
        <f t="shared" si="19"/>
        <v>2.9471428571428571</v>
      </c>
      <c r="G316" t="s">
        <v>20</v>
      </c>
      <c r="H316">
        <v>133</v>
      </c>
      <c r="I316" s="6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7"/>
        <v>43536.208333333328</v>
      </c>
      <c r="O316" s="13">
        <f t="shared" si="18"/>
        <v>43541.208333333328</v>
      </c>
      <c r="P316" t="b">
        <v>0</v>
      </c>
      <c r="Q316" t="b">
        <v>1</v>
      </c>
      <c r="R316" t="s">
        <v>42</v>
      </c>
      <c r="S316" t="s">
        <v>2035</v>
      </c>
      <c r="T316" t="s">
        <v>2047</v>
      </c>
    </row>
    <row r="317" spans="1:20" ht="34" x14ac:dyDescent="0.2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s="4">
        <f t="shared" si="19"/>
        <v>0.33894736842105261</v>
      </c>
      <c r="G317" t="s">
        <v>14</v>
      </c>
      <c r="H317">
        <v>31</v>
      </c>
      <c r="I317" s="6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7"/>
        <v>41783.208333333336</v>
      </c>
      <c r="O317" s="13">
        <f t="shared" si="18"/>
        <v>41812.208333333336</v>
      </c>
      <c r="P317" t="b">
        <v>0</v>
      </c>
      <c r="Q317" t="b">
        <v>0</v>
      </c>
      <c r="R317" t="s">
        <v>33</v>
      </c>
      <c r="S317" t="s">
        <v>2043</v>
      </c>
      <c r="T317" t="s">
        <v>2058</v>
      </c>
    </row>
    <row r="318" spans="1:20" ht="17" x14ac:dyDescent="0.2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s="4">
        <f t="shared" si="19"/>
        <v>0.66677083333333331</v>
      </c>
      <c r="G318" t="s">
        <v>14</v>
      </c>
      <c r="H318">
        <v>108</v>
      </c>
      <c r="I318" s="6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7"/>
        <v>43788.25</v>
      </c>
      <c r="O318" s="13">
        <f t="shared" si="18"/>
        <v>43789.25</v>
      </c>
      <c r="P318" t="b">
        <v>0</v>
      </c>
      <c r="Q318" t="b">
        <v>1</v>
      </c>
      <c r="R318" t="s">
        <v>17</v>
      </c>
      <c r="S318" t="s">
        <v>2036</v>
      </c>
      <c r="T318" t="s">
        <v>2051</v>
      </c>
    </row>
    <row r="319" spans="1:20" ht="17" x14ac:dyDescent="0.2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s="4">
        <f t="shared" si="19"/>
        <v>0.19227272727272726</v>
      </c>
      <c r="G319" t="s">
        <v>14</v>
      </c>
      <c r="H319">
        <v>30</v>
      </c>
      <c r="I319" s="6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7"/>
        <v>42869.208333333328</v>
      </c>
      <c r="O319" s="13">
        <f t="shared" si="18"/>
        <v>42882.208333333328</v>
      </c>
      <c r="P319" t="b">
        <v>0</v>
      </c>
      <c r="Q319" t="b">
        <v>0</v>
      </c>
      <c r="R319" t="s">
        <v>33</v>
      </c>
      <c r="S319" t="s">
        <v>2043</v>
      </c>
      <c r="T319" t="s">
        <v>2058</v>
      </c>
    </row>
    <row r="320" spans="1:20" ht="34" x14ac:dyDescent="0.2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s="4">
        <f t="shared" si="19"/>
        <v>0.15842105263157893</v>
      </c>
      <c r="G320" t="s">
        <v>14</v>
      </c>
      <c r="H320">
        <v>17</v>
      </c>
      <c r="I320" s="6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7"/>
        <v>41684.25</v>
      </c>
      <c r="O320" s="13">
        <f t="shared" si="18"/>
        <v>41686.25</v>
      </c>
      <c r="P320" t="b">
        <v>0</v>
      </c>
      <c r="Q320" t="b">
        <v>0</v>
      </c>
      <c r="R320" t="s">
        <v>23</v>
      </c>
      <c r="S320" t="s">
        <v>2039</v>
      </c>
      <c r="T320" t="s">
        <v>2060</v>
      </c>
    </row>
    <row r="321" spans="1:20" ht="17" x14ac:dyDescent="0.2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s="4">
        <f t="shared" si="19"/>
        <v>0.38702380952380955</v>
      </c>
      <c r="G321" t="s">
        <v>74</v>
      </c>
      <c r="H321">
        <v>64</v>
      </c>
      <c r="I321" s="6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7"/>
        <v>40402.208333333336</v>
      </c>
      <c r="O321" s="13">
        <f t="shared" si="18"/>
        <v>40426.208333333336</v>
      </c>
      <c r="P321" t="b">
        <v>0</v>
      </c>
      <c r="Q321" t="b">
        <v>0</v>
      </c>
      <c r="R321" t="s">
        <v>28</v>
      </c>
      <c r="S321" t="s">
        <v>2042</v>
      </c>
      <c r="T321" t="s">
        <v>2067</v>
      </c>
    </row>
    <row r="322" spans="1:20" ht="17" x14ac:dyDescent="0.2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s="4">
        <f t="shared" si="19"/>
        <v>9.5876777251184833E-2</v>
      </c>
      <c r="G322" t="s">
        <v>14</v>
      </c>
      <c r="H322">
        <v>80</v>
      </c>
      <c r="I322" s="6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7"/>
        <v>40673.208333333336</v>
      </c>
      <c r="O322" s="13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2041</v>
      </c>
      <c r="T322" t="s">
        <v>2050</v>
      </c>
    </row>
    <row r="323" spans="1:20" ht="34" x14ac:dyDescent="0.2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s="4">
        <f t="shared" si="19"/>
        <v>0.94144366197183094</v>
      </c>
      <c r="G323" t="s">
        <v>14</v>
      </c>
      <c r="H323">
        <v>2468</v>
      </c>
      <c r="I323" s="6">
        <f t="shared" ref="I323:I386" si="20">IF(H323&lt;&gt;0,E323/H323,0)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3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2035</v>
      </c>
      <c r="T323" t="s">
        <v>2062</v>
      </c>
    </row>
    <row r="324" spans="1:20" ht="34" x14ac:dyDescent="0.2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 s="6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1"/>
        <v>40507.25</v>
      </c>
      <c r="O324" s="13">
        <f t="shared" si="22"/>
        <v>40520.25</v>
      </c>
      <c r="P324" t="b">
        <v>0</v>
      </c>
      <c r="Q324" t="b">
        <v>0</v>
      </c>
      <c r="R324" t="s">
        <v>33</v>
      </c>
      <c r="S324" t="s">
        <v>2043</v>
      </c>
      <c r="T324" t="s">
        <v>2058</v>
      </c>
    </row>
    <row r="325" spans="1:20" ht="17" x14ac:dyDescent="0.2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s="4">
        <f t="shared" si="23"/>
        <v>0.24134831460674158</v>
      </c>
      <c r="G325" t="s">
        <v>14</v>
      </c>
      <c r="H325">
        <v>26</v>
      </c>
      <c r="I325" s="6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1"/>
        <v>41725.208333333336</v>
      </c>
      <c r="O325" s="13">
        <f t="shared" si="22"/>
        <v>41727.208333333336</v>
      </c>
      <c r="P325" t="b">
        <v>0</v>
      </c>
      <c r="Q325" t="b">
        <v>0</v>
      </c>
      <c r="R325" t="s">
        <v>42</v>
      </c>
      <c r="S325" t="s">
        <v>2035</v>
      </c>
      <c r="T325" t="s">
        <v>2047</v>
      </c>
    </row>
    <row r="326" spans="1:20" ht="17" x14ac:dyDescent="0.2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s="4">
        <f t="shared" si="23"/>
        <v>1.6405633802816901</v>
      </c>
      <c r="G326" t="s">
        <v>20</v>
      </c>
      <c r="H326">
        <v>307</v>
      </c>
      <c r="I326" s="6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1"/>
        <v>42176.208333333328</v>
      </c>
      <c r="O326" s="13">
        <f t="shared" si="22"/>
        <v>42188.208333333328</v>
      </c>
      <c r="P326" t="b">
        <v>0</v>
      </c>
      <c r="Q326" t="b">
        <v>1</v>
      </c>
      <c r="R326" t="s">
        <v>33</v>
      </c>
      <c r="S326" t="s">
        <v>2043</v>
      </c>
      <c r="T326" t="s">
        <v>2058</v>
      </c>
    </row>
    <row r="327" spans="1:20" ht="34" x14ac:dyDescent="0.2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s="4">
        <f t="shared" si="23"/>
        <v>0.90723076923076929</v>
      </c>
      <c r="G327" t="s">
        <v>14</v>
      </c>
      <c r="H327">
        <v>73</v>
      </c>
      <c r="I327" s="6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1"/>
        <v>43267.208333333328</v>
      </c>
      <c r="O327" s="13">
        <f t="shared" si="22"/>
        <v>43290.208333333328</v>
      </c>
      <c r="P327" t="b">
        <v>0</v>
      </c>
      <c r="Q327" t="b">
        <v>1</v>
      </c>
      <c r="R327" t="s">
        <v>33</v>
      </c>
      <c r="S327" t="s">
        <v>2043</v>
      </c>
      <c r="T327" t="s">
        <v>2058</v>
      </c>
    </row>
    <row r="328" spans="1:20" ht="34" x14ac:dyDescent="0.2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s="4">
        <f t="shared" si="23"/>
        <v>0.46194444444444444</v>
      </c>
      <c r="G328" t="s">
        <v>14</v>
      </c>
      <c r="H328">
        <v>128</v>
      </c>
      <c r="I328" s="6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1"/>
        <v>42364.25</v>
      </c>
      <c r="O328" s="13">
        <f t="shared" si="22"/>
        <v>42370.25</v>
      </c>
      <c r="P328" t="b">
        <v>0</v>
      </c>
      <c r="Q328" t="b">
        <v>0</v>
      </c>
      <c r="R328" t="s">
        <v>71</v>
      </c>
      <c r="S328" t="s">
        <v>2035</v>
      </c>
      <c r="T328" t="s">
        <v>2045</v>
      </c>
    </row>
    <row r="329" spans="1:20" ht="17" x14ac:dyDescent="0.2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s="4">
        <f t="shared" si="23"/>
        <v>0.38538461538461538</v>
      </c>
      <c r="G329" t="s">
        <v>14</v>
      </c>
      <c r="H329">
        <v>33</v>
      </c>
      <c r="I329" s="6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1"/>
        <v>43705.208333333328</v>
      </c>
      <c r="O329" s="13">
        <f t="shared" si="22"/>
        <v>43709.208333333328</v>
      </c>
      <c r="P329" t="b">
        <v>0</v>
      </c>
      <c r="Q329" t="b">
        <v>1</v>
      </c>
      <c r="R329" t="s">
        <v>33</v>
      </c>
      <c r="S329" t="s">
        <v>2043</v>
      </c>
      <c r="T329" t="s">
        <v>2058</v>
      </c>
    </row>
    <row r="330" spans="1:20" ht="34" x14ac:dyDescent="0.2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s="4">
        <f t="shared" si="23"/>
        <v>1.3356231003039514</v>
      </c>
      <c r="G330" t="s">
        <v>20</v>
      </c>
      <c r="H330">
        <v>2441</v>
      </c>
      <c r="I330" s="6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1"/>
        <v>43434.25</v>
      </c>
      <c r="O330" s="13">
        <f t="shared" si="22"/>
        <v>43445.25</v>
      </c>
      <c r="P330" t="b">
        <v>0</v>
      </c>
      <c r="Q330" t="b">
        <v>0</v>
      </c>
      <c r="R330" t="s">
        <v>23</v>
      </c>
      <c r="S330" t="s">
        <v>2039</v>
      </c>
      <c r="T330" t="s">
        <v>2060</v>
      </c>
    </row>
    <row r="331" spans="1:20" ht="17" x14ac:dyDescent="0.2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s="4">
        <f t="shared" si="23"/>
        <v>0.22896588486140726</v>
      </c>
      <c r="G331" t="s">
        <v>47</v>
      </c>
      <c r="H331">
        <v>211</v>
      </c>
      <c r="I331" s="6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1"/>
        <v>42716.25</v>
      </c>
      <c r="O331" s="13">
        <f t="shared" si="22"/>
        <v>42727.25</v>
      </c>
      <c r="P331" t="b">
        <v>0</v>
      </c>
      <c r="Q331" t="b">
        <v>0</v>
      </c>
      <c r="R331" t="s">
        <v>89</v>
      </c>
      <c r="S331" t="s">
        <v>2037</v>
      </c>
      <c r="T331" t="s">
        <v>2065</v>
      </c>
    </row>
    <row r="332" spans="1:20" ht="34" x14ac:dyDescent="0.2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s="4">
        <f t="shared" si="23"/>
        <v>1.8495548961424333</v>
      </c>
      <c r="G332" t="s">
        <v>20</v>
      </c>
      <c r="H332">
        <v>1385</v>
      </c>
      <c r="I332" s="6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1"/>
        <v>43077.25</v>
      </c>
      <c r="O332" s="13">
        <f t="shared" si="22"/>
        <v>43078.25</v>
      </c>
      <c r="P332" t="b">
        <v>0</v>
      </c>
      <c r="Q332" t="b">
        <v>0</v>
      </c>
      <c r="R332" t="s">
        <v>42</v>
      </c>
      <c r="S332" t="s">
        <v>2035</v>
      </c>
      <c r="T332" t="s">
        <v>2047</v>
      </c>
    </row>
    <row r="333" spans="1:20" ht="17" x14ac:dyDescent="0.2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s="4">
        <f t="shared" si="23"/>
        <v>4.4372727272727275</v>
      </c>
      <c r="G333" t="s">
        <v>20</v>
      </c>
      <c r="H333">
        <v>190</v>
      </c>
      <c r="I333" s="6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1"/>
        <v>40896.25</v>
      </c>
      <c r="O333" s="13">
        <f t="shared" si="22"/>
        <v>40897.25</v>
      </c>
      <c r="P333" t="b">
        <v>0</v>
      </c>
      <c r="Q333" t="b">
        <v>0</v>
      </c>
      <c r="R333" t="s">
        <v>17</v>
      </c>
      <c r="S333" t="s">
        <v>2036</v>
      </c>
      <c r="T333" t="s">
        <v>2051</v>
      </c>
    </row>
    <row r="334" spans="1:20" ht="34" x14ac:dyDescent="0.2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s="4">
        <f t="shared" si="23"/>
        <v>1.999806763285024</v>
      </c>
      <c r="G334" t="s">
        <v>20</v>
      </c>
      <c r="H334">
        <v>470</v>
      </c>
      <c r="I334" s="6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1"/>
        <v>41361.208333333336</v>
      </c>
      <c r="O334" s="13">
        <f t="shared" si="22"/>
        <v>41362.208333333336</v>
      </c>
      <c r="P334" t="b">
        <v>0</v>
      </c>
      <c r="Q334" t="b">
        <v>0</v>
      </c>
      <c r="R334" t="s">
        <v>65</v>
      </c>
      <c r="S334" t="s">
        <v>2042</v>
      </c>
      <c r="T334" t="s">
        <v>2066</v>
      </c>
    </row>
    <row r="335" spans="1:20" ht="17" x14ac:dyDescent="0.2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s="4">
        <f t="shared" si="23"/>
        <v>1.2395833333333333</v>
      </c>
      <c r="G335" t="s">
        <v>20</v>
      </c>
      <c r="H335">
        <v>253</v>
      </c>
      <c r="I335" s="6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1"/>
        <v>43424.25</v>
      </c>
      <c r="O335" s="13">
        <f t="shared" si="22"/>
        <v>43452.25</v>
      </c>
      <c r="P335" t="b">
        <v>0</v>
      </c>
      <c r="Q335" t="b">
        <v>0</v>
      </c>
      <c r="R335" t="s">
        <v>33</v>
      </c>
      <c r="S335" t="s">
        <v>2043</v>
      </c>
      <c r="T335" t="s">
        <v>2058</v>
      </c>
    </row>
    <row r="336" spans="1:20" ht="17" x14ac:dyDescent="0.2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s="4">
        <f t="shared" si="23"/>
        <v>1.8661329305135952</v>
      </c>
      <c r="G336" t="s">
        <v>20</v>
      </c>
      <c r="H336">
        <v>1113</v>
      </c>
      <c r="I336" s="6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1"/>
        <v>43110.25</v>
      </c>
      <c r="O336" s="13">
        <f t="shared" si="22"/>
        <v>43117.25</v>
      </c>
      <c r="P336" t="b">
        <v>0</v>
      </c>
      <c r="Q336" t="b">
        <v>0</v>
      </c>
      <c r="R336" t="s">
        <v>23</v>
      </c>
      <c r="S336" t="s">
        <v>2039</v>
      </c>
      <c r="T336" t="s">
        <v>2060</v>
      </c>
    </row>
    <row r="337" spans="1:20" ht="17" x14ac:dyDescent="0.2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s="4">
        <f t="shared" si="23"/>
        <v>1.1428538550057536</v>
      </c>
      <c r="G337" t="s">
        <v>20</v>
      </c>
      <c r="H337">
        <v>2283</v>
      </c>
      <c r="I337" s="6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1"/>
        <v>43784.25</v>
      </c>
      <c r="O337" s="13">
        <f t="shared" si="22"/>
        <v>43797.25</v>
      </c>
      <c r="P337" t="b">
        <v>0</v>
      </c>
      <c r="Q337" t="b">
        <v>0</v>
      </c>
      <c r="R337" t="s">
        <v>23</v>
      </c>
      <c r="S337" t="s">
        <v>2039</v>
      </c>
      <c r="T337" t="s">
        <v>2060</v>
      </c>
    </row>
    <row r="338" spans="1:20" ht="17" x14ac:dyDescent="0.2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s="4">
        <f t="shared" si="23"/>
        <v>0.97032531824611035</v>
      </c>
      <c r="G338" t="s">
        <v>14</v>
      </c>
      <c r="H338">
        <v>1072</v>
      </c>
      <c r="I338" s="6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1"/>
        <v>40527.25</v>
      </c>
      <c r="O338" s="13">
        <f t="shared" si="22"/>
        <v>40528.25</v>
      </c>
      <c r="P338" t="b">
        <v>0</v>
      </c>
      <c r="Q338" t="b">
        <v>1</v>
      </c>
      <c r="R338" t="s">
        <v>23</v>
      </c>
      <c r="S338" t="s">
        <v>2039</v>
      </c>
      <c r="T338" t="s">
        <v>2060</v>
      </c>
    </row>
    <row r="339" spans="1:20" ht="17" x14ac:dyDescent="0.2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s="4">
        <f t="shared" si="23"/>
        <v>1.2281904761904763</v>
      </c>
      <c r="G339" t="s">
        <v>20</v>
      </c>
      <c r="H339">
        <v>1095</v>
      </c>
      <c r="I339" s="6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1"/>
        <v>43780.25</v>
      </c>
      <c r="O339" s="13">
        <f t="shared" si="22"/>
        <v>43781.25</v>
      </c>
      <c r="P339" t="b">
        <v>0</v>
      </c>
      <c r="Q339" t="b">
        <v>0</v>
      </c>
      <c r="R339" t="s">
        <v>33</v>
      </c>
      <c r="S339" t="s">
        <v>2043</v>
      </c>
      <c r="T339" t="s">
        <v>2058</v>
      </c>
    </row>
    <row r="340" spans="1:20" ht="17" x14ac:dyDescent="0.2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s="4">
        <f t="shared" si="23"/>
        <v>1.7914326647564469</v>
      </c>
      <c r="G340" t="s">
        <v>20</v>
      </c>
      <c r="H340">
        <v>1690</v>
      </c>
      <c r="I340" s="6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1"/>
        <v>40821.208333333336</v>
      </c>
      <c r="O340" s="13">
        <f t="shared" si="22"/>
        <v>40851.208333333336</v>
      </c>
      <c r="P340" t="b">
        <v>0</v>
      </c>
      <c r="Q340" t="b">
        <v>0</v>
      </c>
      <c r="R340" t="s">
        <v>33</v>
      </c>
      <c r="S340" t="s">
        <v>2043</v>
      </c>
      <c r="T340" t="s">
        <v>2058</v>
      </c>
    </row>
    <row r="341" spans="1:20" ht="17" x14ac:dyDescent="0.2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s="4">
        <f t="shared" si="23"/>
        <v>0.79951577402787966</v>
      </c>
      <c r="G341" t="s">
        <v>74</v>
      </c>
      <c r="H341">
        <v>1297</v>
      </c>
      <c r="I341" s="6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1"/>
        <v>42949.208333333328</v>
      </c>
      <c r="O341" s="13">
        <f t="shared" si="22"/>
        <v>42963.208333333328</v>
      </c>
      <c r="P341" t="b">
        <v>0</v>
      </c>
      <c r="Q341" t="b">
        <v>0</v>
      </c>
      <c r="R341" t="s">
        <v>33</v>
      </c>
      <c r="S341" t="s">
        <v>2043</v>
      </c>
      <c r="T341" t="s">
        <v>2058</v>
      </c>
    </row>
    <row r="342" spans="1:20" ht="17" x14ac:dyDescent="0.2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s="4">
        <f t="shared" si="23"/>
        <v>0.94242587601078165</v>
      </c>
      <c r="G342" t="s">
        <v>14</v>
      </c>
      <c r="H342">
        <v>393</v>
      </c>
      <c r="I342" s="6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1"/>
        <v>40889.25</v>
      </c>
      <c r="O342" s="13">
        <f t="shared" si="22"/>
        <v>40890.25</v>
      </c>
      <c r="P342" t="b">
        <v>0</v>
      </c>
      <c r="Q342" t="b">
        <v>0</v>
      </c>
      <c r="R342" t="s">
        <v>122</v>
      </c>
      <c r="S342" t="s">
        <v>2040</v>
      </c>
      <c r="T342" t="s">
        <v>2057</v>
      </c>
    </row>
    <row r="343" spans="1:20" ht="34" x14ac:dyDescent="0.2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s="4">
        <f t="shared" si="23"/>
        <v>0.84669291338582675</v>
      </c>
      <c r="G343" t="s">
        <v>14</v>
      </c>
      <c r="H343">
        <v>1257</v>
      </c>
      <c r="I343" s="6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1"/>
        <v>42244.208333333328</v>
      </c>
      <c r="O343" s="13">
        <f t="shared" si="22"/>
        <v>42251.208333333328</v>
      </c>
      <c r="P343" t="b">
        <v>0</v>
      </c>
      <c r="Q343" t="b">
        <v>0</v>
      </c>
      <c r="R343" t="s">
        <v>60</v>
      </c>
      <c r="S343" t="s">
        <v>2039</v>
      </c>
      <c r="T343" t="s">
        <v>2052</v>
      </c>
    </row>
    <row r="344" spans="1:20" ht="17" x14ac:dyDescent="0.2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s="4">
        <f t="shared" si="23"/>
        <v>0.66521920668058454</v>
      </c>
      <c r="G344" t="s">
        <v>14</v>
      </c>
      <c r="H344">
        <v>328</v>
      </c>
      <c r="I344" s="6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1"/>
        <v>41475.208333333336</v>
      </c>
      <c r="O344" s="13">
        <f t="shared" si="22"/>
        <v>41487.208333333336</v>
      </c>
      <c r="P344" t="b">
        <v>0</v>
      </c>
      <c r="Q344" t="b">
        <v>0</v>
      </c>
      <c r="R344" t="s">
        <v>33</v>
      </c>
      <c r="S344" t="s">
        <v>2043</v>
      </c>
      <c r="T344" t="s">
        <v>2058</v>
      </c>
    </row>
    <row r="345" spans="1:20" ht="17" x14ac:dyDescent="0.2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s="4">
        <f t="shared" si="23"/>
        <v>0.53922222222222227</v>
      </c>
      <c r="G345" t="s">
        <v>14</v>
      </c>
      <c r="H345">
        <v>147</v>
      </c>
      <c r="I345" s="6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1"/>
        <v>41597.25</v>
      </c>
      <c r="O345" s="13">
        <f t="shared" si="22"/>
        <v>41650.25</v>
      </c>
      <c r="P345" t="b">
        <v>0</v>
      </c>
      <c r="Q345" t="b">
        <v>0</v>
      </c>
      <c r="R345" t="s">
        <v>33</v>
      </c>
      <c r="S345" t="s">
        <v>2043</v>
      </c>
      <c r="T345" t="s">
        <v>2058</v>
      </c>
    </row>
    <row r="346" spans="1:20" ht="17" x14ac:dyDescent="0.2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s="4">
        <f t="shared" si="23"/>
        <v>0.41983299595141699</v>
      </c>
      <c r="G346" t="s">
        <v>14</v>
      </c>
      <c r="H346">
        <v>830</v>
      </c>
      <c r="I346" s="6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1"/>
        <v>43122.25</v>
      </c>
      <c r="O346" s="13">
        <f t="shared" si="22"/>
        <v>43162.25</v>
      </c>
      <c r="P346" t="b">
        <v>0</v>
      </c>
      <c r="Q346" t="b">
        <v>0</v>
      </c>
      <c r="R346" t="s">
        <v>89</v>
      </c>
      <c r="S346" t="s">
        <v>2037</v>
      </c>
      <c r="T346" t="s">
        <v>2065</v>
      </c>
    </row>
    <row r="347" spans="1:20" ht="17" x14ac:dyDescent="0.2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s="4">
        <f t="shared" si="23"/>
        <v>0.14694796954314721</v>
      </c>
      <c r="G347" t="s">
        <v>14</v>
      </c>
      <c r="H347">
        <v>331</v>
      </c>
      <c r="I347" s="6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1"/>
        <v>42194.208333333328</v>
      </c>
      <c r="O347" s="13">
        <f t="shared" si="22"/>
        <v>42195.208333333328</v>
      </c>
      <c r="P347" t="b">
        <v>0</v>
      </c>
      <c r="Q347" t="b">
        <v>0</v>
      </c>
      <c r="R347" t="s">
        <v>53</v>
      </c>
      <c r="S347" t="s">
        <v>2035</v>
      </c>
      <c r="T347" t="s">
        <v>2048</v>
      </c>
    </row>
    <row r="348" spans="1:20" ht="17" x14ac:dyDescent="0.2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s="4">
        <f t="shared" si="23"/>
        <v>0.34475</v>
      </c>
      <c r="G348" t="s">
        <v>14</v>
      </c>
      <c r="H348">
        <v>25</v>
      </c>
      <c r="I348" s="6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1"/>
        <v>42971.208333333328</v>
      </c>
      <c r="O348" s="13">
        <f t="shared" si="22"/>
        <v>43026.208333333328</v>
      </c>
      <c r="P348" t="b">
        <v>0</v>
      </c>
      <c r="Q348" t="b">
        <v>1</v>
      </c>
      <c r="R348" t="s">
        <v>60</v>
      </c>
      <c r="S348" t="s">
        <v>2039</v>
      </c>
      <c r="T348" t="s">
        <v>2052</v>
      </c>
    </row>
    <row r="349" spans="1:20" ht="17" x14ac:dyDescent="0.2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s="4">
        <f t="shared" si="23"/>
        <v>14.007777777777777</v>
      </c>
      <c r="G349" t="s">
        <v>20</v>
      </c>
      <c r="H349">
        <v>191</v>
      </c>
      <c r="I349" s="6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1"/>
        <v>42046.25</v>
      </c>
      <c r="O349" s="13">
        <f t="shared" si="22"/>
        <v>42070.25</v>
      </c>
      <c r="P349" t="b">
        <v>0</v>
      </c>
      <c r="Q349" t="b">
        <v>0</v>
      </c>
      <c r="R349" t="s">
        <v>28</v>
      </c>
      <c r="S349" t="s">
        <v>2042</v>
      </c>
      <c r="T349" t="s">
        <v>2067</v>
      </c>
    </row>
    <row r="350" spans="1:20" ht="17" x14ac:dyDescent="0.2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s="4">
        <f t="shared" si="23"/>
        <v>0.71770351758793971</v>
      </c>
      <c r="G350" t="s">
        <v>14</v>
      </c>
      <c r="H350">
        <v>3483</v>
      </c>
      <c r="I350" s="6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1"/>
        <v>42782.25</v>
      </c>
      <c r="O350" s="13">
        <f t="shared" si="22"/>
        <v>42795.25</v>
      </c>
      <c r="P350" t="b">
        <v>0</v>
      </c>
      <c r="Q350" t="b">
        <v>0</v>
      </c>
      <c r="R350" t="s">
        <v>17</v>
      </c>
      <c r="S350" t="s">
        <v>2036</v>
      </c>
      <c r="T350" t="s">
        <v>2051</v>
      </c>
    </row>
    <row r="351" spans="1:20" ht="17" x14ac:dyDescent="0.2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s="4">
        <f t="shared" si="23"/>
        <v>0.53074115044247783</v>
      </c>
      <c r="G351" t="s">
        <v>14</v>
      </c>
      <c r="H351">
        <v>923</v>
      </c>
      <c r="I351" s="6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1"/>
        <v>42930.208333333328</v>
      </c>
      <c r="O351" s="13">
        <f t="shared" si="22"/>
        <v>42960.208333333328</v>
      </c>
      <c r="P351" t="b">
        <v>0</v>
      </c>
      <c r="Q351" t="b">
        <v>0</v>
      </c>
      <c r="R351" t="s">
        <v>33</v>
      </c>
      <c r="S351" t="s">
        <v>2043</v>
      </c>
      <c r="T351" t="s">
        <v>2058</v>
      </c>
    </row>
    <row r="352" spans="1:20" ht="17" x14ac:dyDescent="0.2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s="4">
        <f t="shared" si="23"/>
        <v>0.05</v>
      </c>
      <c r="G352" t="s">
        <v>14</v>
      </c>
      <c r="H352">
        <v>1</v>
      </c>
      <c r="I352" s="6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1"/>
        <v>42144.208333333328</v>
      </c>
      <c r="O352" s="13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2039</v>
      </c>
      <c r="T352" t="s">
        <v>2053</v>
      </c>
    </row>
    <row r="353" spans="1:20" ht="17" x14ac:dyDescent="0.2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s="4">
        <f t="shared" si="23"/>
        <v>1.2770715249662619</v>
      </c>
      <c r="G353" t="s">
        <v>20</v>
      </c>
      <c r="H353">
        <v>2013</v>
      </c>
      <c r="I353" s="6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1"/>
        <v>42240.208333333328</v>
      </c>
      <c r="O353" s="13">
        <f t="shared" si="22"/>
        <v>42254.208333333328</v>
      </c>
      <c r="P353" t="b">
        <v>0</v>
      </c>
      <c r="Q353" t="b">
        <v>0</v>
      </c>
      <c r="R353" t="s">
        <v>23</v>
      </c>
      <c r="S353" t="s">
        <v>2039</v>
      </c>
      <c r="T353" t="s">
        <v>2060</v>
      </c>
    </row>
    <row r="354" spans="1:20" ht="17" x14ac:dyDescent="0.2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s="4">
        <f t="shared" si="23"/>
        <v>0.34892857142857142</v>
      </c>
      <c r="G354" t="s">
        <v>14</v>
      </c>
      <c r="H354">
        <v>33</v>
      </c>
      <c r="I354" s="6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1"/>
        <v>42315.25</v>
      </c>
      <c r="O354" s="13">
        <f t="shared" si="22"/>
        <v>42323.25</v>
      </c>
      <c r="P354" t="b">
        <v>0</v>
      </c>
      <c r="Q354" t="b">
        <v>0</v>
      </c>
      <c r="R354" t="s">
        <v>33</v>
      </c>
      <c r="S354" t="s">
        <v>2043</v>
      </c>
      <c r="T354" t="s">
        <v>2058</v>
      </c>
    </row>
    <row r="355" spans="1:20" ht="17" x14ac:dyDescent="0.2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s="4">
        <f t="shared" si="23"/>
        <v>4.105982142857143</v>
      </c>
      <c r="G355" t="s">
        <v>20</v>
      </c>
      <c r="H355">
        <v>1703</v>
      </c>
      <c r="I355" s="6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1"/>
        <v>43651.208333333328</v>
      </c>
      <c r="O355" s="13">
        <f t="shared" si="22"/>
        <v>43652.208333333328</v>
      </c>
      <c r="P355" t="b">
        <v>0</v>
      </c>
      <c r="Q355" t="b">
        <v>0</v>
      </c>
      <c r="R355" t="s">
        <v>33</v>
      </c>
      <c r="S355" t="s">
        <v>2043</v>
      </c>
      <c r="T355" t="s">
        <v>2058</v>
      </c>
    </row>
    <row r="356" spans="1:20" ht="17" x14ac:dyDescent="0.2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s="4">
        <f t="shared" si="23"/>
        <v>1.2373770491803278</v>
      </c>
      <c r="G356" t="s">
        <v>20</v>
      </c>
      <c r="H356">
        <v>80</v>
      </c>
      <c r="I356" s="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1"/>
        <v>41520.208333333336</v>
      </c>
      <c r="O356" s="13">
        <f t="shared" si="22"/>
        <v>41527.208333333336</v>
      </c>
      <c r="P356" t="b">
        <v>0</v>
      </c>
      <c r="Q356" t="b">
        <v>0</v>
      </c>
      <c r="R356" t="s">
        <v>42</v>
      </c>
      <c r="S356" t="s">
        <v>2035</v>
      </c>
      <c r="T356" t="s">
        <v>2047</v>
      </c>
    </row>
    <row r="357" spans="1:20" ht="17" x14ac:dyDescent="0.2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s="4">
        <f t="shared" si="23"/>
        <v>0.58973684210526311</v>
      </c>
      <c r="G357" t="s">
        <v>47</v>
      </c>
      <c r="H357">
        <v>86</v>
      </c>
      <c r="I357" s="6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1"/>
        <v>42757.25</v>
      </c>
      <c r="O357" s="13">
        <f t="shared" si="22"/>
        <v>42797.25</v>
      </c>
      <c r="P357" t="b">
        <v>0</v>
      </c>
      <c r="Q357" t="b">
        <v>0</v>
      </c>
      <c r="R357" t="s">
        <v>65</v>
      </c>
      <c r="S357" t="s">
        <v>2042</v>
      </c>
      <c r="T357" t="s">
        <v>2066</v>
      </c>
    </row>
    <row r="358" spans="1:20" ht="17" x14ac:dyDescent="0.2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s="4">
        <f t="shared" si="23"/>
        <v>0.36892473118279567</v>
      </c>
      <c r="G358" t="s">
        <v>14</v>
      </c>
      <c r="H358">
        <v>40</v>
      </c>
      <c r="I358" s="6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1"/>
        <v>40922.25</v>
      </c>
      <c r="O358" s="13">
        <f t="shared" si="22"/>
        <v>40931.25</v>
      </c>
      <c r="P358" t="b">
        <v>0</v>
      </c>
      <c r="Q358" t="b">
        <v>0</v>
      </c>
      <c r="R358" t="s">
        <v>33</v>
      </c>
      <c r="S358" t="s">
        <v>2043</v>
      </c>
      <c r="T358" t="s">
        <v>2058</v>
      </c>
    </row>
    <row r="359" spans="1:20" ht="17" x14ac:dyDescent="0.2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s="4">
        <f t="shared" si="23"/>
        <v>1.8491304347826087</v>
      </c>
      <c r="G359" t="s">
        <v>20</v>
      </c>
      <c r="H359">
        <v>41</v>
      </c>
      <c r="I359" s="6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1"/>
        <v>42250.208333333328</v>
      </c>
      <c r="O359" s="13">
        <f t="shared" si="22"/>
        <v>42275.208333333328</v>
      </c>
      <c r="P359" t="b">
        <v>0</v>
      </c>
      <c r="Q359" t="b">
        <v>0</v>
      </c>
      <c r="R359" t="s">
        <v>89</v>
      </c>
      <c r="S359" t="s">
        <v>2037</v>
      </c>
      <c r="T359" t="s">
        <v>2065</v>
      </c>
    </row>
    <row r="360" spans="1:20" ht="17" x14ac:dyDescent="0.2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s="4">
        <f t="shared" si="23"/>
        <v>0.11814432989690722</v>
      </c>
      <c r="G360" t="s">
        <v>14</v>
      </c>
      <c r="H360">
        <v>23</v>
      </c>
      <c r="I360" s="6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1"/>
        <v>43322.208333333328</v>
      </c>
      <c r="O360" s="13">
        <f t="shared" si="22"/>
        <v>43325.208333333328</v>
      </c>
      <c r="P360" t="b">
        <v>1</v>
      </c>
      <c r="Q360" t="b">
        <v>0</v>
      </c>
      <c r="R360" t="s">
        <v>122</v>
      </c>
      <c r="S360" t="s">
        <v>2040</v>
      </c>
      <c r="T360" t="s">
        <v>2057</v>
      </c>
    </row>
    <row r="361" spans="1:20" ht="17" x14ac:dyDescent="0.2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s="4">
        <f t="shared" si="23"/>
        <v>2.9870000000000001</v>
      </c>
      <c r="G361" t="s">
        <v>20</v>
      </c>
      <c r="H361">
        <v>187</v>
      </c>
      <c r="I361" s="6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1"/>
        <v>40782.208333333336</v>
      </c>
      <c r="O361" s="13">
        <f t="shared" si="22"/>
        <v>40789.208333333336</v>
      </c>
      <c r="P361" t="b">
        <v>0</v>
      </c>
      <c r="Q361" t="b">
        <v>0</v>
      </c>
      <c r="R361" t="s">
        <v>71</v>
      </c>
      <c r="S361" t="s">
        <v>2035</v>
      </c>
      <c r="T361" t="s">
        <v>2045</v>
      </c>
    </row>
    <row r="362" spans="1:20" ht="17" x14ac:dyDescent="0.2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s="4">
        <f t="shared" si="23"/>
        <v>2.2635175879396985</v>
      </c>
      <c r="G362" t="s">
        <v>20</v>
      </c>
      <c r="H362">
        <v>2875</v>
      </c>
      <c r="I362" s="6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1"/>
        <v>40544.25</v>
      </c>
      <c r="O362" s="13">
        <f t="shared" si="22"/>
        <v>40558.25</v>
      </c>
      <c r="P362" t="b">
        <v>0</v>
      </c>
      <c r="Q362" t="b">
        <v>1</v>
      </c>
      <c r="R362" t="s">
        <v>33</v>
      </c>
      <c r="S362" t="s">
        <v>2043</v>
      </c>
      <c r="T362" t="s">
        <v>2058</v>
      </c>
    </row>
    <row r="363" spans="1:20" ht="17" x14ac:dyDescent="0.2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s="4">
        <f t="shared" si="23"/>
        <v>1.7356363636363636</v>
      </c>
      <c r="G363" t="s">
        <v>20</v>
      </c>
      <c r="H363">
        <v>88</v>
      </c>
      <c r="I363" s="6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1"/>
        <v>43015.208333333328</v>
      </c>
      <c r="O363" s="13">
        <f t="shared" si="22"/>
        <v>43039.208333333328</v>
      </c>
      <c r="P363" t="b">
        <v>0</v>
      </c>
      <c r="Q363" t="b">
        <v>0</v>
      </c>
      <c r="R363" t="s">
        <v>33</v>
      </c>
      <c r="S363" t="s">
        <v>2043</v>
      </c>
      <c r="T363" t="s">
        <v>2058</v>
      </c>
    </row>
    <row r="364" spans="1:20" ht="17" x14ac:dyDescent="0.2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s="4">
        <f t="shared" si="23"/>
        <v>3.7175675675675675</v>
      </c>
      <c r="G364" t="s">
        <v>20</v>
      </c>
      <c r="H364">
        <v>191</v>
      </c>
      <c r="I364" s="6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1"/>
        <v>40570.25</v>
      </c>
      <c r="O364" s="13">
        <f t="shared" si="22"/>
        <v>40608.25</v>
      </c>
      <c r="P364" t="b">
        <v>0</v>
      </c>
      <c r="Q364" t="b">
        <v>0</v>
      </c>
      <c r="R364" t="s">
        <v>23</v>
      </c>
      <c r="S364" t="s">
        <v>2039</v>
      </c>
      <c r="T364" t="s">
        <v>2060</v>
      </c>
    </row>
    <row r="365" spans="1:20" ht="17" x14ac:dyDescent="0.2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s="4">
        <f t="shared" si="23"/>
        <v>1.601923076923077</v>
      </c>
      <c r="G365" t="s">
        <v>20</v>
      </c>
      <c r="H365">
        <v>139</v>
      </c>
      <c r="I365" s="6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1"/>
        <v>40904.25</v>
      </c>
      <c r="O365" s="13">
        <f t="shared" si="22"/>
        <v>40905.25</v>
      </c>
      <c r="P365" t="b">
        <v>0</v>
      </c>
      <c r="Q365" t="b">
        <v>0</v>
      </c>
      <c r="R365" t="s">
        <v>23</v>
      </c>
      <c r="S365" t="s">
        <v>2039</v>
      </c>
      <c r="T365" t="s">
        <v>2060</v>
      </c>
    </row>
    <row r="366" spans="1:20" ht="17" x14ac:dyDescent="0.2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s="4">
        <f t="shared" si="23"/>
        <v>16.163333333333334</v>
      </c>
      <c r="G366" t="s">
        <v>20</v>
      </c>
      <c r="H366">
        <v>186</v>
      </c>
      <c r="I366" s="6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1"/>
        <v>43164.25</v>
      </c>
      <c r="O366" s="13">
        <f t="shared" si="22"/>
        <v>43194.208333333328</v>
      </c>
      <c r="P366" t="b">
        <v>0</v>
      </c>
      <c r="Q366" t="b">
        <v>0</v>
      </c>
      <c r="R366" t="s">
        <v>60</v>
      </c>
      <c r="S366" t="s">
        <v>2039</v>
      </c>
      <c r="T366" t="s">
        <v>2052</v>
      </c>
    </row>
    <row r="367" spans="1:20" ht="17" x14ac:dyDescent="0.2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s="4">
        <f t="shared" si="23"/>
        <v>7.3343749999999996</v>
      </c>
      <c r="G367" t="s">
        <v>20</v>
      </c>
      <c r="H367">
        <v>112</v>
      </c>
      <c r="I367" s="6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1"/>
        <v>42733.25</v>
      </c>
      <c r="O367" s="13">
        <f t="shared" si="22"/>
        <v>42760.25</v>
      </c>
      <c r="P367" t="b">
        <v>0</v>
      </c>
      <c r="Q367" t="b">
        <v>0</v>
      </c>
      <c r="R367" t="s">
        <v>33</v>
      </c>
      <c r="S367" t="s">
        <v>2043</v>
      </c>
      <c r="T367" t="s">
        <v>2058</v>
      </c>
    </row>
    <row r="368" spans="1:20" ht="17" x14ac:dyDescent="0.2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s="4">
        <f t="shared" si="23"/>
        <v>5.9211111111111112</v>
      </c>
      <c r="G368" t="s">
        <v>20</v>
      </c>
      <c r="H368">
        <v>101</v>
      </c>
      <c r="I368" s="6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1"/>
        <v>40546.25</v>
      </c>
      <c r="O368" s="13">
        <f t="shared" si="22"/>
        <v>40547.25</v>
      </c>
      <c r="P368" t="b">
        <v>0</v>
      </c>
      <c r="Q368" t="b">
        <v>1</v>
      </c>
      <c r="R368" t="s">
        <v>33</v>
      </c>
      <c r="S368" t="s">
        <v>2043</v>
      </c>
      <c r="T368" t="s">
        <v>2058</v>
      </c>
    </row>
    <row r="369" spans="1:20" ht="17" x14ac:dyDescent="0.2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s="4">
        <f t="shared" si="23"/>
        <v>0.18888888888888888</v>
      </c>
      <c r="G369" t="s">
        <v>14</v>
      </c>
      <c r="H369">
        <v>75</v>
      </c>
      <c r="I369" s="6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1"/>
        <v>41930.208333333336</v>
      </c>
      <c r="O369" s="13">
        <f t="shared" si="22"/>
        <v>41954.25</v>
      </c>
      <c r="P369" t="b">
        <v>0</v>
      </c>
      <c r="Q369" t="b">
        <v>1</v>
      </c>
      <c r="R369" t="s">
        <v>33</v>
      </c>
      <c r="S369" t="s">
        <v>2043</v>
      </c>
      <c r="T369" t="s">
        <v>2058</v>
      </c>
    </row>
    <row r="370" spans="1:20" ht="17" x14ac:dyDescent="0.2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s="4">
        <f t="shared" si="23"/>
        <v>2.7680769230769231</v>
      </c>
      <c r="G370" t="s">
        <v>20</v>
      </c>
      <c r="H370">
        <v>206</v>
      </c>
      <c r="I370" s="6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1"/>
        <v>40464.208333333336</v>
      </c>
      <c r="O370" s="13">
        <f t="shared" si="22"/>
        <v>40487.208333333336</v>
      </c>
      <c r="P370" t="b">
        <v>0</v>
      </c>
      <c r="Q370" t="b">
        <v>1</v>
      </c>
      <c r="R370" t="s">
        <v>42</v>
      </c>
      <c r="S370" t="s">
        <v>2035</v>
      </c>
      <c r="T370" t="s">
        <v>2047</v>
      </c>
    </row>
    <row r="371" spans="1:20" ht="17" x14ac:dyDescent="0.2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s="4">
        <f t="shared" si="23"/>
        <v>2.730185185185185</v>
      </c>
      <c r="G371" t="s">
        <v>20</v>
      </c>
      <c r="H371">
        <v>154</v>
      </c>
      <c r="I371" s="6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1"/>
        <v>41308.25</v>
      </c>
      <c r="O371" s="13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2035</v>
      </c>
      <c r="T371" t="s">
        <v>2063</v>
      </c>
    </row>
    <row r="372" spans="1:20" ht="17" x14ac:dyDescent="0.2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s="4">
        <f t="shared" si="23"/>
        <v>1.593633125556545</v>
      </c>
      <c r="G372" t="s">
        <v>20</v>
      </c>
      <c r="H372">
        <v>5966</v>
      </c>
      <c r="I372" s="6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1"/>
        <v>43570.208333333328</v>
      </c>
      <c r="O372" s="13">
        <f t="shared" si="22"/>
        <v>43576.208333333328</v>
      </c>
      <c r="P372" t="b">
        <v>0</v>
      </c>
      <c r="Q372" t="b">
        <v>0</v>
      </c>
      <c r="R372" t="s">
        <v>33</v>
      </c>
      <c r="S372" t="s">
        <v>2043</v>
      </c>
      <c r="T372" t="s">
        <v>2058</v>
      </c>
    </row>
    <row r="373" spans="1:20" ht="17" x14ac:dyDescent="0.2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s="4">
        <f t="shared" si="23"/>
        <v>0.67869978858350954</v>
      </c>
      <c r="G373" t="s">
        <v>14</v>
      </c>
      <c r="H373">
        <v>2176</v>
      </c>
      <c r="I373" s="6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1"/>
        <v>42043.25</v>
      </c>
      <c r="O373" s="13">
        <f t="shared" si="22"/>
        <v>42094.208333333328</v>
      </c>
      <c r="P373" t="b">
        <v>0</v>
      </c>
      <c r="Q373" t="b">
        <v>0</v>
      </c>
      <c r="R373" t="s">
        <v>33</v>
      </c>
      <c r="S373" t="s">
        <v>2043</v>
      </c>
      <c r="T373" t="s">
        <v>2058</v>
      </c>
    </row>
    <row r="374" spans="1:20" ht="34" x14ac:dyDescent="0.2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s="4">
        <f t="shared" si="23"/>
        <v>15.915555555555555</v>
      </c>
      <c r="G374" t="s">
        <v>20</v>
      </c>
      <c r="H374">
        <v>169</v>
      </c>
      <c r="I374" s="6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1"/>
        <v>42012.25</v>
      </c>
      <c r="O374" s="13">
        <f t="shared" si="22"/>
        <v>42032.25</v>
      </c>
      <c r="P374" t="b">
        <v>0</v>
      </c>
      <c r="Q374" t="b">
        <v>1</v>
      </c>
      <c r="R374" t="s">
        <v>42</v>
      </c>
      <c r="S374" t="s">
        <v>2035</v>
      </c>
      <c r="T374" t="s">
        <v>2047</v>
      </c>
    </row>
    <row r="375" spans="1:20" ht="17" x14ac:dyDescent="0.2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s="4">
        <f t="shared" si="23"/>
        <v>7.3018222222222224</v>
      </c>
      <c r="G375" t="s">
        <v>20</v>
      </c>
      <c r="H375">
        <v>2106</v>
      </c>
      <c r="I375" s="6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1"/>
        <v>42964.208333333328</v>
      </c>
      <c r="O375" s="13">
        <f t="shared" si="22"/>
        <v>42972.208333333328</v>
      </c>
      <c r="P375" t="b">
        <v>0</v>
      </c>
      <c r="Q375" t="b">
        <v>0</v>
      </c>
      <c r="R375" t="s">
        <v>33</v>
      </c>
      <c r="S375" t="s">
        <v>2043</v>
      </c>
      <c r="T375" t="s">
        <v>2058</v>
      </c>
    </row>
    <row r="376" spans="1:20" ht="34" x14ac:dyDescent="0.2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s="4">
        <f t="shared" si="23"/>
        <v>0.13185782556750297</v>
      </c>
      <c r="G376" t="s">
        <v>14</v>
      </c>
      <c r="H376">
        <v>441</v>
      </c>
      <c r="I376" s="6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1"/>
        <v>43476.25</v>
      </c>
      <c r="O376" s="13">
        <f t="shared" si="22"/>
        <v>43481.25</v>
      </c>
      <c r="P376" t="b">
        <v>0</v>
      </c>
      <c r="Q376" t="b">
        <v>1</v>
      </c>
      <c r="R376" t="s">
        <v>42</v>
      </c>
      <c r="S376" t="s">
        <v>2035</v>
      </c>
      <c r="T376" t="s">
        <v>2047</v>
      </c>
    </row>
    <row r="377" spans="1:20" ht="34" x14ac:dyDescent="0.2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s="4">
        <f t="shared" si="23"/>
        <v>0.54777777777777781</v>
      </c>
      <c r="G377" t="s">
        <v>14</v>
      </c>
      <c r="H377">
        <v>25</v>
      </c>
      <c r="I377" s="6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1"/>
        <v>42293.208333333328</v>
      </c>
      <c r="O377" s="13">
        <f t="shared" si="22"/>
        <v>42350.25</v>
      </c>
      <c r="P377" t="b">
        <v>0</v>
      </c>
      <c r="Q377" t="b">
        <v>0</v>
      </c>
      <c r="R377" t="s">
        <v>60</v>
      </c>
      <c r="S377" t="s">
        <v>2039</v>
      </c>
      <c r="T377" t="s">
        <v>2052</v>
      </c>
    </row>
    <row r="378" spans="1:20" ht="17" x14ac:dyDescent="0.2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s="4">
        <f t="shared" si="23"/>
        <v>3.6102941176470589</v>
      </c>
      <c r="G378" t="s">
        <v>20</v>
      </c>
      <c r="H378">
        <v>131</v>
      </c>
      <c r="I378" s="6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1"/>
        <v>41826.208333333336</v>
      </c>
      <c r="O378" s="13">
        <f t="shared" si="22"/>
        <v>41832.208333333336</v>
      </c>
      <c r="P378" t="b">
        <v>0</v>
      </c>
      <c r="Q378" t="b">
        <v>0</v>
      </c>
      <c r="R378" t="s">
        <v>23</v>
      </c>
      <c r="S378" t="s">
        <v>2039</v>
      </c>
      <c r="T378" t="s">
        <v>2060</v>
      </c>
    </row>
    <row r="379" spans="1:20" ht="17" x14ac:dyDescent="0.2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s="4">
        <f t="shared" si="23"/>
        <v>0.10257545271629778</v>
      </c>
      <c r="G379" t="s">
        <v>14</v>
      </c>
      <c r="H379">
        <v>127</v>
      </c>
      <c r="I379" s="6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1"/>
        <v>43760.208333333328</v>
      </c>
      <c r="O379" s="13">
        <f t="shared" si="22"/>
        <v>43774.25</v>
      </c>
      <c r="P379" t="b">
        <v>0</v>
      </c>
      <c r="Q379" t="b">
        <v>0</v>
      </c>
      <c r="R379" t="s">
        <v>33</v>
      </c>
      <c r="S379" t="s">
        <v>2043</v>
      </c>
      <c r="T379" t="s">
        <v>2058</v>
      </c>
    </row>
    <row r="380" spans="1:20" ht="17" x14ac:dyDescent="0.2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s="4">
        <f t="shared" si="23"/>
        <v>0.13962962962962963</v>
      </c>
      <c r="G380" t="s">
        <v>14</v>
      </c>
      <c r="H380">
        <v>355</v>
      </c>
      <c r="I380" s="6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1"/>
        <v>43241.208333333328</v>
      </c>
      <c r="O380" s="13">
        <f t="shared" si="22"/>
        <v>43279.208333333328</v>
      </c>
      <c r="P380" t="b">
        <v>0</v>
      </c>
      <c r="Q380" t="b">
        <v>0</v>
      </c>
      <c r="R380" t="s">
        <v>42</v>
      </c>
      <c r="S380" t="s">
        <v>2035</v>
      </c>
      <c r="T380" t="s">
        <v>2047</v>
      </c>
    </row>
    <row r="381" spans="1:20" ht="17" x14ac:dyDescent="0.2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s="4">
        <f t="shared" si="23"/>
        <v>0.40444444444444444</v>
      </c>
      <c r="G381" t="s">
        <v>14</v>
      </c>
      <c r="H381">
        <v>44</v>
      </c>
      <c r="I381" s="6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1"/>
        <v>40843.208333333336</v>
      </c>
      <c r="O381" s="13">
        <f t="shared" si="22"/>
        <v>40857.25</v>
      </c>
      <c r="P381" t="b">
        <v>0</v>
      </c>
      <c r="Q381" t="b">
        <v>0</v>
      </c>
      <c r="R381" t="s">
        <v>33</v>
      </c>
      <c r="S381" t="s">
        <v>2043</v>
      </c>
      <c r="T381" t="s">
        <v>2058</v>
      </c>
    </row>
    <row r="382" spans="1:20" ht="34" x14ac:dyDescent="0.2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s="4">
        <f t="shared" si="23"/>
        <v>1.6032</v>
      </c>
      <c r="G382" t="s">
        <v>20</v>
      </c>
      <c r="H382">
        <v>84</v>
      </c>
      <c r="I382" s="6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1"/>
        <v>41448.208333333336</v>
      </c>
      <c r="O382" s="13">
        <f t="shared" si="22"/>
        <v>41453.208333333336</v>
      </c>
      <c r="P382" t="b">
        <v>0</v>
      </c>
      <c r="Q382" t="b">
        <v>0</v>
      </c>
      <c r="R382" t="s">
        <v>33</v>
      </c>
      <c r="S382" t="s">
        <v>2043</v>
      </c>
      <c r="T382" t="s">
        <v>2058</v>
      </c>
    </row>
    <row r="383" spans="1:20" ht="17" x14ac:dyDescent="0.2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s="4">
        <f t="shared" si="23"/>
        <v>1.8394339622641509</v>
      </c>
      <c r="G383" t="s">
        <v>20</v>
      </c>
      <c r="H383">
        <v>155</v>
      </c>
      <c r="I383" s="6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1"/>
        <v>42163.208333333328</v>
      </c>
      <c r="O383" s="13">
        <f t="shared" si="22"/>
        <v>42209.208333333328</v>
      </c>
      <c r="P383" t="b">
        <v>0</v>
      </c>
      <c r="Q383" t="b">
        <v>0</v>
      </c>
      <c r="R383" t="s">
        <v>33</v>
      </c>
      <c r="S383" t="s">
        <v>2043</v>
      </c>
      <c r="T383" t="s">
        <v>2058</v>
      </c>
    </row>
    <row r="384" spans="1:20" ht="34" x14ac:dyDescent="0.2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s="4">
        <f t="shared" si="23"/>
        <v>0.63769230769230767</v>
      </c>
      <c r="G384" t="s">
        <v>14</v>
      </c>
      <c r="H384">
        <v>67</v>
      </c>
      <c r="I384" s="6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1"/>
        <v>43024.208333333328</v>
      </c>
      <c r="O384" s="13">
        <f t="shared" si="22"/>
        <v>43043.208333333328</v>
      </c>
      <c r="P384" t="b">
        <v>0</v>
      </c>
      <c r="Q384" t="b">
        <v>0</v>
      </c>
      <c r="R384" t="s">
        <v>122</v>
      </c>
      <c r="S384" t="s">
        <v>2040</v>
      </c>
      <c r="T384" t="s">
        <v>2057</v>
      </c>
    </row>
    <row r="385" spans="1:20" ht="17" x14ac:dyDescent="0.2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s="4">
        <f t="shared" si="23"/>
        <v>2.2538095238095237</v>
      </c>
      <c r="G385" t="s">
        <v>20</v>
      </c>
      <c r="H385">
        <v>189</v>
      </c>
      <c r="I385" s="6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1"/>
        <v>43509.25</v>
      </c>
      <c r="O385" s="13">
        <f t="shared" si="22"/>
        <v>43515.25</v>
      </c>
      <c r="P385" t="b">
        <v>0</v>
      </c>
      <c r="Q385" t="b">
        <v>1</v>
      </c>
      <c r="R385" t="s">
        <v>17</v>
      </c>
      <c r="S385" t="s">
        <v>2036</v>
      </c>
      <c r="T385" t="s">
        <v>2051</v>
      </c>
    </row>
    <row r="386" spans="1:20" ht="17" x14ac:dyDescent="0.2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s="4">
        <f t="shared" si="23"/>
        <v>1.7200961538461539</v>
      </c>
      <c r="G386" t="s">
        <v>20</v>
      </c>
      <c r="H386">
        <v>4799</v>
      </c>
      <c r="I386" s="6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1"/>
        <v>42776.25</v>
      </c>
      <c r="O386" s="13">
        <f t="shared" si="22"/>
        <v>42803.25</v>
      </c>
      <c r="P386" t="b">
        <v>1</v>
      </c>
      <c r="Q386" t="b">
        <v>1</v>
      </c>
      <c r="R386" t="s">
        <v>42</v>
      </c>
      <c r="S386" t="s">
        <v>2035</v>
      </c>
      <c r="T386" t="s">
        <v>2047</v>
      </c>
    </row>
    <row r="387" spans="1:20" ht="34" x14ac:dyDescent="0.2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s="4">
        <f t="shared" si="23"/>
        <v>1.4616709511568124</v>
      </c>
      <c r="G387" t="s">
        <v>20</v>
      </c>
      <c r="H387">
        <v>1137</v>
      </c>
      <c r="I387" s="6">
        <f t="shared" ref="I387:I450" si="24">IF(H387&lt;&gt;0,E387/H387,0)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3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2041</v>
      </c>
      <c r="T387" t="s">
        <v>2056</v>
      </c>
    </row>
    <row r="388" spans="1:20" ht="34" x14ac:dyDescent="0.2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 s="6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5"/>
        <v>40355.208333333336</v>
      </c>
      <c r="O388" s="13">
        <f t="shared" si="26"/>
        <v>40367.208333333336</v>
      </c>
      <c r="P388" t="b">
        <v>0</v>
      </c>
      <c r="Q388" t="b">
        <v>0</v>
      </c>
      <c r="R388" t="s">
        <v>33</v>
      </c>
      <c r="S388" t="s">
        <v>2043</v>
      </c>
      <c r="T388" t="s">
        <v>2058</v>
      </c>
    </row>
    <row r="389" spans="1:20" ht="17" x14ac:dyDescent="0.2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s="4">
        <f t="shared" si="27"/>
        <v>0.39261467889908258</v>
      </c>
      <c r="G389" t="s">
        <v>14</v>
      </c>
      <c r="H389">
        <v>424</v>
      </c>
      <c r="I389" s="6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5"/>
        <v>41072.208333333336</v>
      </c>
      <c r="O389" s="13">
        <f t="shared" si="26"/>
        <v>41077.208333333336</v>
      </c>
      <c r="P389" t="b">
        <v>0</v>
      </c>
      <c r="Q389" t="b">
        <v>0</v>
      </c>
      <c r="R389" t="s">
        <v>65</v>
      </c>
      <c r="S389" t="s">
        <v>2042</v>
      </c>
      <c r="T389" t="s">
        <v>2066</v>
      </c>
    </row>
    <row r="390" spans="1:20" ht="17" x14ac:dyDescent="0.2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s="4">
        <f t="shared" si="27"/>
        <v>0.11270034843205574</v>
      </c>
      <c r="G390" t="s">
        <v>74</v>
      </c>
      <c r="H390">
        <v>145</v>
      </c>
      <c r="I390" s="6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5"/>
        <v>40912.25</v>
      </c>
      <c r="O390" s="13">
        <f t="shared" si="26"/>
        <v>40914.25</v>
      </c>
      <c r="P390" t="b">
        <v>0</v>
      </c>
      <c r="Q390" t="b">
        <v>0</v>
      </c>
      <c r="R390" t="s">
        <v>60</v>
      </c>
      <c r="S390" t="s">
        <v>2039</v>
      </c>
      <c r="T390" t="s">
        <v>2052</v>
      </c>
    </row>
    <row r="391" spans="1:20" ht="17" x14ac:dyDescent="0.2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s="4">
        <f t="shared" si="27"/>
        <v>1.2211084337349398</v>
      </c>
      <c r="G391" t="s">
        <v>20</v>
      </c>
      <c r="H391">
        <v>1152</v>
      </c>
      <c r="I391" s="6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5"/>
        <v>40479.208333333336</v>
      </c>
      <c r="O391" s="13">
        <f t="shared" si="26"/>
        <v>40506.25</v>
      </c>
      <c r="P391" t="b">
        <v>0</v>
      </c>
      <c r="Q391" t="b">
        <v>0</v>
      </c>
      <c r="R391" t="s">
        <v>33</v>
      </c>
      <c r="S391" t="s">
        <v>2043</v>
      </c>
      <c r="T391" t="s">
        <v>2058</v>
      </c>
    </row>
    <row r="392" spans="1:20" ht="17" x14ac:dyDescent="0.2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s="4">
        <f t="shared" si="27"/>
        <v>1.8654166666666667</v>
      </c>
      <c r="G392" t="s">
        <v>20</v>
      </c>
      <c r="H392">
        <v>50</v>
      </c>
      <c r="I392" s="6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5"/>
        <v>41530.208333333336</v>
      </c>
      <c r="O392" s="13">
        <f t="shared" si="26"/>
        <v>41545.208333333336</v>
      </c>
      <c r="P392" t="b">
        <v>0</v>
      </c>
      <c r="Q392" t="b">
        <v>0</v>
      </c>
      <c r="R392" t="s">
        <v>122</v>
      </c>
      <c r="S392" t="s">
        <v>2040</v>
      </c>
      <c r="T392" t="s">
        <v>2057</v>
      </c>
    </row>
    <row r="393" spans="1:20" ht="17" x14ac:dyDescent="0.2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s="4">
        <f t="shared" si="27"/>
        <v>7.27317880794702E-2</v>
      </c>
      <c r="G393" t="s">
        <v>14</v>
      </c>
      <c r="H393">
        <v>151</v>
      </c>
      <c r="I393" s="6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5"/>
        <v>41653.25</v>
      </c>
      <c r="O393" s="13">
        <f t="shared" si="26"/>
        <v>41655.25</v>
      </c>
      <c r="P393" t="b">
        <v>0</v>
      </c>
      <c r="Q393" t="b">
        <v>0</v>
      </c>
      <c r="R393" t="s">
        <v>68</v>
      </c>
      <c r="S393" t="s">
        <v>2041</v>
      </c>
      <c r="T393" t="s">
        <v>2056</v>
      </c>
    </row>
    <row r="394" spans="1:20" ht="34" x14ac:dyDescent="0.2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s="4">
        <f t="shared" si="27"/>
        <v>0.65642371234207963</v>
      </c>
      <c r="G394" t="s">
        <v>14</v>
      </c>
      <c r="H394">
        <v>1608</v>
      </c>
      <c r="I394" s="6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5"/>
        <v>40549.25</v>
      </c>
      <c r="O394" s="13">
        <f t="shared" si="26"/>
        <v>40551.25</v>
      </c>
      <c r="P394" t="b">
        <v>0</v>
      </c>
      <c r="Q394" t="b">
        <v>0</v>
      </c>
      <c r="R394" t="s">
        <v>65</v>
      </c>
      <c r="S394" t="s">
        <v>2042</v>
      </c>
      <c r="T394" t="s">
        <v>2066</v>
      </c>
    </row>
    <row r="395" spans="1:20" ht="17" x14ac:dyDescent="0.2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s="4">
        <f t="shared" si="27"/>
        <v>2.2896178343949045</v>
      </c>
      <c r="G395" t="s">
        <v>20</v>
      </c>
      <c r="H395">
        <v>3059</v>
      </c>
      <c r="I395" s="6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5"/>
        <v>42933.208333333328</v>
      </c>
      <c r="O395" s="13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2039</v>
      </c>
      <c r="T395" t="s">
        <v>2053</v>
      </c>
    </row>
    <row r="396" spans="1:20" ht="17" x14ac:dyDescent="0.2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s="4">
        <f t="shared" si="27"/>
        <v>4.6937499999999996</v>
      </c>
      <c r="G396" t="s">
        <v>20</v>
      </c>
      <c r="H396">
        <v>34</v>
      </c>
      <c r="I396" s="6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5"/>
        <v>41484.208333333336</v>
      </c>
      <c r="O396" s="13">
        <f t="shared" si="26"/>
        <v>41494.208333333336</v>
      </c>
      <c r="P396" t="b">
        <v>0</v>
      </c>
      <c r="Q396" t="b">
        <v>1</v>
      </c>
      <c r="R396" t="s">
        <v>42</v>
      </c>
      <c r="S396" t="s">
        <v>2035</v>
      </c>
      <c r="T396" t="s">
        <v>2047</v>
      </c>
    </row>
    <row r="397" spans="1:20" ht="34" x14ac:dyDescent="0.2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s="4">
        <f t="shared" si="27"/>
        <v>1.3011267605633803</v>
      </c>
      <c r="G397" t="s">
        <v>20</v>
      </c>
      <c r="H397">
        <v>220</v>
      </c>
      <c r="I397" s="6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5"/>
        <v>40885.25</v>
      </c>
      <c r="O397" s="13">
        <f t="shared" si="26"/>
        <v>40886.25</v>
      </c>
      <c r="P397" t="b">
        <v>1</v>
      </c>
      <c r="Q397" t="b">
        <v>0</v>
      </c>
      <c r="R397" t="s">
        <v>33</v>
      </c>
      <c r="S397" t="s">
        <v>2043</v>
      </c>
      <c r="T397" t="s">
        <v>2058</v>
      </c>
    </row>
    <row r="398" spans="1:20" ht="17" x14ac:dyDescent="0.2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s="4">
        <f t="shared" si="27"/>
        <v>1.6705422993492407</v>
      </c>
      <c r="G398" t="s">
        <v>20</v>
      </c>
      <c r="H398">
        <v>1604</v>
      </c>
      <c r="I398" s="6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5"/>
        <v>43378.208333333328</v>
      </c>
      <c r="O398" s="13">
        <f t="shared" si="26"/>
        <v>43386.208333333328</v>
      </c>
      <c r="P398" t="b">
        <v>0</v>
      </c>
      <c r="Q398" t="b">
        <v>0</v>
      </c>
      <c r="R398" t="s">
        <v>53</v>
      </c>
      <c r="S398" t="s">
        <v>2035</v>
      </c>
      <c r="T398" t="s">
        <v>2048</v>
      </c>
    </row>
    <row r="399" spans="1:20" ht="17" x14ac:dyDescent="0.2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s="4">
        <f t="shared" si="27"/>
        <v>1.738641975308642</v>
      </c>
      <c r="G399" t="s">
        <v>20</v>
      </c>
      <c r="H399">
        <v>454</v>
      </c>
      <c r="I399" s="6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5"/>
        <v>41417.208333333336</v>
      </c>
      <c r="O399" s="13">
        <f t="shared" si="26"/>
        <v>41423.208333333336</v>
      </c>
      <c r="P399" t="b">
        <v>0</v>
      </c>
      <c r="Q399" t="b">
        <v>0</v>
      </c>
      <c r="R399" t="s">
        <v>23</v>
      </c>
      <c r="S399" t="s">
        <v>2039</v>
      </c>
      <c r="T399" t="s">
        <v>2060</v>
      </c>
    </row>
    <row r="400" spans="1:20" ht="34" x14ac:dyDescent="0.2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s="4">
        <f t="shared" si="27"/>
        <v>7.1776470588235295</v>
      </c>
      <c r="G400" t="s">
        <v>20</v>
      </c>
      <c r="H400">
        <v>123</v>
      </c>
      <c r="I400" s="6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5"/>
        <v>43228.208333333328</v>
      </c>
      <c r="O400" s="13">
        <f t="shared" si="26"/>
        <v>43230.208333333328</v>
      </c>
      <c r="P400" t="b">
        <v>0</v>
      </c>
      <c r="Q400" t="b">
        <v>1</v>
      </c>
      <c r="R400" t="s">
        <v>71</v>
      </c>
      <c r="S400" t="s">
        <v>2035</v>
      </c>
      <c r="T400" t="s">
        <v>2045</v>
      </c>
    </row>
    <row r="401" spans="1:20" ht="17" x14ac:dyDescent="0.2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s="4">
        <f t="shared" si="27"/>
        <v>0.63850976361767731</v>
      </c>
      <c r="G401" t="s">
        <v>14</v>
      </c>
      <c r="H401">
        <v>941</v>
      </c>
      <c r="I401" s="6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5"/>
        <v>40576.25</v>
      </c>
      <c r="O401" s="13">
        <f t="shared" si="26"/>
        <v>40583.25</v>
      </c>
      <c r="P401" t="b">
        <v>0</v>
      </c>
      <c r="Q401" t="b">
        <v>0</v>
      </c>
      <c r="R401" t="s">
        <v>60</v>
      </c>
      <c r="S401" t="s">
        <v>2039</v>
      </c>
      <c r="T401" t="s">
        <v>2052</v>
      </c>
    </row>
    <row r="402" spans="1:20" ht="34" x14ac:dyDescent="0.2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s="4">
        <f t="shared" si="27"/>
        <v>0.02</v>
      </c>
      <c r="G402" t="s">
        <v>14</v>
      </c>
      <c r="H402">
        <v>1</v>
      </c>
      <c r="I402" s="6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5"/>
        <v>41502.208333333336</v>
      </c>
      <c r="O402" s="13">
        <f t="shared" si="26"/>
        <v>41524.208333333336</v>
      </c>
      <c r="P402" t="b">
        <v>0</v>
      </c>
      <c r="Q402" t="b">
        <v>1</v>
      </c>
      <c r="R402" t="s">
        <v>122</v>
      </c>
      <c r="S402" t="s">
        <v>2040</v>
      </c>
      <c r="T402" t="s">
        <v>2057</v>
      </c>
    </row>
    <row r="403" spans="1:20" ht="17" x14ac:dyDescent="0.2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s="4">
        <f t="shared" si="27"/>
        <v>15.302222222222222</v>
      </c>
      <c r="G403" t="s">
        <v>20</v>
      </c>
      <c r="H403">
        <v>299</v>
      </c>
      <c r="I403" s="6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5"/>
        <v>43765.208333333328</v>
      </c>
      <c r="O403" s="13">
        <f t="shared" si="26"/>
        <v>43765.208333333328</v>
      </c>
      <c r="P403" t="b">
        <v>0</v>
      </c>
      <c r="Q403" t="b">
        <v>0</v>
      </c>
      <c r="R403" t="s">
        <v>33</v>
      </c>
      <c r="S403" t="s">
        <v>2043</v>
      </c>
      <c r="T403" t="s">
        <v>2058</v>
      </c>
    </row>
    <row r="404" spans="1:20" ht="17" x14ac:dyDescent="0.2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s="4">
        <f t="shared" si="27"/>
        <v>0.40356164383561643</v>
      </c>
      <c r="G404" t="s">
        <v>14</v>
      </c>
      <c r="H404">
        <v>40</v>
      </c>
      <c r="I404" s="6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5"/>
        <v>40914.25</v>
      </c>
      <c r="O404" s="13">
        <f t="shared" si="26"/>
        <v>40961.25</v>
      </c>
      <c r="P404" t="b">
        <v>0</v>
      </c>
      <c r="Q404" t="b">
        <v>1</v>
      </c>
      <c r="R404" t="s">
        <v>100</v>
      </c>
      <c r="S404" t="s">
        <v>2035</v>
      </c>
      <c r="T404" t="s">
        <v>2062</v>
      </c>
    </row>
    <row r="405" spans="1:20" ht="17" x14ac:dyDescent="0.2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s="4">
        <f t="shared" si="27"/>
        <v>0.86220633299284988</v>
      </c>
      <c r="G405" t="s">
        <v>14</v>
      </c>
      <c r="H405">
        <v>3015</v>
      </c>
      <c r="I405" s="6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5"/>
        <v>40310.208333333336</v>
      </c>
      <c r="O405" s="13">
        <f t="shared" si="26"/>
        <v>40346.208333333336</v>
      </c>
      <c r="P405" t="b">
        <v>0</v>
      </c>
      <c r="Q405" t="b">
        <v>1</v>
      </c>
      <c r="R405" t="s">
        <v>33</v>
      </c>
      <c r="S405" t="s">
        <v>2043</v>
      </c>
      <c r="T405" t="s">
        <v>2058</v>
      </c>
    </row>
    <row r="406" spans="1:20" ht="17" x14ac:dyDescent="0.2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s="4">
        <f t="shared" si="27"/>
        <v>3.1558486707566464</v>
      </c>
      <c r="G406" t="s">
        <v>20</v>
      </c>
      <c r="H406">
        <v>2237</v>
      </c>
      <c r="I406" s="6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5"/>
        <v>43053.25</v>
      </c>
      <c r="O406" s="13">
        <f t="shared" si="26"/>
        <v>43056.25</v>
      </c>
      <c r="P406" t="b">
        <v>0</v>
      </c>
      <c r="Q406" t="b">
        <v>0</v>
      </c>
      <c r="R406" t="s">
        <v>33</v>
      </c>
      <c r="S406" t="s">
        <v>2043</v>
      </c>
      <c r="T406" t="s">
        <v>2058</v>
      </c>
    </row>
    <row r="407" spans="1:20" ht="17" x14ac:dyDescent="0.2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s="4">
        <f t="shared" si="27"/>
        <v>0.89618243243243245</v>
      </c>
      <c r="G407" t="s">
        <v>14</v>
      </c>
      <c r="H407">
        <v>435</v>
      </c>
      <c r="I407" s="6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5"/>
        <v>43255.208333333328</v>
      </c>
      <c r="O407" s="13">
        <f t="shared" si="26"/>
        <v>43305.208333333328</v>
      </c>
      <c r="P407" t="b">
        <v>0</v>
      </c>
      <c r="Q407" t="b">
        <v>0</v>
      </c>
      <c r="R407" t="s">
        <v>33</v>
      </c>
      <c r="S407" t="s">
        <v>2043</v>
      </c>
      <c r="T407" t="s">
        <v>2058</v>
      </c>
    </row>
    <row r="408" spans="1:20" ht="17" x14ac:dyDescent="0.2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s="4">
        <f t="shared" si="27"/>
        <v>1.8214503816793892</v>
      </c>
      <c r="G408" t="s">
        <v>20</v>
      </c>
      <c r="H408">
        <v>645</v>
      </c>
      <c r="I408" s="6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5"/>
        <v>41304.25</v>
      </c>
      <c r="O408" s="13">
        <f t="shared" si="26"/>
        <v>41316.25</v>
      </c>
      <c r="P408" t="b">
        <v>1</v>
      </c>
      <c r="Q408" t="b">
        <v>0</v>
      </c>
      <c r="R408" t="s">
        <v>42</v>
      </c>
      <c r="S408" t="s">
        <v>2035</v>
      </c>
      <c r="T408" t="s">
        <v>2047</v>
      </c>
    </row>
    <row r="409" spans="1:20" ht="17" x14ac:dyDescent="0.2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s="4">
        <f t="shared" si="27"/>
        <v>3.5588235294117645</v>
      </c>
      <c r="G409" t="s">
        <v>20</v>
      </c>
      <c r="H409">
        <v>484</v>
      </c>
      <c r="I409" s="6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5"/>
        <v>43751.208333333328</v>
      </c>
      <c r="O409" s="13">
        <f t="shared" si="26"/>
        <v>43758.208333333328</v>
      </c>
      <c r="P409" t="b">
        <v>0</v>
      </c>
      <c r="Q409" t="b">
        <v>0</v>
      </c>
      <c r="R409" t="s">
        <v>33</v>
      </c>
      <c r="S409" t="s">
        <v>2043</v>
      </c>
      <c r="T409" t="s">
        <v>2058</v>
      </c>
    </row>
    <row r="410" spans="1:20" ht="17" x14ac:dyDescent="0.2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s="4">
        <f t="shared" si="27"/>
        <v>1.3183695652173912</v>
      </c>
      <c r="G410" t="s">
        <v>20</v>
      </c>
      <c r="H410">
        <v>154</v>
      </c>
      <c r="I410" s="6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5"/>
        <v>42541.208333333328</v>
      </c>
      <c r="O410" s="13">
        <f t="shared" si="26"/>
        <v>42561.208333333328</v>
      </c>
      <c r="P410" t="b">
        <v>0</v>
      </c>
      <c r="Q410" t="b">
        <v>0</v>
      </c>
      <c r="R410" t="s">
        <v>42</v>
      </c>
      <c r="S410" t="s">
        <v>2035</v>
      </c>
      <c r="T410" t="s">
        <v>2047</v>
      </c>
    </row>
    <row r="411" spans="1:20" ht="17" x14ac:dyDescent="0.2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s="4">
        <f t="shared" si="27"/>
        <v>0.46315634218289087</v>
      </c>
      <c r="G411" t="s">
        <v>14</v>
      </c>
      <c r="H411">
        <v>714</v>
      </c>
      <c r="I411" s="6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5"/>
        <v>42843.208333333328</v>
      </c>
      <c r="O411" s="13">
        <f t="shared" si="26"/>
        <v>42847.208333333328</v>
      </c>
      <c r="P411" t="b">
        <v>0</v>
      </c>
      <c r="Q411" t="b">
        <v>0</v>
      </c>
      <c r="R411" t="s">
        <v>23</v>
      </c>
      <c r="S411" t="s">
        <v>2039</v>
      </c>
      <c r="T411" t="s">
        <v>2060</v>
      </c>
    </row>
    <row r="412" spans="1:20" ht="17" x14ac:dyDescent="0.2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s="4">
        <f t="shared" si="27"/>
        <v>0.36132726089785294</v>
      </c>
      <c r="G412" t="s">
        <v>47</v>
      </c>
      <c r="H412">
        <v>1111</v>
      </c>
      <c r="I412" s="6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5"/>
        <v>42122.208333333328</v>
      </c>
      <c r="O412" s="13">
        <f t="shared" si="26"/>
        <v>42122.208333333328</v>
      </c>
      <c r="P412" t="b">
        <v>0</v>
      </c>
      <c r="Q412" t="b">
        <v>0</v>
      </c>
      <c r="R412" t="s">
        <v>292</v>
      </c>
      <c r="S412" t="s">
        <v>2037</v>
      </c>
      <c r="T412" t="s">
        <v>2055</v>
      </c>
    </row>
    <row r="413" spans="1:20" ht="17" x14ac:dyDescent="0.2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s="4">
        <f t="shared" si="27"/>
        <v>1.0462820512820512</v>
      </c>
      <c r="G413" t="s">
        <v>20</v>
      </c>
      <c r="H413">
        <v>82</v>
      </c>
      <c r="I413" s="6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5"/>
        <v>42884.208333333328</v>
      </c>
      <c r="O413" s="13">
        <f t="shared" si="26"/>
        <v>42886.208333333328</v>
      </c>
      <c r="P413" t="b">
        <v>0</v>
      </c>
      <c r="Q413" t="b">
        <v>0</v>
      </c>
      <c r="R413" t="s">
        <v>33</v>
      </c>
      <c r="S413" t="s">
        <v>2043</v>
      </c>
      <c r="T413" t="s">
        <v>2058</v>
      </c>
    </row>
    <row r="414" spans="1:20" ht="17" x14ac:dyDescent="0.2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s="4">
        <f t="shared" si="27"/>
        <v>6.6885714285714286</v>
      </c>
      <c r="G414" t="s">
        <v>20</v>
      </c>
      <c r="H414">
        <v>134</v>
      </c>
      <c r="I414" s="6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5"/>
        <v>41642.25</v>
      </c>
      <c r="O414" s="13">
        <f t="shared" si="26"/>
        <v>41652.25</v>
      </c>
      <c r="P414" t="b">
        <v>0</v>
      </c>
      <c r="Q414" t="b">
        <v>0</v>
      </c>
      <c r="R414" t="s">
        <v>119</v>
      </c>
      <c r="S414" t="s">
        <v>2041</v>
      </c>
      <c r="T414" t="s">
        <v>2050</v>
      </c>
    </row>
    <row r="415" spans="1:20" ht="17" x14ac:dyDescent="0.2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s="4">
        <f t="shared" si="27"/>
        <v>0.62072823218997364</v>
      </c>
      <c r="G415" t="s">
        <v>47</v>
      </c>
      <c r="H415">
        <v>1089</v>
      </c>
      <c r="I415" s="6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5"/>
        <v>43431.25</v>
      </c>
      <c r="O415" s="13">
        <f t="shared" si="26"/>
        <v>43458.25</v>
      </c>
      <c r="P415" t="b">
        <v>0</v>
      </c>
      <c r="Q415" t="b">
        <v>0</v>
      </c>
      <c r="R415" t="s">
        <v>71</v>
      </c>
      <c r="S415" t="s">
        <v>2035</v>
      </c>
      <c r="T415" t="s">
        <v>2045</v>
      </c>
    </row>
    <row r="416" spans="1:20" ht="17" x14ac:dyDescent="0.2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s="4">
        <f t="shared" si="27"/>
        <v>0.84699787460148779</v>
      </c>
      <c r="G416" t="s">
        <v>14</v>
      </c>
      <c r="H416">
        <v>5497</v>
      </c>
      <c r="I416" s="6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5"/>
        <v>40288.208333333336</v>
      </c>
      <c r="O416" s="13">
        <f t="shared" si="26"/>
        <v>40296.208333333336</v>
      </c>
      <c r="P416" t="b">
        <v>0</v>
      </c>
      <c r="Q416" t="b">
        <v>1</v>
      </c>
      <c r="R416" t="s">
        <v>17</v>
      </c>
      <c r="S416" t="s">
        <v>2036</v>
      </c>
      <c r="T416" t="s">
        <v>2051</v>
      </c>
    </row>
    <row r="417" spans="1:20" ht="17" x14ac:dyDescent="0.2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s="4">
        <f t="shared" si="27"/>
        <v>0.11059030837004405</v>
      </c>
      <c r="G417" t="s">
        <v>14</v>
      </c>
      <c r="H417">
        <v>418</v>
      </c>
      <c r="I417" s="6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5"/>
        <v>40921.25</v>
      </c>
      <c r="O417" s="13">
        <f t="shared" si="26"/>
        <v>40938.25</v>
      </c>
      <c r="P417" t="b">
        <v>0</v>
      </c>
      <c r="Q417" t="b">
        <v>0</v>
      </c>
      <c r="R417" t="s">
        <v>33</v>
      </c>
      <c r="S417" t="s">
        <v>2043</v>
      </c>
      <c r="T417" t="s">
        <v>2058</v>
      </c>
    </row>
    <row r="418" spans="1:20" ht="34" x14ac:dyDescent="0.2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s="4">
        <f t="shared" si="27"/>
        <v>0.43838781575037145</v>
      </c>
      <c r="G418" t="s">
        <v>14</v>
      </c>
      <c r="H418">
        <v>1439</v>
      </c>
      <c r="I418" s="6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5"/>
        <v>40560.25</v>
      </c>
      <c r="O418" s="13">
        <f t="shared" si="26"/>
        <v>40569.25</v>
      </c>
      <c r="P418" t="b">
        <v>0</v>
      </c>
      <c r="Q418" t="b">
        <v>1</v>
      </c>
      <c r="R418" t="s">
        <v>42</v>
      </c>
      <c r="S418" t="s">
        <v>2035</v>
      </c>
      <c r="T418" t="s">
        <v>2047</v>
      </c>
    </row>
    <row r="419" spans="1:20" ht="17" x14ac:dyDescent="0.2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s="4">
        <f t="shared" si="27"/>
        <v>0.55470588235294116</v>
      </c>
      <c r="G419" t="s">
        <v>14</v>
      </c>
      <c r="H419">
        <v>15</v>
      </c>
      <c r="I419" s="6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5"/>
        <v>43407.208333333328</v>
      </c>
      <c r="O419" s="13">
        <f t="shared" si="26"/>
        <v>43431.25</v>
      </c>
      <c r="P419" t="b">
        <v>0</v>
      </c>
      <c r="Q419" t="b">
        <v>0</v>
      </c>
      <c r="R419" t="s">
        <v>33</v>
      </c>
      <c r="S419" t="s">
        <v>2043</v>
      </c>
      <c r="T419" t="s">
        <v>2058</v>
      </c>
    </row>
    <row r="420" spans="1:20" ht="17" x14ac:dyDescent="0.2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s="4">
        <f t="shared" si="27"/>
        <v>0.57399511301160655</v>
      </c>
      <c r="G420" t="s">
        <v>14</v>
      </c>
      <c r="H420">
        <v>1999</v>
      </c>
      <c r="I420" s="6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5"/>
        <v>41035.208333333336</v>
      </c>
      <c r="O420" s="13">
        <f t="shared" si="26"/>
        <v>41036.208333333336</v>
      </c>
      <c r="P420" t="b">
        <v>0</v>
      </c>
      <c r="Q420" t="b">
        <v>0</v>
      </c>
      <c r="R420" t="s">
        <v>42</v>
      </c>
      <c r="S420" t="s">
        <v>2035</v>
      </c>
      <c r="T420" t="s">
        <v>2047</v>
      </c>
    </row>
    <row r="421" spans="1:20" ht="17" x14ac:dyDescent="0.2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s="4">
        <f t="shared" si="27"/>
        <v>1.2343497363796134</v>
      </c>
      <c r="G421" t="s">
        <v>20</v>
      </c>
      <c r="H421">
        <v>5203</v>
      </c>
      <c r="I421" s="6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5"/>
        <v>40899.25</v>
      </c>
      <c r="O421" s="13">
        <f t="shared" si="26"/>
        <v>40905.25</v>
      </c>
      <c r="P421" t="b">
        <v>0</v>
      </c>
      <c r="Q421" t="b">
        <v>0</v>
      </c>
      <c r="R421" t="s">
        <v>28</v>
      </c>
      <c r="S421" t="s">
        <v>2042</v>
      </c>
      <c r="T421" t="s">
        <v>2067</v>
      </c>
    </row>
    <row r="422" spans="1:20" ht="17" x14ac:dyDescent="0.2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s="4">
        <f t="shared" si="27"/>
        <v>1.2846</v>
      </c>
      <c r="G422" t="s">
        <v>20</v>
      </c>
      <c r="H422">
        <v>94</v>
      </c>
      <c r="I422" s="6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5"/>
        <v>42911.208333333328</v>
      </c>
      <c r="O422" s="13">
        <f t="shared" si="26"/>
        <v>42925.208333333328</v>
      </c>
      <c r="P422" t="b">
        <v>0</v>
      </c>
      <c r="Q422" t="b">
        <v>0</v>
      </c>
      <c r="R422" t="s">
        <v>33</v>
      </c>
      <c r="S422" t="s">
        <v>2043</v>
      </c>
      <c r="T422" t="s">
        <v>2058</v>
      </c>
    </row>
    <row r="423" spans="1:20" ht="17" x14ac:dyDescent="0.2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s="4">
        <f t="shared" si="27"/>
        <v>0.63989361702127656</v>
      </c>
      <c r="G423" t="s">
        <v>14</v>
      </c>
      <c r="H423">
        <v>118</v>
      </c>
      <c r="I423" s="6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5"/>
        <v>42915.208333333328</v>
      </c>
      <c r="O423" s="13">
        <f t="shared" si="26"/>
        <v>42945.208333333328</v>
      </c>
      <c r="P423" t="b">
        <v>0</v>
      </c>
      <c r="Q423" t="b">
        <v>1</v>
      </c>
      <c r="R423" t="s">
        <v>65</v>
      </c>
      <c r="S423" t="s">
        <v>2042</v>
      </c>
      <c r="T423" t="s">
        <v>2066</v>
      </c>
    </row>
    <row r="424" spans="1:20" ht="34" x14ac:dyDescent="0.2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s="4">
        <f t="shared" si="27"/>
        <v>1.2729885057471264</v>
      </c>
      <c r="G424" t="s">
        <v>20</v>
      </c>
      <c r="H424">
        <v>205</v>
      </c>
      <c r="I424" s="6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5"/>
        <v>40285.208333333336</v>
      </c>
      <c r="O424" s="13">
        <f t="shared" si="26"/>
        <v>40305.208333333336</v>
      </c>
      <c r="P424" t="b">
        <v>0</v>
      </c>
      <c r="Q424" t="b">
        <v>1</v>
      </c>
      <c r="R424" t="s">
        <v>33</v>
      </c>
      <c r="S424" t="s">
        <v>2043</v>
      </c>
      <c r="T424" t="s">
        <v>2058</v>
      </c>
    </row>
    <row r="425" spans="1:20" ht="17" x14ac:dyDescent="0.2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s="4">
        <f t="shared" si="27"/>
        <v>0.10638024357239513</v>
      </c>
      <c r="G425" t="s">
        <v>14</v>
      </c>
      <c r="H425">
        <v>162</v>
      </c>
      <c r="I425" s="6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5"/>
        <v>40808.208333333336</v>
      </c>
      <c r="O425" s="13">
        <f t="shared" si="26"/>
        <v>40810.208333333336</v>
      </c>
      <c r="P425" t="b">
        <v>0</v>
      </c>
      <c r="Q425" t="b">
        <v>1</v>
      </c>
      <c r="R425" t="s">
        <v>17</v>
      </c>
      <c r="S425" t="s">
        <v>2036</v>
      </c>
      <c r="T425" t="s">
        <v>2051</v>
      </c>
    </row>
    <row r="426" spans="1:20" ht="17" x14ac:dyDescent="0.2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s="4">
        <f t="shared" si="27"/>
        <v>0.40470588235294119</v>
      </c>
      <c r="G426" t="s">
        <v>14</v>
      </c>
      <c r="H426">
        <v>83</v>
      </c>
      <c r="I426" s="6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5"/>
        <v>43208.208333333328</v>
      </c>
      <c r="O426" s="13">
        <f t="shared" si="26"/>
        <v>43214.208333333328</v>
      </c>
      <c r="P426" t="b">
        <v>0</v>
      </c>
      <c r="Q426" t="b">
        <v>0</v>
      </c>
      <c r="R426" t="s">
        <v>60</v>
      </c>
      <c r="S426" t="s">
        <v>2039</v>
      </c>
      <c r="T426" t="s">
        <v>2052</v>
      </c>
    </row>
    <row r="427" spans="1:20" ht="17" x14ac:dyDescent="0.2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s="4">
        <f t="shared" si="27"/>
        <v>2.8766666666666665</v>
      </c>
      <c r="G427" t="s">
        <v>20</v>
      </c>
      <c r="H427">
        <v>92</v>
      </c>
      <c r="I427" s="6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5"/>
        <v>42213.208333333328</v>
      </c>
      <c r="O427" s="13">
        <f t="shared" si="26"/>
        <v>42219.208333333328</v>
      </c>
      <c r="P427" t="b">
        <v>0</v>
      </c>
      <c r="Q427" t="b">
        <v>0</v>
      </c>
      <c r="R427" t="s">
        <v>122</v>
      </c>
      <c r="S427" t="s">
        <v>2040</v>
      </c>
      <c r="T427" t="s">
        <v>2057</v>
      </c>
    </row>
    <row r="428" spans="1:20" ht="17" x14ac:dyDescent="0.2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s="4">
        <f t="shared" si="27"/>
        <v>5.7294444444444448</v>
      </c>
      <c r="G428" t="s">
        <v>20</v>
      </c>
      <c r="H428">
        <v>219</v>
      </c>
      <c r="I428" s="6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5"/>
        <v>41332.25</v>
      </c>
      <c r="O428" s="13">
        <f t="shared" si="26"/>
        <v>41339.25</v>
      </c>
      <c r="P428" t="b">
        <v>0</v>
      </c>
      <c r="Q428" t="b">
        <v>0</v>
      </c>
      <c r="R428" t="s">
        <v>33</v>
      </c>
      <c r="S428" t="s">
        <v>2043</v>
      </c>
      <c r="T428" t="s">
        <v>2058</v>
      </c>
    </row>
    <row r="429" spans="1:20" ht="17" x14ac:dyDescent="0.2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s="4">
        <f t="shared" si="27"/>
        <v>1.1290429799426933</v>
      </c>
      <c r="G429" t="s">
        <v>20</v>
      </c>
      <c r="H429">
        <v>2526</v>
      </c>
      <c r="I429" s="6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5"/>
        <v>41895.208333333336</v>
      </c>
      <c r="O429" s="13">
        <f t="shared" si="26"/>
        <v>41927.208333333336</v>
      </c>
      <c r="P429" t="b">
        <v>0</v>
      </c>
      <c r="Q429" t="b">
        <v>1</v>
      </c>
      <c r="R429" t="s">
        <v>33</v>
      </c>
      <c r="S429" t="s">
        <v>2043</v>
      </c>
      <c r="T429" t="s">
        <v>2058</v>
      </c>
    </row>
    <row r="430" spans="1:20" ht="17" x14ac:dyDescent="0.2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s="4">
        <f t="shared" si="27"/>
        <v>0.46387573964497042</v>
      </c>
      <c r="G430" t="s">
        <v>14</v>
      </c>
      <c r="H430">
        <v>747</v>
      </c>
      <c r="I430" s="6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5"/>
        <v>40585.25</v>
      </c>
      <c r="O430" s="13">
        <f t="shared" si="26"/>
        <v>40592.25</v>
      </c>
      <c r="P430" t="b">
        <v>0</v>
      </c>
      <c r="Q430" t="b">
        <v>0</v>
      </c>
      <c r="R430" t="s">
        <v>71</v>
      </c>
      <c r="S430" t="s">
        <v>2035</v>
      </c>
      <c r="T430" t="s">
        <v>2045</v>
      </c>
    </row>
    <row r="431" spans="1:20" ht="17" x14ac:dyDescent="0.2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s="4">
        <f t="shared" si="27"/>
        <v>0.90675916230366493</v>
      </c>
      <c r="G431" t="s">
        <v>74</v>
      </c>
      <c r="H431">
        <v>2138</v>
      </c>
      <c r="I431" s="6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5"/>
        <v>41680.25</v>
      </c>
      <c r="O431" s="13">
        <f t="shared" si="26"/>
        <v>41708.208333333336</v>
      </c>
      <c r="P431" t="b">
        <v>0</v>
      </c>
      <c r="Q431" t="b">
        <v>1</v>
      </c>
      <c r="R431" t="s">
        <v>122</v>
      </c>
      <c r="S431" t="s">
        <v>2040</v>
      </c>
      <c r="T431" t="s">
        <v>2057</v>
      </c>
    </row>
    <row r="432" spans="1:20" ht="34" x14ac:dyDescent="0.2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s="4">
        <f t="shared" si="27"/>
        <v>0.67740740740740746</v>
      </c>
      <c r="G432" t="s">
        <v>14</v>
      </c>
      <c r="H432">
        <v>84</v>
      </c>
      <c r="I432" s="6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5"/>
        <v>43737.208333333328</v>
      </c>
      <c r="O432" s="13">
        <f t="shared" si="26"/>
        <v>43771.208333333328</v>
      </c>
      <c r="P432" t="b">
        <v>0</v>
      </c>
      <c r="Q432" t="b">
        <v>0</v>
      </c>
      <c r="R432" t="s">
        <v>33</v>
      </c>
      <c r="S432" t="s">
        <v>2043</v>
      </c>
      <c r="T432" t="s">
        <v>2058</v>
      </c>
    </row>
    <row r="433" spans="1:20" ht="17" x14ac:dyDescent="0.2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s="4">
        <f t="shared" si="27"/>
        <v>1.9249019607843136</v>
      </c>
      <c r="G433" t="s">
        <v>20</v>
      </c>
      <c r="H433">
        <v>94</v>
      </c>
      <c r="I433" s="6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5"/>
        <v>43273.208333333328</v>
      </c>
      <c r="O433" s="13">
        <f t="shared" si="26"/>
        <v>43290.208333333328</v>
      </c>
      <c r="P433" t="b">
        <v>1</v>
      </c>
      <c r="Q433" t="b">
        <v>0</v>
      </c>
      <c r="R433" t="s">
        <v>33</v>
      </c>
      <c r="S433" t="s">
        <v>2043</v>
      </c>
      <c r="T433" t="s">
        <v>2058</v>
      </c>
    </row>
    <row r="434" spans="1:20" ht="17" x14ac:dyDescent="0.2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s="4">
        <f t="shared" si="27"/>
        <v>0.82714285714285718</v>
      </c>
      <c r="G434" t="s">
        <v>14</v>
      </c>
      <c r="H434">
        <v>91</v>
      </c>
      <c r="I434" s="6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5"/>
        <v>41761.208333333336</v>
      </c>
      <c r="O434" s="13">
        <f t="shared" si="26"/>
        <v>41781.208333333336</v>
      </c>
      <c r="P434" t="b">
        <v>0</v>
      </c>
      <c r="Q434" t="b">
        <v>0</v>
      </c>
      <c r="R434" t="s">
        <v>33</v>
      </c>
      <c r="S434" t="s">
        <v>2043</v>
      </c>
      <c r="T434" t="s">
        <v>2058</v>
      </c>
    </row>
    <row r="435" spans="1:20" ht="17" x14ac:dyDescent="0.2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s="4">
        <f t="shared" si="27"/>
        <v>0.54163920922570019</v>
      </c>
      <c r="G435" t="s">
        <v>14</v>
      </c>
      <c r="H435">
        <v>792</v>
      </c>
      <c r="I435" s="6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5"/>
        <v>41603.25</v>
      </c>
      <c r="O435" s="13">
        <f t="shared" si="26"/>
        <v>41619.25</v>
      </c>
      <c r="P435" t="b">
        <v>0</v>
      </c>
      <c r="Q435" t="b">
        <v>1</v>
      </c>
      <c r="R435" t="s">
        <v>42</v>
      </c>
      <c r="S435" t="s">
        <v>2035</v>
      </c>
      <c r="T435" t="s">
        <v>2047</v>
      </c>
    </row>
    <row r="436" spans="1:20" ht="17" x14ac:dyDescent="0.2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s="4">
        <f t="shared" si="27"/>
        <v>0.16722222222222222</v>
      </c>
      <c r="G436" t="s">
        <v>74</v>
      </c>
      <c r="H436">
        <v>10</v>
      </c>
      <c r="I436" s="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5"/>
        <v>42705.25</v>
      </c>
      <c r="O436" s="13">
        <f t="shared" si="26"/>
        <v>42719.25</v>
      </c>
      <c r="P436" t="b">
        <v>1</v>
      </c>
      <c r="Q436" t="b">
        <v>0</v>
      </c>
      <c r="R436" t="s">
        <v>33</v>
      </c>
      <c r="S436" t="s">
        <v>2043</v>
      </c>
      <c r="T436" t="s">
        <v>2058</v>
      </c>
    </row>
    <row r="437" spans="1:20" ht="17" x14ac:dyDescent="0.2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s="4">
        <f t="shared" si="27"/>
        <v>1.168766404199475</v>
      </c>
      <c r="G437" t="s">
        <v>20</v>
      </c>
      <c r="H437">
        <v>1713</v>
      </c>
      <c r="I437" s="6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5"/>
        <v>41988.25</v>
      </c>
      <c r="O437" s="13">
        <f t="shared" si="26"/>
        <v>42000.25</v>
      </c>
      <c r="P437" t="b">
        <v>0</v>
      </c>
      <c r="Q437" t="b">
        <v>1</v>
      </c>
      <c r="R437" t="s">
        <v>33</v>
      </c>
      <c r="S437" t="s">
        <v>2043</v>
      </c>
      <c r="T437" t="s">
        <v>2058</v>
      </c>
    </row>
    <row r="438" spans="1:20" ht="17" x14ac:dyDescent="0.2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s="4">
        <f t="shared" si="27"/>
        <v>10.521538461538462</v>
      </c>
      <c r="G438" t="s">
        <v>20</v>
      </c>
      <c r="H438">
        <v>249</v>
      </c>
      <c r="I438" s="6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5"/>
        <v>43575.208333333328</v>
      </c>
      <c r="O438" s="13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2039</v>
      </c>
      <c r="T438" t="s">
        <v>2053</v>
      </c>
    </row>
    <row r="439" spans="1:20" ht="17" x14ac:dyDescent="0.2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s="4">
        <f t="shared" si="27"/>
        <v>1.2307407407407407</v>
      </c>
      <c r="G439" t="s">
        <v>20</v>
      </c>
      <c r="H439">
        <v>192</v>
      </c>
      <c r="I439" s="6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5"/>
        <v>42260.208333333328</v>
      </c>
      <c r="O439" s="13">
        <f t="shared" si="26"/>
        <v>42263.208333333328</v>
      </c>
      <c r="P439" t="b">
        <v>0</v>
      </c>
      <c r="Q439" t="b">
        <v>1</v>
      </c>
      <c r="R439" t="s">
        <v>71</v>
      </c>
      <c r="S439" t="s">
        <v>2035</v>
      </c>
      <c r="T439" t="s">
        <v>2045</v>
      </c>
    </row>
    <row r="440" spans="1:20" ht="34" x14ac:dyDescent="0.2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s="4">
        <f t="shared" si="27"/>
        <v>1.7863855421686747</v>
      </c>
      <c r="G440" t="s">
        <v>20</v>
      </c>
      <c r="H440">
        <v>247</v>
      </c>
      <c r="I440" s="6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5"/>
        <v>41337.25</v>
      </c>
      <c r="O440" s="13">
        <f t="shared" si="26"/>
        <v>41367.208333333336</v>
      </c>
      <c r="P440" t="b">
        <v>0</v>
      </c>
      <c r="Q440" t="b">
        <v>0</v>
      </c>
      <c r="R440" t="s">
        <v>33</v>
      </c>
      <c r="S440" t="s">
        <v>2043</v>
      </c>
      <c r="T440" t="s">
        <v>2058</v>
      </c>
    </row>
    <row r="441" spans="1:20" ht="17" x14ac:dyDescent="0.2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s="4">
        <f t="shared" si="27"/>
        <v>3.5528169014084505</v>
      </c>
      <c r="G441" t="s">
        <v>20</v>
      </c>
      <c r="H441">
        <v>2293</v>
      </c>
      <c r="I441" s="6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5"/>
        <v>42680.208333333328</v>
      </c>
      <c r="O441" s="13">
        <f t="shared" si="26"/>
        <v>42687.25</v>
      </c>
      <c r="P441" t="b">
        <v>0</v>
      </c>
      <c r="Q441" t="b">
        <v>0</v>
      </c>
      <c r="R441" t="s">
        <v>474</v>
      </c>
      <c r="S441" t="s">
        <v>2035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s="4">
        <f t="shared" si="27"/>
        <v>1.6190634146341463</v>
      </c>
      <c r="G442" t="s">
        <v>20</v>
      </c>
      <c r="H442">
        <v>3131</v>
      </c>
      <c r="I442" s="6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5"/>
        <v>42916.208333333328</v>
      </c>
      <c r="O442" s="13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2035</v>
      </c>
      <c r="T442" t="s">
        <v>2063</v>
      </c>
    </row>
    <row r="443" spans="1:20" ht="17" x14ac:dyDescent="0.2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s="4">
        <f t="shared" si="27"/>
        <v>0.24914285714285714</v>
      </c>
      <c r="G443" t="s">
        <v>14</v>
      </c>
      <c r="H443">
        <v>32</v>
      </c>
      <c r="I443" s="6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5"/>
        <v>41025.208333333336</v>
      </c>
      <c r="O443" s="13">
        <f t="shared" si="26"/>
        <v>41053.208333333336</v>
      </c>
      <c r="P443" t="b">
        <v>0</v>
      </c>
      <c r="Q443" t="b">
        <v>0</v>
      </c>
      <c r="R443" t="s">
        <v>65</v>
      </c>
      <c r="S443" t="s">
        <v>2042</v>
      </c>
      <c r="T443" t="s">
        <v>2066</v>
      </c>
    </row>
    <row r="444" spans="1:20" ht="17" x14ac:dyDescent="0.2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s="4">
        <f t="shared" si="27"/>
        <v>1.9872222222222222</v>
      </c>
      <c r="G444" t="s">
        <v>20</v>
      </c>
      <c r="H444">
        <v>143</v>
      </c>
      <c r="I444" s="6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5"/>
        <v>42980.208333333328</v>
      </c>
      <c r="O444" s="13">
        <f t="shared" si="26"/>
        <v>42996.208333333328</v>
      </c>
      <c r="P444" t="b">
        <v>0</v>
      </c>
      <c r="Q444" t="b">
        <v>0</v>
      </c>
      <c r="R444" t="s">
        <v>33</v>
      </c>
      <c r="S444" t="s">
        <v>2043</v>
      </c>
      <c r="T444" t="s">
        <v>2058</v>
      </c>
    </row>
    <row r="445" spans="1:20" ht="17" x14ac:dyDescent="0.2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s="4">
        <f t="shared" si="27"/>
        <v>0.34752688172043011</v>
      </c>
      <c r="G445" t="s">
        <v>74</v>
      </c>
      <c r="H445">
        <v>90</v>
      </c>
      <c r="I445" s="6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5"/>
        <v>40451.208333333336</v>
      </c>
      <c r="O445" s="13">
        <f t="shared" si="26"/>
        <v>40470.208333333336</v>
      </c>
      <c r="P445" t="b">
        <v>0</v>
      </c>
      <c r="Q445" t="b">
        <v>0</v>
      </c>
      <c r="R445" t="s">
        <v>33</v>
      </c>
      <c r="S445" t="s">
        <v>2043</v>
      </c>
      <c r="T445" t="s">
        <v>2058</v>
      </c>
    </row>
    <row r="446" spans="1:20" ht="17" x14ac:dyDescent="0.2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s="4">
        <f t="shared" si="27"/>
        <v>1.7641935483870967</v>
      </c>
      <c r="G446" t="s">
        <v>20</v>
      </c>
      <c r="H446">
        <v>296</v>
      </c>
      <c r="I446" s="6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5"/>
        <v>40748.208333333336</v>
      </c>
      <c r="O446" s="13">
        <f t="shared" si="26"/>
        <v>40750.208333333336</v>
      </c>
      <c r="P446" t="b">
        <v>0</v>
      </c>
      <c r="Q446" t="b">
        <v>1</v>
      </c>
      <c r="R446" t="s">
        <v>60</v>
      </c>
      <c r="S446" t="s">
        <v>2039</v>
      </c>
      <c r="T446" t="s">
        <v>2052</v>
      </c>
    </row>
    <row r="447" spans="1:20" ht="34" x14ac:dyDescent="0.2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s="4">
        <f t="shared" si="27"/>
        <v>5.1138095238095236</v>
      </c>
      <c r="G447" t="s">
        <v>20</v>
      </c>
      <c r="H447">
        <v>170</v>
      </c>
      <c r="I447" s="6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5"/>
        <v>40515.25</v>
      </c>
      <c r="O447" s="13">
        <f t="shared" si="26"/>
        <v>40536.25</v>
      </c>
      <c r="P447" t="b">
        <v>0</v>
      </c>
      <c r="Q447" t="b">
        <v>1</v>
      </c>
      <c r="R447" t="s">
        <v>33</v>
      </c>
      <c r="S447" t="s">
        <v>2043</v>
      </c>
      <c r="T447" t="s">
        <v>2058</v>
      </c>
    </row>
    <row r="448" spans="1:20" ht="17" x14ac:dyDescent="0.2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s="4">
        <f t="shared" si="27"/>
        <v>0.82044117647058823</v>
      </c>
      <c r="G448" t="s">
        <v>14</v>
      </c>
      <c r="H448">
        <v>186</v>
      </c>
      <c r="I448" s="6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5"/>
        <v>41261.25</v>
      </c>
      <c r="O448" s="13">
        <f t="shared" si="26"/>
        <v>41263.25</v>
      </c>
      <c r="P448" t="b">
        <v>0</v>
      </c>
      <c r="Q448" t="b">
        <v>0</v>
      </c>
      <c r="R448" t="s">
        <v>65</v>
      </c>
      <c r="S448" t="s">
        <v>2042</v>
      </c>
      <c r="T448" t="s">
        <v>2066</v>
      </c>
    </row>
    <row r="449" spans="1:20" ht="34" x14ac:dyDescent="0.2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s="4">
        <f t="shared" si="27"/>
        <v>0.24326030927835052</v>
      </c>
      <c r="G449" t="s">
        <v>74</v>
      </c>
      <c r="H449">
        <v>439</v>
      </c>
      <c r="I449" s="6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5"/>
        <v>43088.25</v>
      </c>
      <c r="O449" s="13">
        <f t="shared" si="26"/>
        <v>43104.25</v>
      </c>
      <c r="P449" t="b">
        <v>0</v>
      </c>
      <c r="Q449" t="b">
        <v>0</v>
      </c>
      <c r="R449" t="s">
        <v>269</v>
      </c>
      <c r="S449" t="s">
        <v>2035</v>
      </c>
      <c r="T449" t="s">
        <v>2063</v>
      </c>
    </row>
    <row r="450" spans="1:20" ht="17" x14ac:dyDescent="0.2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s="4">
        <f t="shared" si="27"/>
        <v>0.50482758620689661</v>
      </c>
      <c r="G450" t="s">
        <v>14</v>
      </c>
      <c r="H450">
        <v>605</v>
      </c>
      <c r="I450" s="6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5"/>
        <v>41378.208333333336</v>
      </c>
      <c r="O450" s="13">
        <f t="shared" si="26"/>
        <v>41380.208333333336</v>
      </c>
      <c r="P450" t="b">
        <v>0</v>
      </c>
      <c r="Q450" t="b">
        <v>1</v>
      </c>
      <c r="R450" t="s">
        <v>89</v>
      </c>
      <c r="S450" t="s">
        <v>2037</v>
      </c>
      <c r="T450" t="s">
        <v>2065</v>
      </c>
    </row>
    <row r="451" spans="1:20" ht="17" x14ac:dyDescent="0.2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s="4">
        <f t="shared" si="27"/>
        <v>9.67</v>
      </c>
      <c r="G451" t="s">
        <v>20</v>
      </c>
      <c r="H451">
        <v>86</v>
      </c>
      <c r="I451" s="6">
        <f t="shared" ref="I451:I514" si="28">IF(H451&lt;&gt;0,E451/H451,0)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3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2037</v>
      </c>
      <c r="T451" t="s">
        <v>2065</v>
      </c>
    </row>
    <row r="452" spans="1:20" ht="17" x14ac:dyDescent="0.2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s="4">
        <f t="shared" ref="F452:F515" si="31">E452/D452</f>
        <v>0.04</v>
      </c>
      <c r="G452" t="s">
        <v>14</v>
      </c>
      <c r="H452">
        <v>1</v>
      </c>
      <c r="I452" s="6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9"/>
        <v>43394.208333333328</v>
      </c>
      <c r="O452" s="13">
        <f t="shared" si="30"/>
        <v>43417.25</v>
      </c>
      <c r="P452" t="b">
        <v>0</v>
      </c>
      <c r="Q452" t="b">
        <v>0</v>
      </c>
      <c r="R452" t="s">
        <v>71</v>
      </c>
      <c r="S452" t="s">
        <v>2035</v>
      </c>
      <c r="T452" t="s">
        <v>2045</v>
      </c>
    </row>
    <row r="453" spans="1:20" ht="17" x14ac:dyDescent="0.2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s="4">
        <f t="shared" si="31"/>
        <v>1.2284501347708894</v>
      </c>
      <c r="G453" t="s">
        <v>20</v>
      </c>
      <c r="H453">
        <v>6286</v>
      </c>
      <c r="I453" s="6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9"/>
        <v>42935.208333333328</v>
      </c>
      <c r="O453" s="13">
        <f t="shared" si="30"/>
        <v>42966.208333333328</v>
      </c>
      <c r="P453" t="b">
        <v>0</v>
      </c>
      <c r="Q453" t="b">
        <v>0</v>
      </c>
      <c r="R453" t="s">
        <v>23</v>
      </c>
      <c r="S453" t="s">
        <v>2039</v>
      </c>
      <c r="T453" t="s">
        <v>2060</v>
      </c>
    </row>
    <row r="454" spans="1:20" ht="34" x14ac:dyDescent="0.2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s="4">
        <f t="shared" si="31"/>
        <v>0.63437500000000002</v>
      </c>
      <c r="G454" t="s">
        <v>14</v>
      </c>
      <c r="H454">
        <v>31</v>
      </c>
      <c r="I454" s="6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9"/>
        <v>40365.208333333336</v>
      </c>
      <c r="O454" s="13">
        <f t="shared" si="30"/>
        <v>40366.208333333336</v>
      </c>
      <c r="P454" t="b">
        <v>0</v>
      </c>
      <c r="Q454" t="b">
        <v>0</v>
      </c>
      <c r="R454" t="s">
        <v>53</v>
      </c>
      <c r="S454" t="s">
        <v>2035</v>
      </c>
      <c r="T454" t="s">
        <v>2048</v>
      </c>
    </row>
    <row r="455" spans="1:20" ht="34" x14ac:dyDescent="0.2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s="4">
        <f t="shared" si="31"/>
        <v>0.56331688596491225</v>
      </c>
      <c r="G455" t="s">
        <v>14</v>
      </c>
      <c r="H455">
        <v>1181</v>
      </c>
      <c r="I455" s="6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9"/>
        <v>42705.25</v>
      </c>
      <c r="O455" s="13">
        <f t="shared" si="30"/>
        <v>42746.25</v>
      </c>
      <c r="P455" t="b">
        <v>0</v>
      </c>
      <c r="Q455" t="b">
        <v>0</v>
      </c>
      <c r="R455" t="s">
        <v>474</v>
      </c>
      <c r="S455" t="s">
        <v>2035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s="4">
        <f t="shared" si="31"/>
        <v>0.44074999999999998</v>
      </c>
      <c r="G456" t="s">
        <v>14</v>
      </c>
      <c r="H456">
        <v>39</v>
      </c>
      <c r="I456" s="6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9"/>
        <v>41568.208333333336</v>
      </c>
      <c r="O456" s="13">
        <f t="shared" si="30"/>
        <v>41604.25</v>
      </c>
      <c r="P456" t="b">
        <v>0</v>
      </c>
      <c r="Q456" t="b">
        <v>1</v>
      </c>
      <c r="R456" t="s">
        <v>53</v>
      </c>
      <c r="S456" t="s">
        <v>2035</v>
      </c>
      <c r="T456" t="s">
        <v>2048</v>
      </c>
    </row>
    <row r="457" spans="1:20" ht="17" x14ac:dyDescent="0.2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s="4">
        <f t="shared" si="31"/>
        <v>1.1837253218884121</v>
      </c>
      <c r="G457" t="s">
        <v>20</v>
      </c>
      <c r="H457">
        <v>3727</v>
      </c>
      <c r="I457" s="6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9"/>
        <v>40809.208333333336</v>
      </c>
      <c r="O457" s="13">
        <f t="shared" si="30"/>
        <v>40832.208333333336</v>
      </c>
      <c r="P457" t="b">
        <v>0</v>
      </c>
      <c r="Q457" t="b">
        <v>0</v>
      </c>
      <c r="R457" t="s">
        <v>33</v>
      </c>
      <c r="S457" t="s">
        <v>2043</v>
      </c>
      <c r="T457" t="s">
        <v>2058</v>
      </c>
    </row>
    <row r="458" spans="1:20" ht="34" x14ac:dyDescent="0.2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s="4">
        <f t="shared" si="31"/>
        <v>1.041243169398907</v>
      </c>
      <c r="G458" t="s">
        <v>20</v>
      </c>
      <c r="H458">
        <v>1605</v>
      </c>
      <c r="I458" s="6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9"/>
        <v>43141.25</v>
      </c>
      <c r="O458" s="13">
        <f t="shared" si="30"/>
        <v>43141.25</v>
      </c>
      <c r="P458" t="b">
        <v>0</v>
      </c>
      <c r="Q458" t="b">
        <v>1</v>
      </c>
      <c r="R458" t="s">
        <v>60</v>
      </c>
      <c r="S458" t="s">
        <v>2039</v>
      </c>
      <c r="T458" t="s">
        <v>2052</v>
      </c>
    </row>
    <row r="459" spans="1:20" ht="17" x14ac:dyDescent="0.2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s="4">
        <f t="shared" si="31"/>
        <v>0.26640000000000003</v>
      </c>
      <c r="G459" t="s">
        <v>14</v>
      </c>
      <c r="H459">
        <v>46</v>
      </c>
      <c r="I459" s="6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9"/>
        <v>42657.208333333328</v>
      </c>
      <c r="O459" s="13">
        <f t="shared" si="30"/>
        <v>42659.208333333328</v>
      </c>
      <c r="P459" t="b">
        <v>0</v>
      </c>
      <c r="Q459" t="b">
        <v>0</v>
      </c>
      <c r="R459" t="s">
        <v>33</v>
      </c>
      <c r="S459" t="s">
        <v>2043</v>
      </c>
      <c r="T459" t="s">
        <v>2058</v>
      </c>
    </row>
    <row r="460" spans="1:20" ht="17" x14ac:dyDescent="0.2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s="4">
        <f t="shared" si="31"/>
        <v>3.5120118343195266</v>
      </c>
      <c r="G460" t="s">
        <v>20</v>
      </c>
      <c r="H460">
        <v>2120</v>
      </c>
      <c r="I460" s="6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9"/>
        <v>40265.208333333336</v>
      </c>
      <c r="O460" s="13">
        <f t="shared" si="30"/>
        <v>40309.208333333336</v>
      </c>
      <c r="P460" t="b">
        <v>0</v>
      </c>
      <c r="Q460" t="b">
        <v>0</v>
      </c>
      <c r="R460" t="s">
        <v>33</v>
      </c>
      <c r="S460" t="s">
        <v>2043</v>
      </c>
      <c r="T460" t="s">
        <v>2058</v>
      </c>
    </row>
    <row r="461" spans="1:20" ht="17" x14ac:dyDescent="0.2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s="4">
        <f t="shared" si="31"/>
        <v>0.90063492063492068</v>
      </c>
      <c r="G461" t="s">
        <v>14</v>
      </c>
      <c r="H461">
        <v>105</v>
      </c>
      <c r="I461" s="6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9"/>
        <v>42001.25</v>
      </c>
      <c r="O461" s="13">
        <f t="shared" si="30"/>
        <v>42026.25</v>
      </c>
      <c r="P461" t="b">
        <v>0</v>
      </c>
      <c r="Q461" t="b">
        <v>0</v>
      </c>
      <c r="R461" t="s">
        <v>42</v>
      </c>
      <c r="S461" t="s">
        <v>2035</v>
      </c>
      <c r="T461" t="s">
        <v>2047</v>
      </c>
    </row>
    <row r="462" spans="1:20" ht="17" x14ac:dyDescent="0.2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s="4">
        <f t="shared" si="31"/>
        <v>1.7162500000000001</v>
      </c>
      <c r="G462" t="s">
        <v>20</v>
      </c>
      <c r="H462">
        <v>50</v>
      </c>
      <c r="I462" s="6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9"/>
        <v>40399.208333333336</v>
      </c>
      <c r="O462" s="13">
        <f t="shared" si="30"/>
        <v>40402.208333333336</v>
      </c>
      <c r="P462" t="b">
        <v>0</v>
      </c>
      <c r="Q462" t="b">
        <v>0</v>
      </c>
      <c r="R462" t="s">
        <v>33</v>
      </c>
      <c r="S462" t="s">
        <v>2043</v>
      </c>
      <c r="T462" t="s">
        <v>2058</v>
      </c>
    </row>
    <row r="463" spans="1:20" ht="17" x14ac:dyDescent="0.2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s="4">
        <f t="shared" si="31"/>
        <v>1.4104655870445344</v>
      </c>
      <c r="G463" t="s">
        <v>20</v>
      </c>
      <c r="H463">
        <v>2080</v>
      </c>
      <c r="I463" s="6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9"/>
        <v>41757.208333333336</v>
      </c>
      <c r="O463" s="13">
        <f t="shared" si="30"/>
        <v>41777.208333333336</v>
      </c>
      <c r="P463" t="b">
        <v>0</v>
      </c>
      <c r="Q463" t="b">
        <v>0</v>
      </c>
      <c r="R463" t="s">
        <v>53</v>
      </c>
      <c r="S463" t="s">
        <v>2035</v>
      </c>
      <c r="T463" t="s">
        <v>2048</v>
      </c>
    </row>
    <row r="464" spans="1:20" ht="17" x14ac:dyDescent="0.2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s="4">
        <f t="shared" si="31"/>
        <v>0.30579449152542371</v>
      </c>
      <c r="G464" t="s">
        <v>14</v>
      </c>
      <c r="H464">
        <v>535</v>
      </c>
      <c r="I464" s="6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9"/>
        <v>41304.25</v>
      </c>
      <c r="O464" s="13">
        <f t="shared" si="30"/>
        <v>41342.25</v>
      </c>
      <c r="P464" t="b">
        <v>0</v>
      </c>
      <c r="Q464" t="b">
        <v>0</v>
      </c>
      <c r="R464" t="s">
        <v>292</v>
      </c>
      <c r="S464" t="s">
        <v>2037</v>
      </c>
      <c r="T464" t="s">
        <v>2055</v>
      </c>
    </row>
    <row r="465" spans="1:20" ht="34" x14ac:dyDescent="0.2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s="4">
        <f t="shared" si="31"/>
        <v>1.0816455696202532</v>
      </c>
      <c r="G465" t="s">
        <v>20</v>
      </c>
      <c r="H465">
        <v>2105</v>
      </c>
      <c r="I465" s="6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9"/>
        <v>41639.25</v>
      </c>
      <c r="O465" s="13">
        <f t="shared" si="30"/>
        <v>41643.25</v>
      </c>
      <c r="P465" t="b">
        <v>0</v>
      </c>
      <c r="Q465" t="b">
        <v>0</v>
      </c>
      <c r="R465" t="s">
        <v>71</v>
      </c>
      <c r="S465" t="s">
        <v>2035</v>
      </c>
      <c r="T465" t="s">
        <v>2045</v>
      </c>
    </row>
    <row r="466" spans="1:20" ht="17" x14ac:dyDescent="0.2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s="4">
        <f t="shared" si="31"/>
        <v>1.3345505617977529</v>
      </c>
      <c r="G466" t="s">
        <v>20</v>
      </c>
      <c r="H466">
        <v>2436</v>
      </c>
      <c r="I466" s="6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9"/>
        <v>43142.25</v>
      </c>
      <c r="O466" s="13">
        <f t="shared" si="30"/>
        <v>43156.25</v>
      </c>
      <c r="P466" t="b">
        <v>0</v>
      </c>
      <c r="Q466" t="b">
        <v>0</v>
      </c>
      <c r="R466" t="s">
        <v>33</v>
      </c>
      <c r="S466" t="s">
        <v>2043</v>
      </c>
      <c r="T466" t="s">
        <v>2058</v>
      </c>
    </row>
    <row r="467" spans="1:20" ht="17" x14ac:dyDescent="0.2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s="4">
        <f t="shared" si="31"/>
        <v>1.8785106382978722</v>
      </c>
      <c r="G467" t="s">
        <v>20</v>
      </c>
      <c r="H467">
        <v>80</v>
      </c>
      <c r="I467" s="6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9"/>
        <v>43127.25</v>
      </c>
      <c r="O467" s="13">
        <f t="shared" si="30"/>
        <v>43136.25</v>
      </c>
      <c r="P467" t="b">
        <v>0</v>
      </c>
      <c r="Q467" t="b">
        <v>0</v>
      </c>
      <c r="R467" t="s">
        <v>206</v>
      </c>
      <c r="S467" t="s">
        <v>2041</v>
      </c>
      <c r="T467" t="s">
        <v>2064</v>
      </c>
    </row>
    <row r="468" spans="1:20" ht="17" x14ac:dyDescent="0.2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s="4">
        <f t="shared" si="31"/>
        <v>3.32</v>
      </c>
      <c r="G468" t="s">
        <v>20</v>
      </c>
      <c r="H468">
        <v>42</v>
      </c>
      <c r="I468" s="6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9"/>
        <v>41409.208333333336</v>
      </c>
      <c r="O468" s="13">
        <f t="shared" si="30"/>
        <v>41432.208333333336</v>
      </c>
      <c r="P468" t="b">
        <v>0</v>
      </c>
      <c r="Q468" t="b">
        <v>1</v>
      </c>
      <c r="R468" t="s">
        <v>65</v>
      </c>
      <c r="S468" t="s">
        <v>2042</v>
      </c>
      <c r="T468" t="s">
        <v>2066</v>
      </c>
    </row>
    <row r="469" spans="1:20" ht="34" x14ac:dyDescent="0.2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s="4">
        <f t="shared" si="31"/>
        <v>5.7521428571428572</v>
      </c>
      <c r="G469" t="s">
        <v>20</v>
      </c>
      <c r="H469">
        <v>139</v>
      </c>
      <c r="I469" s="6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9"/>
        <v>42331.25</v>
      </c>
      <c r="O469" s="13">
        <f t="shared" si="30"/>
        <v>42338.25</v>
      </c>
      <c r="P469" t="b">
        <v>0</v>
      </c>
      <c r="Q469" t="b">
        <v>1</v>
      </c>
      <c r="R469" t="s">
        <v>28</v>
      </c>
      <c r="S469" t="s">
        <v>2042</v>
      </c>
      <c r="T469" t="s">
        <v>2067</v>
      </c>
    </row>
    <row r="470" spans="1:20" ht="17" x14ac:dyDescent="0.2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s="4">
        <f t="shared" si="31"/>
        <v>0.40500000000000003</v>
      </c>
      <c r="G470" t="s">
        <v>14</v>
      </c>
      <c r="H470">
        <v>16</v>
      </c>
      <c r="I470" s="6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9"/>
        <v>43569.208333333328</v>
      </c>
      <c r="O470" s="13">
        <f t="shared" si="30"/>
        <v>43585.208333333328</v>
      </c>
      <c r="P470" t="b">
        <v>0</v>
      </c>
      <c r="Q470" t="b">
        <v>0</v>
      </c>
      <c r="R470" t="s">
        <v>33</v>
      </c>
      <c r="S470" t="s">
        <v>2043</v>
      </c>
      <c r="T470" t="s">
        <v>2058</v>
      </c>
    </row>
    <row r="471" spans="1:20" ht="17" x14ac:dyDescent="0.2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s="4">
        <f t="shared" si="31"/>
        <v>1.8442857142857143</v>
      </c>
      <c r="G471" t="s">
        <v>20</v>
      </c>
      <c r="H471">
        <v>159</v>
      </c>
      <c r="I471" s="6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9"/>
        <v>42142.208333333328</v>
      </c>
      <c r="O471" s="13">
        <f t="shared" si="30"/>
        <v>42144.208333333328</v>
      </c>
      <c r="P471" t="b">
        <v>0</v>
      </c>
      <c r="Q471" t="b">
        <v>0</v>
      </c>
      <c r="R471" t="s">
        <v>53</v>
      </c>
      <c r="S471" t="s">
        <v>2035</v>
      </c>
      <c r="T471" t="s">
        <v>2048</v>
      </c>
    </row>
    <row r="472" spans="1:20" ht="17" x14ac:dyDescent="0.2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s="4">
        <f t="shared" si="31"/>
        <v>2.8580555555555556</v>
      </c>
      <c r="G472" t="s">
        <v>20</v>
      </c>
      <c r="H472">
        <v>381</v>
      </c>
      <c r="I472" s="6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9"/>
        <v>42716.25</v>
      </c>
      <c r="O472" s="13">
        <f t="shared" si="30"/>
        <v>42723.25</v>
      </c>
      <c r="P472" t="b">
        <v>0</v>
      </c>
      <c r="Q472" t="b">
        <v>0</v>
      </c>
      <c r="R472" t="s">
        <v>65</v>
      </c>
      <c r="S472" t="s">
        <v>2042</v>
      </c>
      <c r="T472" t="s">
        <v>2066</v>
      </c>
    </row>
    <row r="473" spans="1:20" ht="17" x14ac:dyDescent="0.2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s="4">
        <f t="shared" si="31"/>
        <v>3.19</v>
      </c>
      <c r="G473" t="s">
        <v>20</v>
      </c>
      <c r="H473">
        <v>194</v>
      </c>
      <c r="I473" s="6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9"/>
        <v>41031.208333333336</v>
      </c>
      <c r="O473" s="13">
        <f t="shared" si="30"/>
        <v>41031.208333333336</v>
      </c>
      <c r="P473" t="b">
        <v>0</v>
      </c>
      <c r="Q473" t="b">
        <v>1</v>
      </c>
      <c r="R473" t="s">
        <v>17</v>
      </c>
      <c r="S473" t="s">
        <v>2036</v>
      </c>
      <c r="T473" t="s">
        <v>2051</v>
      </c>
    </row>
    <row r="474" spans="1:20" ht="34" x14ac:dyDescent="0.2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s="4">
        <f t="shared" si="31"/>
        <v>0.39234070221066319</v>
      </c>
      <c r="G474" t="s">
        <v>14</v>
      </c>
      <c r="H474">
        <v>575</v>
      </c>
      <c r="I474" s="6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9"/>
        <v>43535.208333333328</v>
      </c>
      <c r="O474" s="13">
        <f t="shared" si="30"/>
        <v>43589.208333333328</v>
      </c>
      <c r="P474" t="b">
        <v>0</v>
      </c>
      <c r="Q474" t="b">
        <v>0</v>
      </c>
      <c r="R474" t="s">
        <v>23</v>
      </c>
      <c r="S474" t="s">
        <v>2039</v>
      </c>
      <c r="T474" t="s">
        <v>2060</v>
      </c>
    </row>
    <row r="475" spans="1:20" ht="17" x14ac:dyDescent="0.2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s="4">
        <f t="shared" si="31"/>
        <v>1.7814000000000001</v>
      </c>
      <c r="G475" t="s">
        <v>20</v>
      </c>
      <c r="H475">
        <v>106</v>
      </c>
      <c r="I475" s="6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9"/>
        <v>43277.208333333328</v>
      </c>
      <c r="O475" s="13">
        <f t="shared" si="30"/>
        <v>43278.208333333328</v>
      </c>
      <c r="P475" t="b">
        <v>0</v>
      </c>
      <c r="Q475" t="b">
        <v>0</v>
      </c>
      <c r="R475" t="s">
        <v>50</v>
      </c>
      <c r="S475" t="s">
        <v>2039</v>
      </c>
      <c r="T475" t="s">
        <v>2049</v>
      </c>
    </row>
    <row r="476" spans="1:20" ht="17" x14ac:dyDescent="0.2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s="4">
        <f t="shared" si="31"/>
        <v>3.6515</v>
      </c>
      <c r="G476" t="s">
        <v>20</v>
      </c>
      <c r="H476">
        <v>142</v>
      </c>
      <c r="I476" s="6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9"/>
        <v>41989.25</v>
      </c>
      <c r="O476" s="13">
        <f t="shared" si="30"/>
        <v>41990.25</v>
      </c>
      <c r="P476" t="b">
        <v>0</v>
      </c>
      <c r="Q476" t="b">
        <v>0</v>
      </c>
      <c r="R476" t="s">
        <v>269</v>
      </c>
      <c r="S476" t="s">
        <v>2035</v>
      </c>
      <c r="T476" t="s">
        <v>2063</v>
      </c>
    </row>
    <row r="477" spans="1:20" ht="34" x14ac:dyDescent="0.2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s="4">
        <f t="shared" si="31"/>
        <v>1.1394594594594594</v>
      </c>
      <c r="G477" t="s">
        <v>20</v>
      </c>
      <c r="H477">
        <v>211</v>
      </c>
      <c r="I477" s="6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9"/>
        <v>41450.208333333336</v>
      </c>
      <c r="O477" s="13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2041</v>
      </c>
      <c r="T477" t="s">
        <v>2064</v>
      </c>
    </row>
    <row r="478" spans="1:20" ht="34" x14ac:dyDescent="0.2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s="4">
        <f t="shared" si="31"/>
        <v>0.29828720626631855</v>
      </c>
      <c r="G478" t="s">
        <v>14</v>
      </c>
      <c r="H478">
        <v>1120</v>
      </c>
      <c r="I478" s="6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9"/>
        <v>43322.208333333328</v>
      </c>
      <c r="O478" s="13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2041</v>
      </c>
      <c r="T478" t="s">
        <v>2050</v>
      </c>
    </row>
    <row r="479" spans="1:20" ht="17" x14ac:dyDescent="0.2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s="4">
        <f t="shared" si="31"/>
        <v>0.54270588235294115</v>
      </c>
      <c r="G479" t="s">
        <v>14</v>
      </c>
      <c r="H479">
        <v>113</v>
      </c>
      <c r="I479" s="6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9"/>
        <v>40720.208333333336</v>
      </c>
      <c r="O479" s="13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2035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s="4">
        <f t="shared" si="31"/>
        <v>2.3634156976744185</v>
      </c>
      <c r="G480" t="s">
        <v>20</v>
      </c>
      <c r="H480">
        <v>2756</v>
      </c>
      <c r="I480" s="6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9"/>
        <v>42072.208333333328</v>
      </c>
      <c r="O480" s="13">
        <f t="shared" si="30"/>
        <v>42084.208333333328</v>
      </c>
      <c r="P480" t="b">
        <v>0</v>
      </c>
      <c r="Q480" t="b">
        <v>0</v>
      </c>
      <c r="R480" t="s">
        <v>65</v>
      </c>
      <c r="S480" t="s">
        <v>2042</v>
      </c>
      <c r="T480" t="s">
        <v>2066</v>
      </c>
    </row>
    <row r="481" spans="1:20" ht="17" x14ac:dyDescent="0.2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s="4">
        <f t="shared" si="31"/>
        <v>5.1291666666666664</v>
      </c>
      <c r="G481" t="s">
        <v>20</v>
      </c>
      <c r="H481">
        <v>173</v>
      </c>
      <c r="I481" s="6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9"/>
        <v>42945.208333333328</v>
      </c>
      <c r="O481" s="13">
        <f t="shared" si="30"/>
        <v>42947.208333333328</v>
      </c>
      <c r="P481" t="b">
        <v>0</v>
      </c>
      <c r="Q481" t="b">
        <v>0</v>
      </c>
      <c r="R481" t="s">
        <v>17</v>
      </c>
      <c r="S481" t="s">
        <v>2036</v>
      </c>
      <c r="T481" t="s">
        <v>2051</v>
      </c>
    </row>
    <row r="482" spans="1:20" ht="17" x14ac:dyDescent="0.2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s="4">
        <f t="shared" si="31"/>
        <v>1.0065116279069768</v>
      </c>
      <c r="G482" t="s">
        <v>20</v>
      </c>
      <c r="H482">
        <v>87</v>
      </c>
      <c r="I482" s="6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9"/>
        <v>40248.25</v>
      </c>
      <c r="O482" s="13">
        <f t="shared" si="30"/>
        <v>40257.208333333336</v>
      </c>
      <c r="P482" t="b">
        <v>0</v>
      </c>
      <c r="Q482" t="b">
        <v>1</v>
      </c>
      <c r="R482" t="s">
        <v>122</v>
      </c>
      <c r="S482" t="s">
        <v>2040</v>
      </c>
      <c r="T482" t="s">
        <v>2057</v>
      </c>
    </row>
    <row r="483" spans="1:20" ht="34" x14ac:dyDescent="0.2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s="4">
        <f t="shared" si="31"/>
        <v>0.81348423194303154</v>
      </c>
      <c r="G483" t="s">
        <v>14</v>
      </c>
      <c r="H483">
        <v>1538</v>
      </c>
      <c r="I483" s="6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9"/>
        <v>41913.208333333336</v>
      </c>
      <c r="O483" s="13">
        <f t="shared" si="30"/>
        <v>41955.25</v>
      </c>
      <c r="P483" t="b">
        <v>0</v>
      </c>
      <c r="Q483" t="b">
        <v>1</v>
      </c>
      <c r="R483" t="s">
        <v>33</v>
      </c>
      <c r="S483" t="s">
        <v>2043</v>
      </c>
      <c r="T483" t="s">
        <v>2058</v>
      </c>
    </row>
    <row r="484" spans="1:20" ht="34" x14ac:dyDescent="0.2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s="4">
        <f t="shared" si="31"/>
        <v>0.16404761904761905</v>
      </c>
      <c r="G484" t="s">
        <v>14</v>
      </c>
      <c r="H484">
        <v>9</v>
      </c>
      <c r="I484" s="6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9"/>
        <v>40963.25</v>
      </c>
      <c r="O484" s="13">
        <f t="shared" si="30"/>
        <v>40974.25</v>
      </c>
      <c r="P484" t="b">
        <v>0</v>
      </c>
      <c r="Q484" t="b">
        <v>1</v>
      </c>
      <c r="R484" t="s">
        <v>119</v>
      </c>
      <c r="S484" t="s">
        <v>2041</v>
      </c>
      <c r="T484" t="s">
        <v>2050</v>
      </c>
    </row>
    <row r="485" spans="1:20" ht="17" x14ac:dyDescent="0.2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s="4">
        <f t="shared" si="31"/>
        <v>0.52774617067833696</v>
      </c>
      <c r="G485" t="s">
        <v>14</v>
      </c>
      <c r="H485">
        <v>554</v>
      </c>
      <c r="I485" s="6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9"/>
        <v>43811.25</v>
      </c>
      <c r="O485" s="13">
        <f t="shared" si="30"/>
        <v>43818.25</v>
      </c>
      <c r="P485" t="b">
        <v>0</v>
      </c>
      <c r="Q485" t="b">
        <v>0</v>
      </c>
      <c r="R485" t="s">
        <v>33</v>
      </c>
      <c r="S485" t="s">
        <v>2043</v>
      </c>
      <c r="T485" t="s">
        <v>2058</v>
      </c>
    </row>
    <row r="486" spans="1:20" ht="17" x14ac:dyDescent="0.2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s="4">
        <f t="shared" si="31"/>
        <v>2.6020608108108108</v>
      </c>
      <c r="G486" t="s">
        <v>20</v>
      </c>
      <c r="H486">
        <v>1572</v>
      </c>
      <c r="I486" s="6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9"/>
        <v>41855.208333333336</v>
      </c>
      <c r="O486" s="13">
        <f t="shared" si="30"/>
        <v>41904.208333333336</v>
      </c>
      <c r="P486" t="b">
        <v>0</v>
      </c>
      <c r="Q486" t="b">
        <v>1</v>
      </c>
      <c r="R486" t="s">
        <v>17</v>
      </c>
      <c r="S486" t="s">
        <v>2036</v>
      </c>
      <c r="T486" t="s">
        <v>2051</v>
      </c>
    </row>
    <row r="487" spans="1:20" ht="34" x14ac:dyDescent="0.2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s="4">
        <f t="shared" si="31"/>
        <v>0.30732891832229581</v>
      </c>
      <c r="G487" t="s">
        <v>14</v>
      </c>
      <c r="H487">
        <v>648</v>
      </c>
      <c r="I487" s="6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9"/>
        <v>43626.208333333328</v>
      </c>
      <c r="O487" s="13">
        <f t="shared" si="30"/>
        <v>43667.208333333328</v>
      </c>
      <c r="P487" t="b">
        <v>0</v>
      </c>
      <c r="Q487" t="b">
        <v>0</v>
      </c>
      <c r="R487" t="s">
        <v>33</v>
      </c>
      <c r="S487" t="s">
        <v>2043</v>
      </c>
      <c r="T487" t="s">
        <v>2058</v>
      </c>
    </row>
    <row r="488" spans="1:20" ht="34" x14ac:dyDescent="0.2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s="4">
        <f t="shared" si="31"/>
        <v>0.13500000000000001</v>
      </c>
      <c r="G488" t="s">
        <v>14</v>
      </c>
      <c r="H488">
        <v>21</v>
      </c>
      <c r="I488" s="6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9"/>
        <v>43168.25</v>
      </c>
      <c r="O488" s="13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2041</v>
      </c>
      <c r="T488" t="s">
        <v>2064</v>
      </c>
    </row>
    <row r="489" spans="1:20" ht="17" x14ac:dyDescent="0.2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s="4">
        <f t="shared" si="31"/>
        <v>1.7862556663644606</v>
      </c>
      <c r="G489" t="s">
        <v>20</v>
      </c>
      <c r="H489">
        <v>2346</v>
      </c>
      <c r="I489" s="6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9"/>
        <v>42845.208333333328</v>
      </c>
      <c r="O489" s="13">
        <f t="shared" si="30"/>
        <v>42878.208333333328</v>
      </c>
      <c r="P489" t="b">
        <v>0</v>
      </c>
      <c r="Q489" t="b">
        <v>0</v>
      </c>
      <c r="R489" t="s">
        <v>33</v>
      </c>
      <c r="S489" t="s">
        <v>2043</v>
      </c>
      <c r="T489" t="s">
        <v>2058</v>
      </c>
    </row>
    <row r="490" spans="1:20" ht="17" x14ac:dyDescent="0.2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s="4">
        <f t="shared" si="31"/>
        <v>2.2005660377358489</v>
      </c>
      <c r="G490" t="s">
        <v>20</v>
      </c>
      <c r="H490">
        <v>115</v>
      </c>
      <c r="I490" s="6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9"/>
        <v>42403.25</v>
      </c>
      <c r="O490" s="13">
        <f t="shared" si="30"/>
        <v>42420.25</v>
      </c>
      <c r="P490" t="b">
        <v>0</v>
      </c>
      <c r="Q490" t="b">
        <v>0</v>
      </c>
      <c r="R490" t="s">
        <v>33</v>
      </c>
      <c r="S490" t="s">
        <v>2043</v>
      </c>
      <c r="T490" t="s">
        <v>2058</v>
      </c>
    </row>
    <row r="491" spans="1:20" ht="17" x14ac:dyDescent="0.2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s="4">
        <f t="shared" si="31"/>
        <v>1.015108695652174</v>
      </c>
      <c r="G491" t="s">
        <v>20</v>
      </c>
      <c r="H491">
        <v>85</v>
      </c>
      <c r="I491" s="6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9"/>
        <v>40406.208333333336</v>
      </c>
      <c r="O491" s="13">
        <f t="shared" si="30"/>
        <v>40411.208333333336</v>
      </c>
      <c r="P491" t="b">
        <v>0</v>
      </c>
      <c r="Q491" t="b">
        <v>0</v>
      </c>
      <c r="R491" t="s">
        <v>65</v>
      </c>
      <c r="S491" t="s">
        <v>2042</v>
      </c>
      <c r="T491" t="s">
        <v>2066</v>
      </c>
    </row>
    <row r="492" spans="1:20" ht="17" x14ac:dyDescent="0.2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s="4">
        <f t="shared" si="31"/>
        <v>1.915</v>
      </c>
      <c r="G492" t="s">
        <v>20</v>
      </c>
      <c r="H492">
        <v>144</v>
      </c>
      <c r="I492" s="6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9"/>
        <v>43786.25</v>
      </c>
      <c r="O492" s="13">
        <f t="shared" si="30"/>
        <v>43793.25</v>
      </c>
      <c r="P492" t="b">
        <v>0</v>
      </c>
      <c r="Q492" t="b">
        <v>0</v>
      </c>
      <c r="R492" t="s">
        <v>1029</v>
      </c>
      <c r="S492" t="s">
        <v>2038</v>
      </c>
      <c r="T492" t="s">
        <v>2046</v>
      </c>
    </row>
    <row r="493" spans="1:20" ht="34" x14ac:dyDescent="0.2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s="4">
        <f t="shared" si="31"/>
        <v>3.0534683098591549</v>
      </c>
      <c r="G493" t="s">
        <v>20</v>
      </c>
      <c r="H493">
        <v>2443</v>
      </c>
      <c r="I493" s="6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9"/>
        <v>41456.208333333336</v>
      </c>
      <c r="O493" s="13">
        <f t="shared" si="30"/>
        <v>41482.208333333336</v>
      </c>
      <c r="P493" t="b">
        <v>0</v>
      </c>
      <c r="Q493" t="b">
        <v>1</v>
      </c>
      <c r="R493" t="s">
        <v>17</v>
      </c>
      <c r="S493" t="s">
        <v>2036</v>
      </c>
      <c r="T493" t="s">
        <v>2051</v>
      </c>
    </row>
    <row r="494" spans="1:20" ht="17" x14ac:dyDescent="0.2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s="4">
        <f t="shared" si="31"/>
        <v>0.23995287958115183</v>
      </c>
      <c r="G494" t="s">
        <v>74</v>
      </c>
      <c r="H494">
        <v>595</v>
      </c>
      <c r="I494" s="6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9"/>
        <v>40336.208333333336</v>
      </c>
      <c r="O494" s="13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2035</v>
      </c>
      <c r="T494" t="s">
        <v>2062</v>
      </c>
    </row>
    <row r="495" spans="1:20" ht="17" x14ac:dyDescent="0.2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s="4">
        <f t="shared" si="31"/>
        <v>7.2377777777777776</v>
      </c>
      <c r="G495" t="s">
        <v>20</v>
      </c>
      <c r="H495">
        <v>64</v>
      </c>
      <c r="I495" s="6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9"/>
        <v>43645.208333333328</v>
      </c>
      <c r="O495" s="13">
        <f t="shared" si="30"/>
        <v>43658.208333333328</v>
      </c>
      <c r="P495" t="b">
        <v>0</v>
      </c>
      <c r="Q495" t="b">
        <v>0</v>
      </c>
      <c r="R495" t="s">
        <v>122</v>
      </c>
      <c r="S495" t="s">
        <v>2040</v>
      </c>
      <c r="T495" t="s">
        <v>2057</v>
      </c>
    </row>
    <row r="496" spans="1:20" ht="17" x14ac:dyDescent="0.2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s="4">
        <f t="shared" si="31"/>
        <v>5.4736000000000002</v>
      </c>
      <c r="G496" t="s">
        <v>20</v>
      </c>
      <c r="H496">
        <v>268</v>
      </c>
      <c r="I496" s="6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9"/>
        <v>40990.208333333336</v>
      </c>
      <c r="O496" s="13">
        <f t="shared" si="30"/>
        <v>40991.208333333336</v>
      </c>
      <c r="P496" t="b">
        <v>0</v>
      </c>
      <c r="Q496" t="b">
        <v>0</v>
      </c>
      <c r="R496" t="s">
        <v>65</v>
      </c>
      <c r="S496" t="s">
        <v>2042</v>
      </c>
      <c r="T496" t="s">
        <v>2066</v>
      </c>
    </row>
    <row r="497" spans="1:20" ht="17" x14ac:dyDescent="0.2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s="4">
        <f t="shared" si="31"/>
        <v>4.1449999999999996</v>
      </c>
      <c r="G497" t="s">
        <v>20</v>
      </c>
      <c r="H497">
        <v>195</v>
      </c>
      <c r="I497" s="6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9"/>
        <v>41800.208333333336</v>
      </c>
      <c r="O497" s="13">
        <f t="shared" si="30"/>
        <v>41804.208333333336</v>
      </c>
      <c r="P497" t="b">
        <v>0</v>
      </c>
      <c r="Q497" t="b">
        <v>0</v>
      </c>
      <c r="R497" t="s">
        <v>33</v>
      </c>
      <c r="S497" t="s">
        <v>2043</v>
      </c>
      <c r="T497" t="s">
        <v>2058</v>
      </c>
    </row>
    <row r="498" spans="1:20" ht="17" x14ac:dyDescent="0.2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s="4">
        <f t="shared" si="31"/>
        <v>9.0696409140369975E-3</v>
      </c>
      <c r="G498" t="s">
        <v>14</v>
      </c>
      <c r="H498">
        <v>54</v>
      </c>
      <c r="I498" s="6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9"/>
        <v>42876.208333333328</v>
      </c>
      <c r="O498" s="13">
        <f t="shared" si="30"/>
        <v>42893.208333333328</v>
      </c>
      <c r="P498" t="b">
        <v>0</v>
      </c>
      <c r="Q498" t="b">
        <v>0</v>
      </c>
      <c r="R498" t="s">
        <v>71</v>
      </c>
      <c r="S498" t="s">
        <v>2035</v>
      </c>
      <c r="T498" t="s">
        <v>2045</v>
      </c>
    </row>
    <row r="499" spans="1:20" ht="17" x14ac:dyDescent="0.2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s="4">
        <f t="shared" si="31"/>
        <v>0.34173469387755101</v>
      </c>
      <c r="G499" t="s">
        <v>14</v>
      </c>
      <c r="H499">
        <v>120</v>
      </c>
      <c r="I499" s="6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9"/>
        <v>42724.25</v>
      </c>
      <c r="O499" s="13">
        <f t="shared" si="30"/>
        <v>42724.25</v>
      </c>
      <c r="P499" t="b">
        <v>0</v>
      </c>
      <c r="Q499" t="b">
        <v>1</v>
      </c>
      <c r="R499" t="s">
        <v>65</v>
      </c>
      <c r="S499" t="s">
        <v>2042</v>
      </c>
      <c r="T499" t="s">
        <v>2066</v>
      </c>
    </row>
    <row r="500" spans="1:20" ht="17" x14ac:dyDescent="0.2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s="4">
        <f t="shared" si="31"/>
        <v>0.239488107549121</v>
      </c>
      <c r="G500" t="s">
        <v>14</v>
      </c>
      <c r="H500">
        <v>579</v>
      </c>
      <c r="I500" s="6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9"/>
        <v>42005.25</v>
      </c>
      <c r="O500" s="13">
        <f t="shared" si="30"/>
        <v>42007.25</v>
      </c>
      <c r="P500" t="b">
        <v>0</v>
      </c>
      <c r="Q500" t="b">
        <v>0</v>
      </c>
      <c r="R500" t="s">
        <v>28</v>
      </c>
      <c r="S500" t="s">
        <v>2042</v>
      </c>
      <c r="T500" t="s">
        <v>2067</v>
      </c>
    </row>
    <row r="501" spans="1:20" ht="34" x14ac:dyDescent="0.2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s="4">
        <f t="shared" si="31"/>
        <v>0.48072649572649573</v>
      </c>
      <c r="G501" t="s">
        <v>14</v>
      </c>
      <c r="H501">
        <v>2072</v>
      </c>
      <c r="I501" s="6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9"/>
        <v>42444.208333333328</v>
      </c>
      <c r="O501" s="13">
        <f t="shared" si="30"/>
        <v>42449.208333333328</v>
      </c>
      <c r="P501" t="b">
        <v>0</v>
      </c>
      <c r="Q501" t="b">
        <v>1</v>
      </c>
      <c r="R501" t="s">
        <v>42</v>
      </c>
      <c r="S501" t="s">
        <v>2035</v>
      </c>
      <c r="T501" t="s">
        <v>2047</v>
      </c>
    </row>
    <row r="502" spans="1:20" ht="17" x14ac:dyDescent="0.2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s="4">
        <f t="shared" si="31"/>
        <v>0</v>
      </c>
      <c r="G502" t="s">
        <v>14</v>
      </c>
      <c r="H502">
        <v>0</v>
      </c>
      <c r="I502" s="6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9"/>
        <v>41395.208333333336</v>
      </c>
      <c r="O502" s="13">
        <f t="shared" si="30"/>
        <v>41423.208333333336</v>
      </c>
      <c r="P502" t="b">
        <v>0</v>
      </c>
      <c r="Q502" t="b">
        <v>1</v>
      </c>
      <c r="R502" t="s">
        <v>33</v>
      </c>
      <c r="S502" t="s">
        <v>2043</v>
      </c>
      <c r="T502" t="s">
        <v>2058</v>
      </c>
    </row>
    <row r="503" spans="1:20" ht="17" x14ac:dyDescent="0.2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s="4">
        <f t="shared" si="31"/>
        <v>0.70145182291666663</v>
      </c>
      <c r="G503" t="s">
        <v>14</v>
      </c>
      <c r="H503">
        <v>1796</v>
      </c>
      <c r="I503" s="6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9"/>
        <v>41345.208333333336</v>
      </c>
      <c r="O503" s="13">
        <f t="shared" si="30"/>
        <v>41347.208333333336</v>
      </c>
      <c r="P503" t="b">
        <v>0</v>
      </c>
      <c r="Q503" t="b">
        <v>0</v>
      </c>
      <c r="R503" t="s">
        <v>42</v>
      </c>
      <c r="S503" t="s">
        <v>2035</v>
      </c>
      <c r="T503" t="s">
        <v>2047</v>
      </c>
    </row>
    <row r="504" spans="1:20" ht="17" x14ac:dyDescent="0.2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s="4">
        <f t="shared" si="31"/>
        <v>5.2992307692307694</v>
      </c>
      <c r="G504" t="s">
        <v>20</v>
      </c>
      <c r="H504">
        <v>186</v>
      </c>
      <c r="I504" s="6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9"/>
        <v>41117.208333333336</v>
      </c>
      <c r="O504" s="13">
        <f t="shared" si="30"/>
        <v>41146.208333333336</v>
      </c>
      <c r="P504" t="b">
        <v>0</v>
      </c>
      <c r="Q504" t="b">
        <v>1</v>
      </c>
      <c r="R504" t="s">
        <v>89</v>
      </c>
      <c r="S504" t="s">
        <v>2037</v>
      </c>
      <c r="T504" t="s">
        <v>2065</v>
      </c>
    </row>
    <row r="505" spans="1:20" ht="34" x14ac:dyDescent="0.2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s="4">
        <f t="shared" si="31"/>
        <v>1.8032549019607844</v>
      </c>
      <c r="G505" t="s">
        <v>20</v>
      </c>
      <c r="H505">
        <v>460</v>
      </c>
      <c r="I505" s="6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9"/>
        <v>42186.208333333328</v>
      </c>
      <c r="O505" s="13">
        <f t="shared" si="30"/>
        <v>42206.208333333328</v>
      </c>
      <c r="P505" t="b">
        <v>0</v>
      </c>
      <c r="Q505" t="b">
        <v>0</v>
      </c>
      <c r="R505" t="s">
        <v>53</v>
      </c>
      <c r="S505" t="s">
        <v>2035</v>
      </c>
      <c r="T505" t="s">
        <v>2048</v>
      </c>
    </row>
    <row r="506" spans="1:20" ht="17" x14ac:dyDescent="0.2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s="4">
        <f t="shared" si="31"/>
        <v>0.92320000000000002</v>
      </c>
      <c r="G506" t="s">
        <v>14</v>
      </c>
      <c r="H506">
        <v>62</v>
      </c>
      <c r="I506" s="6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9"/>
        <v>42142.208333333328</v>
      </c>
      <c r="O506" s="13">
        <f t="shared" si="30"/>
        <v>42143.208333333328</v>
      </c>
      <c r="P506" t="b">
        <v>0</v>
      </c>
      <c r="Q506" t="b">
        <v>0</v>
      </c>
      <c r="R506" t="s">
        <v>23</v>
      </c>
      <c r="S506" t="s">
        <v>2039</v>
      </c>
      <c r="T506" t="s">
        <v>2060</v>
      </c>
    </row>
    <row r="507" spans="1:20" ht="17" x14ac:dyDescent="0.2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s="4">
        <f t="shared" si="31"/>
        <v>0.13901001112347053</v>
      </c>
      <c r="G507" t="s">
        <v>14</v>
      </c>
      <c r="H507">
        <v>347</v>
      </c>
      <c r="I507" s="6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9"/>
        <v>41341.25</v>
      </c>
      <c r="O507" s="13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2041</v>
      </c>
      <c r="T507" t="s">
        <v>2059</v>
      </c>
    </row>
    <row r="508" spans="1:20" ht="17" x14ac:dyDescent="0.2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s="4">
        <f t="shared" si="31"/>
        <v>9.2707777777777771</v>
      </c>
      <c r="G508" t="s">
        <v>20</v>
      </c>
      <c r="H508">
        <v>2528</v>
      </c>
      <c r="I508" s="6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9"/>
        <v>43062.25</v>
      </c>
      <c r="O508" s="13">
        <f t="shared" si="30"/>
        <v>43079.25</v>
      </c>
      <c r="P508" t="b">
        <v>0</v>
      </c>
      <c r="Q508" t="b">
        <v>1</v>
      </c>
      <c r="R508" t="s">
        <v>33</v>
      </c>
      <c r="S508" t="s">
        <v>2043</v>
      </c>
      <c r="T508" t="s">
        <v>2058</v>
      </c>
    </row>
    <row r="509" spans="1:20" ht="34" x14ac:dyDescent="0.2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s="4">
        <f t="shared" si="31"/>
        <v>0.39857142857142858</v>
      </c>
      <c r="G509" t="s">
        <v>14</v>
      </c>
      <c r="H509">
        <v>19</v>
      </c>
      <c r="I509" s="6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9"/>
        <v>41373.208333333336</v>
      </c>
      <c r="O509" s="13">
        <f t="shared" si="30"/>
        <v>41422.208333333336</v>
      </c>
      <c r="P509" t="b">
        <v>0</v>
      </c>
      <c r="Q509" t="b">
        <v>1</v>
      </c>
      <c r="R509" t="s">
        <v>28</v>
      </c>
      <c r="S509" t="s">
        <v>2042</v>
      </c>
      <c r="T509" t="s">
        <v>2067</v>
      </c>
    </row>
    <row r="510" spans="1:20" ht="17" x14ac:dyDescent="0.2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s="4">
        <f t="shared" si="31"/>
        <v>1.1222929936305732</v>
      </c>
      <c r="G510" t="s">
        <v>20</v>
      </c>
      <c r="H510">
        <v>3657</v>
      </c>
      <c r="I510" s="6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9"/>
        <v>43310.208333333328</v>
      </c>
      <c r="O510" s="13">
        <f t="shared" si="30"/>
        <v>43331.208333333328</v>
      </c>
      <c r="P510" t="b">
        <v>0</v>
      </c>
      <c r="Q510" t="b">
        <v>0</v>
      </c>
      <c r="R510" t="s">
        <v>33</v>
      </c>
      <c r="S510" t="s">
        <v>2043</v>
      </c>
      <c r="T510" t="s">
        <v>2058</v>
      </c>
    </row>
    <row r="511" spans="1:20" ht="17" x14ac:dyDescent="0.2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s="4">
        <f t="shared" si="31"/>
        <v>0.70925816023738875</v>
      </c>
      <c r="G511" t="s">
        <v>14</v>
      </c>
      <c r="H511">
        <v>1258</v>
      </c>
      <c r="I511" s="6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9"/>
        <v>41034.208333333336</v>
      </c>
      <c r="O511" s="13">
        <f t="shared" si="30"/>
        <v>41044.208333333336</v>
      </c>
      <c r="P511" t="b">
        <v>0</v>
      </c>
      <c r="Q511" t="b">
        <v>0</v>
      </c>
      <c r="R511" t="s">
        <v>33</v>
      </c>
      <c r="S511" t="s">
        <v>2043</v>
      </c>
      <c r="T511" t="s">
        <v>2058</v>
      </c>
    </row>
    <row r="512" spans="1:20" ht="17" x14ac:dyDescent="0.2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s="4">
        <f t="shared" si="31"/>
        <v>1.1908974358974358</v>
      </c>
      <c r="G512" t="s">
        <v>20</v>
      </c>
      <c r="H512">
        <v>131</v>
      </c>
      <c r="I512" s="6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9"/>
        <v>43251.208333333328</v>
      </c>
      <c r="O512" s="13">
        <f t="shared" si="30"/>
        <v>43275.208333333328</v>
      </c>
      <c r="P512" t="b">
        <v>0</v>
      </c>
      <c r="Q512" t="b">
        <v>0</v>
      </c>
      <c r="R512" t="s">
        <v>53</v>
      </c>
      <c r="S512" t="s">
        <v>2035</v>
      </c>
      <c r="T512" t="s">
        <v>2048</v>
      </c>
    </row>
    <row r="513" spans="1:20" ht="17" x14ac:dyDescent="0.2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s="4">
        <f t="shared" si="31"/>
        <v>0.24017591339648173</v>
      </c>
      <c r="G513" t="s">
        <v>14</v>
      </c>
      <c r="H513">
        <v>362</v>
      </c>
      <c r="I513" s="6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9"/>
        <v>43671.208333333328</v>
      </c>
      <c r="O513" s="13">
        <f t="shared" si="30"/>
        <v>43681.208333333328</v>
      </c>
      <c r="P513" t="b">
        <v>0</v>
      </c>
      <c r="Q513" t="b">
        <v>0</v>
      </c>
      <c r="R513" t="s">
        <v>33</v>
      </c>
      <c r="S513" t="s">
        <v>2043</v>
      </c>
      <c r="T513" t="s">
        <v>2058</v>
      </c>
    </row>
    <row r="514" spans="1:20" ht="17" x14ac:dyDescent="0.2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s="4">
        <f t="shared" si="31"/>
        <v>1.3931868131868133</v>
      </c>
      <c r="G514" t="s">
        <v>20</v>
      </c>
      <c r="H514">
        <v>239</v>
      </c>
      <c r="I514" s="6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9"/>
        <v>41825.208333333336</v>
      </c>
      <c r="O514" s="13">
        <f t="shared" si="30"/>
        <v>41826.208333333336</v>
      </c>
      <c r="P514" t="b">
        <v>0</v>
      </c>
      <c r="Q514" t="b">
        <v>1</v>
      </c>
      <c r="R514" t="s">
        <v>89</v>
      </c>
      <c r="S514" t="s">
        <v>2037</v>
      </c>
      <c r="T514" t="s">
        <v>2065</v>
      </c>
    </row>
    <row r="515" spans="1:20" ht="17" x14ac:dyDescent="0.2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s="4">
        <f t="shared" si="31"/>
        <v>0.39277108433734942</v>
      </c>
      <c r="G515" t="s">
        <v>74</v>
      </c>
      <c r="H515">
        <v>35</v>
      </c>
      <c r="I515" s="6">
        <f t="shared" ref="I515:I578" si="32">IF(H515&lt;&gt;0,E515/H515,0)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3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2035</v>
      </c>
      <c r="T515" t="s">
        <v>2063</v>
      </c>
    </row>
    <row r="516" spans="1:20" ht="17" x14ac:dyDescent="0.2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 s="6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3"/>
        <v>41614.25</v>
      </c>
      <c r="O516" s="13">
        <f t="shared" si="34"/>
        <v>41619.25</v>
      </c>
      <c r="P516" t="b">
        <v>0</v>
      </c>
      <c r="Q516" t="b">
        <v>1</v>
      </c>
      <c r="R516" t="s">
        <v>23</v>
      </c>
      <c r="S516" t="s">
        <v>2039</v>
      </c>
      <c r="T516" t="s">
        <v>2060</v>
      </c>
    </row>
    <row r="517" spans="1:20" ht="17" x14ac:dyDescent="0.2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s="4">
        <f t="shared" si="35"/>
        <v>0.55779069767441858</v>
      </c>
      <c r="G517" t="s">
        <v>14</v>
      </c>
      <c r="H517">
        <v>133</v>
      </c>
      <c r="I517" s="6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3"/>
        <v>40900.25</v>
      </c>
      <c r="O517" s="13">
        <f t="shared" si="34"/>
        <v>40902.25</v>
      </c>
      <c r="P517" t="b">
        <v>0</v>
      </c>
      <c r="Q517" t="b">
        <v>1</v>
      </c>
      <c r="R517" t="s">
        <v>33</v>
      </c>
      <c r="S517" t="s">
        <v>2043</v>
      </c>
      <c r="T517" t="s">
        <v>2058</v>
      </c>
    </row>
    <row r="518" spans="1:20" ht="17" x14ac:dyDescent="0.2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s="4">
        <f t="shared" si="35"/>
        <v>0.42523125996810207</v>
      </c>
      <c r="G518" t="s">
        <v>14</v>
      </c>
      <c r="H518">
        <v>846</v>
      </c>
      <c r="I518" s="6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3"/>
        <v>40396.208333333336</v>
      </c>
      <c r="O518" s="13">
        <f t="shared" si="34"/>
        <v>40434.208333333336</v>
      </c>
      <c r="P518" t="b">
        <v>0</v>
      </c>
      <c r="Q518" t="b">
        <v>0</v>
      </c>
      <c r="R518" t="s">
        <v>68</v>
      </c>
      <c r="S518" t="s">
        <v>2041</v>
      </c>
      <c r="T518" t="s">
        <v>2056</v>
      </c>
    </row>
    <row r="519" spans="1:20" ht="17" x14ac:dyDescent="0.2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s="4">
        <f t="shared" si="35"/>
        <v>1.1200000000000001</v>
      </c>
      <c r="G519" t="s">
        <v>20</v>
      </c>
      <c r="H519">
        <v>78</v>
      </c>
      <c r="I519" s="6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3"/>
        <v>42860.208333333328</v>
      </c>
      <c r="O519" s="13">
        <f t="shared" si="34"/>
        <v>42865.208333333328</v>
      </c>
      <c r="P519" t="b">
        <v>0</v>
      </c>
      <c r="Q519" t="b">
        <v>0</v>
      </c>
      <c r="R519" t="s">
        <v>17</v>
      </c>
      <c r="S519" t="s">
        <v>2036</v>
      </c>
      <c r="T519" t="s">
        <v>2051</v>
      </c>
    </row>
    <row r="520" spans="1:20" ht="34" x14ac:dyDescent="0.2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s="4">
        <f t="shared" si="35"/>
        <v>7.0681818181818179E-2</v>
      </c>
      <c r="G520" t="s">
        <v>14</v>
      </c>
      <c r="H520">
        <v>10</v>
      </c>
      <c r="I520" s="6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3"/>
        <v>43154.25</v>
      </c>
      <c r="O520" s="13">
        <f t="shared" si="34"/>
        <v>43156.25</v>
      </c>
      <c r="P520" t="b">
        <v>0</v>
      </c>
      <c r="Q520" t="b">
        <v>1</v>
      </c>
      <c r="R520" t="s">
        <v>71</v>
      </c>
      <c r="S520" t="s">
        <v>2035</v>
      </c>
      <c r="T520" t="s">
        <v>2045</v>
      </c>
    </row>
    <row r="521" spans="1:20" ht="17" x14ac:dyDescent="0.2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s="4">
        <f t="shared" si="35"/>
        <v>1.0174563871693867</v>
      </c>
      <c r="G521" t="s">
        <v>20</v>
      </c>
      <c r="H521">
        <v>1773</v>
      </c>
      <c r="I521" s="6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3"/>
        <v>42012.25</v>
      </c>
      <c r="O521" s="13">
        <f t="shared" si="34"/>
        <v>42026.25</v>
      </c>
      <c r="P521" t="b">
        <v>0</v>
      </c>
      <c r="Q521" t="b">
        <v>1</v>
      </c>
      <c r="R521" t="s">
        <v>23</v>
      </c>
      <c r="S521" t="s">
        <v>2039</v>
      </c>
      <c r="T521" t="s">
        <v>2060</v>
      </c>
    </row>
    <row r="522" spans="1:20" ht="17" x14ac:dyDescent="0.2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s="4">
        <f t="shared" si="35"/>
        <v>4.2575000000000003</v>
      </c>
      <c r="G522" t="s">
        <v>20</v>
      </c>
      <c r="H522">
        <v>32</v>
      </c>
      <c r="I522" s="6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3"/>
        <v>43574.208333333328</v>
      </c>
      <c r="O522" s="13">
        <f t="shared" si="34"/>
        <v>43577.208333333328</v>
      </c>
      <c r="P522" t="b">
        <v>0</v>
      </c>
      <c r="Q522" t="b">
        <v>0</v>
      </c>
      <c r="R522" t="s">
        <v>33</v>
      </c>
      <c r="S522" t="s">
        <v>2043</v>
      </c>
      <c r="T522" t="s">
        <v>2058</v>
      </c>
    </row>
    <row r="523" spans="1:20" ht="17" x14ac:dyDescent="0.2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s="4">
        <f t="shared" si="35"/>
        <v>1.4553947368421052</v>
      </c>
      <c r="G523" t="s">
        <v>20</v>
      </c>
      <c r="H523">
        <v>369</v>
      </c>
      <c r="I523" s="6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3"/>
        <v>42605.208333333328</v>
      </c>
      <c r="O523" s="13">
        <f t="shared" si="34"/>
        <v>42611.208333333328</v>
      </c>
      <c r="P523" t="b">
        <v>0</v>
      </c>
      <c r="Q523" t="b">
        <v>1</v>
      </c>
      <c r="R523" t="s">
        <v>53</v>
      </c>
      <c r="S523" t="s">
        <v>2035</v>
      </c>
      <c r="T523" t="s">
        <v>2048</v>
      </c>
    </row>
    <row r="524" spans="1:20" ht="34" x14ac:dyDescent="0.2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s="4">
        <f t="shared" si="35"/>
        <v>0.32453465346534655</v>
      </c>
      <c r="G524" t="s">
        <v>14</v>
      </c>
      <c r="H524">
        <v>191</v>
      </c>
      <c r="I524" s="6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3"/>
        <v>41093.208333333336</v>
      </c>
      <c r="O524" s="13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2035</v>
      </c>
      <c r="T524" t="s">
        <v>2062</v>
      </c>
    </row>
    <row r="525" spans="1:20" ht="17" x14ac:dyDescent="0.2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s="4">
        <f t="shared" si="35"/>
        <v>7.003333333333333</v>
      </c>
      <c r="G525" t="s">
        <v>20</v>
      </c>
      <c r="H525">
        <v>89</v>
      </c>
      <c r="I525" s="6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3"/>
        <v>40241.25</v>
      </c>
      <c r="O525" s="13">
        <f t="shared" si="34"/>
        <v>40246.25</v>
      </c>
      <c r="P525" t="b">
        <v>0</v>
      </c>
      <c r="Q525" t="b">
        <v>0</v>
      </c>
      <c r="R525" t="s">
        <v>100</v>
      </c>
      <c r="S525" t="s">
        <v>2035</v>
      </c>
      <c r="T525" t="s">
        <v>2062</v>
      </c>
    </row>
    <row r="526" spans="1:20" ht="17" x14ac:dyDescent="0.2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s="4">
        <f t="shared" si="35"/>
        <v>0.83904860392967939</v>
      </c>
      <c r="G526" t="s">
        <v>14</v>
      </c>
      <c r="H526">
        <v>1979</v>
      </c>
      <c r="I526" s="6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3"/>
        <v>40294.208333333336</v>
      </c>
      <c r="O526" s="13">
        <f t="shared" si="34"/>
        <v>40307.208333333336</v>
      </c>
      <c r="P526" t="b">
        <v>0</v>
      </c>
      <c r="Q526" t="b">
        <v>0</v>
      </c>
      <c r="R526" t="s">
        <v>33</v>
      </c>
      <c r="S526" t="s">
        <v>2043</v>
      </c>
      <c r="T526" t="s">
        <v>2058</v>
      </c>
    </row>
    <row r="527" spans="1:20" ht="34" x14ac:dyDescent="0.2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s="4">
        <f t="shared" si="35"/>
        <v>0.84190476190476193</v>
      </c>
      <c r="G527" t="s">
        <v>14</v>
      </c>
      <c r="H527">
        <v>63</v>
      </c>
      <c r="I527" s="6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3"/>
        <v>40505.25</v>
      </c>
      <c r="O527" s="13">
        <f t="shared" si="34"/>
        <v>40509.25</v>
      </c>
      <c r="P527" t="b">
        <v>0</v>
      </c>
      <c r="Q527" t="b">
        <v>0</v>
      </c>
      <c r="R527" t="s">
        <v>65</v>
      </c>
      <c r="S527" t="s">
        <v>2042</v>
      </c>
      <c r="T527" t="s">
        <v>2066</v>
      </c>
    </row>
    <row r="528" spans="1:20" ht="34" x14ac:dyDescent="0.2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s="4">
        <f t="shared" si="35"/>
        <v>1.5595180722891566</v>
      </c>
      <c r="G528" t="s">
        <v>20</v>
      </c>
      <c r="H528">
        <v>147</v>
      </c>
      <c r="I528" s="6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3"/>
        <v>42364.25</v>
      </c>
      <c r="O528" s="13">
        <f t="shared" si="34"/>
        <v>42401.25</v>
      </c>
      <c r="P528" t="b">
        <v>0</v>
      </c>
      <c r="Q528" t="b">
        <v>1</v>
      </c>
      <c r="R528" t="s">
        <v>33</v>
      </c>
      <c r="S528" t="s">
        <v>2043</v>
      </c>
      <c r="T528" t="s">
        <v>2058</v>
      </c>
    </row>
    <row r="529" spans="1:20" ht="17" x14ac:dyDescent="0.2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s="4">
        <f t="shared" si="35"/>
        <v>0.99619450317124736</v>
      </c>
      <c r="G529" t="s">
        <v>14</v>
      </c>
      <c r="H529">
        <v>6080</v>
      </c>
      <c r="I529" s="6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3"/>
        <v>42405.25</v>
      </c>
      <c r="O529" s="13">
        <f t="shared" si="34"/>
        <v>42441.25</v>
      </c>
      <c r="P529" t="b">
        <v>0</v>
      </c>
      <c r="Q529" t="b">
        <v>0</v>
      </c>
      <c r="R529" t="s">
        <v>71</v>
      </c>
      <c r="S529" t="s">
        <v>2035</v>
      </c>
      <c r="T529" t="s">
        <v>2045</v>
      </c>
    </row>
    <row r="530" spans="1:20" ht="17" x14ac:dyDescent="0.2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s="4">
        <f t="shared" si="35"/>
        <v>0.80300000000000005</v>
      </c>
      <c r="G530" t="s">
        <v>14</v>
      </c>
      <c r="H530">
        <v>80</v>
      </c>
      <c r="I530" s="6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3"/>
        <v>41601.25</v>
      </c>
      <c r="O530" s="13">
        <f t="shared" si="34"/>
        <v>41646.25</v>
      </c>
      <c r="P530" t="b">
        <v>0</v>
      </c>
      <c r="Q530" t="b">
        <v>0</v>
      </c>
      <c r="R530" t="s">
        <v>60</v>
      </c>
      <c r="S530" t="s">
        <v>2039</v>
      </c>
      <c r="T530" t="s">
        <v>2052</v>
      </c>
    </row>
    <row r="531" spans="1:20" ht="17" x14ac:dyDescent="0.2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s="4">
        <f t="shared" si="35"/>
        <v>0.11254901960784314</v>
      </c>
      <c r="G531" t="s">
        <v>14</v>
      </c>
      <c r="H531">
        <v>9</v>
      </c>
      <c r="I531" s="6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3"/>
        <v>41769.208333333336</v>
      </c>
      <c r="O531" s="13">
        <f t="shared" si="34"/>
        <v>41797.208333333336</v>
      </c>
      <c r="P531" t="b">
        <v>0</v>
      </c>
      <c r="Q531" t="b">
        <v>0</v>
      </c>
      <c r="R531" t="s">
        <v>89</v>
      </c>
      <c r="S531" t="s">
        <v>2037</v>
      </c>
      <c r="T531" t="s">
        <v>2065</v>
      </c>
    </row>
    <row r="532" spans="1:20" ht="34" x14ac:dyDescent="0.2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s="4">
        <f t="shared" si="35"/>
        <v>0.91740952380952379</v>
      </c>
      <c r="G532" t="s">
        <v>14</v>
      </c>
      <c r="H532">
        <v>1784</v>
      </c>
      <c r="I532" s="6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3"/>
        <v>40421.208333333336</v>
      </c>
      <c r="O532" s="13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2041</v>
      </c>
      <c r="T532" t="s">
        <v>2050</v>
      </c>
    </row>
    <row r="533" spans="1:20" ht="34" x14ac:dyDescent="0.2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s="4">
        <f t="shared" si="35"/>
        <v>0.95521156936261387</v>
      </c>
      <c r="G533" t="s">
        <v>47</v>
      </c>
      <c r="H533">
        <v>3640</v>
      </c>
      <c r="I533" s="6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3"/>
        <v>41589.25</v>
      </c>
      <c r="O533" s="13">
        <f t="shared" si="34"/>
        <v>41645.25</v>
      </c>
      <c r="P533" t="b">
        <v>0</v>
      </c>
      <c r="Q533" t="b">
        <v>0</v>
      </c>
      <c r="R533" t="s">
        <v>89</v>
      </c>
      <c r="S533" t="s">
        <v>2037</v>
      </c>
      <c r="T533" t="s">
        <v>2065</v>
      </c>
    </row>
    <row r="534" spans="1:20" ht="17" x14ac:dyDescent="0.2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s="4">
        <f t="shared" si="35"/>
        <v>5.0287499999999996</v>
      </c>
      <c r="G534" t="s">
        <v>20</v>
      </c>
      <c r="H534">
        <v>126</v>
      </c>
      <c r="I534" s="6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3"/>
        <v>43125.25</v>
      </c>
      <c r="O534" s="13">
        <f t="shared" si="34"/>
        <v>43126.25</v>
      </c>
      <c r="P534" t="b">
        <v>0</v>
      </c>
      <c r="Q534" t="b">
        <v>0</v>
      </c>
      <c r="R534" t="s">
        <v>33</v>
      </c>
      <c r="S534" t="s">
        <v>2043</v>
      </c>
      <c r="T534" t="s">
        <v>2058</v>
      </c>
    </row>
    <row r="535" spans="1:20" ht="17" x14ac:dyDescent="0.2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s="4">
        <f t="shared" si="35"/>
        <v>1.5924394463667819</v>
      </c>
      <c r="G535" t="s">
        <v>20</v>
      </c>
      <c r="H535">
        <v>2218</v>
      </c>
      <c r="I535" s="6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3"/>
        <v>41479.208333333336</v>
      </c>
      <c r="O535" s="13">
        <f t="shared" si="34"/>
        <v>41515.208333333336</v>
      </c>
      <c r="P535" t="b">
        <v>0</v>
      </c>
      <c r="Q535" t="b">
        <v>0</v>
      </c>
      <c r="R535" t="s">
        <v>60</v>
      </c>
      <c r="S535" t="s">
        <v>2039</v>
      </c>
      <c r="T535" t="s">
        <v>2052</v>
      </c>
    </row>
    <row r="536" spans="1:20" ht="17" x14ac:dyDescent="0.2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s="4">
        <f t="shared" si="35"/>
        <v>0.15022446689113356</v>
      </c>
      <c r="G536" t="s">
        <v>14</v>
      </c>
      <c r="H536">
        <v>243</v>
      </c>
      <c r="I536" s="6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3"/>
        <v>43329.208333333328</v>
      </c>
      <c r="O536" s="13">
        <f t="shared" si="34"/>
        <v>43330.208333333328</v>
      </c>
      <c r="P536" t="b">
        <v>0</v>
      </c>
      <c r="Q536" t="b">
        <v>1</v>
      </c>
      <c r="R536" t="s">
        <v>53</v>
      </c>
      <c r="S536" t="s">
        <v>2035</v>
      </c>
      <c r="T536" t="s">
        <v>2048</v>
      </c>
    </row>
    <row r="537" spans="1:20" ht="17" x14ac:dyDescent="0.2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s="4">
        <f t="shared" si="35"/>
        <v>4.820384615384615</v>
      </c>
      <c r="G537" t="s">
        <v>20</v>
      </c>
      <c r="H537">
        <v>202</v>
      </c>
      <c r="I537" s="6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3"/>
        <v>43259.208333333328</v>
      </c>
      <c r="O537" s="13">
        <f t="shared" si="34"/>
        <v>43261.208333333328</v>
      </c>
      <c r="P537" t="b">
        <v>0</v>
      </c>
      <c r="Q537" t="b">
        <v>1</v>
      </c>
      <c r="R537" t="s">
        <v>33</v>
      </c>
      <c r="S537" t="s">
        <v>2043</v>
      </c>
      <c r="T537" t="s">
        <v>2058</v>
      </c>
    </row>
    <row r="538" spans="1:20" ht="17" x14ac:dyDescent="0.2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s="4">
        <f t="shared" si="35"/>
        <v>1.4996938775510205</v>
      </c>
      <c r="G538" t="s">
        <v>20</v>
      </c>
      <c r="H538">
        <v>140</v>
      </c>
      <c r="I538" s="6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3"/>
        <v>40414.208333333336</v>
      </c>
      <c r="O538" s="13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2041</v>
      </c>
      <c r="T538" t="s">
        <v>2050</v>
      </c>
    </row>
    <row r="539" spans="1:20" ht="17" x14ac:dyDescent="0.2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s="4">
        <f t="shared" si="35"/>
        <v>1.1722156398104266</v>
      </c>
      <c r="G539" t="s">
        <v>20</v>
      </c>
      <c r="H539">
        <v>1052</v>
      </c>
      <c r="I539" s="6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3"/>
        <v>43342.208333333328</v>
      </c>
      <c r="O539" s="13">
        <f t="shared" si="34"/>
        <v>43365.208333333328</v>
      </c>
      <c r="P539" t="b">
        <v>1</v>
      </c>
      <c r="Q539" t="b">
        <v>1</v>
      </c>
      <c r="R539" t="s">
        <v>42</v>
      </c>
      <c r="S539" t="s">
        <v>2035</v>
      </c>
      <c r="T539" t="s">
        <v>2047</v>
      </c>
    </row>
    <row r="540" spans="1:20" ht="17" x14ac:dyDescent="0.2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s="4">
        <f t="shared" si="35"/>
        <v>0.37695968274950431</v>
      </c>
      <c r="G540" t="s">
        <v>14</v>
      </c>
      <c r="H540">
        <v>1296</v>
      </c>
      <c r="I540" s="6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3"/>
        <v>41539.208333333336</v>
      </c>
      <c r="O540" s="13">
        <f t="shared" si="34"/>
        <v>41555.208333333336</v>
      </c>
      <c r="P540" t="b">
        <v>0</v>
      </c>
      <c r="Q540" t="b">
        <v>0</v>
      </c>
      <c r="R540" t="s">
        <v>292</v>
      </c>
      <c r="S540" t="s">
        <v>2037</v>
      </c>
      <c r="T540" t="s">
        <v>2055</v>
      </c>
    </row>
    <row r="541" spans="1:20" ht="17" x14ac:dyDescent="0.2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s="4">
        <f t="shared" si="35"/>
        <v>0.72653061224489801</v>
      </c>
      <c r="G541" t="s">
        <v>14</v>
      </c>
      <c r="H541">
        <v>77</v>
      </c>
      <c r="I541" s="6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3"/>
        <v>43647.208333333328</v>
      </c>
      <c r="O541" s="13">
        <f t="shared" si="34"/>
        <v>43653.208333333328</v>
      </c>
      <c r="P541" t="b">
        <v>0</v>
      </c>
      <c r="Q541" t="b">
        <v>1</v>
      </c>
      <c r="R541" t="s">
        <v>17</v>
      </c>
      <c r="S541" t="s">
        <v>2036</v>
      </c>
      <c r="T541" t="s">
        <v>2051</v>
      </c>
    </row>
    <row r="542" spans="1:20" ht="17" x14ac:dyDescent="0.2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s="4">
        <f t="shared" si="35"/>
        <v>2.6598113207547169</v>
      </c>
      <c r="G542" t="s">
        <v>20</v>
      </c>
      <c r="H542">
        <v>247</v>
      </c>
      <c r="I542" s="6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3"/>
        <v>43225.208333333328</v>
      </c>
      <c r="O542" s="13">
        <f t="shared" si="34"/>
        <v>43247.208333333328</v>
      </c>
      <c r="P542" t="b">
        <v>0</v>
      </c>
      <c r="Q542" t="b">
        <v>0</v>
      </c>
      <c r="R542" t="s">
        <v>122</v>
      </c>
      <c r="S542" t="s">
        <v>2040</v>
      </c>
      <c r="T542" t="s">
        <v>2057</v>
      </c>
    </row>
    <row r="543" spans="1:20" ht="17" x14ac:dyDescent="0.2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s="4">
        <f t="shared" si="35"/>
        <v>0.24205617977528091</v>
      </c>
      <c r="G543" t="s">
        <v>14</v>
      </c>
      <c r="H543">
        <v>395</v>
      </c>
      <c r="I543" s="6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3"/>
        <v>42165.208333333328</v>
      </c>
      <c r="O543" s="13">
        <f t="shared" si="34"/>
        <v>42191.208333333328</v>
      </c>
      <c r="P543" t="b">
        <v>0</v>
      </c>
      <c r="Q543" t="b">
        <v>0</v>
      </c>
      <c r="R543" t="s">
        <v>292</v>
      </c>
      <c r="S543" t="s">
        <v>2037</v>
      </c>
      <c r="T543" t="s">
        <v>2055</v>
      </c>
    </row>
    <row r="544" spans="1:20" ht="17" x14ac:dyDescent="0.2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s="4">
        <f t="shared" si="35"/>
        <v>2.5064935064935064E-2</v>
      </c>
      <c r="G544" t="s">
        <v>14</v>
      </c>
      <c r="H544">
        <v>49</v>
      </c>
      <c r="I544" s="6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3"/>
        <v>42391.25</v>
      </c>
      <c r="O544" s="13">
        <f t="shared" si="34"/>
        <v>42421.25</v>
      </c>
      <c r="P544" t="b">
        <v>0</v>
      </c>
      <c r="Q544" t="b">
        <v>0</v>
      </c>
      <c r="R544" t="s">
        <v>60</v>
      </c>
      <c r="S544" t="s">
        <v>2039</v>
      </c>
      <c r="T544" t="s">
        <v>2052</v>
      </c>
    </row>
    <row r="545" spans="1:20" ht="17" x14ac:dyDescent="0.2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s="4">
        <f t="shared" si="35"/>
        <v>0.1632979976442874</v>
      </c>
      <c r="G545" t="s">
        <v>14</v>
      </c>
      <c r="H545">
        <v>180</v>
      </c>
      <c r="I545" s="6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3"/>
        <v>41528.208333333336</v>
      </c>
      <c r="O545" s="13">
        <f t="shared" si="34"/>
        <v>41543.208333333336</v>
      </c>
      <c r="P545" t="b">
        <v>0</v>
      </c>
      <c r="Q545" t="b">
        <v>0</v>
      </c>
      <c r="R545" t="s">
        <v>89</v>
      </c>
      <c r="S545" t="s">
        <v>2037</v>
      </c>
      <c r="T545" t="s">
        <v>2065</v>
      </c>
    </row>
    <row r="546" spans="1:20" ht="34" x14ac:dyDescent="0.2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s="4">
        <f t="shared" si="35"/>
        <v>2.7650000000000001</v>
      </c>
      <c r="G546" t="s">
        <v>20</v>
      </c>
      <c r="H546">
        <v>84</v>
      </c>
      <c r="I546" s="6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3"/>
        <v>42377.25</v>
      </c>
      <c r="O546" s="13">
        <f t="shared" si="34"/>
        <v>42390.25</v>
      </c>
      <c r="P546" t="b">
        <v>0</v>
      </c>
      <c r="Q546" t="b">
        <v>0</v>
      </c>
      <c r="R546" t="s">
        <v>23</v>
      </c>
      <c r="S546" t="s">
        <v>2039</v>
      </c>
      <c r="T546" t="s">
        <v>2060</v>
      </c>
    </row>
    <row r="547" spans="1:20" ht="17" x14ac:dyDescent="0.2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s="4">
        <f t="shared" si="35"/>
        <v>0.88803571428571426</v>
      </c>
      <c r="G547" t="s">
        <v>14</v>
      </c>
      <c r="H547">
        <v>2690</v>
      </c>
      <c r="I547" s="6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3"/>
        <v>43824.25</v>
      </c>
      <c r="O547" s="13">
        <f t="shared" si="34"/>
        <v>43844.25</v>
      </c>
      <c r="P547" t="b">
        <v>0</v>
      </c>
      <c r="Q547" t="b">
        <v>0</v>
      </c>
      <c r="R547" t="s">
        <v>33</v>
      </c>
      <c r="S547" t="s">
        <v>2043</v>
      </c>
      <c r="T547" t="s">
        <v>2058</v>
      </c>
    </row>
    <row r="548" spans="1:20" ht="17" x14ac:dyDescent="0.2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s="4">
        <f t="shared" si="35"/>
        <v>1.6357142857142857</v>
      </c>
      <c r="G548" t="s">
        <v>20</v>
      </c>
      <c r="H548">
        <v>88</v>
      </c>
      <c r="I548" s="6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3"/>
        <v>43360.208333333328</v>
      </c>
      <c r="O548" s="13">
        <f t="shared" si="34"/>
        <v>43363.208333333328</v>
      </c>
      <c r="P548" t="b">
        <v>0</v>
      </c>
      <c r="Q548" t="b">
        <v>1</v>
      </c>
      <c r="R548" t="s">
        <v>33</v>
      </c>
      <c r="S548" t="s">
        <v>2043</v>
      </c>
      <c r="T548" t="s">
        <v>2058</v>
      </c>
    </row>
    <row r="549" spans="1:20" ht="17" x14ac:dyDescent="0.2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s="4">
        <f t="shared" si="35"/>
        <v>9.69</v>
      </c>
      <c r="G549" t="s">
        <v>20</v>
      </c>
      <c r="H549">
        <v>156</v>
      </c>
      <c r="I549" s="6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3"/>
        <v>42029.25</v>
      </c>
      <c r="O549" s="13">
        <f t="shared" si="34"/>
        <v>42041.25</v>
      </c>
      <c r="P549" t="b">
        <v>0</v>
      </c>
      <c r="Q549" t="b">
        <v>0</v>
      </c>
      <c r="R549" t="s">
        <v>53</v>
      </c>
      <c r="S549" t="s">
        <v>2035</v>
      </c>
      <c r="T549" t="s">
        <v>2048</v>
      </c>
    </row>
    <row r="550" spans="1:20" ht="17" x14ac:dyDescent="0.2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s="4">
        <f t="shared" si="35"/>
        <v>2.7091376701966716</v>
      </c>
      <c r="G550" t="s">
        <v>20</v>
      </c>
      <c r="H550">
        <v>2985</v>
      </c>
      <c r="I550" s="6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3"/>
        <v>42461.208333333328</v>
      </c>
      <c r="O550" s="13">
        <f t="shared" si="34"/>
        <v>42474.208333333328</v>
      </c>
      <c r="P550" t="b">
        <v>0</v>
      </c>
      <c r="Q550" t="b">
        <v>0</v>
      </c>
      <c r="R550" t="s">
        <v>33</v>
      </c>
      <c r="S550" t="s">
        <v>2043</v>
      </c>
      <c r="T550" t="s">
        <v>2058</v>
      </c>
    </row>
    <row r="551" spans="1:20" ht="34" x14ac:dyDescent="0.2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s="4">
        <f t="shared" si="35"/>
        <v>2.8421355932203389</v>
      </c>
      <c r="G551" t="s">
        <v>20</v>
      </c>
      <c r="H551">
        <v>762</v>
      </c>
      <c r="I551" s="6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3"/>
        <v>41422.208333333336</v>
      </c>
      <c r="O551" s="13">
        <f t="shared" si="34"/>
        <v>41431.208333333336</v>
      </c>
      <c r="P551" t="b">
        <v>0</v>
      </c>
      <c r="Q551" t="b">
        <v>0</v>
      </c>
      <c r="R551" t="s">
        <v>65</v>
      </c>
      <c r="S551" t="s">
        <v>2042</v>
      </c>
      <c r="T551" t="s">
        <v>2066</v>
      </c>
    </row>
    <row r="552" spans="1:20" ht="34" x14ac:dyDescent="0.2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s="4">
        <f t="shared" si="35"/>
        <v>0.04</v>
      </c>
      <c r="G552" t="s">
        <v>74</v>
      </c>
      <c r="H552">
        <v>1</v>
      </c>
      <c r="I552" s="6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3"/>
        <v>40968.25</v>
      </c>
      <c r="O552" s="13">
        <f t="shared" si="34"/>
        <v>40989.208333333336</v>
      </c>
      <c r="P552" t="b">
        <v>0</v>
      </c>
      <c r="Q552" t="b">
        <v>0</v>
      </c>
      <c r="R552" t="s">
        <v>60</v>
      </c>
      <c r="S552" t="s">
        <v>2039</v>
      </c>
      <c r="T552" t="s">
        <v>2052</v>
      </c>
    </row>
    <row r="553" spans="1:20" ht="17" x14ac:dyDescent="0.2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s="4">
        <f t="shared" si="35"/>
        <v>0.58632981676846196</v>
      </c>
      <c r="G553" t="s">
        <v>14</v>
      </c>
      <c r="H553">
        <v>2779</v>
      </c>
      <c r="I553" s="6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3"/>
        <v>41993.25</v>
      </c>
      <c r="O553" s="13">
        <f t="shared" si="34"/>
        <v>42033.25</v>
      </c>
      <c r="P553" t="b">
        <v>0</v>
      </c>
      <c r="Q553" t="b">
        <v>1</v>
      </c>
      <c r="R553" t="s">
        <v>28</v>
      </c>
      <c r="S553" t="s">
        <v>2042</v>
      </c>
      <c r="T553" t="s">
        <v>2067</v>
      </c>
    </row>
    <row r="554" spans="1:20" ht="17" x14ac:dyDescent="0.2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s="4">
        <f t="shared" si="35"/>
        <v>0.98511111111111116</v>
      </c>
      <c r="G554" t="s">
        <v>14</v>
      </c>
      <c r="H554">
        <v>92</v>
      </c>
      <c r="I554" s="6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3"/>
        <v>42700.25</v>
      </c>
      <c r="O554" s="13">
        <f t="shared" si="34"/>
        <v>42702.25</v>
      </c>
      <c r="P554" t="b">
        <v>0</v>
      </c>
      <c r="Q554" t="b">
        <v>0</v>
      </c>
      <c r="R554" t="s">
        <v>33</v>
      </c>
      <c r="S554" t="s">
        <v>2043</v>
      </c>
      <c r="T554" t="s">
        <v>2058</v>
      </c>
    </row>
    <row r="555" spans="1:20" ht="34" x14ac:dyDescent="0.2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s="4">
        <f t="shared" si="35"/>
        <v>0.43975381008206332</v>
      </c>
      <c r="G555" t="s">
        <v>14</v>
      </c>
      <c r="H555">
        <v>1028</v>
      </c>
      <c r="I555" s="6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3"/>
        <v>40545.25</v>
      </c>
      <c r="O555" s="13">
        <f t="shared" si="34"/>
        <v>40546.25</v>
      </c>
      <c r="P555" t="b">
        <v>0</v>
      </c>
      <c r="Q555" t="b">
        <v>0</v>
      </c>
      <c r="R555" t="s">
        <v>23</v>
      </c>
      <c r="S555" t="s">
        <v>2039</v>
      </c>
      <c r="T555" t="s">
        <v>2060</v>
      </c>
    </row>
    <row r="556" spans="1:20" ht="34" x14ac:dyDescent="0.2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s="4">
        <f t="shared" si="35"/>
        <v>1.5166315789473683</v>
      </c>
      <c r="G556" t="s">
        <v>20</v>
      </c>
      <c r="H556">
        <v>554</v>
      </c>
      <c r="I556" s="6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3"/>
        <v>42723.25</v>
      </c>
      <c r="O556" s="13">
        <f t="shared" si="34"/>
        <v>42729.25</v>
      </c>
      <c r="P556" t="b">
        <v>0</v>
      </c>
      <c r="Q556" t="b">
        <v>0</v>
      </c>
      <c r="R556" t="s">
        <v>60</v>
      </c>
      <c r="S556" t="s">
        <v>2039</v>
      </c>
      <c r="T556" t="s">
        <v>2052</v>
      </c>
    </row>
    <row r="557" spans="1:20" ht="17" x14ac:dyDescent="0.2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s="4">
        <f t="shared" si="35"/>
        <v>2.2363492063492063</v>
      </c>
      <c r="G557" t="s">
        <v>20</v>
      </c>
      <c r="H557">
        <v>135</v>
      </c>
      <c r="I557" s="6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3"/>
        <v>41731.208333333336</v>
      </c>
      <c r="O557" s="13">
        <f t="shared" si="34"/>
        <v>41762.208333333336</v>
      </c>
      <c r="P557" t="b">
        <v>0</v>
      </c>
      <c r="Q557" t="b">
        <v>0</v>
      </c>
      <c r="R557" t="s">
        <v>23</v>
      </c>
      <c r="S557" t="s">
        <v>2039</v>
      </c>
      <c r="T557" t="s">
        <v>2060</v>
      </c>
    </row>
    <row r="558" spans="1:20" ht="17" x14ac:dyDescent="0.2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s="4">
        <f t="shared" si="35"/>
        <v>2.3975</v>
      </c>
      <c r="G558" t="s">
        <v>20</v>
      </c>
      <c r="H558">
        <v>122</v>
      </c>
      <c r="I558" s="6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3"/>
        <v>40792.208333333336</v>
      </c>
      <c r="O558" s="13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2041</v>
      </c>
      <c r="T558" t="s">
        <v>2064</v>
      </c>
    </row>
    <row r="559" spans="1:20" ht="17" x14ac:dyDescent="0.2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s="4">
        <f t="shared" si="35"/>
        <v>1.9933333333333334</v>
      </c>
      <c r="G559" t="s">
        <v>20</v>
      </c>
      <c r="H559">
        <v>221</v>
      </c>
      <c r="I559" s="6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3"/>
        <v>42279.208333333328</v>
      </c>
      <c r="O559" s="13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2035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s="4">
        <f t="shared" si="35"/>
        <v>1.373448275862069</v>
      </c>
      <c r="G560" t="s">
        <v>20</v>
      </c>
      <c r="H560">
        <v>126</v>
      </c>
      <c r="I560" s="6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3"/>
        <v>42424.25</v>
      </c>
      <c r="O560" s="13">
        <f t="shared" si="34"/>
        <v>42467.208333333328</v>
      </c>
      <c r="P560" t="b">
        <v>0</v>
      </c>
      <c r="Q560" t="b">
        <v>0</v>
      </c>
      <c r="R560" t="s">
        <v>33</v>
      </c>
      <c r="S560" t="s">
        <v>2043</v>
      </c>
      <c r="T560" t="s">
        <v>2058</v>
      </c>
    </row>
    <row r="561" spans="1:20" ht="17" x14ac:dyDescent="0.2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s="4">
        <f t="shared" si="35"/>
        <v>1.009696106362773</v>
      </c>
      <c r="G561" t="s">
        <v>20</v>
      </c>
      <c r="H561">
        <v>1022</v>
      </c>
      <c r="I561" s="6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3"/>
        <v>42584.208333333328</v>
      </c>
      <c r="O561" s="13">
        <f t="shared" si="34"/>
        <v>42591.208333333328</v>
      </c>
      <c r="P561" t="b">
        <v>0</v>
      </c>
      <c r="Q561" t="b">
        <v>0</v>
      </c>
      <c r="R561" t="s">
        <v>33</v>
      </c>
      <c r="S561" t="s">
        <v>2043</v>
      </c>
      <c r="T561" t="s">
        <v>2058</v>
      </c>
    </row>
    <row r="562" spans="1:20" ht="17" x14ac:dyDescent="0.2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s="4">
        <f t="shared" si="35"/>
        <v>7.9416000000000002</v>
      </c>
      <c r="G562" t="s">
        <v>20</v>
      </c>
      <c r="H562">
        <v>3177</v>
      </c>
      <c r="I562" s="6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3"/>
        <v>40865.25</v>
      </c>
      <c r="O562" s="13">
        <f t="shared" si="34"/>
        <v>40905.25</v>
      </c>
      <c r="P562" t="b">
        <v>0</v>
      </c>
      <c r="Q562" t="b">
        <v>0</v>
      </c>
      <c r="R562" t="s">
        <v>71</v>
      </c>
      <c r="S562" t="s">
        <v>2035</v>
      </c>
      <c r="T562" t="s">
        <v>2045</v>
      </c>
    </row>
    <row r="563" spans="1:20" ht="17" x14ac:dyDescent="0.2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s="4">
        <f t="shared" si="35"/>
        <v>3.6970000000000001</v>
      </c>
      <c r="G563" t="s">
        <v>20</v>
      </c>
      <c r="H563">
        <v>198</v>
      </c>
      <c r="I563" s="6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3"/>
        <v>40833.208333333336</v>
      </c>
      <c r="O563" s="13">
        <f t="shared" si="34"/>
        <v>40835.208333333336</v>
      </c>
      <c r="P563" t="b">
        <v>0</v>
      </c>
      <c r="Q563" t="b">
        <v>0</v>
      </c>
      <c r="R563" t="s">
        <v>33</v>
      </c>
      <c r="S563" t="s">
        <v>2043</v>
      </c>
      <c r="T563" t="s">
        <v>2058</v>
      </c>
    </row>
    <row r="564" spans="1:20" ht="34" x14ac:dyDescent="0.2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s="4">
        <f t="shared" si="35"/>
        <v>0.12818181818181817</v>
      </c>
      <c r="G564" t="s">
        <v>14</v>
      </c>
      <c r="H564">
        <v>26</v>
      </c>
      <c r="I564" s="6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3"/>
        <v>43536.208333333328</v>
      </c>
      <c r="O564" s="13">
        <f t="shared" si="34"/>
        <v>43538.208333333328</v>
      </c>
      <c r="P564" t="b">
        <v>0</v>
      </c>
      <c r="Q564" t="b">
        <v>0</v>
      </c>
      <c r="R564" t="s">
        <v>23</v>
      </c>
      <c r="S564" t="s">
        <v>2039</v>
      </c>
      <c r="T564" t="s">
        <v>2060</v>
      </c>
    </row>
    <row r="565" spans="1:20" ht="17" x14ac:dyDescent="0.2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s="4">
        <f t="shared" si="35"/>
        <v>1.3802702702702703</v>
      </c>
      <c r="G565" t="s">
        <v>20</v>
      </c>
      <c r="H565">
        <v>85</v>
      </c>
      <c r="I565" s="6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3"/>
        <v>43417.25</v>
      </c>
      <c r="O565" s="13">
        <f t="shared" si="34"/>
        <v>43437.25</v>
      </c>
      <c r="P565" t="b">
        <v>0</v>
      </c>
      <c r="Q565" t="b">
        <v>0</v>
      </c>
      <c r="R565" t="s">
        <v>42</v>
      </c>
      <c r="S565" t="s">
        <v>2035</v>
      </c>
      <c r="T565" t="s">
        <v>2047</v>
      </c>
    </row>
    <row r="566" spans="1:20" ht="17" x14ac:dyDescent="0.2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s="4">
        <f t="shared" si="35"/>
        <v>0.83813278008298753</v>
      </c>
      <c r="G566" t="s">
        <v>14</v>
      </c>
      <c r="H566">
        <v>1790</v>
      </c>
      <c r="I566" s="6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3"/>
        <v>42078.208333333328</v>
      </c>
      <c r="O566" s="13">
        <f t="shared" si="34"/>
        <v>42086.208333333328</v>
      </c>
      <c r="P566" t="b">
        <v>0</v>
      </c>
      <c r="Q566" t="b">
        <v>0</v>
      </c>
      <c r="R566" t="s">
        <v>33</v>
      </c>
      <c r="S566" t="s">
        <v>2043</v>
      </c>
      <c r="T566" t="s">
        <v>2058</v>
      </c>
    </row>
    <row r="567" spans="1:20" ht="17" x14ac:dyDescent="0.2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s="4">
        <f t="shared" si="35"/>
        <v>2.0460063224446787</v>
      </c>
      <c r="G567" t="s">
        <v>20</v>
      </c>
      <c r="H567">
        <v>3596</v>
      </c>
      <c r="I567" s="6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3"/>
        <v>40862.25</v>
      </c>
      <c r="O567" s="13">
        <f t="shared" si="34"/>
        <v>40882.25</v>
      </c>
      <c r="P567" t="b">
        <v>0</v>
      </c>
      <c r="Q567" t="b">
        <v>0</v>
      </c>
      <c r="R567" t="s">
        <v>33</v>
      </c>
      <c r="S567" t="s">
        <v>2043</v>
      </c>
      <c r="T567" t="s">
        <v>2058</v>
      </c>
    </row>
    <row r="568" spans="1:20" ht="17" x14ac:dyDescent="0.2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s="4">
        <f t="shared" si="35"/>
        <v>0.44344086021505374</v>
      </c>
      <c r="G568" t="s">
        <v>14</v>
      </c>
      <c r="H568">
        <v>37</v>
      </c>
      <c r="I568" s="6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3"/>
        <v>42424.25</v>
      </c>
      <c r="O568" s="13">
        <f t="shared" si="34"/>
        <v>42447.208333333328</v>
      </c>
      <c r="P568" t="b">
        <v>0</v>
      </c>
      <c r="Q568" t="b">
        <v>1</v>
      </c>
      <c r="R568" t="s">
        <v>50</v>
      </c>
      <c r="S568" t="s">
        <v>2039</v>
      </c>
      <c r="T568" t="s">
        <v>2049</v>
      </c>
    </row>
    <row r="569" spans="1:20" ht="34" x14ac:dyDescent="0.2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s="4">
        <f t="shared" si="35"/>
        <v>2.1860294117647059</v>
      </c>
      <c r="G569" t="s">
        <v>20</v>
      </c>
      <c r="H569">
        <v>244</v>
      </c>
      <c r="I569" s="6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3"/>
        <v>41830.208333333336</v>
      </c>
      <c r="O569" s="13">
        <f t="shared" si="34"/>
        <v>41832.208333333336</v>
      </c>
      <c r="P569" t="b">
        <v>0</v>
      </c>
      <c r="Q569" t="b">
        <v>0</v>
      </c>
      <c r="R569" t="s">
        <v>23</v>
      </c>
      <c r="S569" t="s">
        <v>2039</v>
      </c>
      <c r="T569" t="s">
        <v>2060</v>
      </c>
    </row>
    <row r="570" spans="1:20" ht="17" x14ac:dyDescent="0.2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s="4">
        <f t="shared" si="35"/>
        <v>1.8603314917127072</v>
      </c>
      <c r="G570" t="s">
        <v>20</v>
      </c>
      <c r="H570">
        <v>5180</v>
      </c>
      <c r="I570" s="6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3"/>
        <v>40374.208333333336</v>
      </c>
      <c r="O570" s="13">
        <f t="shared" si="34"/>
        <v>40419.208333333336</v>
      </c>
      <c r="P570" t="b">
        <v>0</v>
      </c>
      <c r="Q570" t="b">
        <v>0</v>
      </c>
      <c r="R570" t="s">
        <v>33</v>
      </c>
      <c r="S570" t="s">
        <v>2043</v>
      </c>
      <c r="T570" t="s">
        <v>2058</v>
      </c>
    </row>
    <row r="571" spans="1:20" ht="17" x14ac:dyDescent="0.2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s="4">
        <f t="shared" si="35"/>
        <v>2.3733830845771142</v>
      </c>
      <c r="G571" t="s">
        <v>20</v>
      </c>
      <c r="H571">
        <v>589</v>
      </c>
      <c r="I571" s="6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3"/>
        <v>40554.25</v>
      </c>
      <c r="O571" s="13">
        <f t="shared" si="34"/>
        <v>40566.25</v>
      </c>
      <c r="P571" t="b">
        <v>0</v>
      </c>
      <c r="Q571" t="b">
        <v>0</v>
      </c>
      <c r="R571" t="s">
        <v>71</v>
      </c>
      <c r="S571" t="s">
        <v>2035</v>
      </c>
      <c r="T571" t="s">
        <v>2045</v>
      </c>
    </row>
    <row r="572" spans="1:20" ht="17" x14ac:dyDescent="0.2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s="4">
        <f t="shared" si="35"/>
        <v>3.0565384615384614</v>
      </c>
      <c r="G572" t="s">
        <v>20</v>
      </c>
      <c r="H572">
        <v>2725</v>
      </c>
      <c r="I572" s="6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3"/>
        <v>41993.25</v>
      </c>
      <c r="O572" s="13">
        <f t="shared" si="34"/>
        <v>41999.25</v>
      </c>
      <c r="P572" t="b">
        <v>0</v>
      </c>
      <c r="Q572" t="b">
        <v>1</v>
      </c>
      <c r="R572" t="s">
        <v>23</v>
      </c>
      <c r="S572" t="s">
        <v>2039</v>
      </c>
      <c r="T572" t="s">
        <v>2060</v>
      </c>
    </row>
    <row r="573" spans="1:20" ht="17" x14ac:dyDescent="0.2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s="4">
        <f t="shared" si="35"/>
        <v>0.94142857142857139</v>
      </c>
      <c r="G573" t="s">
        <v>14</v>
      </c>
      <c r="H573">
        <v>35</v>
      </c>
      <c r="I573" s="6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3"/>
        <v>42174.208333333328</v>
      </c>
      <c r="O573" s="13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2035</v>
      </c>
      <c r="T573" t="s">
        <v>2062</v>
      </c>
    </row>
    <row r="574" spans="1:20" ht="17" x14ac:dyDescent="0.2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s="4">
        <f t="shared" si="35"/>
        <v>0.54400000000000004</v>
      </c>
      <c r="G574" t="s">
        <v>74</v>
      </c>
      <c r="H574">
        <v>94</v>
      </c>
      <c r="I574" s="6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3"/>
        <v>42275.208333333328</v>
      </c>
      <c r="O574" s="13">
        <f t="shared" si="34"/>
        <v>42291.208333333328</v>
      </c>
      <c r="P574" t="b">
        <v>0</v>
      </c>
      <c r="Q574" t="b">
        <v>1</v>
      </c>
      <c r="R574" t="s">
        <v>23</v>
      </c>
      <c r="S574" t="s">
        <v>2039</v>
      </c>
      <c r="T574" t="s">
        <v>2060</v>
      </c>
    </row>
    <row r="575" spans="1:20" ht="17" x14ac:dyDescent="0.2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s="4">
        <f t="shared" si="35"/>
        <v>1.1188059701492536</v>
      </c>
      <c r="G575" t="s">
        <v>20</v>
      </c>
      <c r="H575">
        <v>300</v>
      </c>
      <c r="I575" s="6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3"/>
        <v>41761.208333333336</v>
      </c>
      <c r="O575" s="13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2038</v>
      </c>
      <c r="T575" t="s">
        <v>2046</v>
      </c>
    </row>
    <row r="576" spans="1:20" ht="17" x14ac:dyDescent="0.2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s="4">
        <f t="shared" si="35"/>
        <v>3.6914814814814814</v>
      </c>
      <c r="G576" t="s">
        <v>20</v>
      </c>
      <c r="H576">
        <v>144</v>
      </c>
      <c r="I576" s="6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3"/>
        <v>43806.25</v>
      </c>
      <c r="O576" s="13">
        <f t="shared" si="34"/>
        <v>43816.25</v>
      </c>
      <c r="P576" t="b">
        <v>0</v>
      </c>
      <c r="Q576" t="b">
        <v>1</v>
      </c>
      <c r="R576" t="s">
        <v>17</v>
      </c>
      <c r="S576" t="s">
        <v>2036</v>
      </c>
      <c r="T576" t="s">
        <v>2051</v>
      </c>
    </row>
    <row r="577" spans="1:20" ht="17" x14ac:dyDescent="0.2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s="4">
        <f t="shared" si="35"/>
        <v>0.62930372148859548</v>
      </c>
      <c r="G577" t="s">
        <v>14</v>
      </c>
      <c r="H577">
        <v>558</v>
      </c>
      <c r="I577" s="6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3"/>
        <v>41779.208333333336</v>
      </c>
      <c r="O577" s="13">
        <f t="shared" si="34"/>
        <v>41782.208333333336</v>
      </c>
      <c r="P577" t="b">
        <v>0</v>
      </c>
      <c r="Q577" t="b">
        <v>1</v>
      </c>
      <c r="R577" t="s">
        <v>33</v>
      </c>
      <c r="S577" t="s">
        <v>2043</v>
      </c>
      <c r="T577" t="s">
        <v>2058</v>
      </c>
    </row>
    <row r="578" spans="1:20" ht="34" x14ac:dyDescent="0.2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s="4">
        <f t="shared" si="35"/>
        <v>0.6492783505154639</v>
      </c>
      <c r="G578" t="s">
        <v>14</v>
      </c>
      <c r="H578">
        <v>64</v>
      </c>
      <c r="I578" s="6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3"/>
        <v>43040.208333333328</v>
      </c>
      <c r="O578" s="13">
        <f t="shared" si="34"/>
        <v>43057.25</v>
      </c>
      <c r="P578" t="b">
        <v>0</v>
      </c>
      <c r="Q578" t="b">
        <v>0</v>
      </c>
      <c r="R578" t="s">
        <v>33</v>
      </c>
      <c r="S578" t="s">
        <v>2043</v>
      </c>
      <c r="T578" t="s">
        <v>2058</v>
      </c>
    </row>
    <row r="579" spans="1:20" ht="17" x14ac:dyDescent="0.2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s="4">
        <f t="shared" si="35"/>
        <v>0.18853658536585366</v>
      </c>
      <c r="G579" t="s">
        <v>74</v>
      </c>
      <c r="H579">
        <v>37</v>
      </c>
      <c r="I579" s="6">
        <f t="shared" ref="I579:I642" si="36">IF(H579&lt;&gt;0,E579/H579,0)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3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2039</v>
      </c>
      <c r="T579" t="s">
        <v>2053</v>
      </c>
    </row>
    <row r="580" spans="1:20" ht="17" x14ac:dyDescent="0.2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 s="6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7"/>
        <v>40878.25</v>
      </c>
      <c r="O580" s="13">
        <f t="shared" si="38"/>
        <v>40881.25</v>
      </c>
      <c r="P580" t="b">
        <v>0</v>
      </c>
      <c r="Q580" t="b">
        <v>0</v>
      </c>
      <c r="R580" t="s">
        <v>474</v>
      </c>
      <c r="S580" t="s">
        <v>2035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s="4">
        <f t="shared" si="39"/>
        <v>1.0111290322580646</v>
      </c>
      <c r="G581" t="s">
        <v>20</v>
      </c>
      <c r="H581">
        <v>87</v>
      </c>
      <c r="I581" s="6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7"/>
        <v>40762.208333333336</v>
      </c>
      <c r="O581" s="13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2039</v>
      </c>
      <c r="T581" t="s">
        <v>2053</v>
      </c>
    </row>
    <row r="582" spans="1:20" ht="17" x14ac:dyDescent="0.2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s="4">
        <f t="shared" si="39"/>
        <v>3.4150228310502282</v>
      </c>
      <c r="G582" t="s">
        <v>20</v>
      </c>
      <c r="H582">
        <v>3116</v>
      </c>
      <c r="I582" s="6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7"/>
        <v>41696.25</v>
      </c>
      <c r="O582" s="13">
        <f t="shared" si="38"/>
        <v>41704.25</v>
      </c>
      <c r="P582" t="b">
        <v>0</v>
      </c>
      <c r="Q582" t="b">
        <v>0</v>
      </c>
      <c r="R582" t="s">
        <v>33</v>
      </c>
      <c r="S582" t="s">
        <v>2043</v>
      </c>
      <c r="T582" t="s">
        <v>2058</v>
      </c>
    </row>
    <row r="583" spans="1:20" ht="17" x14ac:dyDescent="0.2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s="4">
        <f t="shared" si="39"/>
        <v>0.64016666666666666</v>
      </c>
      <c r="G583" t="s">
        <v>14</v>
      </c>
      <c r="H583">
        <v>71</v>
      </c>
      <c r="I583" s="6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7"/>
        <v>40662.208333333336</v>
      </c>
      <c r="O583" s="13">
        <f t="shared" si="38"/>
        <v>40677.208333333336</v>
      </c>
      <c r="P583" t="b">
        <v>0</v>
      </c>
      <c r="Q583" t="b">
        <v>0</v>
      </c>
      <c r="R583" t="s">
        <v>28</v>
      </c>
      <c r="S583" t="s">
        <v>2042</v>
      </c>
      <c r="T583" t="s">
        <v>2067</v>
      </c>
    </row>
    <row r="584" spans="1:20" ht="17" x14ac:dyDescent="0.2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s="4">
        <f t="shared" si="39"/>
        <v>0.5208045977011494</v>
      </c>
      <c r="G584" t="s">
        <v>14</v>
      </c>
      <c r="H584">
        <v>42</v>
      </c>
      <c r="I584" s="6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7"/>
        <v>42165.208333333328</v>
      </c>
      <c r="O584" s="13">
        <f t="shared" si="38"/>
        <v>42170.208333333328</v>
      </c>
      <c r="P584" t="b">
        <v>0</v>
      </c>
      <c r="Q584" t="b">
        <v>1</v>
      </c>
      <c r="R584" t="s">
        <v>89</v>
      </c>
      <c r="S584" t="s">
        <v>2037</v>
      </c>
      <c r="T584" t="s">
        <v>2065</v>
      </c>
    </row>
    <row r="585" spans="1:20" ht="34" x14ac:dyDescent="0.2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s="4">
        <f t="shared" si="39"/>
        <v>3.2240211640211642</v>
      </c>
      <c r="G585" t="s">
        <v>20</v>
      </c>
      <c r="H585">
        <v>909</v>
      </c>
      <c r="I585" s="6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7"/>
        <v>40959.25</v>
      </c>
      <c r="O585" s="13">
        <f t="shared" si="38"/>
        <v>40976.25</v>
      </c>
      <c r="P585" t="b">
        <v>0</v>
      </c>
      <c r="Q585" t="b">
        <v>0</v>
      </c>
      <c r="R585" t="s">
        <v>42</v>
      </c>
      <c r="S585" t="s">
        <v>2035</v>
      </c>
      <c r="T585" t="s">
        <v>2047</v>
      </c>
    </row>
    <row r="586" spans="1:20" ht="34" x14ac:dyDescent="0.2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s="4">
        <f t="shared" si="39"/>
        <v>1.1950810185185186</v>
      </c>
      <c r="G586" t="s">
        <v>20</v>
      </c>
      <c r="H586">
        <v>1613</v>
      </c>
      <c r="I586" s="6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7"/>
        <v>41024.208333333336</v>
      </c>
      <c r="O586" s="13">
        <f t="shared" si="38"/>
        <v>41038.208333333336</v>
      </c>
      <c r="P586" t="b">
        <v>0</v>
      </c>
      <c r="Q586" t="b">
        <v>0</v>
      </c>
      <c r="R586" t="s">
        <v>28</v>
      </c>
      <c r="S586" t="s">
        <v>2042</v>
      </c>
      <c r="T586" t="s">
        <v>2067</v>
      </c>
    </row>
    <row r="587" spans="1:20" ht="17" x14ac:dyDescent="0.2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s="4">
        <f t="shared" si="39"/>
        <v>1.4679775280898877</v>
      </c>
      <c r="G587" t="s">
        <v>20</v>
      </c>
      <c r="H587">
        <v>136</v>
      </c>
      <c r="I587" s="6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7"/>
        <v>40255.208333333336</v>
      </c>
      <c r="O587" s="13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2041</v>
      </c>
      <c r="T587" t="s">
        <v>2064</v>
      </c>
    </row>
    <row r="588" spans="1:20" ht="17" x14ac:dyDescent="0.2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s="4">
        <f t="shared" si="39"/>
        <v>9.5057142857142853</v>
      </c>
      <c r="G588" t="s">
        <v>20</v>
      </c>
      <c r="H588">
        <v>130</v>
      </c>
      <c r="I588" s="6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7"/>
        <v>40499.25</v>
      </c>
      <c r="O588" s="13">
        <f t="shared" si="38"/>
        <v>40518.25</v>
      </c>
      <c r="P588" t="b">
        <v>0</v>
      </c>
      <c r="Q588" t="b">
        <v>0</v>
      </c>
      <c r="R588" t="s">
        <v>23</v>
      </c>
      <c r="S588" t="s">
        <v>2039</v>
      </c>
      <c r="T588" t="s">
        <v>2060</v>
      </c>
    </row>
    <row r="589" spans="1:20" ht="17" x14ac:dyDescent="0.2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s="4">
        <f t="shared" si="39"/>
        <v>0.72893617021276591</v>
      </c>
      <c r="G589" t="s">
        <v>14</v>
      </c>
      <c r="H589">
        <v>156</v>
      </c>
      <c r="I589" s="6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7"/>
        <v>43484.25</v>
      </c>
      <c r="O589" s="13">
        <f t="shared" si="38"/>
        <v>43536.208333333328</v>
      </c>
      <c r="P589" t="b">
        <v>0</v>
      </c>
      <c r="Q589" t="b">
        <v>1</v>
      </c>
      <c r="R589" t="s">
        <v>17</v>
      </c>
      <c r="S589" t="s">
        <v>2036</v>
      </c>
      <c r="T589" t="s">
        <v>2051</v>
      </c>
    </row>
    <row r="590" spans="1:20" ht="17" x14ac:dyDescent="0.2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s="4">
        <f t="shared" si="39"/>
        <v>0.7900824873096447</v>
      </c>
      <c r="G590" t="s">
        <v>14</v>
      </c>
      <c r="H590">
        <v>1368</v>
      </c>
      <c r="I590" s="6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7"/>
        <v>40262.208333333336</v>
      </c>
      <c r="O590" s="13">
        <f t="shared" si="38"/>
        <v>40293.208333333336</v>
      </c>
      <c r="P590" t="b">
        <v>0</v>
      </c>
      <c r="Q590" t="b">
        <v>0</v>
      </c>
      <c r="R590" t="s">
        <v>33</v>
      </c>
      <c r="S590" t="s">
        <v>2043</v>
      </c>
      <c r="T590" t="s">
        <v>2058</v>
      </c>
    </row>
    <row r="591" spans="1:20" ht="17" x14ac:dyDescent="0.2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s="4">
        <f t="shared" si="39"/>
        <v>0.64721518987341775</v>
      </c>
      <c r="G591" t="s">
        <v>14</v>
      </c>
      <c r="H591">
        <v>102</v>
      </c>
      <c r="I591" s="6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7"/>
        <v>42190.208333333328</v>
      </c>
      <c r="O591" s="13">
        <f t="shared" si="38"/>
        <v>42197.208333333328</v>
      </c>
      <c r="P591" t="b">
        <v>0</v>
      </c>
      <c r="Q591" t="b">
        <v>0</v>
      </c>
      <c r="R591" t="s">
        <v>42</v>
      </c>
      <c r="S591" t="s">
        <v>2035</v>
      </c>
      <c r="T591" t="s">
        <v>2047</v>
      </c>
    </row>
    <row r="592" spans="1:20" ht="34" x14ac:dyDescent="0.2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s="4">
        <f t="shared" si="39"/>
        <v>0.82028169014084507</v>
      </c>
      <c r="G592" t="s">
        <v>14</v>
      </c>
      <c r="H592">
        <v>86</v>
      </c>
      <c r="I592" s="6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7"/>
        <v>41994.25</v>
      </c>
      <c r="O592" s="13">
        <f t="shared" si="38"/>
        <v>42005.25</v>
      </c>
      <c r="P592" t="b">
        <v>0</v>
      </c>
      <c r="Q592" t="b">
        <v>0</v>
      </c>
      <c r="R592" t="s">
        <v>133</v>
      </c>
      <c r="S592" t="s">
        <v>2041</v>
      </c>
      <c r="T592" t="s">
        <v>2059</v>
      </c>
    </row>
    <row r="593" spans="1:20" ht="17" x14ac:dyDescent="0.2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s="4">
        <f t="shared" si="39"/>
        <v>10.376666666666667</v>
      </c>
      <c r="G593" t="s">
        <v>20</v>
      </c>
      <c r="H593">
        <v>102</v>
      </c>
      <c r="I593" s="6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7"/>
        <v>40373.208333333336</v>
      </c>
      <c r="O593" s="13">
        <f t="shared" si="38"/>
        <v>40383.208333333336</v>
      </c>
      <c r="P593" t="b">
        <v>0</v>
      </c>
      <c r="Q593" t="b">
        <v>0</v>
      </c>
      <c r="R593" t="s">
        <v>89</v>
      </c>
      <c r="S593" t="s">
        <v>2037</v>
      </c>
      <c r="T593" t="s">
        <v>2065</v>
      </c>
    </row>
    <row r="594" spans="1:20" ht="34" x14ac:dyDescent="0.2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s="4">
        <f t="shared" si="39"/>
        <v>0.12910076530612244</v>
      </c>
      <c r="G594" t="s">
        <v>14</v>
      </c>
      <c r="H594">
        <v>253</v>
      </c>
      <c r="I594" s="6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7"/>
        <v>41789.208333333336</v>
      </c>
      <c r="O594" s="13">
        <f t="shared" si="38"/>
        <v>41798.208333333336</v>
      </c>
      <c r="P594" t="b">
        <v>0</v>
      </c>
      <c r="Q594" t="b">
        <v>0</v>
      </c>
      <c r="R594" t="s">
        <v>33</v>
      </c>
      <c r="S594" t="s">
        <v>2043</v>
      </c>
      <c r="T594" t="s">
        <v>2058</v>
      </c>
    </row>
    <row r="595" spans="1:20" ht="17" x14ac:dyDescent="0.2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s="4">
        <f t="shared" si="39"/>
        <v>1.5484210526315789</v>
      </c>
      <c r="G595" t="s">
        <v>20</v>
      </c>
      <c r="H595">
        <v>4006</v>
      </c>
      <c r="I595" s="6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7"/>
        <v>41724.208333333336</v>
      </c>
      <c r="O595" s="13">
        <f t="shared" si="38"/>
        <v>41737.208333333336</v>
      </c>
      <c r="P595" t="b">
        <v>0</v>
      </c>
      <c r="Q595" t="b">
        <v>0</v>
      </c>
      <c r="R595" t="s">
        <v>71</v>
      </c>
      <c r="S595" t="s">
        <v>2035</v>
      </c>
      <c r="T595" t="s">
        <v>2045</v>
      </c>
    </row>
    <row r="596" spans="1:20" ht="34" x14ac:dyDescent="0.2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s="4">
        <f t="shared" si="39"/>
        <v>7.0991735537190084E-2</v>
      </c>
      <c r="G596" t="s">
        <v>14</v>
      </c>
      <c r="H596">
        <v>157</v>
      </c>
      <c r="I596" s="6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7"/>
        <v>42548.208333333328</v>
      </c>
      <c r="O596" s="13">
        <f t="shared" si="38"/>
        <v>42551.208333333328</v>
      </c>
      <c r="P596" t="b">
        <v>0</v>
      </c>
      <c r="Q596" t="b">
        <v>1</v>
      </c>
      <c r="R596" t="s">
        <v>33</v>
      </c>
      <c r="S596" t="s">
        <v>2043</v>
      </c>
      <c r="T596" t="s">
        <v>2058</v>
      </c>
    </row>
    <row r="597" spans="1:20" ht="34" x14ac:dyDescent="0.2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s="4">
        <f t="shared" si="39"/>
        <v>2.0852773826458035</v>
      </c>
      <c r="G597" t="s">
        <v>20</v>
      </c>
      <c r="H597">
        <v>1629</v>
      </c>
      <c r="I597" s="6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7"/>
        <v>40253.208333333336</v>
      </c>
      <c r="O597" s="13">
        <f t="shared" si="38"/>
        <v>40274.208333333336</v>
      </c>
      <c r="P597" t="b">
        <v>0</v>
      </c>
      <c r="Q597" t="b">
        <v>1</v>
      </c>
      <c r="R597" t="s">
        <v>33</v>
      </c>
      <c r="S597" t="s">
        <v>2043</v>
      </c>
      <c r="T597" t="s">
        <v>2058</v>
      </c>
    </row>
    <row r="598" spans="1:20" ht="17" x14ac:dyDescent="0.2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s="4">
        <f t="shared" si="39"/>
        <v>0.99683544303797467</v>
      </c>
      <c r="G598" t="s">
        <v>14</v>
      </c>
      <c r="H598">
        <v>183</v>
      </c>
      <c r="I598" s="6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7"/>
        <v>42434.25</v>
      </c>
      <c r="O598" s="13">
        <f t="shared" si="38"/>
        <v>42441.25</v>
      </c>
      <c r="P598" t="b">
        <v>0</v>
      </c>
      <c r="Q598" t="b">
        <v>1</v>
      </c>
      <c r="R598" t="s">
        <v>53</v>
      </c>
      <c r="S598" t="s">
        <v>2035</v>
      </c>
      <c r="T598" t="s">
        <v>2048</v>
      </c>
    </row>
    <row r="599" spans="1:20" ht="17" x14ac:dyDescent="0.2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s="4">
        <f t="shared" si="39"/>
        <v>2.0159756097560977</v>
      </c>
      <c r="G599" t="s">
        <v>20</v>
      </c>
      <c r="H599">
        <v>2188</v>
      </c>
      <c r="I599" s="6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7"/>
        <v>43786.25</v>
      </c>
      <c r="O599" s="13">
        <f t="shared" si="38"/>
        <v>43804.25</v>
      </c>
      <c r="P599" t="b">
        <v>0</v>
      </c>
      <c r="Q599" t="b">
        <v>0</v>
      </c>
      <c r="R599" t="s">
        <v>33</v>
      </c>
      <c r="S599" t="s">
        <v>2043</v>
      </c>
      <c r="T599" t="s">
        <v>2058</v>
      </c>
    </row>
    <row r="600" spans="1:20" ht="17" x14ac:dyDescent="0.2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s="4">
        <f t="shared" si="39"/>
        <v>1.6209032258064515</v>
      </c>
      <c r="G600" t="s">
        <v>20</v>
      </c>
      <c r="H600">
        <v>2409</v>
      </c>
      <c r="I600" s="6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7"/>
        <v>40344.208333333336</v>
      </c>
      <c r="O600" s="13">
        <f t="shared" si="38"/>
        <v>40373.208333333336</v>
      </c>
      <c r="P600" t="b">
        <v>0</v>
      </c>
      <c r="Q600" t="b">
        <v>0</v>
      </c>
      <c r="R600" t="s">
        <v>23</v>
      </c>
      <c r="S600" t="s">
        <v>2039</v>
      </c>
      <c r="T600" t="s">
        <v>2060</v>
      </c>
    </row>
    <row r="601" spans="1:20" ht="34" x14ac:dyDescent="0.2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s="4">
        <f t="shared" si="39"/>
        <v>3.6436208125445471E-2</v>
      </c>
      <c r="G601" t="s">
        <v>14</v>
      </c>
      <c r="H601">
        <v>82</v>
      </c>
      <c r="I601" s="6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7"/>
        <v>42047.25</v>
      </c>
      <c r="O601" s="13">
        <f t="shared" si="38"/>
        <v>42055.25</v>
      </c>
      <c r="P601" t="b">
        <v>0</v>
      </c>
      <c r="Q601" t="b">
        <v>0</v>
      </c>
      <c r="R601" t="s">
        <v>42</v>
      </c>
      <c r="S601" t="s">
        <v>2035</v>
      </c>
      <c r="T601" t="s">
        <v>2047</v>
      </c>
    </row>
    <row r="602" spans="1:20" ht="17" x14ac:dyDescent="0.2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s="4">
        <f t="shared" si="39"/>
        <v>0.05</v>
      </c>
      <c r="G602" t="s">
        <v>14</v>
      </c>
      <c r="H602">
        <v>1</v>
      </c>
      <c r="I602" s="6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7"/>
        <v>41485.208333333336</v>
      </c>
      <c r="O602" s="13">
        <f t="shared" si="38"/>
        <v>41497.208333333336</v>
      </c>
      <c r="P602" t="b">
        <v>0</v>
      </c>
      <c r="Q602" t="b">
        <v>0</v>
      </c>
      <c r="R602" t="s">
        <v>17</v>
      </c>
      <c r="S602" t="s">
        <v>2036</v>
      </c>
      <c r="T602" t="s">
        <v>2051</v>
      </c>
    </row>
    <row r="603" spans="1:20" ht="17" x14ac:dyDescent="0.2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s="4">
        <f t="shared" si="39"/>
        <v>2.0663492063492064</v>
      </c>
      <c r="G603" t="s">
        <v>20</v>
      </c>
      <c r="H603">
        <v>194</v>
      </c>
      <c r="I603" s="6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7"/>
        <v>41789.208333333336</v>
      </c>
      <c r="O603" s="13">
        <f t="shared" si="38"/>
        <v>41806.208333333336</v>
      </c>
      <c r="P603" t="b">
        <v>1</v>
      </c>
      <c r="Q603" t="b">
        <v>0</v>
      </c>
      <c r="R603" t="s">
        <v>65</v>
      </c>
      <c r="S603" t="s">
        <v>2042</v>
      </c>
      <c r="T603" t="s">
        <v>2066</v>
      </c>
    </row>
    <row r="604" spans="1:20" ht="34" x14ac:dyDescent="0.2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s="4">
        <f t="shared" si="39"/>
        <v>1.2823628691983122</v>
      </c>
      <c r="G604" t="s">
        <v>20</v>
      </c>
      <c r="H604">
        <v>1140</v>
      </c>
      <c r="I604" s="6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7"/>
        <v>42160.208333333328</v>
      </c>
      <c r="O604" s="13">
        <f t="shared" si="38"/>
        <v>42171.208333333328</v>
      </c>
      <c r="P604" t="b">
        <v>0</v>
      </c>
      <c r="Q604" t="b">
        <v>0</v>
      </c>
      <c r="R604" t="s">
        <v>33</v>
      </c>
      <c r="S604" t="s">
        <v>2043</v>
      </c>
      <c r="T604" t="s">
        <v>2058</v>
      </c>
    </row>
    <row r="605" spans="1:20" ht="17" x14ac:dyDescent="0.2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s="4">
        <f t="shared" si="39"/>
        <v>1.1966037735849056</v>
      </c>
      <c r="G605" t="s">
        <v>20</v>
      </c>
      <c r="H605">
        <v>102</v>
      </c>
      <c r="I605" s="6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7"/>
        <v>43573.208333333328</v>
      </c>
      <c r="O605" s="13">
        <f t="shared" si="38"/>
        <v>43600.208333333328</v>
      </c>
      <c r="P605" t="b">
        <v>0</v>
      </c>
      <c r="Q605" t="b">
        <v>0</v>
      </c>
      <c r="R605" t="s">
        <v>33</v>
      </c>
      <c r="S605" t="s">
        <v>2043</v>
      </c>
      <c r="T605" t="s">
        <v>2058</v>
      </c>
    </row>
    <row r="606" spans="1:20" ht="17" x14ac:dyDescent="0.2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s="4">
        <f t="shared" si="39"/>
        <v>1.7073055242390078</v>
      </c>
      <c r="G606" t="s">
        <v>20</v>
      </c>
      <c r="H606">
        <v>2857</v>
      </c>
      <c r="I606" s="6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7"/>
        <v>40565.25</v>
      </c>
      <c r="O606" s="13">
        <f t="shared" si="38"/>
        <v>40586.25</v>
      </c>
      <c r="P606" t="b">
        <v>0</v>
      </c>
      <c r="Q606" t="b">
        <v>0</v>
      </c>
      <c r="R606" t="s">
        <v>33</v>
      </c>
      <c r="S606" t="s">
        <v>2043</v>
      </c>
      <c r="T606" t="s">
        <v>2058</v>
      </c>
    </row>
    <row r="607" spans="1:20" ht="17" x14ac:dyDescent="0.2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s="4">
        <f t="shared" si="39"/>
        <v>1.8721212121212121</v>
      </c>
      <c r="G607" t="s">
        <v>20</v>
      </c>
      <c r="H607">
        <v>107</v>
      </c>
      <c r="I607" s="6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7"/>
        <v>42280.208333333328</v>
      </c>
      <c r="O607" s="13">
        <f t="shared" si="38"/>
        <v>42321.25</v>
      </c>
      <c r="P607" t="b">
        <v>0</v>
      </c>
      <c r="Q607" t="b">
        <v>0</v>
      </c>
      <c r="R607" t="s">
        <v>68</v>
      </c>
      <c r="S607" t="s">
        <v>2041</v>
      </c>
      <c r="T607" t="s">
        <v>2056</v>
      </c>
    </row>
    <row r="608" spans="1:20" ht="17" x14ac:dyDescent="0.2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s="4">
        <f t="shared" si="39"/>
        <v>1.8838235294117647</v>
      </c>
      <c r="G608" t="s">
        <v>20</v>
      </c>
      <c r="H608">
        <v>160</v>
      </c>
      <c r="I608" s="6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7"/>
        <v>42436.25</v>
      </c>
      <c r="O608" s="13">
        <f t="shared" si="38"/>
        <v>42447.208333333328</v>
      </c>
      <c r="P608" t="b">
        <v>0</v>
      </c>
      <c r="Q608" t="b">
        <v>0</v>
      </c>
      <c r="R608" t="s">
        <v>23</v>
      </c>
      <c r="S608" t="s">
        <v>2039</v>
      </c>
      <c r="T608" t="s">
        <v>2060</v>
      </c>
    </row>
    <row r="609" spans="1:20" ht="17" x14ac:dyDescent="0.2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s="4">
        <f t="shared" si="39"/>
        <v>1.3129869186046512</v>
      </c>
      <c r="G609" t="s">
        <v>20</v>
      </c>
      <c r="H609">
        <v>2230</v>
      </c>
      <c r="I609" s="6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7"/>
        <v>41721.208333333336</v>
      </c>
      <c r="O609" s="13">
        <f t="shared" si="38"/>
        <v>41723.208333333336</v>
      </c>
      <c r="P609" t="b">
        <v>0</v>
      </c>
      <c r="Q609" t="b">
        <v>0</v>
      </c>
      <c r="R609" t="s">
        <v>17</v>
      </c>
      <c r="S609" t="s">
        <v>2036</v>
      </c>
      <c r="T609" t="s">
        <v>2051</v>
      </c>
    </row>
    <row r="610" spans="1:20" ht="17" x14ac:dyDescent="0.2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s="4">
        <f t="shared" si="39"/>
        <v>2.8397435897435899</v>
      </c>
      <c r="G610" t="s">
        <v>20</v>
      </c>
      <c r="H610">
        <v>316</v>
      </c>
      <c r="I610" s="6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7"/>
        <v>43530.25</v>
      </c>
      <c r="O610" s="13">
        <f t="shared" si="38"/>
        <v>43534.25</v>
      </c>
      <c r="P610" t="b">
        <v>0</v>
      </c>
      <c r="Q610" t="b">
        <v>1</v>
      </c>
      <c r="R610" t="s">
        <v>159</v>
      </c>
      <c r="S610" t="s">
        <v>2039</v>
      </c>
      <c r="T610" t="s">
        <v>2053</v>
      </c>
    </row>
    <row r="611" spans="1:20" ht="17" x14ac:dyDescent="0.2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s="4">
        <f t="shared" si="39"/>
        <v>1.2041999999999999</v>
      </c>
      <c r="G611" t="s">
        <v>20</v>
      </c>
      <c r="H611">
        <v>117</v>
      </c>
      <c r="I611" s="6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7"/>
        <v>43481.25</v>
      </c>
      <c r="O611" s="13">
        <f t="shared" si="38"/>
        <v>43498.25</v>
      </c>
      <c r="P611" t="b">
        <v>0</v>
      </c>
      <c r="Q611" t="b">
        <v>0</v>
      </c>
      <c r="R611" t="s">
        <v>474</v>
      </c>
      <c r="S611" t="s">
        <v>2035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s="4">
        <f t="shared" si="39"/>
        <v>4.1905607476635511</v>
      </c>
      <c r="G612" t="s">
        <v>20</v>
      </c>
      <c r="H612">
        <v>6406</v>
      </c>
      <c r="I612" s="6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7"/>
        <v>41259.25</v>
      </c>
      <c r="O612" s="13">
        <f t="shared" si="38"/>
        <v>41273.25</v>
      </c>
      <c r="P612" t="b">
        <v>0</v>
      </c>
      <c r="Q612" t="b">
        <v>0</v>
      </c>
      <c r="R612" t="s">
        <v>33</v>
      </c>
      <c r="S612" t="s">
        <v>2043</v>
      </c>
      <c r="T612" t="s">
        <v>2058</v>
      </c>
    </row>
    <row r="613" spans="1:20" ht="17" x14ac:dyDescent="0.2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s="4">
        <f t="shared" si="39"/>
        <v>0.13853658536585367</v>
      </c>
      <c r="G613" t="s">
        <v>74</v>
      </c>
      <c r="H613">
        <v>15</v>
      </c>
      <c r="I613" s="6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7"/>
        <v>41480.208333333336</v>
      </c>
      <c r="O613" s="13">
        <f t="shared" si="38"/>
        <v>41492.208333333336</v>
      </c>
      <c r="P613" t="b">
        <v>0</v>
      </c>
      <c r="Q613" t="b">
        <v>0</v>
      </c>
      <c r="R613" t="s">
        <v>33</v>
      </c>
      <c r="S613" t="s">
        <v>2043</v>
      </c>
      <c r="T613" t="s">
        <v>2058</v>
      </c>
    </row>
    <row r="614" spans="1:20" ht="17" x14ac:dyDescent="0.2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s="4">
        <f t="shared" si="39"/>
        <v>1.3943548387096774</v>
      </c>
      <c r="G614" t="s">
        <v>20</v>
      </c>
      <c r="H614">
        <v>192</v>
      </c>
      <c r="I614" s="6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7"/>
        <v>40474.208333333336</v>
      </c>
      <c r="O614" s="13">
        <f t="shared" si="38"/>
        <v>40497.25</v>
      </c>
      <c r="P614" t="b">
        <v>0</v>
      </c>
      <c r="Q614" t="b">
        <v>0</v>
      </c>
      <c r="R614" t="s">
        <v>50</v>
      </c>
      <c r="S614" t="s">
        <v>2039</v>
      </c>
      <c r="T614" t="s">
        <v>2049</v>
      </c>
    </row>
    <row r="615" spans="1:20" ht="34" x14ac:dyDescent="0.2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s="4">
        <f t="shared" si="39"/>
        <v>1.74</v>
      </c>
      <c r="G615" t="s">
        <v>20</v>
      </c>
      <c r="H615">
        <v>26</v>
      </c>
      <c r="I615" s="6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7"/>
        <v>42973.208333333328</v>
      </c>
      <c r="O615" s="13">
        <f t="shared" si="38"/>
        <v>42982.208333333328</v>
      </c>
      <c r="P615" t="b">
        <v>0</v>
      </c>
      <c r="Q615" t="b">
        <v>0</v>
      </c>
      <c r="R615" t="s">
        <v>33</v>
      </c>
      <c r="S615" t="s">
        <v>2043</v>
      </c>
      <c r="T615" t="s">
        <v>2058</v>
      </c>
    </row>
    <row r="616" spans="1:20" ht="34" x14ac:dyDescent="0.2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s="4">
        <f t="shared" si="39"/>
        <v>1.5549056603773586</v>
      </c>
      <c r="G616" t="s">
        <v>20</v>
      </c>
      <c r="H616">
        <v>723</v>
      </c>
      <c r="I616" s="6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7"/>
        <v>42746.25</v>
      </c>
      <c r="O616" s="13">
        <f t="shared" si="38"/>
        <v>42764.25</v>
      </c>
      <c r="P616" t="b">
        <v>0</v>
      </c>
      <c r="Q616" t="b">
        <v>0</v>
      </c>
      <c r="R616" t="s">
        <v>33</v>
      </c>
      <c r="S616" t="s">
        <v>2043</v>
      </c>
      <c r="T616" t="s">
        <v>2058</v>
      </c>
    </row>
    <row r="617" spans="1:20" ht="17" x14ac:dyDescent="0.2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s="4">
        <f t="shared" si="39"/>
        <v>1.7044705882352942</v>
      </c>
      <c r="G617" t="s">
        <v>20</v>
      </c>
      <c r="H617">
        <v>170</v>
      </c>
      <c r="I617" s="6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7"/>
        <v>42489.208333333328</v>
      </c>
      <c r="O617" s="13">
        <f t="shared" si="38"/>
        <v>42499.208333333328</v>
      </c>
      <c r="P617" t="b">
        <v>0</v>
      </c>
      <c r="Q617" t="b">
        <v>0</v>
      </c>
      <c r="R617" t="s">
        <v>33</v>
      </c>
      <c r="S617" t="s">
        <v>2043</v>
      </c>
      <c r="T617" t="s">
        <v>2058</v>
      </c>
    </row>
    <row r="618" spans="1:20" ht="17" x14ac:dyDescent="0.2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s="4">
        <f t="shared" si="39"/>
        <v>1.8951562500000001</v>
      </c>
      <c r="G618" t="s">
        <v>20</v>
      </c>
      <c r="H618">
        <v>238</v>
      </c>
      <c r="I618" s="6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7"/>
        <v>41537.208333333336</v>
      </c>
      <c r="O618" s="13">
        <f t="shared" si="38"/>
        <v>41538.208333333336</v>
      </c>
      <c r="P618" t="b">
        <v>0</v>
      </c>
      <c r="Q618" t="b">
        <v>1</v>
      </c>
      <c r="R618" t="s">
        <v>60</v>
      </c>
      <c r="S618" t="s">
        <v>2039</v>
      </c>
      <c r="T618" t="s">
        <v>2052</v>
      </c>
    </row>
    <row r="619" spans="1:20" ht="17" x14ac:dyDescent="0.2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s="4">
        <f t="shared" si="39"/>
        <v>2.4971428571428573</v>
      </c>
      <c r="G619" t="s">
        <v>20</v>
      </c>
      <c r="H619">
        <v>55</v>
      </c>
      <c r="I619" s="6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7"/>
        <v>41794.208333333336</v>
      </c>
      <c r="O619" s="13">
        <f t="shared" si="38"/>
        <v>41804.208333333336</v>
      </c>
      <c r="P619" t="b">
        <v>0</v>
      </c>
      <c r="Q619" t="b">
        <v>0</v>
      </c>
      <c r="R619" t="s">
        <v>33</v>
      </c>
      <c r="S619" t="s">
        <v>2043</v>
      </c>
      <c r="T619" t="s">
        <v>2058</v>
      </c>
    </row>
    <row r="620" spans="1:20" ht="17" x14ac:dyDescent="0.2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s="4">
        <f t="shared" si="39"/>
        <v>0.48860523665659616</v>
      </c>
      <c r="G620" t="s">
        <v>14</v>
      </c>
      <c r="H620">
        <v>1198</v>
      </c>
      <c r="I620" s="6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7"/>
        <v>41396.208333333336</v>
      </c>
      <c r="O620" s="13">
        <f t="shared" si="38"/>
        <v>41417.208333333336</v>
      </c>
      <c r="P620" t="b">
        <v>0</v>
      </c>
      <c r="Q620" t="b">
        <v>0</v>
      </c>
      <c r="R620" t="s">
        <v>68</v>
      </c>
      <c r="S620" t="s">
        <v>2041</v>
      </c>
      <c r="T620" t="s">
        <v>2056</v>
      </c>
    </row>
    <row r="621" spans="1:20" ht="17" x14ac:dyDescent="0.2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s="4">
        <f t="shared" si="39"/>
        <v>0.28461970393057684</v>
      </c>
      <c r="G621" t="s">
        <v>14</v>
      </c>
      <c r="H621">
        <v>648</v>
      </c>
      <c r="I621" s="6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7"/>
        <v>40669.208333333336</v>
      </c>
      <c r="O621" s="13">
        <f t="shared" si="38"/>
        <v>40670.208333333336</v>
      </c>
      <c r="P621" t="b">
        <v>1</v>
      </c>
      <c r="Q621" t="b">
        <v>1</v>
      </c>
      <c r="R621" t="s">
        <v>33</v>
      </c>
      <c r="S621" t="s">
        <v>2043</v>
      </c>
      <c r="T621" t="s">
        <v>2058</v>
      </c>
    </row>
    <row r="622" spans="1:20" ht="17" x14ac:dyDescent="0.2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s="4">
        <f t="shared" si="39"/>
        <v>2.6802325581395348</v>
      </c>
      <c r="G622" t="s">
        <v>20</v>
      </c>
      <c r="H622">
        <v>128</v>
      </c>
      <c r="I622" s="6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7"/>
        <v>42559.208333333328</v>
      </c>
      <c r="O622" s="13">
        <f t="shared" si="38"/>
        <v>42563.208333333328</v>
      </c>
      <c r="P622" t="b">
        <v>0</v>
      </c>
      <c r="Q622" t="b">
        <v>0</v>
      </c>
      <c r="R622" t="s">
        <v>122</v>
      </c>
      <c r="S622" t="s">
        <v>2040</v>
      </c>
      <c r="T622" t="s">
        <v>2057</v>
      </c>
    </row>
    <row r="623" spans="1:20" ht="17" x14ac:dyDescent="0.2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s="4">
        <f t="shared" si="39"/>
        <v>6.1980078125000002</v>
      </c>
      <c r="G623" t="s">
        <v>20</v>
      </c>
      <c r="H623">
        <v>2144</v>
      </c>
      <c r="I623" s="6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7"/>
        <v>42626.208333333328</v>
      </c>
      <c r="O623" s="13">
        <f t="shared" si="38"/>
        <v>42631.208333333328</v>
      </c>
      <c r="P623" t="b">
        <v>0</v>
      </c>
      <c r="Q623" t="b">
        <v>0</v>
      </c>
      <c r="R623" t="s">
        <v>33</v>
      </c>
      <c r="S623" t="s">
        <v>2043</v>
      </c>
      <c r="T623" t="s">
        <v>2058</v>
      </c>
    </row>
    <row r="624" spans="1:20" ht="17" x14ac:dyDescent="0.2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s="4">
        <f t="shared" si="39"/>
        <v>3.1301587301587303E-2</v>
      </c>
      <c r="G624" t="s">
        <v>14</v>
      </c>
      <c r="H624">
        <v>64</v>
      </c>
      <c r="I624" s="6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7"/>
        <v>43205.208333333328</v>
      </c>
      <c r="O624" s="13">
        <f t="shared" si="38"/>
        <v>43231.208333333328</v>
      </c>
      <c r="P624" t="b">
        <v>0</v>
      </c>
      <c r="Q624" t="b">
        <v>0</v>
      </c>
      <c r="R624" t="s">
        <v>60</v>
      </c>
      <c r="S624" t="s">
        <v>2039</v>
      </c>
      <c r="T624" t="s">
        <v>2052</v>
      </c>
    </row>
    <row r="625" spans="1:20" ht="17" x14ac:dyDescent="0.2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s="4">
        <f t="shared" si="39"/>
        <v>1.5992152704135738</v>
      </c>
      <c r="G625" t="s">
        <v>20</v>
      </c>
      <c r="H625">
        <v>2693</v>
      </c>
      <c r="I625" s="6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7"/>
        <v>42201.208333333328</v>
      </c>
      <c r="O625" s="13">
        <f t="shared" si="38"/>
        <v>42206.208333333328</v>
      </c>
      <c r="P625" t="b">
        <v>0</v>
      </c>
      <c r="Q625" t="b">
        <v>0</v>
      </c>
      <c r="R625" t="s">
        <v>33</v>
      </c>
      <c r="S625" t="s">
        <v>2043</v>
      </c>
      <c r="T625" t="s">
        <v>2058</v>
      </c>
    </row>
    <row r="626" spans="1:20" ht="17" x14ac:dyDescent="0.2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s="4">
        <f t="shared" si="39"/>
        <v>2.793921568627451</v>
      </c>
      <c r="G626" t="s">
        <v>20</v>
      </c>
      <c r="H626">
        <v>432</v>
      </c>
      <c r="I626" s="6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7"/>
        <v>42029.25</v>
      </c>
      <c r="O626" s="13">
        <f t="shared" si="38"/>
        <v>42035.25</v>
      </c>
      <c r="P626" t="b">
        <v>0</v>
      </c>
      <c r="Q626" t="b">
        <v>0</v>
      </c>
      <c r="R626" t="s">
        <v>122</v>
      </c>
      <c r="S626" t="s">
        <v>2040</v>
      </c>
      <c r="T626" t="s">
        <v>2057</v>
      </c>
    </row>
    <row r="627" spans="1:20" ht="34" x14ac:dyDescent="0.2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s="4">
        <f t="shared" si="39"/>
        <v>0.77373333333333338</v>
      </c>
      <c r="G627" t="s">
        <v>14</v>
      </c>
      <c r="H627">
        <v>62</v>
      </c>
      <c r="I627" s="6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7"/>
        <v>43857.25</v>
      </c>
      <c r="O627" s="13">
        <f t="shared" si="38"/>
        <v>43871.25</v>
      </c>
      <c r="P627" t="b">
        <v>0</v>
      </c>
      <c r="Q627" t="b">
        <v>0</v>
      </c>
      <c r="R627" t="s">
        <v>33</v>
      </c>
      <c r="S627" t="s">
        <v>2043</v>
      </c>
      <c r="T627" t="s">
        <v>2058</v>
      </c>
    </row>
    <row r="628" spans="1:20" ht="34" x14ac:dyDescent="0.2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s="4">
        <f t="shared" si="39"/>
        <v>2.0632812500000002</v>
      </c>
      <c r="G628" t="s">
        <v>20</v>
      </c>
      <c r="H628">
        <v>189</v>
      </c>
      <c r="I628" s="6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7"/>
        <v>40449.208333333336</v>
      </c>
      <c r="O628" s="13">
        <f t="shared" si="38"/>
        <v>40458.208333333336</v>
      </c>
      <c r="P628" t="b">
        <v>0</v>
      </c>
      <c r="Q628" t="b">
        <v>1</v>
      </c>
      <c r="R628" t="s">
        <v>33</v>
      </c>
      <c r="S628" t="s">
        <v>2043</v>
      </c>
      <c r="T628" t="s">
        <v>2058</v>
      </c>
    </row>
    <row r="629" spans="1:20" ht="17" x14ac:dyDescent="0.2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s="4">
        <f t="shared" si="39"/>
        <v>6.9424999999999999</v>
      </c>
      <c r="G629" t="s">
        <v>20</v>
      </c>
      <c r="H629">
        <v>154</v>
      </c>
      <c r="I629" s="6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7"/>
        <v>40345.208333333336</v>
      </c>
      <c r="O629" s="13">
        <f t="shared" si="38"/>
        <v>40369.208333333336</v>
      </c>
      <c r="P629" t="b">
        <v>1</v>
      </c>
      <c r="Q629" t="b">
        <v>0</v>
      </c>
      <c r="R629" t="s">
        <v>17</v>
      </c>
      <c r="S629" t="s">
        <v>2036</v>
      </c>
      <c r="T629" t="s">
        <v>2051</v>
      </c>
    </row>
    <row r="630" spans="1:20" ht="17" x14ac:dyDescent="0.2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s="4">
        <f t="shared" si="39"/>
        <v>1.5178947368421052</v>
      </c>
      <c r="G630" t="s">
        <v>20</v>
      </c>
      <c r="H630">
        <v>96</v>
      </c>
      <c r="I630" s="6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7"/>
        <v>40455.208333333336</v>
      </c>
      <c r="O630" s="13">
        <f t="shared" si="38"/>
        <v>40458.208333333336</v>
      </c>
      <c r="P630" t="b">
        <v>0</v>
      </c>
      <c r="Q630" t="b">
        <v>0</v>
      </c>
      <c r="R630" t="s">
        <v>60</v>
      </c>
      <c r="S630" t="s">
        <v>2039</v>
      </c>
      <c r="T630" t="s">
        <v>2052</v>
      </c>
    </row>
    <row r="631" spans="1:20" ht="17" x14ac:dyDescent="0.2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s="4">
        <f t="shared" si="39"/>
        <v>0.64582072176949945</v>
      </c>
      <c r="G631" t="s">
        <v>14</v>
      </c>
      <c r="H631">
        <v>750</v>
      </c>
      <c r="I631" s="6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7"/>
        <v>42557.208333333328</v>
      </c>
      <c r="O631" s="13">
        <f t="shared" si="38"/>
        <v>42559.208333333328</v>
      </c>
      <c r="P631" t="b">
        <v>0</v>
      </c>
      <c r="Q631" t="b">
        <v>1</v>
      </c>
      <c r="R631" t="s">
        <v>33</v>
      </c>
      <c r="S631" t="s">
        <v>2043</v>
      </c>
      <c r="T631" t="s">
        <v>2058</v>
      </c>
    </row>
    <row r="632" spans="1:20" ht="17" x14ac:dyDescent="0.2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s="4">
        <f t="shared" si="39"/>
        <v>0.62873684210526315</v>
      </c>
      <c r="G632" t="s">
        <v>74</v>
      </c>
      <c r="H632">
        <v>87</v>
      </c>
      <c r="I632" s="6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7"/>
        <v>43586.208333333328</v>
      </c>
      <c r="O632" s="13">
        <f t="shared" si="38"/>
        <v>43597.208333333328</v>
      </c>
      <c r="P632" t="b">
        <v>0</v>
      </c>
      <c r="Q632" t="b">
        <v>1</v>
      </c>
      <c r="R632" t="s">
        <v>33</v>
      </c>
      <c r="S632" t="s">
        <v>2043</v>
      </c>
      <c r="T632" t="s">
        <v>2058</v>
      </c>
    </row>
    <row r="633" spans="1:20" ht="17" x14ac:dyDescent="0.2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s="4">
        <f t="shared" si="39"/>
        <v>3.1039864864864866</v>
      </c>
      <c r="G633" t="s">
        <v>20</v>
      </c>
      <c r="H633">
        <v>3063</v>
      </c>
      <c r="I633" s="6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7"/>
        <v>43550.208333333328</v>
      </c>
      <c r="O633" s="13">
        <f t="shared" si="38"/>
        <v>43554.208333333328</v>
      </c>
      <c r="P633" t="b">
        <v>0</v>
      </c>
      <c r="Q633" t="b">
        <v>0</v>
      </c>
      <c r="R633" t="s">
        <v>33</v>
      </c>
      <c r="S633" t="s">
        <v>2043</v>
      </c>
      <c r="T633" t="s">
        <v>2058</v>
      </c>
    </row>
    <row r="634" spans="1:20" ht="17" x14ac:dyDescent="0.2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s="4">
        <f t="shared" si="39"/>
        <v>0.42859916782246882</v>
      </c>
      <c r="G634" t="s">
        <v>47</v>
      </c>
      <c r="H634">
        <v>278</v>
      </c>
      <c r="I634" s="6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7"/>
        <v>41945.208333333336</v>
      </c>
      <c r="O634" s="13">
        <f t="shared" si="38"/>
        <v>41963.25</v>
      </c>
      <c r="P634" t="b">
        <v>0</v>
      </c>
      <c r="Q634" t="b">
        <v>0</v>
      </c>
      <c r="R634" t="s">
        <v>33</v>
      </c>
      <c r="S634" t="s">
        <v>2043</v>
      </c>
      <c r="T634" t="s">
        <v>2058</v>
      </c>
    </row>
    <row r="635" spans="1:20" ht="34" x14ac:dyDescent="0.2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s="4">
        <f t="shared" si="39"/>
        <v>0.83119402985074631</v>
      </c>
      <c r="G635" t="s">
        <v>14</v>
      </c>
      <c r="H635">
        <v>105</v>
      </c>
      <c r="I635" s="6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7"/>
        <v>42315.25</v>
      </c>
      <c r="O635" s="13">
        <f t="shared" si="38"/>
        <v>42319.25</v>
      </c>
      <c r="P635" t="b">
        <v>0</v>
      </c>
      <c r="Q635" t="b">
        <v>0</v>
      </c>
      <c r="R635" t="s">
        <v>71</v>
      </c>
      <c r="S635" t="s">
        <v>2035</v>
      </c>
      <c r="T635" t="s">
        <v>2045</v>
      </c>
    </row>
    <row r="636" spans="1:20" ht="17" x14ac:dyDescent="0.2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s="4">
        <f t="shared" si="39"/>
        <v>0.78531302876480547</v>
      </c>
      <c r="G636" t="s">
        <v>74</v>
      </c>
      <c r="H636">
        <v>1658</v>
      </c>
      <c r="I636" s="6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7"/>
        <v>42819.208333333328</v>
      </c>
      <c r="O636" s="13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2035</v>
      </c>
      <c r="T636" t="s">
        <v>2063</v>
      </c>
    </row>
    <row r="637" spans="1:20" ht="17" x14ac:dyDescent="0.2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s="4">
        <f t="shared" si="39"/>
        <v>1.1409352517985611</v>
      </c>
      <c r="G637" t="s">
        <v>20</v>
      </c>
      <c r="H637">
        <v>2266</v>
      </c>
      <c r="I637" s="6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7"/>
        <v>41314.25</v>
      </c>
      <c r="O637" s="13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2035</v>
      </c>
      <c r="T637" t="s">
        <v>2063</v>
      </c>
    </row>
    <row r="638" spans="1:20" ht="17" x14ac:dyDescent="0.2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s="4">
        <f t="shared" si="39"/>
        <v>0.64537683358624176</v>
      </c>
      <c r="G638" t="s">
        <v>14</v>
      </c>
      <c r="H638">
        <v>2604</v>
      </c>
      <c r="I638" s="6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7"/>
        <v>40926.25</v>
      </c>
      <c r="O638" s="13">
        <f t="shared" si="38"/>
        <v>40971.25</v>
      </c>
      <c r="P638" t="b">
        <v>0</v>
      </c>
      <c r="Q638" t="b">
        <v>1</v>
      </c>
      <c r="R638" t="s">
        <v>71</v>
      </c>
      <c r="S638" t="s">
        <v>2035</v>
      </c>
      <c r="T638" t="s">
        <v>2045</v>
      </c>
    </row>
    <row r="639" spans="1:20" ht="17" x14ac:dyDescent="0.2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s="4">
        <f t="shared" si="39"/>
        <v>0.79411764705882348</v>
      </c>
      <c r="G639" t="s">
        <v>14</v>
      </c>
      <c r="H639">
        <v>65</v>
      </c>
      <c r="I639" s="6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7"/>
        <v>42688.25</v>
      </c>
      <c r="O639" s="13">
        <f t="shared" si="38"/>
        <v>42696.25</v>
      </c>
      <c r="P639" t="b">
        <v>0</v>
      </c>
      <c r="Q639" t="b">
        <v>0</v>
      </c>
      <c r="R639" t="s">
        <v>33</v>
      </c>
      <c r="S639" t="s">
        <v>2043</v>
      </c>
      <c r="T639" t="s">
        <v>2058</v>
      </c>
    </row>
    <row r="640" spans="1:20" ht="17" x14ac:dyDescent="0.2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s="4">
        <f t="shared" si="39"/>
        <v>0.11419117647058824</v>
      </c>
      <c r="G640" t="s">
        <v>14</v>
      </c>
      <c r="H640">
        <v>94</v>
      </c>
      <c r="I640" s="6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7"/>
        <v>40386.208333333336</v>
      </c>
      <c r="O640" s="13">
        <f t="shared" si="38"/>
        <v>40398.208333333336</v>
      </c>
      <c r="P640" t="b">
        <v>0</v>
      </c>
      <c r="Q640" t="b">
        <v>1</v>
      </c>
      <c r="R640" t="s">
        <v>33</v>
      </c>
      <c r="S640" t="s">
        <v>2043</v>
      </c>
      <c r="T640" t="s">
        <v>2058</v>
      </c>
    </row>
    <row r="641" spans="1:20" ht="17" x14ac:dyDescent="0.2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s="4">
        <f t="shared" si="39"/>
        <v>0.56186046511627907</v>
      </c>
      <c r="G641" t="s">
        <v>47</v>
      </c>
      <c r="H641">
        <v>45</v>
      </c>
      <c r="I641" s="6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7"/>
        <v>43309.208333333328</v>
      </c>
      <c r="O641" s="13">
        <f t="shared" si="38"/>
        <v>43309.208333333328</v>
      </c>
      <c r="P641" t="b">
        <v>0</v>
      </c>
      <c r="Q641" t="b">
        <v>1</v>
      </c>
      <c r="R641" t="s">
        <v>53</v>
      </c>
      <c r="S641" t="s">
        <v>2035</v>
      </c>
      <c r="T641" t="s">
        <v>2048</v>
      </c>
    </row>
    <row r="642" spans="1:20" ht="17" x14ac:dyDescent="0.2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s="4">
        <f t="shared" si="39"/>
        <v>0.16501669449081802</v>
      </c>
      <c r="G642" t="s">
        <v>14</v>
      </c>
      <c r="H642">
        <v>257</v>
      </c>
      <c r="I642" s="6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7"/>
        <v>42387.25</v>
      </c>
      <c r="O642" s="13">
        <f t="shared" si="38"/>
        <v>42390.25</v>
      </c>
      <c r="P642" t="b">
        <v>0</v>
      </c>
      <c r="Q642" t="b">
        <v>0</v>
      </c>
      <c r="R642" t="s">
        <v>33</v>
      </c>
      <c r="S642" t="s">
        <v>2043</v>
      </c>
      <c r="T642" t="s">
        <v>2058</v>
      </c>
    </row>
    <row r="643" spans="1:20" ht="34" x14ac:dyDescent="0.2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s="4">
        <f t="shared" si="39"/>
        <v>1.1996808510638297</v>
      </c>
      <c r="G643" t="s">
        <v>20</v>
      </c>
      <c r="H643">
        <v>194</v>
      </c>
      <c r="I643" s="6">
        <f t="shared" ref="I643:I706" si="40">IF(H643&lt;&gt;0,E643/H643,0)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3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2043</v>
      </c>
      <c r="T643" t="s">
        <v>2058</v>
      </c>
    </row>
    <row r="644" spans="1:20" ht="17" x14ac:dyDescent="0.2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 s="6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1"/>
        <v>43451.25</v>
      </c>
      <c r="O644" s="13">
        <f t="shared" si="42"/>
        <v>43460.25</v>
      </c>
      <c r="P644" t="b">
        <v>0</v>
      </c>
      <c r="Q644" t="b">
        <v>0</v>
      </c>
      <c r="R644" t="s">
        <v>65</v>
      </c>
      <c r="S644" t="s">
        <v>2042</v>
      </c>
      <c r="T644" t="s">
        <v>2066</v>
      </c>
    </row>
    <row r="645" spans="1:20" ht="17" x14ac:dyDescent="0.2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s="4">
        <f t="shared" si="43"/>
        <v>2.2138255033557046</v>
      </c>
      <c r="G645" t="s">
        <v>20</v>
      </c>
      <c r="H645">
        <v>375</v>
      </c>
      <c r="I645" s="6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1"/>
        <v>42795.25</v>
      </c>
      <c r="O645" s="13">
        <f t="shared" si="42"/>
        <v>42813.208333333328</v>
      </c>
      <c r="P645" t="b">
        <v>0</v>
      </c>
      <c r="Q645" t="b">
        <v>0</v>
      </c>
      <c r="R645" t="s">
        <v>33</v>
      </c>
      <c r="S645" t="s">
        <v>2043</v>
      </c>
      <c r="T645" t="s">
        <v>2058</v>
      </c>
    </row>
    <row r="646" spans="1:20" ht="17" x14ac:dyDescent="0.2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s="4">
        <f t="shared" si="43"/>
        <v>0.48396694214876035</v>
      </c>
      <c r="G646" t="s">
        <v>14</v>
      </c>
      <c r="H646">
        <v>2928</v>
      </c>
      <c r="I646" s="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1"/>
        <v>43452.25</v>
      </c>
      <c r="O646" s="13">
        <f t="shared" si="42"/>
        <v>43468.25</v>
      </c>
      <c r="P646" t="b">
        <v>0</v>
      </c>
      <c r="Q646" t="b">
        <v>0</v>
      </c>
      <c r="R646" t="s">
        <v>33</v>
      </c>
      <c r="S646" t="s">
        <v>2043</v>
      </c>
      <c r="T646" t="s">
        <v>2058</v>
      </c>
    </row>
    <row r="647" spans="1:20" ht="17" x14ac:dyDescent="0.2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s="4">
        <f t="shared" si="43"/>
        <v>0.92911504424778757</v>
      </c>
      <c r="G647" t="s">
        <v>14</v>
      </c>
      <c r="H647">
        <v>4697</v>
      </c>
      <c r="I647" s="6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1"/>
        <v>43369.208333333328</v>
      </c>
      <c r="O647" s="13">
        <f t="shared" si="42"/>
        <v>43390.208333333328</v>
      </c>
      <c r="P647" t="b">
        <v>0</v>
      </c>
      <c r="Q647" t="b">
        <v>1</v>
      </c>
      <c r="R647" t="s">
        <v>23</v>
      </c>
      <c r="S647" t="s">
        <v>2039</v>
      </c>
      <c r="T647" t="s">
        <v>2060</v>
      </c>
    </row>
    <row r="648" spans="1:20" ht="17" x14ac:dyDescent="0.2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s="4">
        <f t="shared" si="43"/>
        <v>0.88599797365754818</v>
      </c>
      <c r="G648" t="s">
        <v>14</v>
      </c>
      <c r="H648">
        <v>2915</v>
      </c>
      <c r="I648" s="6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1"/>
        <v>41346.208333333336</v>
      </c>
      <c r="O648" s="13">
        <f t="shared" si="42"/>
        <v>41357.208333333336</v>
      </c>
      <c r="P648" t="b">
        <v>0</v>
      </c>
      <c r="Q648" t="b">
        <v>0</v>
      </c>
      <c r="R648" t="s">
        <v>89</v>
      </c>
      <c r="S648" t="s">
        <v>2037</v>
      </c>
      <c r="T648" t="s">
        <v>2065</v>
      </c>
    </row>
    <row r="649" spans="1:20" ht="17" x14ac:dyDescent="0.2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s="4">
        <f t="shared" si="43"/>
        <v>0.41399999999999998</v>
      </c>
      <c r="G649" t="s">
        <v>14</v>
      </c>
      <c r="H649">
        <v>18</v>
      </c>
      <c r="I649" s="6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1"/>
        <v>43199.208333333328</v>
      </c>
      <c r="O649" s="13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2041</v>
      </c>
      <c r="T649" t="s">
        <v>2064</v>
      </c>
    </row>
    <row r="650" spans="1:20" ht="17" x14ac:dyDescent="0.2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s="4">
        <f t="shared" si="43"/>
        <v>0.63056795131845844</v>
      </c>
      <c r="G650" t="s">
        <v>74</v>
      </c>
      <c r="H650">
        <v>723</v>
      </c>
      <c r="I650" s="6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1"/>
        <v>42922.208333333328</v>
      </c>
      <c r="O650" s="13">
        <f t="shared" si="42"/>
        <v>42940.208333333328</v>
      </c>
      <c r="P650" t="b">
        <v>1</v>
      </c>
      <c r="Q650" t="b">
        <v>0</v>
      </c>
      <c r="R650" t="s">
        <v>17</v>
      </c>
      <c r="S650" t="s">
        <v>2036</v>
      </c>
      <c r="T650" t="s">
        <v>2051</v>
      </c>
    </row>
    <row r="651" spans="1:20" ht="17" x14ac:dyDescent="0.2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s="4">
        <f t="shared" si="43"/>
        <v>0.48482333607230893</v>
      </c>
      <c r="G651" t="s">
        <v>14</v>
      </c>
      <c r="H651">
        <v>602</v>
      </c>
      <c r="I651" s="6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1"/>
        <v>40471.208333333336</v>
      </c>
      <c r="O651" s="13">
        <f t="shared" si="42"/>
        <v>40482.208333333336</v>
      </c>
      <c r="P651" t="b">
        <v>1</v>
      </c>
      <c r="Q651" t="b">
        <v>1</v>
      </c>
      <c r="R651" t="s">
        <v>33</v>
      </c>
      <c r="S651" t="s">
        <v>2043</v>
      </c>
      <c r="T651" t="s">
        <v>2058</v>
      </c>
    </row>
    <row r="652" spans="1:20" ht="17" x14ac:dyDescent="0.2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s="4">
        <f t="shared" si="43"/>
        <v>0.02</v>
      </c>
      <c r="G652" t="s">
        <v>14</v>
      </c>
      <c r="H652">
        <v>1</v>
      </c>
      <c r="I652" s="6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1"/>
        <v>41828.208333333336</v>
      </c>
      <c r="O652" s="13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2039</v>
      </c>
      <c r="T652" t="s">
        <v>2053</v>
      </c>
    </row>
    <row r="653" spans="1:20" ht="17" x14ac:dyDescent="0.2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s="4">
        <f t="shared" si="43"/>
        <v>0.88479410269445857</v>
      </c>
      <c r="G653" t="s">
        <v>14</v>
      </c>
      <c r="H653">
        <v>3868</v>
      </c>
      <c r="I653" s="6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1"/>
        <v>41692.25</v>
      </c>
      <c r="O653" s="13">
        <f t="shared" si="42"/>
        <v>41707.25</v>
      </c>
      <c r="P653" t="b">
        <v>0</v>
      </c>
      <c r="Q653" t="b">
        <v>0</v>
      </c>
      <c r="R653" t="s">
        <v>100</v>
      </c>
      <c r="S653" t="s">
        <v>2035</v>
      </c>
      <c r="T653" t="s">
        <v>2062</v>
      </c>
    </row>
    <row r="654" spans="1:20" ht="17" x14ac:dyDescent="0.2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s="4">
        <f t="shared" si="43"/>
        <v>1.2684</v>
      </c>
      <c r="G654" t="s">
        <v>20</v>
      </c>
      <c r="H654">
        <v>409</v>
      </c>
      <c r="I654" s="6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1"/>
        <v>42587.208333333328</v>
      </c>
      <c r="O654" s="13">
        <f t="shared" si="42"/>
        <v>42630.208333333328</v>
      </c>
      <c r="P654" t="b">
        <v>0</v>
      </c>
      <c r="Q654" t="b">
        <v>0</v>
      </c>
      <c r="R654" t="s">
        <v>28</v>
      </c>
      <c r="S654" t="s">
        <v>2042</v>
      </c>
      <c r="T654" t="s">
        <v>2067</v>
      </c>
    </row>
    <row r="655" spans="1:20" ht="17" x14ac:dyDescent="0.2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s="4">
        <f t="shared" si="43"/>
        <v>23.388333333333332</v>
      </c>
      <c r="G655" t="s">
        <v>20</v>
      </c>
      <c r="H655">
        <v>234</v>
      </c>
      <c r="I655" s="6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1"/>
        <v>42468.208333333328</v>
      </c>
      <c r="O655" s="13">
        <f t="shared" si="42"/>
        <v>42470.208333333328</v>
      </c>
      <c r="P655" t="b">
        <v>0</v>
      </c>
      <c r="Q655" t="b">
        <v>0</v>
      </c>
      <c r="R655" t="s">
        <v>28</v>
      </c>
      <c r="S655" t="s">
        <v>2042</v>
      </c>
      <c r="T655" t="s">
        <v>2067</v>
      </c>
    </row>
    <row r="656" spans="1:20" ht="17" x14ac:dyDescent="0.2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s="4">
        <f t="shared" si="43"/>
        <v>5.0838857142857146</v>
      </c>
      <c r="G656" t="s">
        <v>20</v>
      </c>
      <c r="H656">
        <v>3016</v>
      </c>
      <c r="I656" s="6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1"/>
        <v>42240.208333333328</v>
      </c>
      <c r="O656" s="13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2039</v>
      </c>
      <c r="T656" t="s">
        <v>2054</v>
      </c>
    </row>
    <row r="657" spans="1:20" ht="17" x14ac:dyDescent="0.2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s="4">
        <f t="shared" si="43"/>
        <v>1.9147826086956521</v>
      </c>
      <c r="G657" t="s">
        <v>20</v>
      </c>
      <c r="H657">
        <v>264</v>
      </c>
      <c r="I657" s="6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1"/>
        <v>42796.25</v>
      </c>
      <c r="O657" s="13">
        <f t="shared" si="42"/>
        <v>42809.208333333328</v>
      </c>
      <c r="P657" t="b">
        <v>1</v>
      </c>
      <c r="Q657" t="b">
        <v>0</v>
      </c>
      <c r="R657" t="s">
        <v>122</v>
      </c>
      <c r="S657" t="s">
        <v>2040</v>
      </c>
      <c r="T657" t="s">
        <v>2057</v>
      </c>
    </row>
    <row r="658" spans="1:20" ht="34" x14ac:dyDescent="0.2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s="4">
        <f t="shared" si="43"/>
        <v>0.42127533783783783</v>
      </c>
      <c r="G658" t="s">
        <v>14</v>
      </c>
      <c r="H658">
        <v>504</v>
      </c>
      <c r="I658" s="6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1"/>
        <v>43097.25</v>
      </c>
      <c r="O658" s="13">
        <f t="shared" si="42"/>
        <v>43102.25</v>
      </c>
      <c r="P658" t="b">
        <v>0</v>
      </c>
      <c r="Q658" t="b">
        <v>0</v>
      </c>
      <c r="R658" t="s">
        <v>17</v>
      </c>
      <c r="S658" t="s">
        <v>2036</v>
      </c>
      <c r="T658" t="s">
        <v>2051</v>
      </c>
    </row>
    <row r="659" spans="1:20" ht="17" x14ac:dyDescent="0.2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s="4">
        <f t="shared" si="43"/>
        <v>8.2400000000000001E-2</v>
      </c>
      <c r="G659" t="s">
        <v>14</v>
      </c>
      <c r="H659">
        <v>14</v>
      </c>
      <c r="I659" s="6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1"/>
        <v>43096.25</v>
      </c>
      <c r="O659" s="13">
        <f t="shared" si="42"/>
        <v>43112.25</v>
      </c>
      <c r="P659" t="b">
        <v>0</v>
      </c>
      <c r="Q659" t="b">
        <v>0</v>
      </c>
      <c r="R659" t="s">
        <v>474</v>
      </c>
      <c r="S659" t="s">
        <v>2035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s="4">
        <f t="shared" si="43"/>
        <v>0.60064638783269964</v>
      </c>
      <c r="G660" t="s">
        <v>74</v>
      </c>
      <c r="H660">
        <v>390</v>
      </c>
      <c r="I660" s="6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1"/>
        <v>42246.208333333328</v>
      </c>
      <c r="O660" s="13">
        <f t="shared" si="42"/>
        <v>42269.208333333328</v>
      </c>
      <c r="P660" t="b">
        <v>0</v>
      </c>
      <c r="Q660" t="b">
        <v>0</v>
      </c>
      <c r="R660" t="s">
        <v>23</v>
      </c>
      <c r="S660" t="s">
        <v>2039</v>
      </c>
      <c r="T660" t="s">
        <v>2060</v>
      </c>
    </row>
    <row r="661" spans="1:20" ht="17" x14ac:dyDescent="0.2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s="4">
        <f t="shared" si="43"/>
        <v>0.47232808616404309</v>
      </c>
      <c r="G661" t="s">
        <v>14</v>
      </c>
      <c r="H661">
        <v>750</v>
      </c>
      <c r="I661" s="6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1"/>
        <v>40570.25</v>
      </c>
      <c r="O661" s="13">
        <f t="shared" si="42"/>
        <v>40571.25</v>
      </c>
      <c r="P661" t="b">
        <v>0</v>
      </c>
      <c r="Q661" t="b">
        <v>0</v>
      </c>
      <c r="R661" t="s">
        <v>42</v>
      </c>
      <c r="S661" t="s">
        <v>2035</v>
      </c>
      <c r="T661" t="s">
        <v>2047</v>
      </c>
    </row>
    <row r="662" spans="1:20" ht="17" x14ac:dyDescent="0.2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s="4">
        <f t="shared" si="43"/>
        <v>0.81736263736263737</v>
      </c>
      <c r="G662" t="s">
        <v>14</v>
      </c>
      <c r="H662">
        <v>77</v>
      </c>
      <c r="I662" s="6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1"/>
        <v>42237.208333333328</v>
      </c>
      <c r="O662" s="13">
        <f t="shared" si="42"/>
        <v>42246.208333333328</v>
      </c>
      <c r="P662" t="b">
        <v>1</v>
      </c>
      <c r="Q662" t="b">
        <v>0</v>
      </c>
      <c r="R662" t="s">
        <v>33</v>
      </c>
      <c r="S662" t="s">
        <v>2043</v>
      </c>
      <c r="T662" t="s">
        <v>2058</v>
      </c>
    </row>
    <row r="663" spans="1:20" ht="17" x14ac:dyDescent="0.2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s="4">
        <f t="shared" si="43"/>
        <v>0.54187265917603</v>
      </c>
      <c r="G663" t="s">
        <v>14</v>
      </c>
      <c r="H663">
        <v>752</v>
      </c>
      <c r="I663" s="6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1"/>
        <v>40996.208333333336</v>
      </c>
      <c r="O663" s="13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2039</v>
      </c>
      <c r="T663" t="s">
        <v>2053</v>
      </c>
    </row>
    <row r="664" spans="1:20" ht="17" x14ac:dyDescent="0.2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s="4">
        <f t="shared" si="43"/>
        <v>0.97868131868131869</v>
      </c>
      <c r="G664" t="s">
        <v>14</v>
      </c>
      <c r="H664">
        <v>131</v>
      </c>
      <c r="I664" s="6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1"/>
        <v>43443.25</v>
      </c>
      <c r="O664" s="13">
        <f t="shared" si="42"/>
        <v>43447.25</v>
      </c>
      <c r="P664" t="b">
        <v>0</v>
      </c>
      <c r="Q664" t="b">
        <v>0</v>
      </c>
      <c r="R664" t="s">
        <v>33</v>
      </c>
      <c r="S664" t="s">
        <v>2043</v>
      </c>
      <c r="T664" t="s">
        <v>2058</v>
      </c>
    </row>
    <row r="665" spans="1:20" ht="17" x14ac:dyDescent="0.2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s="4">
        <f t="shared" si="43"/>
        <v>0.77239999999999998</v>
      </c>
      <c r="G665" t="s">
        <v>14</v>
      </c>
      <c r="H665">
        <v>87</v>
      </c>
      <c r="I665" s="6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1"/>
        <v>40458.208333333336</v>
      </c>
      <c r="O665" s="13">
        <f t="shared" si="42"/>
        <v>40481.208333333336</v>
      </c>
      <c r="P665" t="b">
        <v>0</v>
      </c>
      <c r="Q665" t="b">
        <v>0</v>
      </c>
      <c r="R665" t="s">
        <v>33</v>
      </c>
      <c r="S665" t="s">
        <v>2043</v>
      </c>
      <c r="T665" t="s">
        <v>2058</v>
      </c>
    </row>
    <row r="666" spans="1:20" ht="17" x14ac:dyDescent="0.2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s="4">
        <f t="shared" si="43"/>
        <v>0.33464735516372796</v>
      </c>
      <c r="G666" t="s">
        <v>14</v>
      </c>
      <c r="H666">
        <v>1063</v>
      </c>
      <c r="I666" s="6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1"/>
        <v>40959.25</v>
      </c>
      <c r="O666" s="13">
        <f t="shared" si="42"/>
        <v>40969.25</v>
      </c>
      <c r="P666" t="b">
        <v>0</v>
      </c>
      <c r="Q666" t="b">
        <v>0</v>
      </c>
      <c r="R666" t="s">
        <v>159</v>
      </c>
      <c r="S666" t="s">
        <v>2039</v>
      </c>
      <c r="T666" t="s">
        <v>2053</v>
      </c>
    </row>
    <row r="667" spans="1:20" ht="17" x14ac:dyDescent="0.2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s="4">
        <f t="shared" si="43"/>
        <v>2.3958823529411766</v>
      </c>
      <c r="G667" t="s">
        <v>20</v>
      </c>
      <c r="H667">
        <v>272</v>
      </c>
      <c r="I667" s="6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1"/>
        <v>40733.208333333336</v>
      </c>
      <c r="O667" s="13">
        <f t="shared" si="42"/>
        <v>40747.208333333336</v>
      </c>
      <c r="P667" t="b">
        <v>0</v>
      </c>
      <c r="Q667" t="b">
        <v>1</v>
      </c>
      <c r="R667" t="s">
        <v>42</v>
      </c>
      <c r="S667" t="s">
        <v>2035</v>
      </c>
      <c r="T667" t="s">
        <v>2047</v>
      </c>
    </row>
    <row r="668" spans="1:20" ht="17" x14ac:dyDescent="0.2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s="4">
        <f t="shared" si="43"/>
        <v>0.64032258064516134</v>
      </c>
      <c r="G668" t="s">
        <v>74</v>
      </c>
      <c r="H668">
        <v>25</v>
      </c>
      <c r="I668" s="6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1"/>
        <v>41516.208333333336</v>
      </c>
      <c r="O668" s="13">
        <f t="shared" si="42"/>
        <v>41522.208333333336</v>
      </c>
      <c r="P668" t="b">
        <v>0</v>
      </c>
      <c r="Q668" t="b">
        <v>1</v>
      </c>
      <c r="R668" t="s">
        <v>33</v>
      </c>
      <c r="S668" t="s">
        <v>2043</v>
      </c>
      <c r="T668" t="s">
        <v>2058</v>
      </c>
    </row>
    <row r="669" spans="1:20" ht="34" x14ac:dyDescent="0.2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s="4">
        <f t="shared" si="43"/>
        <v>1.7615942028985507</v>
      </c>
      <c r="G669" t="s">
        <v>20</v>
      </c>
      <c r="H669">
        <v>419</v>
      </c>
      <c r="I669" s="6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1"/>
        <v>41892.208333333336</v>
      </c>
      <c r="O669" s="13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2038</v>
      </c>
      <c r="T669" t="s">
        <v>2046</v>
      </c>
    </row>
    <row r="670" spans="1:20" ht="34" x14ac:dyDescent="0.2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s="4">
        <f t="shared" si="43"/>
        <v>0.20338181818181819</v>
      </c>
      <c r="G670" t="s">
        <v>14</v>
      </c>
      <c r="H670">
        <v>76</v>
      </c>
      <c r="I670" s="6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1"/>
        <v>41122.208333333336</v>
      </c>
      <c r="O670" s="13">
        <f t="shared" si="42"/>
        <v>41134.208333333336</v>
      </c>
      <c r="P670" t="b">
        <v>0</v>
      </c>
      <c r="Q670" t="b">
        <v>0</v>
      </c>
      <c r="R670" t="s">
        <v>33</v>
      </c>
      <c r="S670" t="s">
        <v>2043</v>
      </c>
      <c r="T670" t="s">
        <v>2058</v>
      </c>
    </row>
    <row r="671" spans="1:20" ht="17" x14ac:dyDescent="0.2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s="4">
        <f t="shared" si="43"/>
        <v>3.5864754098360656</v>
      </c>
      <c r="G671" t="s">
        <v>20</v>
      </c>
      <c r="H671">
        <v>1621</v>
      </c>
      <c r="I671" s="6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1"/>
        <v>42912.208333333328</v>
      </c>
      <c r="O671" s="13">
        <f t="shared" si="42"/>
        <v>42921.208333333328</v>
      </c>
      <c r="P671" t="b">
        <v>0</v>
      </c>
      <c r="Q671" t="b">
        <v>0</v>
      </c>
      <c r="R671" t="s">
        <v>33</v>
      </c>
      <c r="S671" t="s">
        <v>2043</v>
      </c>
      <c r="T671" t="s">
        <v>2058</v>
      </c>
    </row>
    <row r="672" spans="1:20" ht="34" x14ac:dyDescent="0.2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s="4">
        <f t="shared" si="43"/>
        <v>4.6885802469135802</v>
      </c>
      <c r="G672" t="s">
        <v>20</v>
      </c>
      <c r="H672">
        <v>1101</v>
      </c>
      <c r="I672" s="6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1"/>
        <v>42425.25</v>
      </c>
      <c r="O672" s="13">
        <f t="shared" si="42"/>
        <v>42437.25</v>
      </c>
      <c r="P672" t="b">
        <v>0</v>
      </c>
      <c r="Q672" t="b">
        <v>0</v>
      </c>
      <c r="R672" t="s">
        <v>60</v>
      </c>
      <c r="S672" t="s">
        <v>2039</v>
      </c>
      <c r="T672" t="s">
        <v>2052</v>
      </c>
    </row>
    <row r="673" spans="1:20" ht="34" x14ac:dyDescent="0.2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s="4">
        <f t="shared" si="43"/>
        <v>1.220563524590164</v>
      </c>
      <c r="G673" t="s">
        <v>20</v>
      </c>
      <c r="H673">
        <v>1073</v>
      </c>
      <c r="I673" s="6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1"/>
        <v>40390.208333333336</v>
      </c>
      <c r="O673" s="13">
        <f t="shared" si="42"/>
        <v>40394.208333333336</v>
      </c>
      <c r="P673" t="b">
        <v>0</v>
      </c>
      <c r="Q673" t="b">
        <v>1</v>
      </c>
      <c r="R673" t="s">
        <v>33</v>
      </c>
      <c r="S673" t="s">
        <v>2043</v>
      </c>
      <c r="T673" t="s">
        <v>2058</v>
      </c>
    </row>
    <row r="674" spans="1:20" ht="17" x14ac:dyDescent="0.2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s="4">
        <f t="shared" si="43"/>
        <v>0.55931783729156137</v>
      </c>
      <c r="G674" t="s">
        <v>14</v>
      </c>
      <c r="H674">
        <v>4428</v>
      </c>
      <c r="I674" s="6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1"/>
        <v>43180.208333333328</v>
      </c>
      <c r="O674" s="13">
        <f t="shared" si="42"/>
        <v>43190.208333333328</v>
      </c>
      <c r="P674" t="b">
        <v>0</v>
      </c>
      <c r="Q674" t="b">
        <v>0</v>
      </c>
      <c r="R674" t="s">
        <v>33</v>
      </c>
      <c r="S674" t="s">
        <v>2043</v>
      </c>
      <c r="T674" t="s">
        <v>2058</v>
      </c>
    </row>
    <row r="675" spans="1:20" ht="17" x14ac:dyDescent="0.2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s="4">
        <f t="shared" si="43"/>
        <v>0.43660714285714286</v>
      </c>
      <c r="G675" t="s">
        <v>14</v>
      </c>
      <c r="H675">
        <v>58</v>
      </c>
      <c r="I675" s="6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1"/>
        <v>42475.208333333328</v>
      </c>
      <c r="O675" s="13">
        <f t="shared" si="42"/>
        <v>42496.208333333328</v>
      </c>
      <c r="P675" t="b">
        <v>0</v>
      </c>
      <c r="Q675" t="b">
        <v>0</v>
      </c>
      <c r="R675" t="s">
        <v>60</v>
      </c>
      <c r="S675" t="s">
        <v>2039</v>
      </c>
      <c r="T675" t="s">
        <v>2052</v>
      </c>
    </row>
    <row r="676" spans="1:20" ht="17" x14ac:dyDescent="0.2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s="4">
        <f t="shared" si="43"/>
        <v>0.33538371411833628</v>
      </c>
      <c r="G676" t="s">
        <v>74</v>
      </c>
      <c r="H676">
        <v>1218</v>
      </c>
      <c r="I676" s="6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1"/>
        <v>40774.208333333336</v>
      </c>
      <c r="O676" s="13">
        <f t="shared" si="42"/>
        <v>40821.208333333336</v>
      </c>
      <c r="P676" t="b">
        <v>0</v>
      </c>
      <c r="Q676" t="b">
        <v>0</v>
      </c>
      <c r="R676" t="s">
        <v>122</v>
      </c>
      <c r="S676" t="s">
        <v>2040</v>
      </c>
      <c r="T676" t="s">
        <v>2057</v>
      </c>
    </row>
    <row r="677" spans="1:20" ht="17" x14ac:dyDescent="0.2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s="4">
        <f t="shared" si="43"/>
        <v>1.2297938144329896</v>
      </c>
      <c r="G677" t="s">
        <v>20</v>
      </c>
      <c r="H677">
        <v>331</v>
      </c>
      <c r="I677" s="6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1"/>
        <v>43719.208333333328</v>
      </c>
      <c r="O677" s="13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2038</v>
      </c>
      <c r="T677" t="s">
        <v>2046</v>
      </c>
    </row>
    <row r="678" spans="1:20" ht="17" x14ac:dyDescent="0.2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s="4">
        <f t="shared" si="43"/>
        <v>1.8974959871589085</v>
      </c>
      <c r="G678" t="s">
        <v>20</v>
      </c>
      <c r="H678">
        <v>1170</v>
      </c>
      <c r="I678" s="6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1"/>
        <v>41178.208333333336</v>
      </c>
      <c r="O678" s="13">
        <f t="shared" si="42"/>
        <v>41187.208333333336</v>
      </c>
      <c r="P678" t="b">
        <v>0</v>
      </c>
      <c r="Q678" t="b">
        <v>0</v>
      </c>
      <c r="R678" t="s">
        <v>122</v>
      </c>
      <c r="S678" t="s">
        <v>2040</v>
      </c>
      <c r="T678" t="s">
        <v>2057</v>
      </c>
    </row>
    <row r="679" spans="1:20" ht="17" x14ac:dyDescent="0.2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s="4">
        <f t="shared" si="43"/>
        <v>0.83622641509433959</v>
      </c>
      <c r="G679" t="s">
        <v>14</v>
      </c>
      <c r="H679">
        <v>111</v>
      </c>
      <c r="I679" s="6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1"/>
        <v>42561.208333333328</v>
      </c>
      <c r="O679" s="13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2041</v>
      </c>
      <c r="T679" t="s">
        <v>2050</v>
      </c>
    </row>
    <row r="680" spans="1:20" ht="17" x14ac:dyDescent="0.2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s="4">
        <f t="shared" si="43"/>
        <v>0.17968844221105529</v>
      </c>
      <c r="G680" t="s">
        <v>74</v>
      </c>
      <c r="H680">
        <v>215</v>
      </c>
      <c r="I680" s="6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1"/>
        <v>43484.25</v>
      </c>
      <c r="O680" s="13">
        <f t="shared" si="42"/>
        <v>43486.25</v>
      </c>
      <c r="P680" t="b">
        <v>0</v>
      </c>
      <c r="Q680" t="b">
        <v>0</v>
      </c>
      <c r="R680" t="s">
        <v>53</v>
      </c>
      <c r="S680" t="s">
        <v>2035</v>
      </c>
      <c r="T680" t="s">
        <v>2048</v>
      </c>
    </row>
    <row r="681" spans="1:20" ht="17" x14ac:dyDescent="0.2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s="4">
        <f t="shared" si="43"/>
        <v>10.365</v>
      </c>
      <c r="G681" t="s">
        <v>20</v>
      </c>
      <c r="H681">
        <v>363</v>
      </c>
      <c r="I681" s="6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1"/>
        <v>43756.208333333328</v>
      </c>
      <c r="O681" s="13">
        <f t="shared" si="42"/>
        <v>43761.208333333328</v>
      </c>
      <c r="P681" t="b">
        <v>0</v>
      </c>
      <c r="Q681" t="b">
        <v>1</v>
      </c>
      <c r="R681" t="s">
        <v>17</v>
      </c>
      <c r="S681" t="s">
        <v>2036</v>
      </c>
      <c r="T681" t="s">
        <v>2051</v>
      </c>
    </row>
    <row r="682" spans="1:20" ht="34" x14ac:dyDescent="0.2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s="4">
        <f t="shared" si="43"/>
        <v>0.97405219780219776</v>
      </c>
      <c r="G682" t="s">
        <v>14</v>
      </c>
      <c r="H682">
        <v>2955</v>
      </c>
      <c r="I682" s="6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1"/>
        <v>43813.25</v>
      </c>
      <c r="O682" s="13">
        <f t="shared" si="42"/>
        <v>43815.25</v>
      </c>
      <c r="P682" t="b">
        <v>0</v>
      </c>
      <c r="Q682" t="b">
        <v>1</v>
      </c>
      <c r="R682" t="s">
        <v>292</v>
      </c>
      <c r="S682" t="s">
        <v>2037</v>
      </c>
      <c r="T682" t="s">
        <v>2055</v>
      </c>
    </row>
    <row r="683" spans="1:20" ht="34" x14ac:dyDescent="0.2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s="4">
        <f t="shared" si="43"/>
        <v>0.86386203150461705</v>
      </c>
      <c r="G683" t="s">
        <v>14</v>
      </c>
      <c r="H683">
        <v>1657</v>
      </c>
      <c r="I683" s="6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1"/>
        <v>40898.25</v>
      </c>
      <c r="O683" s="13">
        <f t="shared" si="42"/>
        <v>40904.25</v>
      </c>
      <c r="P683" t="b">
        <v>0</v>
      </c>
      <c r="Q683" t="b">
        <v>0</v>
      </c>
      <c r="R683" t="s">
        <v>33</v>
      </c>
      <c r="S683" t="s">
        <v>2043</v>
      </c>
      <c r="T683" t="s">
        <v>2058</v>
      </c>
    </row>
    <row r="684" spans="1:20" ht="17" x14ac:dyDescent="0.2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s="4">
        <f t="shared" si="43"/>
        <v>1.5016666666666667</v>
      </c>
      <c r="G684" t="s">
        <v>20</v>
      </c>
      <c r="H684">
        <v>103</v>
      </c>
      <c r="I684" s="6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1"/>
        <v>41619.25</v>
      </c>
      <c r="O684" s="13">
        <f t="shared" si="42"/>
        <v>41628.25</v>
      </c>
      <c r="P684" t="b">
        <v>0</v>
      </c>
      <c r="Q684" t="b">
        <v>0</v>
      </c>
      <c r="R684" t="s">
        <v>33</v>
      </c>
      <c r="S684" t="s">
        <v>2043</v>
      </c>
      <c r="T684" t="s">
        <v>2058</v>
      </c>
    </row>
    <row r="685" spans="1:20" ht="17" x14ac:dyDescent="0.2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s="4">
        <f t="shared" si="43"/>
        <v>3.5843478260869563</v>
      </c>
      <c r="G685" t="s">
        <v>20</v>
      </c>
      <c r="H685">
        <v>147</v>
      </c>
      <c r="I685" s="6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1"/>
        <v>43359.208333333328</v>
      </c>
      <c r="O685" s="13">
        <f t="shared" si="42"/>
        <v>43361.208333333328</v>
      </c>
      <c r="P685" t="b">
        <v>0</v>
      </c>
      <c r="Q685" t="b">
        <v>0</v>
      </c>
      <c r="R685" t="s">
        <v>33</v>
      </c>
      <c r="S685" t="s">
        <v>2043</v>
      </c>
      <c r="T685" t="s">
        <v>2058</v>
      </c>
    </row>
    <row r="686" spans="1:20" ht="17" x14ac:dyDescent="0.2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s="4">
        <f t="shared" si="43"/>
        <v>5.4285714285714288</v>
      </c>
      <c r="G686" t="s">
        <v>20</v>
      </c>
      <c r="H686">
        <v>110</v>
      </c>
      <c r="I686" s="6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1"/>
        <v>40358.208333333336</v>
      </c>
      <c r="O686" s="13">
        <f t="shared" si="42"/>
        <v>40378.208333333336</v>
      </c>
      <c r="P686" t="b">
        <v>0</v>
      </c>
      <c r="Q686" t="b">
        <v>0</v>
      </c>
      <c r="R686" t="s">
        <v>68</v>
      </c>
      <c r="S686" t="s">
        <v>2041</v>
      </c>
      <c r="T686" t="s">
        <v>2056</v>
      </c>
    </row>
    <row r="687" spans="1:20" ht="17" x14ac:dyDescent="0.2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s="4">
        <f t="shared" si="43"/>
        <v>0.67500714285714281</v>
      </c>
      <c r="G687" t="s">
        <v>14</v>
      </c>
      <c r="H687">
        <v>926</v>
      </c>
      <c r="I687" s="6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1"/>
        <v>42239.208333333328</v>
      </c>
      <c r="O687" s="13">
        <f t="shared" si="42"/>
        <v>42263.208333333328</v>
      </c>
      <c r="P687" t="b">
        <v>0</v>
      </c>
      <c r="Q687" t="b">
        <v>0</v>
      </c>
      <c r="R687" t="s">
        <v>33</v>
      </c>
      <c r="S687" t="s">
        <v>2043</v>
      </c>
      <c r="T687" t="s">
        <v>2058</v>
      </c>
    </row>
    <row r="688" spans="1:20" ht="17" x14ac:dyDescent="0.2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s="4">
        <f t="shared" si="43"/>
        <v>1.9174666666666667</v>
      </c>
      <c r="G688" t="s">
        <v>20</v>
      </c>
      <c r="H688">
        <v>134</v>
      </c>
      <c r="I688" s="6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1"/>
        <v>43186.208333333328</v>
      </c>
      <c r="O688" s="13">
        <f t="shared" si="42"/>
        <v>43197.208333333328</v>
      </c>
      <c r="P688" t="b">
        <v>0</v>
      </c>
      <c r="Q688" t="b">
        <v>0</v>
      </c>
      <c r="R688" t="s">
        <v>65</v>
      </c>
      <c r="S688" t="s">
        <v>2042</v>
      </c>
      <c r="T688" t="s">
        <v>2066</v>
      </c>
    </row>
    <row r="689" spans="1:20" ht="17" x14ac:dyDescent="0.2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s="4">
        <f t="shared" si="43"/>
        <v>9.32</v>
      </c>
      <c r="G689" t="s">
        <v>20</v>
      </c>
      <c r="H689">
        <v>269</v>
      </c>
      <c r="I689" s="6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1"/>
        <v>42806.25</v>
      </c>
      <c r="O689" s="13">
        <f t="shared" si="42"/>
        <v>42809.208333333328</v>
      </c>
      <c r="P689" t="b">
        <v>0</v>
      </c>
      <c r="Q689" t="b">
        <v>0</v>
      </c>
      <c r="R689" t="s">
        <v>33</v>
      </c>
      <c r="S689" t="s">
        <v>2043</v>
      </c>
      <c r="T689" t="s">
        <v>2058</v>
      </c>
    </row>
    <row r="690" spans="1:20" ht="17" x14ac:dyDescent="0.2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s="4">
        <f t="shared" si="43"/>
        <v>4.2927586206896553</v>
      </c>
      <c r="G690" t="s">
        <v>20</v>
      </c>
      <c r="H690">
        <v>175</v>
      </c>
      <c r="I690" s="6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1"/>
        <v>43475.25</v>
      </c>
      <c r="O690" s="13">
        <f t="shared" si="42"/>
        <v>43491.25</v>
      </c>
      <c r="P690" t="b">
        <v>0</v>
      </c>
      <c r="Q690" t="b">
        <v>1</v>
      </c>
      <c r="R690" t="s">
        <v>269</v>
      </c>
      <c r="S690" t="s">
        <v>2035</v>
      </c>
      <c r="T690" t="s">
        <v>2063</v>
      </c>
    </row>
    <row r="691" spans="1:20" ht="17" x14ac:dyDescent="0.2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s="4">
        <f t="shared" si="43"/>
        <v>1.0065753424657535</v>
      </c>
      <c r="G691" t="s">
        <v>20</v>
      </c>
      <c r="H691">
        <v>69</v>
      </c>
      <c r="I691" s="6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1"/>
        <v>41576.208333333336</v>
      </c>
      <c r="O691" s="13">
        <f t="shared" si="42"/>
        <v>41588.25</v>
      </c>
      <c r="P691" t="b">
        <v>0</v>
      </c>
      <c r="Q691" t="b">
        <v>0</v>
      </c>
      <c r="R691" t="s">
        <v>28</v>
      </c>
      <c r="S691" t="s">
        <v>2042</v>
      </c>
      <c r="T691" t="s">
        <v>2067</v>
      </c>
    </row>
    <row r="692" spans="1:20" ht="17" x14ac:dyDescent="0.2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s="4">
        <f t="shared" si="43"/>
        <v>2.266111111111111</v>
      </c>
      <c r="G692" t="s">
        <v>20</v>
      </c>
      <c r="H692">
        <v>190</v>
      </c>
      <c r="I692" s="6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1"/>
        <v>40874.25</v>
      </c>
      <c r="O692" s="13">
        <f t="shared" si="42"/>
        <v>40880.25</v>
      </c>
      <c r="P692" t="b">
        <v>0</v>
      </c>
      <c r="Q692" t="b">
        <v>1</v>
      </c>
      <c r="R692" t="s">
        <v>42</v>
      </c>
      <c r="S692" t="s">
        <v>2035</v>
      </c>
      <c r="T692" t="s">
        <v>2047</v>
      </c>
    </row>
    <row r="693" spans="1:20" ht="17" x14ac:dyDescent="0.2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s="4">
        <f t="shared" si="43"/>
        <v>1.4238</v>
      </c>
      <c r="G693" t="s">
        <v>20</v>
      </c>
      <c r="H693">
        <v>237</v>
      </c>
      <c r="I693" s="6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1"/>
        <v>41185.208333333336</v>
      </c>
      <c r="O693" s="13">
        <f t="shared" si="42"/>
        <v>41202.208333333336</v>
      </c>
      <c r="P693" t="b">
        <v>1</v>
      </c>
      <c r="Q693" t="b">
        <v>1</v>
      </c>
      <c r="R693" t="s">
        <v>42</v>
      </c>
      <c r="S693" t="s">
        <v>2035</v>
      </c>
      <c r="T693" t="s">
        <v>2047</v>
      </c>
    </row>
    <row r="694" spans="1:20" ht="17" x14ac:dyDescent="0.2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s="4">
        <f t="shared" si="43"/>
        <v>0.90633333333333332</v>
      </c>
      <c r="G694" t="s">
        <v>14</v>
      </c>
      <c r="H694">
        <v>77</v>
      </c>
      <c r="I694" s="6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1"/>
        <v>43655.208333333328</v>
      </c>
      <c r="O694" s="13">
        <f t="shared" si="42"/>
        <v>43673.208333333328</v>
      </c>
      <c r="P694" t="b">
        <v>0</v>
      </c>
      <c r="Q694" t="b">
        <v>0</v>
      </c>
      <c r="R694" t="s">
        <v>23</v>
      </c>
      <c r="S694" t="s">
        <v>2039</v>
      </c>
      <c r="T694" t="s">
        <v>2060</v>
      </c>
    </row>
    <row r="695" spans="1:20" ht="34" x14ac:dyDescent="0.2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s="4">
        <f t="shared" si="43"/>
        <v>0.63966740576496672</v>
      </c>
      <c r="G695" t="s">
        <v>14</v>
      </c>
      <c r="H695">
        <v>1748</v>
      </c>
      <c r="I695" s="6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1"/>
        <v>43025.208333333328</v>
      </c>
      <c r="O695" s="13">
        <f t="shared" si="42"/>
        <v>43042.208333333328</v>
      </c>
      <c r="P695" t="b">
        <v>0</v>
      </c>
      <c r="Q695" t="b">
        <v>0</v>
      </c>
      <c r="R695" t="s">
        <v>33</v>
      </c>
      <c r="S695" t="s">
        <v>2043</v>
      </c>
      <c r="T695" t="s">
        <v>2058</v>
      </c>
    </row>
    <row r="696" spans="1:20" ht="17" x14ac:dyDescent="0.2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s="4">
        <f t="shared" si="43"/>
        <v>0.84131868131868137</v>
      </c>
      <c r="G696" t="s">
        <v>14</v>
      </c>
      <c r="H696">
        <v>79</v>
      </c>
      <c r="I696" s="6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1"/>
        <v>43066.25</v>
      </c>
      <c r="O696" s="13">
        <f t="shared" si="42"/>
        <v>43103.25</v>
      </c>
      <c r="P696" t="b">
        <v>0</v>
      </c>
      <c r="Q696" t="b">
        <v>0</v>
      </c>
      <c r="R696" t="s">
        <v>33</v>
      </c>
      <c r="S696" t="s">
        <v>2043</v>
      </c>
      <c r="T696" t="s">
        <v>2058</v>
      </c>
    </row>
    <row r="697" spans="1:20" ht="17" x14ac:dyDescent="0.2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s="4">
        <f t="shared" si="43"/>
        <v>1.3393478260869565</v>
      </c>
      <c r="G697" t="s">
        <v>20</v>
      </c>
      <c r="H697">
        <v>196</v>
      </c>
      <c r="I697" s="6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1"/>
        <v>42322.25</v>
      </c>
      <c r="O697" s="13">
        <f t="shared" si="42"/>
        <v>42338.25</v>
      </c>
      <c r="P697" t="b">
        <v>1</v>
      </c>
      <c r="Q697" t="b">
        <v>0</v>
      </c>
      <c r="R697" t="s">
        <v>23</v>
      </c>
      <c r="S697" t="s">
        <v>2039</v>
      </c>
      <c r="T697" t="s">
        <v>2060</v>
      </c>
    </row>
    <row r="698" spans="1:20" ht="17" x14ac:dyDescent="0.2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s="4">
        <f t="shared" si="43"/>
        <v>0.59042047531992692</v>
      </c>
      <c r="G698" t="s">
        <v>14</v>
      </c>
      <c r="H698">
        <v>889</v>
      </c>
      <c r="I698" s="6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1"/>
        <v>42114.208333333328</v>
      </c>
      <c r="O698" s="13">
        <f t="shared" si="42"/>
        <v>42115.208333333328</v>
      </c>
      <c r="P698" t="b">
        <v>0</v>
      </c>
      <c r="Q698" t="b">
        <v>1</v>
      </c>
      <c r="R698" t="s">
        <v>33</v>
      </c>
      <c r="S698" t="s">
        <v>2043</v>
      </c>
      <c r="T698" t="s">
        <v>2058</v>
      </c>
    </row>
    <row r="699" spans="1:20" ht="34" x14ac:dyDescent="0.2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s="4">
        <f t="shared" si="43"/>
        <v>1.5280062063615205</v>
      </c>
      <c r="G699" t="s">
        <v>20</v>
      </c>
      <c r="H699">
        <v>7295</v>
      </c>
      <c r="I699" s="6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1"/>
        <v>43190.208333333328</v>
      </c>
      <c r="O699" s="13">
        <f t="shared" si="42"/>
        <v>43192.208333333328</v>
      </c>
      <c r="P699" t="b">
        <v>0</v>
      </c>
      <c r="Q699" t="b">
        <v>0</v>
      </c>
      <c r="R699" t="s">
        <v>50</v>
      </c>
      <c r="S699" t="s">
        <v>2039</v>
      </c>
      <c r="T699" t="s">
        <v>2049</v>
      </c>
    </row>
    <row r="700" spans="1:20" ht="17" x14ac:dyDescent="0.2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s="4">
        <f t="shared" si="43"/>
        <v>4.466912114014252</v>
      </c>
      <c r="G700" t="s">
        <v>20</v>
      </c>
      <c r="H700">
        <v>2893</v>
      </c>
      <c r="I700" s="6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1"/>
        <v>40871.25</v>
      </c>
      <c r="O700" s="13">
        <f t="shared" si="42"/>
        <v>40885.25</v>
      </c>
      <c r="P700" t="b">
        <v>0</v>
      </c>
      <c r="Q700" t="b">
        <v>0</v>
      </c>
      <c r="R700" t="s">
        <v>65</v>
      </c>
      <c r="S700" t="s">
        <v>2042</v>
      </c>
      <c r="T700" t="s">
        <v>2066</v>
      </c>
    </row>
    <row r="701" spans="1:20" ht="17" x14ac:dyDescent="0.2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s="4">
        <f t="shared" si="43"/>
        <v>0.8439189189189189</v>
      </c>
      <c r="G701" t="s">
        <v>14</v>
      </c>
      <c r="H701">
        <v>56</v>
      </c>
      <c r="I701" s="6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1"/>
        <v>43641.208333333328</v>
      </c>
      <c r="O701" s="13">
        <f t="shared" si="42"/>
        <v>43642.208333333328</v>
      </c>
      <c r="P701" t="b">
        <v>0</v>
      </c>
      <c r="Q701" t="b">
        <v>0</v>
      </c>
      <c r="R701" t="s">
        <v>53</v>
      </c>
      <c r="S701" t="s">
        <v>2035</v>
      </c>
      <c r="T701" t="s">
        <v>2048</v>
      </c>
    </row>
    <row r="702" spans="1:20" ht="34" x14ac:dyDescent="0.2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s="4">
        <f t="shared" si="43"/>
        <v>0.03</v>
      </c>
      <c r="G702" t="s">
        <v>14</v>
      </c>
      <c r="H702">
        <v>1</v>
      </c>
      <c r="I702" s="6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1"/>
        <v>40203.25</v>
      </c>
      <c r="O702" s="13">
        <f t="shared" si="42"/>
        <v>40218.25</v>
      </c>
      <c r="P702" t="b">
        <v>0</v>
      </c>
      <c r="Q702" t="b">
        <v>0</v>
      </c>
      <c r="R702" t="s">
        <v>65</v>
      </c>
      <c r="S702" t="s">
        <v>2042</v>
      </c>
      <c r="T702" t="s">
        <v>2066</v>
      </c>
    </row>
    <row r="703" spans="1:20" ht="34" x14ac:dyDescent="0.2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s="4">
        <f t="shared" si="43"/>
        <v>1.7502692307692307</v>
      </c>
      <c r="G703" t="s">
        <v>20</v>
      </c>
      <c r="H703">
        <v>820</v>
      </c>
      <c r="I703" s="6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1"/>
        <v>40629.208333333336</v>
      </c>
      <c r="O703" s="13">
        <f t="shared" si="42"/>
        <v>40636.208333333336</v>
      </c>
      <c r="P703" t="b">
        <v>1</v>
      </c>
      <c r="Q703" t="b">
        <v>0</v>
      </c>
      <c r="R703" t="s">
        <v>33</v>
      </c>
      <c r="S703" t="s">
        <v>2043</v>
      </c>
      <c r="T703" t="s">
        <v>2058</v>
      </c>
    </row>
    <row r="704" spans="1:20" ht="34" x14ac:dyDescent="0.2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s="4">
        <f t="shared" si="43"/>
        <v>0.54137931034482756</v>
      </c>
      <c r="G704" t="s">
        <v>14</v>
      </c>
      <c r="H704">
        <v>83</v>
      </c>
      <c r="I704" s="6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1"/>
        <v>41477.208333333336</v>
      </c>
      <c r="O704" s="13">
        <f t="shared" si="42"/>
        <v>41482.208333333336</v>
      </c>
      <c r="P704" t="b">
        <v>0</v>
      </c>
      <c r="Q704" t="b">
        <v>0</v>
      </c>
      <c r="R704" t="s">
        <v>65</v>
      </c>
      <c r="S704" t="s">
        <v>2042</v>
      </c>
      <c r="T704" t="s">
        <v>2066</v>
      </c>
    </row>
    <row r="705" spans="1:20" ht="17" x14ac:dyDescent="0.2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s="4">
        <f t="shared" si="43"/>
        <v>3.1187381703470032</v>
      </c>
      <c r="G705" t="s">
        <v>20</v>
      </c>
      <c r="H705">
        <v>2038</v>
      </c>
      <c r="I705" s="6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1"/>
        <v>41020.208333333336</v>
      </c>
      <c r="O705" s="13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2041</v>
      </c>
      <c r="T705" t="s">
        <v>2064</v>
      </c>
    </row>
    <row r="706" spans="1:20" ht="34" x14ac:dyDescent="0.2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s="4">
        <f t="shared" si="43"/>
        <v>1.2278160919540231</v>
      </c>
      <c r="G706" t="s">
        <v>20</v>
      </c>
      <c r="H706">
        <v>116</v>
      </c>
      <c r="I706" s="6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1"/>
        <v>42555.208333333328</v>
      </c>
      <c r="O706" s="13">
        <f t="shared" si="42"/>
        <v>42570.208333333328</v>
      </c>
      <c r="P706" t="b">
        <v>0</v>
      </c>
      <c r="Q706" t="b">
        <v>0</v>
      </c>
      <c r="R706" t="s">
        <v>71</v>
      </c>
      <c r="S706" t="s">
        <v>2035</v>
      </c>
      <c r="T706" t="s">
        <v>2045</v>
      </c>
    </row>
    <row r="707" spans="1:20" ht="17" x14ac:dyDescent="0.2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s="4">
        <f t="shared" si="43"/>
        <v>0.99026517383618151</v>
      </c>
      <c r="G707" t="s">
        <v>14</v>
      </c>
      <c r="H707">
        <v>2025</v>
      </c>
      <c r="I707" s="6">
        <f t="shared" ref="I707:I770" si="44">IF(H707&lt;&gt;0,E707/H707,0)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3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2041</v>
      </c>
      <c r="T707" t="s">
        <v>2056</v>
      </c>
    </row>
    <row r="708" spans="1:20" ht="34" x14ac:dyDescent="0.2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 s="6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5"/>
        <v>43471.25</v>
      </c>
      <c r="O708" s="13">
        <f t="shared" si="46"/>
        <v>43479.25</v>
      </c>
      <c r="P708" t="b">
        <v>0</v>
      </c>
      <c r="Q708" t="b">
        <v>1</v>
      </c>
      <c r="R708" t="s">
        <v>28</v>
      </c>
      <c r="S708" t="s">
        <v>2042</v>
      </c>
      <c r="T708" t="s">
        <v>2067</v>
      </c>
    </row>
    <row r="709" spans="1:20" ht="34" x14ac:dyDescent="0.2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s="4">
        <f t="shared" si="47"/>
        <v>1.5861643835616439</v>
      </c>
      <c r="G709" t="s">
        <v>20</v>
      </c>
      <c r="H709">
        <v>168</v>
      </c>
      <c r="I709" s="6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5"/>
        <v>43442.25</v>
      </c>
      <c r="O709" s="13">
        <f t="shared" si="46"/>
        <v>43478.25</v>
      </c>
      <c r="P709" t="b">
        <v>0</v>
      </c>
      <c r="Q709" t="b">
        <v>0</v>
      </c>
      <c r="R709" t="s">
        <v>53</v>
      </c>
      <c r="S709" t="s">
        <v>2035</v>
      </c>
      <c r="T709" t="s">
        <v>2048</v>
      </c>
    </row>
    <row r="710" spans="1:20" ht="17" x14ac:dyDescent="0.2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s="4">
        <f t="shared" si="47"/>
        <v>7.0705882352941174</v>
      </c>
      <c r="G710" t="s">
        <v>20</v>
      </c>
      <c r="H710">
        <v>137</v>
      </c>
      <c r="I710" s="6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5"/>
        <v>42877.208333333328</v>
      </c>
      <c r="O710" s="13">
        <f t="shared" si="46"/>
        <v>42887.208333333328</v>
      </c>
      <c r="P710" t="b">
        <v>0</v>
      </c>
      <c r="Q710" t="b">
        <v>0</v>
      </c>
      <c r="R710" t="s">
        <v>33</v>
      </c>
      <c r="S710" t="s">
        <v>2043</v>
      </c>
      <c r="T710" t="s">
        <v>2058</v>
      </c>
    </row>
    <row r="711" spans="1:20" ht="17" x14ac:dyDescent="0.2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s="4">
        <f t="shared" si="47"/>
        <v>1.4238775510204082</v>
      </c>
      <c r="G711" t="s">
        <v>20</v>
      </c>
      <c r="H711">
        <v>186</v>
      </c>
      <c r="I711" s="6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5"/>
        <v>41018.208333333336</v>
      </c>
      <c r="O711" s="13">
        <f t="shared" si="46"/>
        <v>41025.208333333336</v>
      </c>
      <c r="P711" t="b">
        <v>0</v>
      </c>
      <c r="Q711" t="b">
        <v>0</v>
      </c>
      <c r="R711" t="s">
        <v>33</v>
      </c>
      <c r="S711" t="s">
        <v>2043</v>
      </c>
      <c r="T711" t="s">
        <v>2058</v>
      </c>
    </row>
    <row r="712" spans="1:20" ht="34" x14ac:dyDescent="0.2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s="4">
        <f t="shared" si="47"/>
        <v>1.4786046511627906</v>
      </c>
      <c r="G712" t="s">
        <v>20</v>
      </c>
      <c r="H712">
        <v>125</v>
      </c>
      <c r="I712" s="6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5"/>
        <v>43295.208333333328</v>
      </c>
      <c r="O712" s="13">
        <f t="shared" si="46"/>
        <v>43302.208333333328</v>
      </c>
      <c r="P712" t="b">
        <v>0</v>
      </c>
      <c r="Q712" t="b">
        <v>1</v>
      </c>
      <c r="R712" t="s">
        <v>33</v>
      </c>
      <c r="S712" t="s">
        <v>2043</v>
      </c>
      <c r="T712" t="s">
        <v>2058</v>
      </c>
    </row>
    <row r="713" spans="1:20" ht="34" x14ac:dyDescent="0.2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s="4">
        <f t="shared" si="47"/>
        <v>0.20322580645161289</v>
      </c>
      <c r="G713" t="s">
        <v>14</v>
      </c>
      <c r="H713">
        <v>14</v>
      </c>
      <c r="I713" s="6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5"/>
        <v>42393.25</v>
      </c>
      <c r="O713" s="13">
        <f t="shared" si="46"/>
        <v>42395.25</v>
      </c>
      <c r="P713" t="b">
        <v>1</v>
      </c>
      <c r="Q713" t="b">
        <v>1</v>
      </c>
      <c r="R713" t="s">
        <v>33</v>
      </c>
      <c r="S713" t="s">
        <v>2043</v>
      </c>
      <c r="T713" t="s">
        <v>2058</v>
      </c>
    </row>
    <row r="714" spans="1:20" ht="34" x14ac:dyDescent="0.2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s="4">
        <f t="shared" si="47"/>
        <v>18.40625</v>
      </c>
      <c r="G714" t="s">
        <v>20</v>
      </c>
      <c r="H714">
        <v>202</v>
      </c>
      <c r="I714" s="6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5"/>
        <v>42559.208333333328</v>
      </c>
      <c r="O714" s="13">
        <f t="shared" si="46"/>
        <v>42600.208333333328</v>
      </c>
      <c r="P714" t="b">
        <v>0</v>
      </c>
      <c r="Q714" t="b">
        <v>0</v>
      </c>
      <c r="R714" t="s">
        <v>33</v>
      </c>
      <c r="S714" t="s">
        <v>2043</v>
      </c>
      <c r="T714" t="s">
        <v>2058</v>
      </c>
    </row>
    <row r="715" spans="1:20" ht="17" x14ac:dyDescent="0.2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s="4">
        <f t="shared" si="47"/>
        <v>1.6194202898550725</v>
      </c>
      <c r="G715" t="s">
        <v>20</v>
      </c>
      <c r="H715">
        <v>103</v>
      </c>
      <c r="I715" s="6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5"/>
        <v>42604.208333333328</v>
      </c>
      <c r="O715" s="13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2041</v>
      </c>
      <c r="T715" t="s">
        <v>2059</v>
      </c>
    </row>
    <row r="716" spans="1:20" ht="17" x14ac:dyDescent="0.2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s="4">
        <f t="shared" si="47"/>
        <v>4.7282077922077921</v>
      </c>
      <c r="G716" t="s">
        <v>20</v>
      </c>
      <c r="H716">
        <v>1785</v>
      </c>
      <c r="I716" s="6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5"/>
        <v>41870.208333333336</v>
      </c>
      <c r="O716" s="13">
        <f t="shared" si="46"/>
        <v>41871.208333333336</v>
      </c>
      <c r="P716" t="b">
        <v>0</v>
      </c>
      <c r="Q716" t="b">
        <v>0</v>
      </c>
      <c r="R716" t="s">
        <v>23</v>
      </c>
      <c r="S716" t="s">
        <v>2039</v>
      </c>
      <c r="T716" t="s">
        <v>2060</v>
      </c>
    </row>
    <row r="717" spans="1:20" ht="17" x14ac:dyDescent="0.2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s="4">
        <f t="shared" si="47"/>
        <v>0.24466101694915254</v>
      </c>
      <c r="G717" t="s">
        <v>14</v>
      </c>
      <c r="H717">
        <v>656</v>
      </c>
      <c r="I717" s="6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5"/>
        <v>40397.208333333336</v>
      </c>
      <c r="O717" s="13">
        <f t="shared" si="46"/>
        <v>40402.208333333336</v>
      </c>
      <c r="P717" t="b">
        <v>0</v>
      </c>
      <c r="Q717" t="b">
        <v>0</v>
      </c>
      <c r="R717" t="s">
        <v>292</v>
      </c>
      <c r="S717" t="s">
        <v>2037</v>
      </c>
      <c r="T717" t="s">
        <v>2055</v>
      </c>
    </row>
    <row r="718" spans="1:20" ht="17" x14ac:dyDescent="0.2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s="4">
        <f t="shared" si="47"/>
        <v>5.1764999999999999</v>
      </c>
      <c r="G718" t="s">
        <v>20</v>
      </c>
      <c r="H718">
        <v>157</v>
      </c>
      <c r="I718" s="6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5"/>
        <v>41465.208333333336</v>
      </c>
      <c r="O718" s="13">
        <f t="shared" si="46"/>
        <v>41493.208333333336</v>
      </c>
      <c r="P718" t="b">
        <v>0</v>
      </c>
      <c r="Q718" t="b">
        <v>1</v>
      </c>
      <c r="R718" t="s">
        <v>33</v>
      </c>
      <c r="S718" t="s">
        <v>2043</v>
      </c>
      <c r="T718" t="s">
        <v>2058</v>
      </c>
    </row>
    <row r="719" spans="1:20" ht="34" x14ac:dyDescent="0.2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s="4">
        <f t="shared" si="47"/>
        <v>2.4764285714285714</v>
      </c>
      <c r="G719" t="s">
        <v>20</v>
      </c>
      <c r="H719">
        <v>555</v>
      </c>
      <c r="I719" s="6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5"/>
        <v>40777.208333333336</v>
      </c>
      <c r="O719" s="13">
        <f t="shared" si="46"/>
        <v>40798.208333333336</v>
      </c>
      <c r="P719" t="b">
        <v>0</v>
      </c>
      <c r="Q719" t="b">
        <v>0</v>
      </c>
      <c r="R719" t="s">
        <v>42</v>
      </c>
      <c r="S719" t="s">
        <v>2035</v>
      </c>
      <c r="T719" t="s">
        <v>2047</v>
      </c>
    </row>
    <row r="720" spans="1:20" ht="17" x14ac:dyDescent="0.2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s="4">
        <f t="shared" si="47"/>
        <v>1.0020481927710843</v>
      </c>
      <c r="G720" t="s">
        <v>20</v>
      </c>
      <c r="H720">
        <v>297</v>
      </c>
      <c r="I720" s="6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5"/>
        <v>41442.208333333336</v>
      </c>
      <c r="O720" s="13">
        <f t="shared" si="46"/>
        <v>41468.208333333336</v>
      </c>
      <c r="P720" t="b">
        <v>0</v>
      </c>
      <c r="Q720" t="b">
        <v>0</v>
      </c>
      <c r="R720" t="s">
        <v>65</v>
      </c>
      <c r="S720" t="s">
        <v>2042</v>
      </c>
      <c r="T720" t="s">
        <v>2066</v>
      </c>
    </row>
    <row r="721" spans="1:20" ht="17" x14ac:dyDescent="0.2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s="4">
        <f t="shared" si="47"/>
        <v>1.53</v>
      </c>
      <c r="G721" t="s">
        <v>20</v>
      </c>
      <c r="H721">
        <v>123</v>
      </c>
      <c r="I721" s="6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5"/>
        <v>41058.208333333336</v>
      </c>
      <c r="O721" s="13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2041</v>
      </c>
      <c r="T721" t="s">
        <v>2050</v>
      </c>
    </row>
    <row r="722" spans="1:20" ht="34" x14ac:dyDescent="0.2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s="4">
        <f t="shared" si="47"/>
        <v>0.37091954022988505</v>
      </c>
      <c r="G722" t="s">
        <v>74</v>
      </c>
      <c r="H722">
        <v>38</v>
      </c>
      <c r="I722" s="6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5"/>
        <v>43152.25</v>
      </c>
      <c r="O722" s="13">
        <f t="shared" si="46"/>
        <v>43166.25</v>
      </c>
      <c r="P722" t="b">
        <v>0</v>
      </c>
      <c r="Q722" t="b">
        <v>1</v>
      </c>
      <c r="R722" t="s">
        <v>33</v>
      </c>
      <c r="S722" t="s">
        <v>2043</v>
      </c>
      <c r="T722" t="s">
        <v>2058</v>
      </c>
    </row>
    <row r="723" spans="1:20" ht="17" x14ac:dyDescent="0.2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s="4">
        <f t="shared" si="47"/>
        <v>4.3923948220064728E-2</v>
      </c>
      <c r="G723" t="s">
        <v>74</v>
      </c>
      <c r="H723">
        <v>60</v>
      </c>
      <c r="I723" s="6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5"/>
        <v>43194.208333333328</v>
      </c>
      <c r="O723" s="13">
        <f t="shared" si="46"/>
        <v>43200.208333333328</v>
      </c>
      <c r="P723" t="b">
        <v>0</v>
      </c>
      <c r="Q723" t="b">
        <v>0</v>
      </c>
      <c r="R723" t="s">
        <v>23</v>
      </c>
      <c r="S723" t="s">
        <v>2039</v>
      </c>
      <c r="T723" t="s">
        <v>2060</v>
      </c>
    </row>
    <row r="724" spans="1:20" ht="17" x14ac:dyDescent="0.2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s="4">
        <f t="shared" si="47"/>
        <v>1.5650721649484536</v>
      </c>
      <c r="G724" t="s">
        <v>20</v>
      </c>
      <c r="H724">
        <v>3036</v>
      </c>
      <c r="I724" s="6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5"/>
        <v>43045.25</v>
      </c>
      <c r="O724" s="13">
        <f t="shared" si="46"/>
        <v>43072.25</v>
      </c>
      <c r="P724" t="b">
        <v>0</v>
      </c>
      <c r="Q724" t="b">
        <v>0</v>
      </c>
      <c r="R724" t="s">
        <v>42</v>
      </c>
      <c r="S724" t="s">
        <v>2035</v>
      </c>
      <c r="T724" t="s">
        <v>2047</v>
      </c>
    </row>
    <row r="725" spans="1:20" ht="17" x14ac:dyDescent="0.2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s="4">
        <f t="shared" si="47"/>
        <v>2.704081632653061</v>
      </c>
      <c r="G725" t="s">
        <v>20</v>
      </c>
      <c r="H725">
        <v>144</v>
      </c>
      <c r="I725" s="6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5"/>
        <v>42431.25</v>
      </c>
      <c r="O725" s="13">
        <f t="shared" si="46"/>
        <v>42452.208333333328</v>
      </c>
      <c r="P725" t="b">
        <v>0</v>
      </c>
      <c r="Q725" t="b">
        <v>0</v>
      </c>
      <c r="R725" t="s">
        <v>33</v>
      </c>
      <c r="S725" t="s">
        <v>2043</v>
      </c>
      <c r="T725" t="s">
        <v>2058</v>
      </c>
    </row>
    <row r="726" spans="1:20" ht="34" x14ac:dyDescent="0.2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s="4">
        <f t="shared" si="47"/>
        <v>1.3405952380952382</v>
      </c>
      <c r="G726" t="s">
        <v>20</v>
      </c>
      <c r="H726">
        <v>121</v>
      </c>
      <c r="I726" s="6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5"/>
        <v>41934.208333333336</v>
      </c>
      <c r="O726" s="13">
        <f t="shared" si="46"/>
        <v>41936.208333333336</v>
      </c>
      <c r="P726" t="b">
        <v>0</v>
      </c>
      <c r="Q726" t="b">
        <v>1</v>
      </c>
      <c r="R726" t="s">
        <v>33</v>
      </c>
      <c r="S726" t="s">
        <v>2043</v>
      </c>
      <c r="T726" t="s">
        <v>2058</v>
      </c>
    </row>
    <row r="727" spans="1:20" ht="17" x14ac:dyDescent="0.2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s="4">
        <f t="shared" si="47"/>
        <v>0.50398033126293995</v>
      </c>
      <c r="G727" t="s">
        <v>14</v>
      </c>
      <c r="H727">
        <v>1596</v>
      </c>
      <c r="I727" s="6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5"/>
        <v>41958.25</v>
      </c>
      <c r="O727" s="13">
        <f t="shared" si="46"/>
        <v>41960.25</v>
      </c>
      <c r="P727" t="b">
        <v>0</v>
      </c>
      <c r="Q727" t="b">
        <v>0</v>
      </c>
      <c r="R727" t="s">
        <v>292</v>
      </c>
      <c r="S727" t="s">
        <v>2037</v>
      </c>
      <c r="T727" t="s">
        <v>2055</v>
      </c>
    </row>
    <row r="728" spans="1:20" ht="17" x14ac:dyDescent="0.2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s="4">
        <f t="shared" si="47"/>
        <v>0.88815837937384901</v>
      </c>
      <c r="G728" t="s">
        <v>74</v>
      </c>
      <c r="H728">
        <v>524</v>
      </c>
      <c r="I728" s="6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5"/>
        <v>40476.208333333336</v>
      </c>
      <c r="O728" s="13">
        <f t="shared" si="46"/>
        <v>40482.208333333336</v>
      </c>
      <c r="P728" t="b">
        <v>0</v>
      </c>
      <c r="Q728" t="b">
        <v>1</v>
      </c>
      <c r="R728" t="s">
        <v>33</v>
      </c>
      <c r="S728" t="s">
        <v>2043</v>
      </c>
      <c r="T728" t="s">
        <v>2058</v>
      </c>
    </row>
    <row r="729" spans="1:20" ht="17" x14ac:dyDescent="0.2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s="4">
        <f t="shared" si="47"/>
        <v>1.65</v>
      </c>
      <c r="G729" t="s">
        <v>20</v>
      </c>
      <c r="H729">
        <v>181</v>
      </c>
      <c r="I729" s="6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5"/>
        <v>43485.25</v>
      </c>
      <c r="O729" s="13">
        <f t="shared" si="46"/>
        <v>43543.208333333328</v>
      </c>
      <c r="P729" t="b">
        <v>0</v>
      </c>
      <c r="Q729" t="b">
        <v>0</v>
      </c>
      <c r="R729" t="s">
        <v>28</v>
      </c>
      <c r="S729" t="s">
        <v>2042</v>
      </c>
      <c r="T729" t="s">
        <v>2067</v>
      </c>
    </row>
    <row r="730" spans="1:20" ht="34" x14ac:dyDescent="0.2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s="4">
        <f t="shared" si="47"/>
        <v>0.17499999999999999</v>
      </c>
      <c r="G730" t="s">
        <v>14</v>
      </c>
      <c r="H730">
        <v>10</v>
      </c>
      <c r="I730" s="6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5"/>
        <v>42515.208333333328</v>
      </c>
      <c r="O730" s="13">
        <f t="shared" si="46"/>
        <v>42526.208333333328</v>
      </c>
      <c r="P730" t="b">
        <v>0</v>
      </c>
      <c r="Q730" t="b">
        <v>0</v>
      </c>
      <c r="R730" t="s">
        <v>33</v>
      </c>
      <c r="S730" t="s">
        <v>2043</v>
      </c>
      <c r="T730" t="s">
        <v>2058</v>
      </c>
    </row>
    <row r="731" spans="1:20" ht="34" x14ac:dyDescent="0.2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s="4">
        <f t="shared" si="47"/>
        <v>1.8566071428571429</v>
      </c>
      <c r="G731" t="s">
        <v>20</v>
      </c>
      <c r="H731">
        <v>122</v>
      </c>
      <c r="I731" s="6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5"/>
        <v>41309.25</v>
      </c>
      <c r="O731" s="13">
        <f t="shared" si="46"/>
        <v>41311.25</v>
      </c>
      <c r="P731" t="b">
        <v>0</v>
      </c>
      <c r="Q731" t="b">
        <v>0</v>
      </c>
      <c r="R731" t="s">
        <v>53</v>
      </c>
      <c r="S731" t="s">
        <v>2035</v>
      </c>
      <c r="T731" t="s">
        <v>2048</v>
      </c>
    </row>
    <row r="732" spans="1:20" ht="17" x14ac:dyDescent="0.2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s="4">
        <f t="shared" si="47"/>
        <v>4.1266319444444441</v>
      </c>
      <c r="G732" t="s">
        <v>20</v>
      </c>
      <c r="H732">
        <v>1071</v>
      </c>
      <c r="I732" s="6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5"/>
        <v>42147.208333333328</v>
      </c>
      <c r="O732" s="13">
        <f t="shared" si="46"/>
        <v>42153.208333333328</v>
      </c>
      <c r="P732" t="b">
        <v>0</v>
      </c>
      <c r="Q732" t="b">
        <v>0</v>
      </c>
      <c r="R732" t="s">
        <v>65</v>
      </c>
      <c r="S732" t="s">
        <v>2042</v>
      </c>
      <c r="T732" t="s">
        <v>2066</v>
      </c>
    </row>
    <row r="733" spans="1:20" ht="17" x14ac:dyDescent="0.2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s="4">
        <f t="shared" si="47"/>
        <v>0.90249999999999997</v>
      </c>
      <c r="G733" t="s">
        <v>74</v>
      </c>
      <c r="H733">
        <v>219</v>
      </c>
      <c r="I733" s="6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5"/>
        <v>42939.208333333328</v>
      </c>
      <c r="O733" s="13">
        <f t="shared" si="46"/>
        <v>42940.208333333328</v>
      </c>
      <c r="P733" t="b">
        <v>0</v>
      </c>
      <c r="Q733" t="b">
        <v>0</v>
      </c>
      <c r="R733" t="s">
        <v>28</v>
      </c>
      <c r="S733" t="s">
        <v>2042</v>
      </c>
      <c r="T733" t="s">
        <v>2067</v>
      </c>
    </row>
    <row r="734" spans="1:20" ht="17" x14ac:dyDescent="0.2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s="4">
        <f t="shared" si="47"/>
        <v>0.91984615384615387</v>
      </c>
      <c r="G734" t="s">
        <v>14</v>
      </c>
      <c r="H734">
        <v>1121</v>
      </c>
      <c r="I734" s="6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5"/>
        <v>42816.208333333328</v>
      </c>
      <c r="O734" s="13">
        <f t="shared" si="46"/>
        <v>42839.208333333328</v>
      </c>
      <c r="P734" t="b">
        <v>0</v>
      </c>
      <c r="Q734" t="b">
        <v>1</v>
      </c>
      <c r="R734" t="s">
        <v>23</v>
      </c>
      <c r="S734" t="s">
        <v>2039</v>
      </c>
      <c r="T734" t="s">
        <v>2060</v>
      </c>
    </row>
    <row r="735" spans="1:20" ht="17" x14ac:dyDescent="0.2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s="4">
        <f t="shared" si="47"/>
        <v>5.2700632911392402</v>
      </c>
      <c r="G735" t="s">
        <v>20</v>
      </c>
      <c r="H735">
        <v>980</v>
      </c>
      <c r="I735" s="6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5"/>
        <v>41844.208333333336</v>
      </c>
      <c r="O735" s="13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2039</v>
      </c>
      <c r="T735" t="s">
        <v>2054</v>
      </c>
    </row>
    <row r="736" spans="1:20" ht="17" x14ac:dyDescent="0.2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s="4">
        <f t="shared" si="47"/>
        <v>3.1914285714285713</v>
      </c>
      <c r="G736" t="s">
        <v>20</v>
      </c>
      <c r="H736">
        <v>536</v>
      </c>
      <c r="I736" s="6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5"/>
        <v>42763.25</v>
      </c>
      <c r="O736" s="13">
        <f t="shared" si="46"/>
        <v>42775.25</v>
      </c>
      <c r="P736" t="b">
        <v>0</v>
      </c>
      <c r="Q736" t="b">
        <v>1</v>
      </c>
      <c r="R736" t="s">
        <v>33</v>
      </c>
      <c r="S736" t="s">
        <v>2043</v>
      </c>
      <c r="T736" t="s">
        <v>2058</v>
      </c>
    </row>
    <row r="737" spans="1:20" ht="34" x14ac:dyDescent="0.2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s="4">
        <f t="shared" si="47"/>
        <v>3.5418867924528303</v>
      </c>
      <c r="G737" t="s">
        <v>20</v>
      </c>
      <c r="H737">
        <v>1991</v>
      </c>
      <c r="I737" s="6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5"/>
        <v>42459.208333333328</v>
      </c>
      <c r="O737" s="13">
        <f t="shared" si="46"/>
        <v>42466.208333333328</v>
      </c>
      <c r="P737" t="b">
        <v>0</v>
      </c>
      <c r="Q737" t="b">
        <v>0</v>
      </c>
      <c r="R737" t="s">
        <v>122</v>
      </c>
      <c r="S737" t="s">
        <v>2040</v>
      </c>
      <c r="T737" t="s">
        <v>2057</v>
      </c>
    </row>
    <row r="738" spans="1:20" ht="17" x14ac:dyDescent="0.2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s="4">
        <f t="shared" si="47"/>
        <v>0.32896103896103895</v>
      </c>
      <c r="G738" t="s">
        <v>74</v>
      </c>
      <c r="H738">
        <v>29</v>
      </c>
      <c r="I738" s="6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5"/>
        <v>42055.25</v>
      </c>
      <c r="O738" s="13">
        <f t="shared" si="46"/>
        <v>42059.25</v>
      </c>
      <c r="P738" t="b">
        <v>0</v>
      </c>
      <c r="Q738" t="b">
        <v>0</v>
      </c>
      <c r="R738" t="s">
        <v>68</v>
      </c>
      <c r="S738" t="s">
        <v>2041</v>
      </c>
      <c r="T738" t="s">
        <v>2056</v>
      </c>
    </row>
    <row r="739" spans="1:20" ht="34" x14ac:dyDescent="0.2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s="4">
        <f t="shared" si="47"/>
        <v>1.358918918918919</v>
      </c>
      <c r="G739" t="s">
        <v>20</v>
      </c>
      <c r="H739">
        <v>180</v>
      </c>
      <c r="I739" s="6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5"/>
        <v>42685.25</v>
      </c>
      <c r="O739" s="13">
        <f t="shared" si="46"/>
        <v>42697.25</v>
      </c>
      <c r="P739" t="b">
        <v>0</v>
      </c>
      <c r="Q739" t="b">
        <v>0</v>
      </c>
      <c r="R739" t="s">
        <v>60</v>
      </c>
      <c r="S739" t="s">
        <v>2039</v>
      </c>
      <c r="T739" t="s">
        <v>2052</v>
      </c>
    </row>
    <row r="740" spans="1:20" ht="34" x14ac:dyDescent="0.2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s="4">
        <f t="shared" si="47"/>
        <v>2.0843373493975904E-2</v>
      </c>
      <c r="G740" t="s">
        <v>14</v>
      </c>
      <c r="H740">
        <v>15</v>
      </c>
      <c r="I740" s="6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5"/>
        <v>41959.25</v>
      </c>
      <c r="O740" s="13">
        <f t="shared" si="46"/>
        <v>41981.25</v>
      </c>
      <c r="P740" t="b">
        <v>0</v>
      </c>
      <c r="Q740" t="b">
        <v>1</v>
      </c>
      <c r="R740" t="s">
        <v>33</v>
      </c>
      <c r="S740" t="s">
        <v>2043</v>
      </c>
      <c r="T740" t="s">
        <v>2058</v>
      </c>
    </row>
    <row r="741" spans="1:20" ht="17" x14ac:dyDescent="0.2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s="4">
        <f t="shared" si="47"/>
        <v>0.61</v>
      </c>
      <c r="G741" t="s">
        <v>14</v>
      </c>
      <c r="H741">
        <v>191</v>
      </c>
      <c r="I741" s="6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5"/>
        <v>41089.208333333336</v>
      </c>
      <c r="O741" s="13">
        <f t="shared" si="46"/>
        <v>41090.208333333336</v>
      </c>
      <c r="P741" t="b">
        <v>0</v>
      </c>
      <c r="Q741" t="b">
        <v>0</v>
      </c>
      <c r="R741" t="s">
        <v>60</v>
      </c>
      <c r="S741" t="s">
        <v>2039</v>
      </c>
      <c r="T741" t="s">
        <v>2052</v>
      </c>
    </row>
    <row r="742" spans="1:20" ht="34" x14ac:dyDescent="0.2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s="4">
        <f t="shared" si="47"/>
        <v>0.30037735849056602</v>
      </c>
      <c r="G742" t="s">
        <v>14</v>
      </c>
      <c r="H742">
        <v>16</v>
      </c>
      <c r="I742" s="6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5"/>
        <v>42769.25</v>
      </c>
      <c r="O742" s="13">
        <f t="shared" si="46"/>
        <v>42772.25</v>
      </c>
      <c r="P742" t="b">
        <v>0</v>
      </c>
      <c r="Q742" t="b">
        <v>0</v>
      </c>
      <c r="R742" t="s">
        <v>33</v>
      </c>
      <c r="S742" t="s">
        <v>2043</v>
      </c>
      <c r="T742" t="s">
        <v>2058</v>
      </c>
    </row>
    <row r="743" spans="1:20" ht="17" x14ac:dyDescent="0.2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s="4">
        <f t="shared" si="47"/>
        <v>11.791666666666666</v>
      </c>
      <c r="G743" t="s">
        <v>20</v>
      </c>
      <c r="H743">
        <v>130</v>
      </c>
      <c r="I743" s="6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5"/>
        <v>40321.208333333336</v>
      </c>
      <c r="O743" s="13">
        <f t="shared" si="46"/>
        <v>40322.208333333336</v>
      </c>
      <c r="P743" t="b">
        <v>0</v>
      </c>
      <c r="Q743" t="b">
        <v>0</v>
      </c>
      <c r="R743" t="s">
        <v>33</v>
      </c>
      <c r="S743" t="s">
        <v>2043</v>
      </c>
      <c r="T743" t="s">
        <v>2058</v>
      </c>
    </row>
    <row r="744" spans="1:20" ht="17" x14ac:dyDescent="0.2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s="4">
        <f t="shared" si="47"/>
        <v>11.260833333333334</v>
      </c>
      <c r="G744" t="s">
        <v>20</v>
      </c>
      <c r="H744">
        <v>122</v>
      </c>
      <c r="I744" s="6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5"/>
        <v>40197.25</v>
      </c>
      <c r="O744" s="13">
        <f t="shared" si="46"/>
        <v>40239.25</v>
      </c>
      <c r="P744" t="b">
        <v>0</v>
      </c>
      <c r="Q744" t="b">
        <v>0</v>
      </c>
      <c r="R744" t="s">
        <v>50</v>
      </c>
      <c r="S744" t="s">
        <v>2039</v>
      </c>
      <c r="T744" t="s">
        <v>2049</v>
      </c>
    </row>
    <row r="745" spans="1:20" ht="34" x14ac:dyDescent="0.2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s="4">
        <f t="shared" si="47"/>
        <v>0.12923076923076923</v>
      </c>
      <c r="G745" t="s">
        <v>14</v>
      </c>
      <c r="H745">
        <v>17</v>
      </c>
      <c r="I745" s="6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5"/>
        <v>42298.208333333328</v>
      </c>
      <c r="O745" s="13">
        <f t="shared" si="46"/>
        <v>42304.208333333328</v>
      </c>
      <c r="P745" t="b">
        <v>0</v>
      </c>
      <c r="Q745" t="b">
        <v>1</v>
      </c>
      <c r="R745" t="s">
        <v>33</v>
      </c>
      <c r="S745" t="s">
        <v>2043</v>
      </c>
      <c r="T745" t="s">
        <v>2058</v>
      </c>
    </row>
    <row r="746" spans="1:20" ht="17" x14ac:dyDescent="0.2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s="4">
        <f t="shared" si="47"/>
        <v>7.12</v>
      </c>
      <c r="G746" t="s">
        <v>20</v>
      </c>
      <c r="H746">
        <v>140</v>
      </c>
      <c r="I746" s="6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5"/>
        <v>43322.208333333328</v>
      </c>
      <c r="O746" s="13">
        <f t="shared" si="46"/>
        <v>43324.208333333328</v>
      </c>
      <c r="P746" t="b">
        <v>0</v>
      </c>
      <c r="Q746" t="b">
        <v>1</v>
      </c>
      <c r="R746" t="s">
        <v>33</v>
      </c>
      <c r="S746" t="s">
        <v>2043</v>
      </c>
      <c r="T746" t="s">
        <v>2058</v>
      </c>
    </row>
    <row r="747" spans="1:20" ht="34" x14ac:dyDescent="0.2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s="4">
        <f t="shared" si="47"/>
        <v>0.30304347826086958</v>
      </c>
      <c r="G747" t="s">
        <v>14</v>
      </c>
      <c r="H747">
        <v>34</v>
      </c>
      <c r="I747" s="6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5"/>
        <v>40328.208333333336</v>
      </c>
      <c r="O747" s="13">
        <f t="shared" si="46"/>
        <v>40355.208333333336</v>
      </c>
      <c r="P747" t="b">
        <v>0</v>
      </c>
      <c r="Q747" t="b">
        <v>0</v>
      </c>
      <c r="R747" t="s">
        <v>65</v>
      </c>
      <c r="S747" t="s">
        <v>2042</v>
      </c>
      <c r="T747" t="s">
        <v>2066</v>
      </c>
    </row>
    <row r="748" spans="1:20" ht="17" x14ac:dyDescent="0.2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s="4">
        <f t="shared" si="47"/>
        <v>2.1250896057347672</v>
      </c>
      <c r="G748" t="s">
        <v>20</v>
      </c>
      <c r="H748">
        <v>3388</v>
      </c>
      <c r="I748" s="6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5"/>
        <v>40825.208333333336</v>
      </c>
      <c r="O748" s="13">
        <f t="shared" si="46"/>
        <v>40830.208333333336</v>
      </c>
      <c r="P748" t="b">
        <v>0</v>
      </c>
      <c r="Q748" t="b">
        <v>0</v>
      </c>
      <c r="R748" t="s">
        <v>28</v>
      </c>
      <c r="S748" t="s">
        <v>2042</v>
      </c>
      <c r="T748" t="s">
        <v>2067</v>
      </c>
    </row>
    <row r="749" spans="1:20" ht="17" x14ac:dyDescent="0.2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s="4">
        <f t="shared" si="47"/>
        <v>2.2885714285714287</v>
      </c>
      <c r="G749" t="s">
        <v>20</v>
      </c>
      <c r="H749">
        <v>280</v>
      </c>
      <c r="I749" s="6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5"/>
        <v>40423.208333333336</v>
      </c>
      <c r="O749" s="13">
        <f t="shared" si="46"/>
        <v>40434.208333333336</v>
      </c>
      <c r="P749" t="b">
        <v>0</v>
      </c>
      <c r="Q749" t="b">
        <v>0</v>
      </c>
      <c r="R749" t="s">
        <v>33</v>
      </c>
      <c r="S749" t="s">
        <v>2043</v>
      </c>
      <c r="T749" t="s">
        <v>2058</v>
      </c>
    </row>
    <row r="750" spans="1:20" ht="17" x14ac:dyDescent="0.2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s="4">
        <f t="shared" si="47"/>
        <v>0.34959979476654696</v>
      </c>
      <c r="G750" t="s">
        <v>74</v>
      </c>
      <c r="H750">
        <v>614</v>
      </c>
      <c r="I750" s="6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5"/>
        <v>40238.25</v>
      </c>
      <c r="O750" s="13">
        <f t="shared" si="46"/>
        <v>40263.208333333336</v>
      </c>
      <c r="P750" t="b">
        <v>0</v>
      </c>
      <c r="Q750" t="b">
        <v>1</v>
      </c>
      <c r="R750" t="s">
        <v>71</v>
      </c>
      <c r="S750" t="s">
        <v>2035</v>
      </c>
      <c r="T750" t="s">
        <v>2045</v>
      </c>
    </row>
    <row r="751" spans="1:20" ht="17" x14ac:dyDescent="0.2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s="4">
        <f t="shared" si="47"/>
        <v>1.5729069767441861</v>
      </c>
      <c r="G751" t="s">
        <v>20</v>
      </c>
      <c r="H751">
        <v>366</v>
      </c>
      <c r="I751" s="6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5"/>
        <v>41920.208333333336</v>
      </c>
      <c r="O751" s="13">
        <f t="shared" si="46"/>
        <v>41932.208333333336</v>
      </c>
      <c r="P751" t="b">
        <v>0</v>
      </c>
      <c r="Q751" t="b">
        <v>1</v>
      </c>
      <c r="R751" t="s">
        <v>65</v>
      </c>
      <c r="S751" t="s">
        <v>2042</v>
      </c>
      <c r="T751" t="s">
        <v>2066</v>
      </c>
    </row>
    <row r="752" spans="1:20" ht="17" x14ac:dyDescent="0.2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s="4">
        <f t="shared" si="47"/>
        <v>0.01</v>
      </c>
      <c r="G752" t="s">
        <v>14</v>
      </c>
      <c r="H752">
        <v>1</v>
      </c>
      <c r="I752" s="6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5"/>
        <v>40360.208333333336</v>
      </c>
      <c r="O752" s="13">
        <f t="shared" si="46"/>
        <v>40385.208333333336</v>
      </c>
      <c r="P752" t="b">
        <v>0</v>
      </c>
      <c r="Q752" t="b">
        <v>0</v>
      </c>
      <c r="R752" t="s">
        <v>50</v>
      </c>
      <c r="S752" t="s">
        <v>2039</v>
      </c>
      <c r="T752" t="s">
        <v>2049</v>
      </c>
    </row>
    <row r="753" spans="1:20" ht="17" x14ac:dyDescent="0.2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s="4">
        <f t="shared" si="47"/>
        <v>2.3230555555555554</v>
      </c>
      <c r="G753" t="s">
        <v>20</v>
      </c>
      <c r="H753">
        <v>270</v>
      </c>
      <c r="I753" s="6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5"/>
        <v>42446.208333333328</v>
      </c>
      <c r="O753" s="13">
        <f t="shared" si="46"/>
        <v>42461.208333333328</v>
      </c>
      <c r="P753" t="b">
        <v>1</v>
      </c>
      <c r="Q753" t="b">
        <v>1</v>
      </c>
      <c r="R753" t="s">
        <v>68</v>
      </c>
      <c r="S753" t="s">
        <v>2041</v>
      </c>
      <c r="T753" t="s">
        <v>2056</v>
      </c>
    </row>
    <row r="754" spans="1:20" ht="17" x14ac:dyDescent="0.2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s="4">
        <f t="shared" si="47"/>
        <v>0.92448275862068963</v>
      </c>
      <c r="G754" t="s">
        <v>74</v>
      </c>
      <c r="H754">
        <v>114</v>
      </c>
      <c r="I754" s="6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5"/>
        <v>40395.208333333336</v>
      </c>
      <c r="O754" s="13">
        <f t="shared" si="46"/>
        <v>40413.208333333336</v>
      </c>
      <c r="P754" t="b">
        <v>0</v>
      </c>
      <c r="Q754" t="b">
        <v>1</v>
      </c>
      <c r="R754" t="s">
        <v>33</v>
      </c>
      <c r="S754" t="s">
        <v>2043</v>
      </c>
      <c r="T754" t="s">
        <v>2058</v>
      </c>
    </row>
    <row r="755" spans="1:20" ht="17" x14ac:dyDescent="0.2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s="4">
        <f t="shared" si="47"/>
        <v>2.5670212765957445</v>
      </c>
      <c r="G755" t="s">
        <v>20</v>
      </c>
      <c r="H755">
        <v>137</v>
      </c>
      <c r="I755" s="6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5"/>
        <v>40321.208333333336</v>
      </c>
      <c r="O755" s="13">
        <f t="shared" si="46"/>
        <v>40336.208333333336</v>
      </c>
      <c r="P755" t="b">
        <v>0</v>
      </c>
      <c r="Q755" t="b">
        <v>0</v>
      </c>
      <c r="R755" t="s">
        <v>122</v>
      </c>
      <c r="S755" t="s">
        <v>2040</v>
      </c>
      <c r="T755" t="s">
        <v>2057</v>
      </c>
    </row>
    <row r="756" spans="1:20" ht="17" x14ac:dyDescent="0.2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s="4">
        <f t="shared" si="47"/>
        <v>1.6847017045454546</v>
      </c>
      <c r="G756" t="s">
        <v>20</v>
      </c>
      <c r="H756">
        <v>3205</v>
      </c>
      <c r="I756" s="6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5"/>
        <v>41210.208333333336</v>
      </c>
      <c r="O756" s="13">
        <f t="shared" si="46"/>
        <v>41263.25</v>
      </c>
      <c r="P756" t="b">
        <v>0</v>
      </c>
      <c r="Q756" t="b">
        <v>0</v>
      </c>
      <c r="R756" t="s">
        <v>33</v>
      </c>
      <c r="S756" t="s">
        <v>2043</v>
      </c>
      <c r="T756" t="s">
        <v>2058</v>
      </c>
    </row>
    <row r="757" spans="1:20" ht="17" x14ac:dyDescent="0.2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s="4">
        <f t="shared" si="47"/>
        <v>1.6657777777777778</v>
      </c>
      <c r="G757" t="s">
        <v>20</v>
      </c>
      <c r="H757">
        <v>288</v>
      </c>
      <c r="I757" s="6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5"/>
        <v>43096.25</v>
      </c>
      <c r="O757" s="13">
        <f t="shared" si="46"/>
        <v>43108.25</v>
      </c>
      <c r="P757" t="b">
        <v>0</v>
      </c>
      <c r="Q757" t="b">
        <v>1</v>
      </c>
      <c r="R757" t="s">
        <v>33</v>
      </c>
      <c r="S757" t="s">
        <v>2043</v>
      </c>
      <c r="T757" t="s">
        <v>2058</v>
      </c>
    </row>
    <row r="758" spans="1:20" ht="34" x14ac:dyDescent="0.2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s="4">
        <f t="shared" si="47"/>
        <v>7.7207692307692311</v>
      </c>
      <c r="G758" t="s">
        <v>20</v>
      </c>
      <c r="H758">
        <v>148</v>
      </c>
      <c r="I758" s="6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5"/>
        <v>42024.25</v>
      </c>
      <c r="O758" s="13">
        <f t="shared" si="46"/>
        <v>42030.25</v>
      </c>
      <c r="P758" t="b">
        <v>0</v>
      </c>
      <c r="Q758" t="b">
        <v>0</v>
      </c>
      <c r="R758" t="s">
        <v>33</v>
      </c>
      <c r="S758" t="s">
        <v>2043</v>
      </c>
      <c r="T758" t="s">
        <v>2058</v>
      </c>
    </row>
    <row r="759" spans="1:20" ht="17" x14ac:dyDescent="0.2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s="4">
        <f t="shared" si="47"/>
        <v>4.0685714285714285</v>
      </c>
      <c r="G759" t="s">
        <v>20</v>
      </c>
      <c r="H759">
        <v>114</v>
      </c>
      <c r="I759" s="6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5"/>
        <v>40675.208333333336</v>
      </c>
      <c r="O759" s="13">
        <f t="shared" si="46"/>
        <v>40679.208333333336</v>
      </c>
      <c r="P759" t="b">
        <v>0</v>
      </c>
      <c r="Q759" t="b">
        <v>0</v>
      </c>
      <c r="R759" t="s">
        <v>53</v>
      </c>
      <c r="S759" t="s">
        <v>2035</v>
      </c>
      <c r="T759" t="s">
        <v>2048</v>
      </c>
    </row>
    <row r="760" spans="1:20" ht="17" x14ac:dyDescent="0.2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s="4">
        <f t="shared" si="47"/>
        <v>5.6420608108108112</v>
      </c>
      <c r="G760" t="s">
        <v>20</v>
      </c>
      <c r="H760">
        <v>1518</v>
      </c>
      <c r="I760" s="6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5"/>
        <v>41936.208333333336</v>
      </c>
      <c r="O760" s="13">
        <f t="shared" si="46"/>
        <v>41945.208333333336</v>
      </c>
      <c r="P760" t="b">
        <v>0</v>
      </c>
      <c r="Q760" t="b">
        <v>0</v>
      </c>
      <c r="R760" t="s">
        <v>23</v>
      </c>
      <c r="S760" t="s">
        <v>2039</v>
      </c>
      <c r="T760" t="s">
        <v>2060</v>
      </c>
    </row>
    <row r="761" spans="1:20" ht="34" x14ac:dyDescent="0.2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s="4">
        <f t="shared" si="47"/>
        <v>0.6842686567164179</v>
      </c>
      <c r="G761" t="s">
        <v>14</v>
      </c>
      <c r="H761">
        <v>1274</v>
      </c>
      <c r="I761" s="6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5"/>
        <v>43136.25</v>
      </c>
      <c r="O761" s="13">
        <f t="shared" si="46"/>
        <v>43166.25</v>
      </c>
      <c r="P761" t="b">
        <v>0</v>
      </c>
      <c r="Q761" t="b">
        <v>0</v>
      </c>
      <c r="R761" t="s">
        <v>50</v>
      </c>
      <c r="S761" t="s">
        <v>2039</v>
      </c>
      <c r="T761" t="s">
        <v>2049</v>
      </c>
    </row>
    <row r="762" spans="1:20" ht="17" x14ac:dyDescent="0.2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s="4">
        <f t="shared" si="47"/>
        <v>0.34351966873706002</v>
      </c>
      <c r="G762" t="s">
        <v>14</v>
      </c>
      <c r="H762">
        <v>210</v>
      </c>
      <c r="I762" s="6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5"/>
        <v>43678.208333333328</v>
      </c>
      <c r="O762" s="13">
        <f t="shared" si="46"/>
        <v>43707.208333333328</v>
      </c>
      <c r="P762" t="b">
        <v>0</v>
      </c>
      <c r="Q762" t="b">
        <v>1</v>
      </c>
      <c r="R762" t="s">
        <v>89</v>
      </c>
      <c r="S762" t="s">
        <v>2037</v>
      </c>
      <c r="T762" t="s">
        <v>2065</v>
      </c>
    </row>
    <row r="763" spans="1:20" ht="17" x14ac:dyDescent="0.2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s="4">
        <f t="shared" si="47"/>
        <v>6.5545454545454547</v>
      </c>
      <c r="G763" t="s">
        <v>20</v>
      </c>
      <c r="H763">
        <v>166</v>
      </c>
      <c r="I763" s="6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5"/>
        <v>42938.208333333328</v>
      </c>
      <c r="O763" s="13">
        <f t="shared" si="46"/>
        <v>42943.208333333328</v>
      </c>
      <c r="P763" t="b">
        <v>0</v>
      </c>
      <c r="Q763" t="b">
        <v>0</v>
      </c>
      <c r="R763" t="s">
        <v>23</v>
      </c>
      <c r="S763" t="s">
        <v>2039</v>
      </c>
      <c r="T763" t="s">
        <v>2060</v>
      </c>
    </row>
    <row r="764" spans="1:20" ht="17" x14ac:dyDescent="0.2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s="4">
        <f t="shared" si="47"/>
        <v>1.7725714285714285</v>
      </c>
      <c r="G764" t="s">
        <v>20</v>
      </c>
      <c r="H764">
        <v>100</v>
      </c>
      <c r="I764" s="6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5"/>
        <v>41241.25</v>
      </c>
      <c r="O764" s="13">
        <f t="shared" si="46"/>
        <v>41252.25</v>
      </c>
      <c r="P764" t="b">
        <v>0</v>
      </c>
      <c r="Q764" t="b">
        <v>0</v>
      </c>
      <c r="R764" t="s">
        <v>159</v>
      </c>
      <c r="S764" t="s">
        <v>2039</v>
      </c>
      <c r="T764" t="s">
        <v>2053</v>
      </c>
    </row>
    <row r="765" spans="1:20" ht="17" x14ac:dyDescent="0.2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s="4">
        <f t="shared" si="47"/>
        <v>1.1317857142857144</v>
      </c>
      <c r="G765" t="s">
        <v>20</v>
      </c>
      <c r="H765">
        <v>235</v>
      </c>
      <c r="I765" s="6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5"/>
        <v>41037.208333333336</v>
      </c>
      <c r="O765" s="13">
        <f t="shared" si="46"/>
        <v>41072.208333333336</v>
      </c>
      <c r="P765" t="b">
        <v>0</v>
      </c>
      <c r="Q765" t="b">
        <v>1</v>
      </c>
      <c r="R765" t="s">
        <v>33</v>
      </c>
      <c r="S765" t="s">
        <v>2043</v>
      </c>
      <c r="T765" t="s">
        <v>2058</v>
      </c>
    </row>
    <row r="766" spans="1:20" ht="34" x14ac:dyDescent="0.2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s="4">
        <f t="shared" si="47"/>
        <v>7.2818181818181822</v>
      </c>
      <c r="G766" t="s">
        <v>20</v>
      </c>
      <c r="H766">
        <v>148</v>
      </c>
      <c r="I766" s="6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5"/>
        <v>40676.208333333336</v>
      </c>
      <c r="O766" s="13">
        <f t="shared" si="46"/>
        <v>40684.208333333336</v>
      </c>
      <c r="P766" t="b">
        <v>0</v>
      </c>
      <c r="Q766" t="b">
        <v>0</v>
      </c>
      <c r="R766" t="s">
        <v>23</v>
      </c>
      <c r="S766" t="s">
        <v>2039</v>
      </c>
      <c r="T766" t="s">
        <v>2060</v>
      </c>
    </row>
    <row r="767" spans="1:20" ht="17" x14ac:dyDescent="0.2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s="4">
        <f t="shared" si="47"/>
        <v>2.0833333333333335</v>
      </c>
      <c r="G767" t="s">
        <v>20</v>
      </c>
      <c r="H767">
        <v>198</v>
      </c>
      <c r="I767" s="6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5"/>
        <v>42840.208333333328</v>
      </c>
      <c r="O767" s="13">
        <f t="shared" si="46"/>
        <v>42865.208333333328</v>
      </c>
      <c r="P767" t="b">
        <v>1</v>
      </c>
      <c r="Q767" t="b">
        <v>1</v>
      </c>
      <c r="R767" t="s">
        <v>60</v>
      </c>
      <c r="S767" t="s">
        <v>2039</v>
      </c>
      <c r="T767" t="s">
        <v>2052</v>
      </c>
    </row>
    <row r="768" spans="1:20" ht="34" x14ac:dyDescent="0.2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s="4">
        <f t="shared" si="47"/>
        <v>0.31171232876712329</v>
      </c>
      <c r="G768" t="s">
        <v>14</v>
      </c>
      <c r="H768">
        <v>248</v>
      </c>
      <c r="I768" s="6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5"/>
        <v>43362.208333333328</v>
      </c>
      <c r="O768" s="13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2035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s="4">
        <f t="shared" si="47"/>
        <v>0.56967078189300413</v>
      </c>
      <c r="G769" t="s">
        <v>14</v>
      </c>
      <c r="H769">
        <v>513</v>
      </c>
      <c r="I769" s="6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5"/>
        <v>42283.208333333328</v>
      </c>
      <c r="O769" s="13">
        <f t="shared" si="46"/>
        <v>42328.25</v>
      </c>
      <c r="P769" t="b">
        <v>0</v>
      </c>
      <c r="Q769" t="b">
        <v>0</v>
      </c>
      <c r="R769" t="s">
        <v>206</v>
      </c>
      <c r="S769" t="s">
        <v>2041</v>
      </c>
      <c r="T769" t="s">
        <v>2064</v>
      </c>
    </row>
    <row r="770" spans="1:20" ht="17" x14ac:dyDescent="0.2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s="4">
        <f t="shared" si="47"/>
        <v>2.31</v>
      </c>
      <c r="G770" t="s">
        <v>20</v>
      </c>
      <c r="H770">
        <v>150</v>
      </c>
      <c r="I770" s="6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5"/>
        <v>41619.25</v>
      </c>
      <c r="O770" s="13">
        <f t="shared" si="46"/>
        <v>41634.25</v>
      </c>
      <c r="P770" t="b">
        <v>0</v>
      </c>
      <c r="Q770" t="b">
        <v>0</v>
      </c>
      <c r="R770" t="s">
        <v>33</v>
      </c>
      <c r="S770" t="s">
        <v>2043</v>
      </c>
      <c r="T770" t="s">
        <v>2058</v>
      </c>
    </row>
    <row r="771" spans="1:20" ht="17" x14ac:dyDescent="0.2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s="4">
        <f t="shared" si="47"/>
        <v>0.86867834394904464</v>
      </c>
      <c r="G771" t="s">
        <v>14</v>
      </c>
      <c r="H771">
        <v>3410</v>
      </c>
      <c r="I771" s="6">
        <f t="shared" ref="I771:I834" si="48">IF(H771&lt;&gt;0,E771/H771,0)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3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2037</v>
      </c>
      <c r="T771" t="s">
        <v>2065</v>
      </c>
    </row>
    <row r="772" spans="1:20" ht="17" x14ac:dyDescent="0.2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 s="6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9"/>
        <v>41743.208333333336</v>
      </c>
      <c r="O772" s="13">
        <f t="shared" si="50"/>
        <v>41750.208333333336</v>
      </c>
      <c r="P772" t="b">
        <v>0</v>
      </c>
      <c r="Q772" t="b">
        <v>1</v>
      </c>
      <c r="R772" t="s">
        <v>33</v>
      </c>
      <c r="S772" t="s">
        <v>2043</v>
      </c>
      <c r="T772" t="s">
        <v>2058</v>
      </c>
    </row>
    <row r="773" spans="1:20" ht="17" x14ac:dyDescent="0.2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s="4">
        <f t="shared" si="51"/>
        <v>0.49446428571428569</v>
      </c>
      <c r="G773" t="s">
        <v>74</v>
      </c>
      <c r="H773">
        <v>26</v>
      </c>
      <c r="I773" s="6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9"/>
        <v>43491.25</v>
      </c>
      <c r="O773" s="13">
        <f t="shared" si="50"/>
        <v>43518.25</v>
      </c>
      <c r="P773" t="b">
        <v>0</v>
      </c>
      <c r="Q773" t="b">
        <v>0</v>
      </c>
      <c r="R773" t="s">
        <v>33</v>
      </c>
      <c r="S773" t="s">
        <v>2043</v>
      </c>
      <c r="T773" t="s">
        <v>2058</v>
      </c>
    </row>
    <row r="774" spans="1:20" ht="17" x14ac:dyDescent="0.2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s="4">
        <f t="shared" si="51"/>
        <v>1.1335962566844919</v>
      </c>
      <c r="G774" t="s">
        <v>20</v>
      </c>
      <c r="H774">
        <v>5139</v>
      </c>
      <c r="I774" s="6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9"/>
        <v>43505.25</v>
      </c>
      <c r="O774" s="13">
        <f t="shared" si="50"/>
        <v>43509.25</v>
      </c>
      <c r="P774" t="b">
        <v>0</v>
      </c>
      <c r="Q774" t="b">
        <v>0</v>
      </c>
      <c r="R774" t="s">
        <v>60</v>
      </c>
      <c r="S774" t="s">
        <v>2039</v>
      </c>
      <c r="T774" t="s">
        <v>2052</v>
      </c>
    </row>
    <row r="775" spans="1:20" ht="17" x14ac:dyDescent="0.2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s="4">
        <f t="shared" si="51"/>
        <v>1.9055555555555554</v>
      </c>
      <c r="G775" t="s">
        <v>20</v>
      </c>
      <c r="H775">
        <v>2353</v>
      </c>
      <c r="I775" s="6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9"/>
        <v>42838.208333333328</v>
      </c>
      <c r="O775" s="13">
        <f t="shared" si="50"/>
        <v>42848.208333333328</v>
      </c>
      <c r="P775" t="b">
        <v>0</v>
      </c>
      <c r="Q775" t="b">
        <v>0</v>
      </c>
      <c r="R775" t="s">
        <v>33</v>
      </c>
      <c r="S775" t="s">
        <v>2043</v>
      </c>
      <c r="T775" t="s">
        <v>2058</v>
      </c>
    </row>
    <row r="776" spans="1:20" ht="17" x14ac:dyDescent="0.2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s="4">
        <f t="shared" si="51"/>
        <v>1.355</v>
      </c>
      <c r="G776" t="s">
        <v>20</v>
      </c>
      <c r="H776">
        <v>78</v>
      </c>
      <c r="I776" s="6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9"/>
        <v>42513.208333333328</v>
      </c>
      <c r="O776" s="13">
        <f t="shared" si="50"/>
        <v>42554.208333333328</v>
      </c>
      <c r="P776" t="b">
        <v>0</v>
      </c>
      <c r="Q776" t="b">
        <v>0</v>
      </c>
      <c r="R776" t="s">
        <v>28</v>
      </c>
      <c r="S776" t="s">
        <v>2042</v>
      </c>
      <c r="T776" t="s">
        <v>2067</v>
      </c>
    </row>
    <row r="777" spans="1:20" ht="34" x14ac:dyDescent="0.2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s="4">
        <f t="shared" si="51"/>
        <v>0.10297872340425532</v>
      </c>
      <c r="G777" t="s">
        <v>14</v>
      </c>
      <c r="H777">
        <v>10</v>
      </c>
      <c r="I777" s="6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9"/>
        <v>41949.25</v>
      </c>
      <c r="O777" s="13">
        <f t="shared" si="50"/>
        <v>41959.25</v>
      </c>
      <c r="P777" t="b">
        <v>0</v>
      </c>
      <c r="Q777" t="b">
        <v>0</v>
      </c>
      <c r="R777" t="s">
        <v>23</v>
      </c>
      <c r="S777" t="s">
        <v>2039</v>
      </c>
      <c r="T777" t="s">
        <v>2060</v>
      </c>
    </row>
    <row r="778" spans="1:20" ht="17" x14ac:dyDescent="0.2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s="4">
        <f t="shared" si="51"/>
        <v>0.65544223826714798</v>
      </c>
      <c r="G778" t="s">
        <v>14</v>
      </c>
      <c r="H778">
        <v>2201</v>
      </c>
      <c r="I778" s="6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9"/>
        <v>43650.208333333328</v>
      </c>
      <c r="O778" s="13">
        <f t="shared" si="50"/>
        <v>43668.208333333328</v>
      </c>
      <c r="P778" t="b">
        <v>0</v>
      </c>
      <c r="Q778" t="b">
        <v>0</v>
      </c>
      <c r="R778" t="s">
        <v>33</v>
      </c>
      <c r="S778" t="s">
        <v>2043</v>
      </c>
      <c r="T778" t="s">
        <v>2058</v>
      </c>
    </row>
    <row r="779" spans="1:20" ht="17" x14ac:dyDescent="0.2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s="4">
        <f t="shared" si="51"/>
        <v>0.49026652452025588</v>
      </c>
      <c r="G779" t="s">
        <v>14</v>
      </c>
      <c r="H779">
        <v>676</v>
      </c>
      <c r="I779" s="6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9"/>
        <v>40809.208333333336</v>
      </c>
      <c r="O779" s="13">
        <f t="shared" si="50"/>
        <v>40838.208333333336</v>
      </c>
      <c r="P779" t="b">
        <v>0</v>
      </c>
      <c r="Q779" t="b">
        <v>0</v>
      </c>
      <c r="R779" t="s">
        <v>33</v>
      </c>
      <c r="S779" t="s">
        <v>2043</v>
      </c>
      <c r="T779" t="s">
        <v>2058</v>
      </c>
    </row>
    <row r="780" spans="1:20" ht="17" x14ac:dyDescent="0.2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s="4">
        <f t="shared" si="51"/>
        <v>7.8792307692307695</v>
      </c>
      <c r="G780" t="s">
        <v>20</v>
      </c>
      <c r="H780">
        <v>174</v>
      </c>
      <c r="I780" s="6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9"/>
        <v>40768.208333333336</v>
      </c>
      <c r="O780" s="13">
        <f t="shared" si="50"/>
        <v>40773.208333333336</v>
      </c>
      <c r="P780" t="b">
        <v>0</v>
      </c>
      <c r="Q780" t="b">
        <v>0</v>
      </c>
      <c r="R780" t="s">
        <v>71</v>
      </c>
      <c r="S780" t="s">
        <v>2035</v>
      </c>
      <c r="T780" t="s">
        <v>2045</v>
      </c>
    </row>
    <row r="781" spans="1:20" ht="17" x14ac:dyDescent="0.2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s="4">
        <f t="shared" si="51"/>
        <v>0.80306347746090156</v>
      </c>
      <c r="G781" t="s">
        <v>14</v>
      </c>
      <c r="H781">
        <v>831</v>
      </c>
      <c r="I781" s="6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9"/>
        <v>42230.208333333328</v>
      </c>
      <c r="O781" s="13">
        <f t="shared" si="50"/>
        <v>42239.208333333328</v>
      </c>
      <c r="P781" t="b">
        <v>0</v>
      </c>
      <c r="Q781" t="b">
        <v>1</v>
      </c>
      <c r="R781" t="s">
        <v>33</v>
      </c>
      <c r="S781" t="s">
        <v>2043</v>
      </c>
      <c r="T781" t="s">
        <v>2058</v>
      </c>
    </row>
    <row r="782" spans="1:20" ht="34" x14ac:dyDescent="0.2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s="4">
        <f t="shared" si="51"/>
        <v>1.0629411764705883</v>
      </c>
      <c r="G782" t="s">
        <v>20</v>
      </c>
      <c r="H782">
        <v>164</v>
      </c>
      <c r="I782" s="6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9"/>
        <v>42573.208333333328</v>
      </c>
      <c r="O782" s="13">
        <f t="shared" si="50"/>
        <v>42592.208333333328</v>
      </c>
      <c r="P782" t="b">
        <v>0</v>
      </c>
      <c r="Q782" t="b">
        <v>1</v>
      </c>
      <c r="R782" t="s">
        <v>53</v>
      </c>
      <c r="S782" t="s">
        <v>2035</v>
      </c>
      <c r="T782" t="s">
        <v>2048</v>
      </c>
    </row>
    <row r="783" spans="1:20" ht="17" x14ac:dyDescent="0.2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s="4">
        <f t="shared" si="51"/>
        <v>0.50735632183908042</v>
      </c>
      <c r="G783" t="s">
        <v>74</v>
      </c>
      <c r="H783">
        <v>56</v>
      </c>
      <c r="I783" s="6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9"/>
        <v>40482.208333333336</v>
      </c>
      <c r="O783" s="13">
        <f t="shared" si="50"/>
        <v>40533.25</v>
      </c>
      <c r="P783" t="b">
        <v>0</v>
      </c>
      <c r="Q783" t="b">
        <v>0</v>
      </c>
      <c r="R783" t="s">
        <v>33</v>
      </c>
      <c r="S783" t="s">
        <v>2043</v>
      </c>
      <c r="T783" t="s">
        <v>2058</v>
      </c>
    </row>
    <row r="784" spans="1:20" ht="17" x14ac:dyDescent="0.2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s="4">
        <f t="shared" si="51"/>
        <v>2.153137254901961</v>
      </c>
      <c r="G784" t="s">
        <v>20</v>
      </c>
      <c r="H784">
        <v>161</v>
      </c>
      <c r="I784" s="6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9"/>
        <v>40603.25</v>
      </c>
      <c r="O784" s="13">
        <f t="shared" si="50"/>
        <v>40631.208333333336</v>
      </c>
      <c r="P784" t="b">
        <v>0</v>
      </c>
      <c r="Q784" t="b">
        <v>1</v>
      </c>
      <c r="R784" t="s">
        <v>71</v>
      </c>
      <c r="S784" t="s">
        <v>2035</v>
      </c>
      <c r="T784" t="s">
        <v>2045</v>
      </c>
    </row>
    <row r="785" spans="1:20" ht="17" x14ac:dyDescent="0.2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s="4">
        <f t="shared" si="51"/>
        <v>1.4122972972972974</v>
      </c>
      <c r="G785" t="s">
        <v>20</v>
      </c>
      <c r="H785">
        <v>138</v>
      </c>
      <c r="I785" s="6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9"/>
        <v>41625.25</v>
      </c>
      <c r="O785" s="13">
        <f t="shared" si="50"/>
        <v>41632.25</v>
      </c>
      <c r="P785" t="b">
        <v>0</v>
      </c>
      <c r="Q785" t="b">
        <v>0</v>
      </c>
      <c r="R785" t="s">
        <v>23</v>
      </c>
      <c r="S785" t="s">
        <v>2039</v>
      </c>
      <c r="T785" t="s">
        <v>2060</v>
      </c>
    </row>
    <row r="786" spans="1:20" ht="17" x14ac:dyDescent="0.2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s="4">
        <f t="shared" si="51"/>
        <v>1.1533745781777278</v>
      </c>
      <c r="G786" t="s">
        <v>20</v>
      </c>
      <c r="H786">
        <v>3308</v>
      </c>
      <c r="I786" s="6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9"/>
        <v>42435.25</v>
      </c>
      <c r="O786" s="13">
        <f t="shared" si="50"/>
        <v>42446.208333333328</v>
      </c>
      <c r="P786" t="b">
        <v>0</v>
      </c>
      <c r="Q786" t="b">
        <v>0</v>
      </c>
      <c r="R786" t="s">
        <v>28</v>
      </c>
      <c r="S786" t="s">
        <v>2042</v>
      </c>
      <c r="T786" t="s">
        <v>2067</v>
      </c>
    </row>
    <row r="787" spans="1:20" ht="34" x14ac:dyDescent="0.2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s="4">
        <f t="shared" si="51"/>
        <v>1.9311940298507462</v>
      </c>
      <c r="G787" t="s">
        <v>20</v>
      </c>
      <c r="H787">
        <v>127</v>
      </c>
      <c r="I787" s="6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9"/>
        <v>43582.208333333328</v>
      </c>
      <c r="O787" s="13">
        <f t="shared" si="50"/>
        <v>43616.208333333328</v>
      </c>
      <c r="P787" t="b">
        <v>0</v>
      </c>
      <c r="Q787" t="b">
        <v>1</v>
      </c>
      <c r="R787" t="s">
        <v>71</v>
      </c>
      <c r="S787" t="s">
        <v>2035</v>
      </c>
      <c r="T787" t="s">
        <v>2045</v>
      </c>
    </row>
    <row r="788" spans="1:20" ht="17" x14ac:dyDescent="0.2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s="4">
        <f t="shared" si="51"/>
        <v>7.2973333333333334</v>
      </c>
      <c r="G788" t="s">
        <v>20</v>
      </c>
      <c r="H788">
        <v>207</v>
      </c>
      <c r="I788" s="6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9"/>
        <v>43186.208333333328</v>
      </c>
      <c r="O788" s="13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2039</v>
      </c>
      <c r="T788" t="s">
        <v>2053</v>
      </c>
    </row>
    <row r="789" spans="1:20" ht="17" x14ac:dyDescent="0.2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s="4">
        <f t="shared" si="51"/>
        <v>0.99663398692810456</v>
      </c>
      <c r="G789" t="s">
        <v>14</v>
      </c>
      <c r="H789">
        <v>859</v>
      </c>
      <c r="I789" s="6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9"/>
        <v>40684.208333333336</v>
      </c>
      <c r="O789" s="13">
        <f t="shared" si="50"/>
        <v>40693.208333333336</v>
      </c>
      <c r="P789" t="b">
        <v>0</v>
      </c>
      <c r="Q789" t="b">
        <v>0</v>
      </c>
      <c r="R789" t="s">
        <v>23</v>
      </c>
      <c r="S789" t="s">
        <v>2039</v>
      </c>
      <c r="T789" t="s">
        <v>2060</v>
      </c>
    </row>
    <row r="790" spans="1:20" ht="17" x14ac:dyDescent="0.2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s="4">
        <f t="shared" si="51"/>
        <v>0.88166666666666671</v>
      </c>
      <c r="G790" t="s">
        <v>47</v>
      </c>
      <c r="H790">
        <v>31</v>
      </c>
      <c r="I790" s="6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9"/>
        <v>41202.208333333336</v>
      </c>
      <c r="O790" s="13">
        <f t="shared" si="50"/>
        <v>41223.25</v>
      </c>
      <c r="P790" t="b">
        <v>0</v>
      </c>
      <c r="Q790" t="b">
        <v>0</v>
      </c>
      <c r="R790" t="s">
        <v>71</v>
      </c>
      <c r="S790" t="s">
        <v>2035</v>
      </c>
      <c r="T790" t="s">
        <v>2045</v>
      </c>
    </row>
    <row r="791" spans="1:20" ht="17" x14ac:dyDescent="0.2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s="4">
        <f t="shared" si="51"/>
        <v>0.37233333333333335</v>
      </c>
      <c r="G791" t="s">
        <v>14</v>
      </c>
      <c r="H791">
        <v>45</v>
      </c>
      <c r="I791" s="6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9"/>
        <v>41786.208333333336</v>
      </c>
      <c r="O791" s="13">
        <f t="shared" si="50"/>
        <v>41823.208333333336</v>
      </c>
      <c r="P791" t="b">
        <v>0</v>
      </c>
      <c r="Q791" t="b">
        <v>0</v>
      </c>
      <c r="R791" t="s">
        <v>33</v>
      </c>
      <c r="S791" t="s">
        <v>2043</v>
      </c>
      <c r="T791" t="s">
        <v>2058</v>
      </c>
    </row>
    <row r="792" spans="1:20" ht="17" x14ac:dyDescent="0.2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s="4">
        <f t="shared" si="51"/>
        <v>0.30540075309306081</v>
      </c>
      <c r="G792" t="s">
        <v>74</v>
      </c>
      <c r="H792">
        <v>1113</v>
      </c>
      <c r="I792" s="6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9"/>
        <v>40223.25</v>
      </c>
      <c r="O792" s="13">
        <f t="shared" si="50"/>
        <v>40229.25</v>
      </c>
      <c r="P792" t="b">
        <v>0</v>
      </c>
      <c r="Q792" t="b">
        <v>0</v>
      </c>
      <c r="R792" t="s">
        <v>33</v>
      </c>
      <c r="S792" t="s">
        <v>2043</v>
      </c>
      <c r="T792" t="s">
        <v>2058</v>
      </c>
    </row>
    <row r="793" spans="1:20" ht="17" x14ac:dyDescent="0.2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s="4">
        <f t="shared" si="51"/>
        <v>0.25714285714285712</v>
      </c>
      <c r="G793" t="s">
        <v>14</v>
      </c>
      <c r="H793">
        <v>6</v>
      </c>
      <c r="I793" s="6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9"/>
        <v>42715.25</v>
      </c>
      <c r="O793" s="13">
        <f t="shared" si="50"/>
        <v>42731.25</v>
      </c>
      <c r="P793" t="b">
        <v>0</v>
      </c>
      <c r="Q793" t="b">
        <v>0</v>
      </c>
      <c r="R793" t="s">
        <v>17</v>
      </c>
      <c r="S793" t="s">
        <v>2036</v>
      </c>
      <c r="T793" t="s">
        <v>2051</v>
      </c>
    </row>
    <row r="794" spans="1:20" ht="17" x14ac:dyDescent="0.2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s="4">
        <f t="shared" si="51"/>
        <v>0.34</v>
      </c>
      <c r="G794" t="s">
        <v>14</v>
      </c>
      <c r="H794">
        <v>7</v>
      </c>
      <c r="I794" s="6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9"/>
        <v>41451.208333333336</v>
      </c>
      <c r="O794" s="13">
        <f t="shared" si="50"/>
        <v>41479.208333333336</v>
      </c>
      <c r="P794" t="b">
        <v>0</v>
      </c>
      <c r="Q794" t="b">
        <v>1</v>
      </c>
      <c r="R794" t="s">
        <v>33</v>
      </c>
      <c r="S794" t="s">
        <v>2043</v>
      </c>
      <c r="T794" t="s">
        <v>2058</v>
      </c>
    </row>
    <row r="795" spans="1:20" ht="17" x14ac:dyDescent="0.2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s="4">
        <f t="shared" si="51"/>
        <v>11.859090909090909</v>
      </c>
      <c r="G795" t="s">
        <v>20</v>
      </c>
      <c r="H795">
        <v>181</v>
      </c>
      <c r="I795" s="6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9"/>
        <v>41450.208333333336</v>
      </c>
      <c r="O795" s="13">
        <f t="shared" si="50"/>
        <v>41454.208333333336</v>
      </c>
      <c r="P795" t="b">
        <v>0</v>
      </c>
      <c r="Q795" t="b">
        <v>0</v>
      </c>
      <c r="R795" t="s">
        <v>68</v>
      </c>
      <c r="S795" t="s">
        <v>2041</v>
      </c>
      <c r="T795" t="s">
        <v>2056</v>
      </c>
    </row>
    <row r="796" spans="1:20" ht="17" x14ac:dyDescent="0.2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s="4">
        <f t="shared" si="51"/>
        <v>1.2539393939393939</v>
      </c>
      <c r="G796" t="s">
        <v>20</v>
      </c>
      <c r="H796">
        <v>110</v>
      </c>
      <c r="I796" s="6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9"/>
        <v>43091.25</v>
      </c>
      <c r="O796" s="13">
        <f t="shared" si="50"/>
        <v>43103.25</v>
      </c>
      <c r="P796" t="b">
        <v>0</v>
      </c>
      <c r="Q796" t="b">
        <v>0</v>
      </c>
      <c r="R796" t="s">
        <v>23</v>
      </c>
      <c r="S796" t="s">
        <v>2039</v>
      </c>
      <c r="T796" t="s">
        <v>2060</v>
      </c>
    </row>
    <row r="797" spans="1:20" ht="34" x14ac:dyDescent="0.2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s="4">
        <f t="shared" si="51"/>
        <v>0.14394366197183098</v>
      </c>
      <c r="G797" t="s">
        <v>14</v>
      </c>
      <c r="H797">
        <v>31</v>
      </c>
      <c r="I797" s="6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9"/>
        <v>42675.208333333328</v>
      </c>
      <c r="O797" s="13">
        <f t="shared" si="50"/>
        <v>42678.208333333328</v>
      </c>
      <c r="P797" t="b">
        <v>0</v>
      </c>
      <c r="Q797" t="b">
        <v>0</v>
      </c>
      <c r="R797" t="s">
        <v>53</v>
      </c>
      <c r="S797" t="s">
        <v>2035</v>
      </c>
      <c r="T797" t="s">
        <v>2048</v>
      </c>
    </row>
    <row r="798" spans="1:20" ht="17" x14ac:dyDescent="0.2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s="4">
        <f t="shared" si="51"/>
        <v>0.54807692307692313</v>
      </c>
      <c r="G798" t="s">
        <v>14</v>
      </c>
      <c r="H798">
        <v>78</v>
      </c>
      <c r="I798" s="6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9"/>
        <v>41859.208333333336</v>
      </c>
      <c r="O798" s="13">
        <f t="shared" si="50"/>
        <v>41866.208333333336</v>
      </c>
      <c r="P798" t="b">
        <v>0</v>
      </c>
      <c r="Q798" t="b">
        <v>1</v>
      </c>
      <c r="R798" t="s">
        <v>292</v>
      </c>
      <c r="S798" t="s">
        <v>2037</v>
      </c>
      <c r="T798" t="s">
        <v>2055</v>
      </c>
    </row>
    <row r="799" spans="1:20" ht="17" x14ac:dyDescent="0.2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s="4">
        <f t="shared" si="51"/>
        <v>1.0963157894736841</v>
      </c>
      <c r="G799" t="s">
        <v>20</v>
      </c>
      <c r="H799">
        <v>185</v>
      </c>
      <c r="I799" s="6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9"/>
        <v>43464.25</v>
      </c>
      <c r="O799" s="13">
        <f t="shared" si="50"/>
        <v>43487.25</v>
      </c>
      <c r="P799" t="b">
        <v>0</v>
      </c>
      <c r="Q799" t="b">
        <v>0</v>
      </c>
      <c r="R799" t="s">
        <v>28</v>
      </c>
      <c r="S799" t="s">
        <v>2042</v>
      </c>
      <c r="T799" t="s">
        <v>2067</v>
      </c>
    </row>
    <row r="800" spans="1:20" ht="17" x14ac:dyDescent="0.2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s="4">
        <f t="shared" si="51"/>
        <v>1.8847058823529412</v>
      </c>
      <c r="G800" t="s">
        <v>20</v>
      </c>
      <c r="H800">
        <v>121</v>
      </c>
      <c r="I800" s="6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9"/>
        <v>41060.208333333336</v>
      </c>
      <c r="O800" s="13">
        <f t="shared" si="50"/>
        <v>41088.208333333336</v>
      </c>
      <c r="P800" t="b">
        <v>0</v>
      </c>
      <c r="Q800" t="b">
        <v>1</v>
      </c>
      <c r="R800" t="s">
        <v>33</v>
      </c>
      <c r="S800" t="s">
        <v>2043</v>
      </c>
      <c r="T800" t="s">
        <v>2058</v>
      </c>
    </row>
    <row r="801" spans="1:20" ht="17" x14ac:dyDescent="0.2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s="4">
        <f t="shared" si="51"/>
        <v>0.87008284023668636</v>
      </c>
      <c r="G801" t="s">
        <v>14</v>
      </c>
      <c r="H801">
        <v>1225</v>
      </c>
      <c r="I801" s="6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9"/>
        <v>42399.25</v>
      </c>
      <c r="O801" s="13">
        <f t="shared" si="50"/>
        <v>42403.25</v>
      </c>
      <c r="P801" t="b">
        <v>0</v>
      </c>
      <c r="Q801" t="b">
        <v>0</v>
      </c>
      <c r="R801" t="s">
        <v>33</v>
      </c>
      <c r="S801" t="s">
        <v>2043</v>
      </c>
      <c r="T801" t="s">
        <v>2058</v>
      </c>
    </row>
    <row r="802" spans="1:20" ht="17" x14ac:dyDescent="0.2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s="4">
        <f t="shared" si="51"/>
        <v>0.01</v>
      </c>
      <c r="G802" t="s">
        <v>14</v>
      </c>
      <c r="H802">
        <v>1</v>
      </c>
      <c r="I802" s="6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9"/>
        <v>42167.208333333328</v>
      </c>
      <c r="O802" s="13">
        <f t="shared" si="50"/>
        <v>42171.208333333328</v>
      </c>
      <c r="P802" t="b">
        <v>0</v>
      </c>
      <c r="Q802" t="b">
        <v>0</v>
      </c>
      <c r="R802" t="s">
        <v>23</v>
      </c>
      <c r="S802" t="s">
        <v>2039</v>
      </c>
      <c r="T802" t="s">
        <v>2060</v>
      </c>
    </row>
    <row r="803" spans="1:20" ht="17" x14ac:dyDescent="0.2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s="4">
        <f t="shared" si="51"/>
        <v>2.0291304347826089</v>
      </c>
      <c r="G803" t="s">
        <v>20</v>
      </c>
      <c r="H803">
        <v>106</v>
      </c>
      <c r="I803" s="6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9"/>
        <v>43830.25</v>
      </c>
      <c r="O803" s="13">
        <f t="shared" si="50"/>
        <v>43852.25</v>
      </c>
      <c r="P803" t="b">
        <v>0</v>
      </c>
      <c r="Q803" t="b">
        <v>1</v>
      </c>
      <c r="R803" t="s">
        <v>122</v>
      </c>
      <c r="S803" t="s">
        <v>2040</v>
      </c>
      <c r="T803" t="s">
        <v>2057</v>
      </c>
    </row>
    <row r="804" spans="1:20" ht="34" x14ac:dyDescent="0.2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s="4">
        <f t="shared" si="51"/>
        <v>1.9703225806451612</v>
      </c>
      <c r="G804" t="s">
        <v>20</v>
      </c>
      <c r="H804">
        <v>142</v>
      </c>
      <c r="I804" s="6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9"/>
        <v>43650.208333333328</v>
      </c>
      <c r="O804" s="13">
        <f t="shared" si="50"/>
        <v>43652.208333333328</v>
      </c>
      <c r="P804" t="b">
        <v>0</v>
      </c>
      <c r="Q804" t="b">
        <v>0</v>
      </c>
      <c r="R804" t="s">
        <v>122</v>
      </c>
      <c r="S804" t="s">
        <v>2040</v>
      </c>
      <c r="T804" t="s">
        <v>2057</v>
      </c>
    </row>
    <row r="805" spans="1:20" ht="34" x14ac:dyDescent="0.2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s="4">
        <f t="shared" si="51"/>
        <v>1.07</v>
      </c>
      <c r="G805" t="s">
        <v>20</v>
      </c>
      <c r="H805">
        <v>233</v>
      </c>
      <c r="I805" s="6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9"/>
        <v>43492.25</v>
      </c>
      <c r="O805" s="13">
        <f t="shared" si="50"/>
        <v>43526.25</v>
      </c>
      <c r="P805" t="b">
        <v>0</v>
      </c>
      <c r="Q805" t="b">
        <v>0</v>
      </c>
      <c r="R805" t="s">
        <v>33</v>
      </c>
      <c r="S805" t="s">
        <v>2043</v>
      </c>
      <c r="T805" t="s">
        <v>2058</v>
      </c>
    </row>
    <row r="806" spans="1:20" ht="17" x14ac:dyDescent="0.2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s="4">
        <f t="shared" si="51"/>
        <v>2.6873076923076922</v>
      </c>
      <c r="G806" t="s">
        <v>20</v>
      </c>
      <c r="H806">
        <v>218</v>
      </c>
      <c r="I806" s="6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9"/>
        <v>43102.25</v>
      </c>
      <c r="O806" s="13">
        <f t="shared" si="50"/>
        <v>43122.25</v>
      </c>
      <c r="P806" t="b">
        <v>0</v>
      </c>
      <c r="Q806" t="b">
        <v>0</v>
      </c>
      <c r="R806" t="s">
        <v>23</v>
      </c>
      <c r="S806" t="s">
        <v>2039</v>
      </c>
      <c r="T806" t="s">
        <v>2060</v>
      </c>
    </row>
    <row r="807" spans="1:20" ht="34" x14ac:dyDescent="0.2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s="4">
        <f t="shared" si="51"/>
        <v>0.50845360824742269</v>
      </c>
      <c r="G807" t="s">
        <v>14</v>
      </c>
      <c r="H807">
        <v>67</v>
      </c>
      <c r="I807" s="6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9"/>
        <v>41958.25</v>
      </c>
      <c r="O807" s="13">
        <f t="shared" si="50"/>
        <v>42009.25</v>
      </c>
      <c r="P807" t="b">
        <v>0</v>
      </c>
      <c r="Q807" t="b">
        <v>0</v>
      </c>
      <c r="R807" t="s">
        <v>42</v>
      </c>
      <c r="S807" t="s">
        <v>2035</v>
      </c>
      <c r="T807" t="s">
        <v>2047</v>
      </c>
    </row>
    <row r="808" spans="1:20" ht="17" x14ac:dyDescent="0.2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s="4">
        <f t="shared" si="51"/>
        <v>11.802857142857142</v>
      </c>
      <c r="G808" t="s">
        <v>20</v>
      </c>
      <c r="H808">
        <v>76</v>
      </c>
      <c r="I808" s="6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9"/>
        <v>40973.25</v>
      </c>
      <c r="O808" s="13">
        <f t="shared" si="50"/>
        <v>40997.208333333336</v>
      </c>
      <c r="P808" t="b">
        <v>0</v>
      </c>
      <c r="Q808" t="b">
        <v>1</v>
      </c>
      <c r="R808" t="s">
        <v>53</v>
      </c>
      <c r="S808" t="s">
        <v>2035</v>
      </c>
      <c r="T808" t="s">
        <v>2048</v>
      </c>
    </row>
    <row r="809" spans="1:20" ht="17" x14ac:dyDescent="0.2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s="4">
        <f t="shared" si="51"/>
        <v>2.64</v>
      </c>
      <c r="G809" t="s">
        <v>20</v>
      </c>
      <c r="H809">
        <v>43</v>
      </c>
      <c r="I809" s="6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9"/>
        <v>43753.208333333328</v>
      </c>
      <c r="O809" s="13">
        <f t="shared" si="50"/>
        <v>43797.25</v>
      </c>
      <c r="P809" t="b">
        <v>0</v>
      </c>
      <c r="Q809" t="b">
        <v>1</v>
      </c>
      <c r="R809" t="s">
        <v>33</v>
      </c>
      <c r="S809" t="s">
        <v>2043</v>
      </c>
      <c r="T809" t="s">
        <v>2058</v>
      </c>
    </row>
    <row r="810" spans="1:20" ht="17" x14ac:dyDescent="0.2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s="4">
        <f t="shared" si="51"/>
        <v>0.30442307692307691</v>
      </c>
      <c r="G810" t="s">
        <v>14</v>
      </c>
      <c r="H810">
        <v>19</v>
      </c>
      <c r="I810" s="6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9"/>
        <v>42507.208333333328</v>
      </c>
      <c r="O810" s="13">
        <f t="shared" si="50"/>
        <v>42524.208333333328</v>
      </c>
      <c r="P810" t="b">
        <v>0</v>
      </c>
      <c r="Q810" t="b">
        <v>0</v>
      </c>
      <c r="R810" t="s">
        <v>17</v>
      </c>
      <c r="S810" t="s">
        <v>2036</v>
      </c>
      <c r="T810" t="s">
        <v>2051</v>
      </c>
    </row>
    <row r="811" spans="1:20" ht="17" x14ac:dyDescent="0.2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s="4">
        <f t="shared" si="51"/>
        <v>0.62880681818181816</v>
      </c>
      <c r="G811" t="s">
        <v>14</v>
      </c>
      <c r="H811">
        <v>2108</v>
      </c>
      <c r="I811" s="6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9"/>
        <v>41135.208333333336</v>
      </c>
      <c r="O811" s="13">
        <f t="shared" si="50"/>
        <v>41136.208333333336</v>
      </c>
      <c r="P811" t="b">
        <v>0</v>
      </c>
      <c r="Q811" t="b">
        <v>0</v>
      </c>
      <c r="R811" t="s">
        <v>42</v>
      </c>
      <c r="S811" t="s">
        <v>2035</v>
      </c>
      <c r="T811" t="s">
        <v>2047</v>
      </c>
    </row>
    <row r="812" spans="1:20" ht="34" x14ac:dyDescent="0.2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s="4">
        <f t="shared" si="51"/>
        <v>1.9312499999999999</v>
      </c>
      <c r="G812" t="s">
        <v>20</v>
      </c>
      <c r="H812">
        <v>221</v>
      </c>
      <c r="I812" s="6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9"/>
        <v>43067.25</v>
      </c>
      <c r="O812" s="13">
        <f t="shared" si="50"/>
        <v>43077.25</v>
      </c>
      <c r="P812" t="b">
        <v>0</v>
      </c>
      <c r="Q812" t="b">
        <v>1</v>
      </c>
      <c r="R812" t="s">
        <v>33</v>
      </c>
      <c r="S812" t="s">
        <v>2043</v>
      </c>
      <c r="T812" t="s">
        <v>2058</v>
      </c>
    </row>
    <row r="813" spans="1:20" ht="17" x14ac:dyDescent="0.2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s="4">
        <f t="shared" si="51"/>
        <v>0.77102702702702708</v>
      </c>
      <c r="G813" t="s">
        <v>14</v>
      </c>
      <c r="H813">
        <v>679</v>
      </c>
      <c r="I813" s="6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9"/>
        <v>42378.25</v>
      </c>
      <c r="O813" s="13">
        <f t="shared" si="50"/>
        <v>42380.25</v>
      </c>
      <c r="P813" t="b">
        <v>0</v>
      </c>
      <c r="Q813" t="b">
        <v>1</v>
      </c>
      <c r="R813" t="s">
        <v>89</v>
      </c>
      <c r="S813" t="s">
        <v>2037</v>
      </c>
      <c r="T813" t="s">
        <v>2065</v>
      </c>
    </row>
    <row r="814" spans="1:20" ht="17" x14ac:dyDescent="0.2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s="4">
        <f t="shared" si="51"/>
        <v>2.2552763819095478</v>
      </c>
      <c r="G814" t="s">
        <v>20</v>
      </c>
      <c r="H814">
        <v>2805</v>
      </c>
      <c r="I814" s="6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9"/>
        <v>43206.208333333328</v>
      </c>
      <c r="O814" s="13">
        <f t="shared" si="50"/>
        <v>43211.208333333328</v>
      </c>
      <c r="P814" t="b">
        <v>0</v>
      </c>
      <c r="Q814" t="b">
        <v>0</v>
      </c>
      <c r="R814" t="s">
        <v>68</v>
      </c>
      <c r="S814" t="s">
        <v>2041</v>
      </c>
      <c r="T814" t="s">
        <v>2056</v>
      </c>
    </row>
    <row r="815" spans="1:20" ht="17" x14ac:dyDescent="0.2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s="4">
        <f t="shared" si="51"/>
        <v>2.3940625</v>
      </c>
      <c r="G815" t="s">
        <v>20</v>
      </c>
      <c r="H815">
        <v>68</v>
      </c>
      <c r="I815" s="6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9"/>
        <v>41148.208333333336</v>
      </c>
      <c r="O815" s="13">
        <f t="shared" si="50"/>
        <v>41158.208333333336</v>
      </c>
      <c r="P815" t="b">
        <v>0</v>
      </c>
      <c r="Q815" t="b">
        <v>0</v>
      </c>
      <c r="R815" t="s">
        <v>89</v>
      </c>
      <c r="S815" t="s">
        <v>2037</v>
      </c>
      <c r="T815" t="s">
        <v>2065</v>
      </c>
    </row>
    <row r="816" spans="1:20" ht="17" x14ac:dyDescent="0.2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s="4">
        <f t="shared" si="51"/>
        <v>0.921875</v>
      </c>
      <c r="G816" t="s">
        <v>14</v>
      </c>
      <c r="H816">
        <v>36</v>
      </c>
      <c r="I816" s="6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9"/>
        <v>42517.208333333328</v>
      </c>
      <c r="O816" s="13">
        <f t="shared" si="50"/>
        <v>42519.208333333328</v>
      </c>
      <c r="P816" t="b">
        <v>0</v>
      </c>
      <c r="Q816" t="b">
        <v>1</v>
      </c>
      <c r="R816" t="s">
        <v>23</v>
      </c>
      <c r="S816" t="s">
        <v>2039</v>
      </c>
      <c r="T816" t="s">
        <v>2060</v>
      </c>
    </row>
    <row r="817" spans="1:20" ht="34" x14ac:dyDescent="0.2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s="4">
        <f t="shared" si="51"/>
        <v>1.3023333333333333</v>
      </c>
      <c r="G817" t="s">
        <v>20</v>
      </c>
      <c r="H817">
        <v>183</v>
      </c>
      <c r="I817" s="6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9"/>
        <v>43068.25</v>
      </c>
      <c r="O817" s="13">
        <f t="shared" si="50"/>
        <v>43094.25</v>
      </c>
      <c r="P817" t="b">
        <v>0</v>
      </c>
      <c r="Q817" t="b">
        <v>0</v>
      </c>
      <c r="R817" t="s">
        <v>23</v>
      </c>
      <c r="S817" t="s">
        <v>2039</v>
      </c>
      <c r="T817" t="s">
        <v>2060</v>
      </c>
    </row>
    <row r="818" spans="1:20" ht="34" x14ac:dyDescent="0.2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s="4">
        <f t="shared" si="51"/>
        <v>6.1521739130434785</v>
      </c>
      <c r="G818" t="s">
        <v>20</v>
      </c>
      <c r="H818">
        <v>133</v>
      </c>
      <c r="I818" s="6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9"/>
        <v>41680.25</v>
      </c>
      <c r="O818" s="13">
        <f t="shared" si="50"/>
        <v>41682.25</v>
      </c>
      <c r="P818" t="b">
        <v>1</v>
      </c>
      <c r="Q818" t="b">
        <v>1</v>
      </c>
      <c r="R818" t="s">
        <v>33</v>
      </c>
      <c r="S818" t="s">
        <v>2043</v>
      </c>
      <c r="T818" t="s">
        <v>2058</v>
      </c>
    </row>
    <row r="819" spans="1:20" ht="17" x14ac:dyDescent="0.2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s="4">
        <f t="shared" si="51"/>
        <v>3.687953216374269</v>
      </c>
      <c r="G819" t="s">
        <v>20</v>
      </c>
      <c r="H819">
        <v>2489</v>
      </c>
      <c r="I819" s="6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9"/>
        <v>43589.208333333328</v>
      </c>
      <c r="O819" s="13">
        <f t="shared" si="50"/>
        <v>43617.208333333328</v>
      </c>
      <c r="P819" t="b">
        <v>0</v>
      </c>
      <c r="Q819" t="b">
        <v>1</v>
      </c>
      <c r="R819" t="s">
        <v>68</v>
      </c>
      <c r="S819" t="s">
        <v>2041</v>
      </c>
      <c r="T819" t="s">
        <v>2056</v>
      </c>
    </row>
    <row r="820" spans="1:20" ht="17" x14ac:dyDescent="0.2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s="4">
        <f t="shared" si="51"/>
        <v>10.948571428571428</v>
      </c>
      <c r="G820" t="s">
        <v>20</v>
      </c>
      <c r="H820">
        <v>69</v>
      </c>
      <c r="I820" s="6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9"/>
        <v>43486.25</v>
      </c>
      <c r="O820" s="13">
        <f t="shared" si="50"/>
        <v>43499.25</v>
      </c>
      <c r="P820" t="b">
        <v>0</v>
      </c>
      <c r="Q820" t="b">
        <v>1</v>
      </c>
      <c r="R820" t="s">
        <v>33</v>
      </c>
      <c r="S820" t="s">
        <v>2043</v>
      </c>
      <c r="T820" t="s">
        <v>2058</v>
      </c>
    </row>
    <row r="821" spans="1:20" ht="34" x14ac:dyDescent="0.2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s="4">
        <f t="shared" si="51"/>
        <v>0.50662921348314605</v>
      </c>
      <c r="G821" t="s">
        <v>14</v>
      </c>
      <c r="H821">
        <v>47</v>
      </c>
      <c r="I821" s="6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9"/>
        <v>41237.25</v>
      </c>
      <c r="O821" s="13">
        <f t="shared" si="50"/>
        <v>41252.25</v>
      </c>
      <c r="P821" t="b">
        <v>1</v>
      </c>
      <c r="Q821" t="b">
        <v>0</v>
      </c>
      <c r="R821" t="s">
        <v>89</v>
      </c>
      <c r="S821" t="s">
        <v>2037</v>
      </c>
      <c r="T821" t="s">
        <v>2065</v>
      </c>
    </row>
    <row r="822" spans="1:20" ht="17" x14ac:dyDescent="0.2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s="4">
        <f t="shared" si="51"/>
        <v>8.0060000000000002</v>
      </c>
      <c r="G822" t="s">
        <v>20</v>
      </c>
      <c r="H822">
        <v>279</v>
      </c>
      <c r="I822" s="6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9"/>
        <v>43310.208333333328</v>
      </c>
      <c r="O822" s="13">
        <f t="shared" si="50"/>
        <v>43323.208333333328</v>
      </c>
      <c r="P822" t="b">
        <v>0</v>
      </c>
      <c r="Q822" t="b">
        <v>1</v>
      </c>
      <c r="R822" t="s">
        <v>23</v>
      </c>
      <c r="S822" t="s">
        <v>2039</v>
      </c>
      <c r="T822" t="s">
        <v>2060</v>
      </c>
    </row>
    <row r="823" spans="1:20" ht="17" x14ac:dyDescent="0.2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s="4">
        <f t="shared" si="51"/>
        <v>2.9128571428571428</v>
      </c>
      <c r="G823" t="s">
        <v>20</v>
      </c>
      <c r="H823">
        <v>210</v>
      </c>
      <c r="I823" s="6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9"/>
        <v>42794.25</v>
      </c>
      <c r="O823" s="13">
        <f t="shared" si="50"/>
        <v>42807.208333333328</v>
      </c>
      <c r="P823" t="b">
        <v>0</v>
      </c>
      <c r="Q823" t="b">
        <v>0</v>
      </c>
      <c r="R823" t="s">
        <v>42</v>
      </c>
      <c r="S823" t="s">
        <v>2035</v>
      </c>
      <c r="T823" t="s">
        <v>2047</v>
      </c>
    </row>
    <row r="824" spans="1:20" ht="17" x14ac:dyDescent="0.2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s="4">
        <f t="shared" si="51"/>
        <v>3.4996666666666667</v>
      </c>
      <c r="G824" t="s">
        <v>20</v>
      </c>
      <c r="H824">
        <v>2100</v>
      </c>
      <c r="I824" s="6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9"/>
        <v>41698.25</v>
      </c>
      <c r="O824" s="13">
        <f t="shared" si="50"/>
        <v>41715.208333333336</v>
      </c>
      <c r="P824" t="b">
        <v>0</v>
      </c>
      <c r="Q824" t="b">
        <v>0</v>
      </c>
      <c r="R824" t="s">
        <v>23</v>
      </c>
      <c r="S824" t="s">
        <v>2039</v>
      </c>
      <c r="T824" t="s">
        <v>2060</v>
      </c>
    </row>
    <row r="825" spans="1:20" ht="34" x14ac:dyDescent="0.2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s="4">
        <f t="shared" si="51"/>
        <v>3.5707317073170732</v>
      </c>
      <c r="G825" t="s">
        <v>20</v>
      </c>
      <c r="H825">
        <v>252</v>
      </c>
      <c r="I825" s="6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9"/>
        <v>41892.208333333336</v>
      </c>
      <c r="O825" s="13">
        <f t="shared" si="50"/>
        <v>41917.208333333336</v>
      </c>
      <c r="P825" t="b">
        <v>1</v>
      </c>
      <c r="Q825" t="b">
        <v>1</v>
      </c>
      <c r="R825" t="s">
        <v>23</v>
      </c>
      <c r="S825" t="s">
        <v>2039</v>
      </c>
      <c r="T825" t="s">
        <v>2060</v>
      </c>
    </row>
    <row r="826" spans="1:20" ht="17" x14ac:dyDescent="0.2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s="4">
        <f t="shared" si="51"/>
        <v>1.2648941176470587</v>
      </c>
      <c r="G826" t="s">
        <v>20</v>
      </c>
      <c r="H826">
        <v>1280</v>
      </c>
      <c r="I826" s="6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9"/>
        <v>40348.208333333336</v>
      </c>
      <c r="O826" s="13">
        <f t="shared" si="50"/>
        <v>40380.208333333336</v>
      </c>
      <c r="P826" t="b">
        <v>0</v>
      </c>
      <c r="Q826" t="b">
        <v>1</v>
      </c>
      <c r="R826" t="s">
        <v>68</v>
      </c>
      <c r="S826" t="s">
        <v>2041</v>
      </c>
      <c r="T826" t="s">
        <v>2056</v>
      </c>
    </row>
    <row r="827" spans="1:20" ht="17" x14ac:dyDescent="0.2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s="4">
        <f t="shared" si="51"/>
        <v>3.875</v>
      </c>
      <c r="G827" t="s">
        <v>20</v>
      </c>
      <c r="H827">
        <v>157</v>
      </c>
      <c r="I827" s="6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9"/>
        <v>42941.208333333328</v>
      </c>
      <c r="O827" s="13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2035</v>
      </c>
      <c r="T827" t="s">
        <v>2062</v>
      </c>
    </row>
    <row r="828" spans="1:20" ht="34" x14ac:dyDescent="0.2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s="4">
        <f t="shared" si="51"/>
        <v>4.5703571428571426</v>
      </c>
      <c r="G828" t="s">
        <v>20</v>
      </c>
      <c r="H828">
        <v>194</v>
      </c>
      <c r="I828" s="6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9"/>
        <v>40525.25</v>
      </c>
      <c r="O828" s="13">
        <f t="shared" si="50"/>
        <v>40553.25</v>
      </c>
      <c r="P828" t="b">
        <v>0</v>
      </c>
      <c r="Q828" t="b">
        <v>1</v>
      </c>
      <c r="R828" t="s">
        <v>33</v>
      </c>
      <c r="S828" t="s">
        <v>2043</v>
      </c>
      <c r="T828" t="s">
        <v>2058</v>
      </c>
    </row>
    <row r="829" spans="1:20" ht="34" x14ac:dyDescent="0.2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s="4">
        <f t="shared" si="51"/>
        <v>2.6669565217391304</v>
      </c>
      <c r="G829" t="s">
        <v>20</v>
      </c>
      <c r="H829">
        <v>82</v>
      </c>
      <c r="I829" s="6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9"/>
        <v>40666.208333333336</v>
      </c>
      <c r="O829" s="13">
        <f t="shared" si="50"/>
        <v>40678.208333333336</v>
      </c>
      <c r="P829" t="b">
        <v>0</v>
      </c>
      <c r="Q829" t="b">
        <v>1</v>
      </c>
      <c r="R829" t="s">
        <v>53</v>
      </c>
      <c r="S829" t="s">
        <v>2035</v>
      </c>
      <c r="T829" t="s">
        <v>2048</v>
      </c>
    </row>
    <row r="830" spans="1:20" ht="34" x14ac:dyDescent="0.2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s="4">
        <f t="shared" si="51"/>
        <v>0.69</v>
      </c>
      <c r="G830" t="s">
        <v>14</v>
      </c>
      <c r="H830">
        <v>70</v>
      </c>
      <c r="I830" s="6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9"/>
        <v>43340.208333333328</v>
      </c>
      <c r="O830" s="13">
        <f t="shared" si="50"/>
        <v>43365.208333333328</v>
      </c>
      <c r="P830" t="b">
        <v>0</v>
      </c>
      <c r="Q830" t="b">
        <v>0</v>
      </c>
      <c r="R830" t="s">
        <v>33</v>
      </c>
      <c r="S830" t="s">
        <v>2043</v>
      </c>
      <c r="T830" t="s">
        <v>2058</v>
      </c>
    </row>
    <row r="831" spans="1:20" ht="17" x14ac:dyDescent="0.2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s="4">
        <f t="shared" si="51"/>
        <v>0.51343749999999999</v>
      </c>
      <c r="G831" t="s">
        <v>14</v>
      </c>
      <c r="H831">
        <v>154</v>
      </c>
      <c r="I831" s="6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9"/>
        <v>42164.208333333328</v>
      </c>
      <c r="O831" s="13">
        <f t="shared" si="50"/>
        <v>42179.208333333328</v>
      </c>
      <c r="P831" t="b">
        <v>0</v>
      </c>
      <c r="Q831" t="b">
        <v>0</v>
      </c>
      <c r="R831" t="s">
        <v>33</v>
      </c>
      <c r="S831" t="s">
        <v>2043</v>
      </c>
      <c r="T831" t="s">
        <v>2058</v>
      </c>
    </row>
    <row r="832" spans="1:20" ht="34" x14ac:dyDescent="0.2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s="4">
        <f t="shared" si="51"/>
        <v>1.1710526315789473E-2</v>
      </c>
      <c r="G832" t="s">
        <v>14</v>
      </c>
      <c r="H832">
        <v>22</v>
      </c>
      <c r="I832" s="6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9"/>
        <v>43103.25</v>
      </c>
      <c r="O832" s="13">
        <f t="shared" si="50"/>
        <v>43162.25</v>
      </c>
      <c r="P832" t="b">
        <v>0</v>
      </c>
      <c r="Q832" t="b">
        <v>0</v>
      </c>
      <c r="R832" t="s">
        <v>33</v>
      </c>
      <c r="S832" t="s">
        <v>2043</v>
      </c>
      <c r="T832" t="s">
        <v>2058</v>
      </c>
    </row>
    <row r="833" spans="1:20" ht="34" x14ac:dyDescent="0.2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s="4">
        <f t="shared" si="51"/>
        <v>1.089773429454171</v>
      </c>
      <c r="G833" t="s">
        <v>20</v>
      </c>
      <c r="H833">
        <v>4233</v>
      </c>
      <c r="I833" s="6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9"/>
        <v>40994.208333333336</v>
      </c>
      <c r="O833" s="13">
        <f t="shared" si="50"/>
        <v>41028.208333333336</v>
      </c>
      <c r="P833" t="b">
        <v>0</v>
      </c>
      <c r="Q833" t="b">
        <v>0</v>
      </c>
      <c r="R833" t="s">
        <v>122</v>
      </c>
      <c r="S833" t="s">
        <v>2040</v>
      </c>
      <c r="T833" t="s">
        <v>2057</v>
      </c>
    </row>
    <row r="834" spans="1:20" ht="17" x14ac:dyDescent="0.2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s="4">
        <f t="shared" si="51"/>
        <v>3.1517592592592591</v>
      </c>
      <c r="G834" t="s">
        <v>20</v>
      </c>
      <c r="H834">
        <v>1297</v>
      </c>
      <c r="I834" s="6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9"/>
        <v>42299.208333333328</v>
      </c>
      <c r="O834" s="13">
        <f t="shared" si="50"/>
        <v>42333.25</v>
      </c>
      <c r="P834" t="b">
        <v>1</v>
      </c>
      <c r="Q834" t="b">
        <v>0</v>
      </c>
      <c r="R834" t="s">
        <v>206</v>
      </c>
      <c r="S834" t="s">
        <v>2041</v>
      </c>
      <c r="T834" t="s">
        <v>2064</v>
      </c>
    </row>
    <row r="835" spans="1:20" ht="17" x14ac:dyDescent="0.2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s="4">
        <f t="shared" si="51"/>
        <v>1.5769117647058823</v>
      </c>
      <c r="G835" t="s">
        <v>20</v>
      </c>
      <c r="H835">
        <v>165</v>
      </c>
      <c r="I835" s="6">
        <f t="shared" ref="I835:I898" si="52">IF(H835&lt;&gt;0,E835/H835,0)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3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2041</v>
      </c>
      <c r="T835" t="s">
        <v>2064</v>
      </c>
    </row>
    <row r="836" spans="1:20" ht="17" x14ac:dyDescent="0.2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 s="6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3"/>
        <v>41448.208333333336</v>
      </c>
      <c r="O836" s="13">
        <f t="shared" si="54"/>
        <v>41454.208333333336</v>
      </c>
      <c r="P836" t="b">
        <v>0</v>
      </c>
      <c r="Q836" t="b">
        <v>0</v>
      </c>
      <c r="R836" t="s">
        <v>33</v>
      </c>
      <c r="S836" t="s">
        <v>2043</v>
      </c>
      <c r="T836" t="s">
        <v>2058</v>
      </c>
    </row>
    <row r="837" spans="1:20" ht="17" x14ac:dyDescent="0.2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s="4">
        <f t="shared" si="55"/>
        <v>0.89738979118329465</v>
      </c>
      <c r="G837" t="s">
        <v>14</v>
      </c>
      <c r="H837">
        <v>1758</v>
      </c>
      <c r="I837" s="6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3"/>
        <v>42063.25</v>
      </c>
      <c r="O837" s="13">
        <f t="shared" si="54"/>
        <v>42069.25</v>
      </c>
      <c r="P837" t="b">
        <v>0</v>
      </c>
      <c r="Q837" t="b">
        <v>0</v>
      </c>
      <c r="R837" t="s">
        <v>28</v>
      </c>
      <c r="S837" t="s">
        <v>2042</v>
      </c>
      <c r="T837" t="s">
        <v>2067</v>
      </c>
    </row>
    <row r="838" spans="1:20" ht="17" x14ac:dyDescent="0.2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s="4">
        <f t="shared" si="55"/>
        <v>0.75135802469135804</v>
      </c>
      <c r="G838" t="s">
        <v>14</v>
      </c>
      <c r="H838">
        <v>94</v>
      </c>
      <c r="I838" s="6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3"/>
        <v>40214.25</v>
      </c>
      <c r="O838" s="13">
        <f t="shared" si="54"/>
        <v>40225.25</v>
      </c>
      <c r="P838" t="b">
        <v>0</v>
      </c>
      <c r="Q838" t="b">
        <v>0</v>
      </c>
      <c r="R838" t="s">
        <v>60</v>
      </c>
      <c r="S838" t="s">
        <v>2039</v>
      </c>
      <c r="T838" t="s">
        <v>2052</v>
      </c>
    </row>
    <row r="839" spans="1:20" ht="17" x14ac:dyDescent="0.2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s="4">
        <f t="shared" si="55"/>
        <v>8.5288135593220336</v>
      </c>
      <c r="G839" t="s">
        <v>20</v>
      </c>
      <c r="H839">
        <v>1797</v>
      </c>
      <c r="I839" s="6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3"/>
        <v>40629.208333333336</v>
      </c>
      <c r="O839" s="13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2039</v>
      </c>
      <c r="T839" t="s">
        <v>2053</v>
      </c>
    </row>
    <row r="840" spans="1:20" ht="17" x14ac:dyDescent="0.2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s="4">
        <f t="shared" si="55"/>
        <v>1.3890625000000001</v>
      </c>
      <c r="G840" t="s">
        <v>20</v>
      </c>
      <c r="H840">
        <v>261</v>
      </c>
      <c r="I840" s="6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3"/>
        <v>43370.208333333328</v>
      </c>
      <c r="O840" s="13">
        <f t="shared" si="54"/>
        <v>43379.208333333328</v>
      </c>
      <c r="P840" t="b">
        <v>0</v>
      </c>
      <c r="Q840" t="b">
        <v>0</v>
      </c>
      <c r="R840" t="s">
        <v>33</v>
      </c>
      <c r="S840" t="s">
        <v>2043</v>
      </c>
      <c r="T840" t="s">
        <v>2058</v>
      </c>
    </row>
    <row r="841" spans="1:20" ht="17" x14ac:dyDescent="0.2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s="4">
        <f t="shared" si="55"/>
        <v>1.9018181818181819</v>
      </c>
      <c r="G841" t="s">
        <v>20</v>
      </c>
      <c r="H841">
        <v>157</v>
      </c>
      <c r="I841" s="6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3"/>
        <v>41715.208333333336</v>
      </c>
      <c r="O841" s="13">
        <f t="shared" si="54"/>
        <v>41760.208333333336</v>
      </c>
      <c r="P841" t="b">
        <v>0</v>
      </c>
      <c r="Q841" t="b">
        <v>1</v>
      </c>
      <c r="R841" t="s">
        <v>42</v>
      </c>
      <c r="S841" t="s">
        <v>2035</v>
      </c>
      <c r="T841" t="s">
        <v>2047</v>
      </c>
    </row>
    <row r="842" spans="1:20" ht="17" x14ac:dyDescent="0.2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s="4">
        <f t="shared" si="55"/>
        <v>1.0024333619948409</v>
      </c>
      <c r="G842" t="s">
        <v>20</v>
      </c>
      <c r="H842">
        <v>3533</v>
      </c>
      <c r="I842" s="6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3"/>
        <v>41836.208333333336</v>
      </c>
      <c r="O842" s="13">
        <f t="shared" si="54"/>
        <v>41838.208333333336</v>
      </c>
      <c r="P842" t="b">
        <v>0</v>
      </c>
      <c r="Q842" t="b">
        <v>1</v>
      </c>
      <c r="R842" t="s">
        <v>33</v>
      </c>
      <c r="S842" t="s">
        <v>2043</v>
      </c>
      <c r="T842" t="s">
        <v>2058</v>
      </c>
    </row>
    <row r="843" spans="1:20" ht="17" x14ac:dyDescent="0.2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s="4">
        <f t="shared" si="55"/>
        <v>1.4275824175824177</v>
      </c>
      <c r="G843" t="s">
        <v>20</v>
      </c>
      <c r="H843">
        <v>155</v>
      </c>
      <c r="I843" s="6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3"/>
        <v>42419.25</v>
      </c>
      <c r="O843" s="13">
        <f t="shared" si="54"/>
        <v>42435.25</v>
      </c>
      <c r="P843" t="b">
        <v>0</v>
      </c>
      <c r="Q843" t="b">
        <v>0</v>
      </c>
      <c r="R843" t="s">
        <v>28</v>
      </c>
      <c r="S843" t="s">
        <v>2042</v>
      </c>
      <c r="T843" t="s">
        <v>2067</v>
      </c>
    </row>
    <row r="844" spans="1:20" ht="34" x14ac:dyDescent="0.2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s="4">
        <f t="shared" si="55"/>
        <v>5.6313333333333331</v>
      </c>
      <c r="G844" t="s">
        <v>20</v>
      </c>
      <c r="H844">
        <v>132</v>
      </c>
      <c r="I844" s="6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3"/>
        <v>43266.208333333328</v>
      </c>
      <c r="O844" s="13">
        <f t="shared" si="54"/>
        <v>43269.208333333328</v>
      </c>
      <c r="P844" t="b">
        <v>0</v>
      </c>
      <c r="Q844" t="b">
        <v>0</v>
      </c>
      <c r="R844" t="s">
        <v>65</v>
      </c>
      <c r="S844" t="s">
        <v>2042</v>
      </c>
      <c r="T844" t="s">
        <v>2066</v>
      </c>
    </row>
    <row r="845" spans="1:20" ht="34" x14ac:dyDescent="0.2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s="4">
        <f t="shared" si="55"/>
        <v>0.30715909090909088</v>
      </c>
      <c r="G845" t="s">
        <v>14</v>
      </c>
      <c r="H845">
        <v>33</v>
      </c>
      <c r="I845" s="6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3"/>
        <v>43338.208333333328</v>
      </c>
      <c r="O845" s="13">
        <f t="shared" si="54"/>
        <v>43344.208333333328</v>
      </c>
      <c r="P845" t="b">
        <v>0</v>
      </c>
      <c r="Q845" t="b">
        <v>0</v>
      </c>
      <c r="R845" t="s">
        <v>122</v>
      </c>
      <c r="S845" t="s">
        <v>2040</v>
      </c>
      <c r="T845" t="s">
        <v>2057</v>
      </c>
    </row>
    <row r="846" spans="1:20" ht="17" x14ac:dyDescent="0.2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s="4">
        <f>E846/D846</f>
        <v>0.99397727272727276</v>
      </c>
      <c r="G846" t="s">
        <v>74</v>
      </c>
      <c r="H846">
        <v>94</v>
      </c>
      <c r="I846" s="6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3"/>
        <v>40930.25</v>
      </c>
      <c r="O846" s="13">
        <f t="shared" si="54"/>
        <v>40933.25</v>
      </c>
      <c r="P846" t="b">
        <v>0</v>
      </c>
      <c r="Q846" t="b">
        <v>0</v>
      </c>
      <c r="R846" t="s">
        <v>42</v>
      </c>
      <c r="S846" t="s">
        <v>2035</v>
      </c>
      <c r="T846" t="s">
        <v>2047</v>
      </c>
    </row>
    <row r="847" spans="1:20" ht="17" x14ac:dyDescent="0.2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s="4">
        <f t="shared" si="55"/>
        <v>1.9754935622317598</v>
      </c>
      <c r="G847" t="s">
        <v>20</v>
      </c>
      <c r="H847">
        <v>1354</v>
      </c>
      <c r="I847" s="6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3"/>
        <v>43235.208333333328</v>
      </c>
      <c r="O847" s="13">
        <f t="shared" si="54"/>
        <v>43272.208333333328</v>
      </c>
      <c r="P847" t="b">
        <v>0</v>
      </c>
      <c r="Q847" t="b">
        <v>0</v>
      </c>
      <c r="R847" t="s">
        <v>28</v>
      </c>
      <c r="S847" t="s">
        <v>2042</v>
      </c>
      <c r="T847" t="s">
        <v>2067</v>
      </c>
    </row>
    <row r="848" spans="1:20" ht="17" x14ac:dyDescent="0.2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s="4">
        <f t="shared" si="55"/>
        <v>5.085</v>
      </c>
      <c r="G848" t="s">
        <v>20</v>
      </c>
      <c r="H848">
        <v>48</v>
      </c>
      <c r="I848" s="6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3"/>
        <v>43302.208333333328</v>
      </c>
      <c r="O848" s="13">
        <f t="shared" si="54"/>
        <v>43338.208333333328</v>
      </c>
      <c r="P848" t="b">
        <v>1</v>
      </c>
      <c r="Q848" t="b">
        <v>1</v>
      </c>
      <c r="R848" t="s">
        <v>28</v>
      </c>
      <c r="S848" t="s">
        <v>2042</v>
      </c>
      <c r="T848" t="s">
        <v>2067</v>
      </c>
    </row>
    <row r="849" spans="1:20" ht="17" x14ac:dyDescent="0.2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s="4">
        <f t="shared" si="55"/>
        <v>2.3774468085106384</v>
      </c>
      <c r="G849" t="s">
        <v>20</v>
      </c>
      <c r="H849">
        <v>110</v>
      </c>
      <c r="I849" s="6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3"/>
        <v>43107.25</v>
      </c>
      <c r="O849" s="13">
        <f t="shared" si="54"/>
        <v>43110.25</v>
      </c>
      <c r="P849" t="b">
        <v>0</v>
      </c>
      <c r="Q849" t="b">
        <v>0</v>
      </c>
      <c r="R849" t="s">
        <v>17</v>
      </c>
      <c r="S849" t="s">
        <v>2036</v>
      </c>
      <c r="T849" t="s">
        <v>2051</v>
      </c>
    </row>
    <row r="850" spans="1:20" ht="17" x14ac:dyDescent="0.2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s="4">
        <f t="shared" si="55"/>
        <v>3.3846875000000001</v>
      </c>
      <c r="G850" t="s">
        <v>20</v>
      </c>
      <c r="H850">
        <v>172</v>
      </c>
      <c r="I850" s="6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3"/>
        <v>40341.208333333336</v>
      </c>
      <c r="O850" s="13">
        <f t="shared" si="54"/>
        <v>40350.208333333336</v>
      </c>
      <c r="P850" t="b">
        <v>0</v>
      </c>
      <c r="Q850" t="b">
        <v>0</v>
      </c>
      <c r="R850" t="s">
        <v>53</v>
      </c>
      <c r="S850" t="s">
        <v>2035</v>
      </c>
      <c r="T850" t="s">
        <v>2048</v>
      </c>
    </row>
    <row r="851" spans="1:20" ht="17" x14ac:dyDescent="0.2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s="4">
        <f t="shared" si="55"/>
        <v>1.3308955223880596</v>
      </c>
      <c r="G851" t="s">
        <v>20</v>
      </c>
      <c r="H851">
        <v>307</v>
      </c>
      <c r="I851" s="6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3"/>
        <v>40948.25</v>
      </c>
      <c r="O851" s="13">
        <f t="shared" si="54"/>
        <v>40951.25</v>
      </c>
      <c r="P851" t="b">
        <v>0</v>
      </c>
      <c r="Q851" t="b">
        <v>1</v>
      </c>
      <c r="R851" t="s">
        <v>60</v>
      </c>
      <c r="S851" t="s">
        <v>2039</v>
      </c>
      <c r="T851" t="s">
        <v>2052</v>
      </c>
    </row>
    <row r="852" spans="1:20" ht="34" x14ac:dyDescent="0.2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s="4">
        <f t="shared" si="55"/>
        <v>0.01</v>
      </c>
      <c r="G852" t="s">
        <v>14</v>
      </c>
      <c r="H852">
        <v>1</v>
      </c>
      <c r="I852" s="6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3"/>
        <v>40866.25</v>
      </c>
      <c r="O852" s="13">
        <f t="shared" si="54"/>
        <v>40881.25</v>
      </c>
      <c r="P852" t="b">
        <v>1</v>
      </c>
      <c r="Q852" t="b">
        <v>0</v>
      </c>
      <c r="R852" t="s">
        <v>23</v>
      </c>
      <c r="S852" t="s">
        <v>2039</v>
      </c>
      <c r="T852" t="s">
        <v>2060</v>
      </c>
    </row>
    <row r="853" spans="1:20" ht="34" x14ac:dyDescent="0.2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s="4">
        <f t="shared" si="55"/>
        <v>2.0779999999999998</v>
      </c>
      <c r="G853" t="s">
        <v>20</v>
      </c>
      <c r="H853">
        <v>160</v>
      </c>
      <c r="I853" s="6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3"/>
        <v>41031.208333333336</v>
      </c>
      <c r="O853" s="13">
        <f t="shared" si="54"/>
        <v>41064.208333333336</v>
      </c>
      <c r="P853" t="b">
        <v>0</v>
      </c>
      <c r="Q853" t="b">
        <v>0</v>
      </c>
      <c r="R853" t="s">
        <v>50</v>
      </c>
      <c r="S853" t="s">
        <v>2039</v>
      </c>
      <c r="T853" t="s">
        <v>2049</v>
      </c>
    </row>
    <row r="854" spans="1:20" ht="34" x14ac:dyDescent="0.2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s="4">
        <f t="shared" si="55"/>
        <v>0.51122448979591839</v>
      </c>
      <c r="G854" t="s">
        <v>14</v>
      </c>
      <c r="H854">
        <v>31</v>
      </c>
      <c r="I854" s="6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3"/>
        <v>40740.208333333336</v>
      </c>
      <c r="O854" s="13">
        <f t="shared" si="54"/>
        <v>40750.208333333336</v>
      </c>
      <c r="P854" t="b">
        <v>0</v>
      </c>
      <c r="Q854" t="b">
        <v>1</v>
      </c>
      <c r="R854" t="s">
        <v>89</v>
      </c>
      <c r="S854" t="s">
        <v>2037</v>
      </c>
      <c r="T854" t="s">
        <v>2065</v>
      </c>
    </row>
    <row r="855" spans="1:20" ht="17" x14ac:dyDescent="0.2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s="4">
        <f t="shared" si="55"/>
        <v>6.5205847953216374</v>
      </c>
      <c r="G855" t="s">
        <v>20</v>
      </c>
      <c r="H855">
        <v>1467</v>
      </c>
      <c r="I855" s="6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3"/>
        <v>40714.208333333336</v>
      </c>
      <c r="O855" s="13">
        <f t="shared" si="54"/>
        <v>40719.208333333336</v>
      </c>
      <c r="P855" t="b">
        <v>0</v>
      </c>
      <c r="Q855" t="b">
        <v>1</v>
      </c>
      <c r="R855" t="s">
        <v>60</v>
      </c>
      <c r="S855" t="s">
        <v>2039</v>
      </c>
      <c r="T855" t="s">
        <v>2052</v>
      </c>
    </row>
    <row r="856" spans="1:20" ht="34" x14ac:dyDescent="0.2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s="4">
        <f t="shared" si="55"/>
        <v>1.1363099415204678</v>
      </c>
      <c r="G856" t="s">
        <v>20</v>
      </c>
      <c r="H856">
        <v>2662</v>
      </c>
      <c r="I856" s="6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3"/>
        <v>43787.25</v>
      </c>
      <c r="O856" s="13">
        <f t="shared" si="54"/>
        <v>43814.25</v>
      </c>
      <c r="P856" t="b">
        <v>0</v>
      </c>
      <c r="Q856" t="b">
        <v>0</v>
      </c>
      <c r="R856" t="s">
        <v>119</v>
      </c>
      <c r="S856" t="s">
        <v>2041</v>
      </c>
      <c r="T856" t="s">
        <v>2050</v>
      </c>
    </row>
    <row r="857" spans="1:20" ht="17" x14ac:dyDescent="0.2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s="4">
        <f t="shared" si="55"/>
        <v>1.0237606837606839</v>
      </c>
      <c r="G857" t="s">
        <v>20</v>
      </c>
      <c r="H857">
        <v>452</v>
      </c>
      <c r="I857" s="6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3"/>
        <v>40712.208333333336</v>
      </c>
      <c r="O857" s="13">
        <f t="shared" si="54"/>
        <v>40743.208333333336</v>
      </c>
      <c r="P857" t="b">
        <v>0</v>
      </c>
      <c r="Q857" t="b">
        <v>0</v>
      </c>
      <c r="R857" t="s">
        <v>33</v>
      </c>
      <c r="S857" t="s">
        <v>2043</v>
      </c>
      <c r="T857" t="s">
        <v>2058</v>
      </c>
    </row>
    <row r="858" spans="1:20" ht="17" x14ac:dyDescent="0.2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s="4">
        <f t="shared" si="55"/>
        <v>3.5658333333333334</v>
      </c>
      <c r="G858" t="s">
        <v>20</v>
      </c>
      <c r="H858">
        <v>158</v>
      </c>
      <c r="I858" s="6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3"/>
        <v>41023.208333333336</v>
      </c>
      <c r="O858" s="13">
        <f t="shared" si="54"/>
        <v>41040.208333333336</v>
      </c>
      <c r="P858" t="b">
        <v>0</v>
      </c>
      <c r="Q858" t="b">
        <v>0</v>
      </c>
      <c r="R858" t="s">
        <v>17</v>
      </c>
      <c r="S858" t="s">
        <v>2036</v>
      </c>
      <c r="T858" t="s">
        <v>2051</v>
      </c>
    </row>
    <row r="859" spans="1:20" ht="34" x14ac:dyDescent="0.2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s="4">
        <f t="shared" si="55"/>
        <v>1.3986792452830188</v>
      </c>
      <c r="G859" t="s">
        <v>20</v>
      </c>
      <c r="H859">
        <v>225</v>
      </c>
      <c r="I859" s="6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3"/>
        <v>40944.25</v>
      </c>
      <c r="O859" s="13">
        <f t="shared" si="54"/>
        <v>40967.25</v>
      </c>
      <c r="P859" t="b">
        <v>1</v>
      </c>
      <c r="Q859" t="b">
        <v>0</v>
      </c>
      <c r="R859" t="s">
        <v>100</v>
      </c>
      <c r="S859" t="s">
        <v>2035</v>
      </c>
      <c r="T859" t="s">
        <v>2062</v>
      </c>
    </row>
    <row r="860" spans="1:20" ht="34" x14ac:dyDescent="0.2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s="4">
        <f t="shared" si="55"/>
        <v>0.69450000000000001</v>
      </c>
      <c r="G860" t="s">
        <v>14</v>
      </c>
      <c r="H860">
        <v>35</v>
      </c>
      <c r="I860" s="6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3"/>
        <v>43211.208333333328</v>
      </c>
      <c r="O860" s="13">
        <f t="shared" si="54"/>
        <v>43218.208333333328</v>
      </c>
      <c r="P860" t="b">
        <v>1</v>
      </c>
      <c r="Q860" t="b">
        <v>0</v>
      </c>
      <c r="R860" t="s">
        <v>17</v>
      </c>
      <c r="S860" t="s">
        <v>2036</v>
      </c>
      <c r="T860" t="s">
        <v>2051</v>
      </c>
    </row>
    <row r="861" spans="1:20" ht="34" x14ac:dyDescent="0.2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s="4">
        <f t="shared" si="55"/>
        <v>0.35534246575342465</v>
      </c>
      <c r="G861" t="s">
        <v>14</v>
      </c>
      <c r="H861">
        <v>63</v>
      </c>
      <c r="I861" s="6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3"/>
        <v>41334.25</v>
      </c>
      <c r="O861" s="13">
        <f t="shared" si="54"/>
        <v>41352.208333333336</v>
      </c>
      <c r="P861" t="b">
        <v>0</v>
      </c>
      <c r="Q861" t="b">
        <v>1</v>
      </c>
      <c r="R861" t="s">
        <v>33</v>
      </c>
      <c r="S861" t="s">
        <v>2043</v>
      </c>
      <c r="T861" t="s">
        <v>2058</v>
      </c>
    </row>
    <row r="862" spans="1:20" ht="34" x14ac:dyDescent="0.2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s="4">
        <f t="shared" si="55"/>
        <v>2.5165000000000002</v>
      </c>
      <c r="G862" t="s">
        <v>20</v>
      </c>
      <c r="H862">
        <v>65</v>
      </c>
      <c r="I862" s="6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3"/>
        <v>43515.25</v>
      </c>
      <c r="O862" s="13">
        <f t="shared" si="54"/>
        <v>43525.25</v>
      </c>
      <c r="P862" t="b">
        <v>0</v>
      </c>
      <c r="Q862" t="b">
        <v>1</v>
      </c>
      <c r="R862" t="s">
        <v>65</v>
      </c>
      <c r="S862" t="s">
        <v>2042</v>
      </c>
      <c r="T862" t="s">
        <v>2066</v>
      </c>
    </row>
    <row r="863" spans="1:20" ht="17" x14ac:dyDescent="0.2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s="4">
        <f t="shared" si="55"/>
        <v>1.0587500000000001</v>
      </c>
      <c r="G863" t="s">
        <v>20</v>
      </c>
      <c r="H863">
        <v>163</v>
      </c>
      <c r="I863" s="6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3"/>
        <v>40258.208333333336</v>
      </c>
      <c r="O863" s="13">
        <f t="shared" si="54"/>
        <v>40266.208333333336</v>
      </c>
      <c r="P863" t="b">
        <v>0</v>
      </c>
      <c r="Q863" t="b">
        <v>0</v>
      </c>
      <c r="R863" t="s">
        <v>33</v>
      </c>
      <c r="S863" t="s">
        <v>2043</v>
      </c>
      <c r="T863" t="s">
        <v>2058</v>
      </c>
    </row>
    <row r="864" spans="1:20" ht="17" x14ac:dyDescent="0.2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s="4">
        <f t="shared" si="55"/>
        <v>1.8742857142857143</v>
      </c>
      <c r="G864" t="s">
        <v>20</v>
      </c>
      <c r="H864">
        <v>85</v>
      </c>
      <c r="I864" s="6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3"/>
        <v>40756.208333333336</v>
      </c>
      <c r="O864" s="13">
        <f t="shared" si="54"/>
        <v>40760.208333333336</v>
      </c>
      <c r="P864" t="b">
        <v>0</v>
      </c>
      <c r="Q864" t="b">
        <v>0</v>
      </c>
      <c r="R864" t="s">
        <v>33</v>
      </c>
      <c r="S864" t="s">
        <v>2043</v>
      </c>
      <c r="T864" t="s">
        <v>2058</v>
      </c>
    </row>
    <row r="865" spans="1:20" ht="17" x14ac:dyDescent="0.2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s="4">
        <f t="shared" si="55"/>
        <v>3.8678571428571429</v>
      </c>
      <c r="G865" t="s">
        <v>20</v>
      </c>
      <c r="H865">
        <v>217</v>
      </c>
      <c r="I865" s="6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3"/>
        <v>42172.208333333328</v>
      </c>
      <c r="O865" s="13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2035</v>
      </c>
      <c r="T865" t="s">
        <v>2063</v>
      </c>
    </row>
    <row r="866" spans="1:20" ht="17" x14ac:dyDescent="0.2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s="4">
        <f t="shared" si="55"/>
        <v>3.4707142857142856</v>
      </c>
      <c r="G866" t="s">
        <v>20</v>
      </c>
      <c r="H866">
        <v>150</v>
      </c>
      <c r="I866" s="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3"/>
        <v>42601.208333333328</v>
      </c>
      <c r="O866" s="13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2035</v>
      </c>
      <c r="T866" t="s">
        <v>2062</v>
      </c>
    </row>
    <row r="867" spans="1:20" ht="17" x14ac:dyDescent="0.2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s="4">
        <f t="shared" si="55"/>
        <v>1.8582098765432098</v>
      </c>
      <c r="G867" t="s">
        <v>20</v>
      </c>
      <c r="H867">
        <v>3272</v>
      </c>
      <c r="I867" s="6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3"/>
        <v>41897.208333333336</v>
      </c>
      <c r="O867" s="13">
        <f t="shared" si="54"/>
        <v>41906.208333333336</v>
      </c>
      <c r="P867" t="b">
        <v>0</v>
      </c>
      <c r="Q867" t="b">
        <v>0</v>
      </c>
      <c r="R867" t="s">
        <v>33</v>
      </c>
      <c r="S867" t="s">
        <v>2043</v>
      </c>
      <c r="T867" t="s">
        <v>2058</v>
      </c>
    </row>
    <row r="868" spans="1:20" ht="17" x14ac:dyDescent="0.2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s="4">
        <f t="shared" si="55"/>
        <v>0.43241247264770238</v>
      </c>
      <c r="G868" t="s">
        <v>74</v>
      </c>
      <c r="H868">
        <v>898</v>
      </c>
      <c r="I868" s="6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3"/>
        <v>40671.208333333336</v>
      </c>
      <c r="O868" s="13">
        <f t="shared" si="54"/>
        <v>40672.208333333336</v>
      </c>
      <c r="P868" t="b">
        <v>0</v>
      </c>
      <c r="Q868" t="b">
        <v>0</v>
      </c>
      <c r="R868" t="s">
        <v>122</v>
      </c>
      <c r="S868" t="s">
        <v>2040</v>
      </c>
      <c r="T868" t="s">
        <v>2057</v>
      </c>
    </row>
    <row r="869" spans="1:20" ht="34" x14ac:dyDescent="0.2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s="4">
        <f t="shared" si="55"/>
        <v>1.6243749999999999</v>
      </c>
      <c r="G869" t="s">
        <v>20</v>
      </c>
      <c r="H869">
        <v>300</v>
      </c>
      <c r="I869" s="6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3"/>
        <v>43382.208333333328</v>
      </c>
      <c r="O869" s="13">
        <f t="shared" si="54"/>
        <v>43388.208333333328</v>
      </c>
      <c r="P869" t="b">
        <v>0</v>
      </c>
      <c r="Q869" t="b">
        <v>0</v>
      </c>
      <c r="R869" t="s">
        <v>17</v>
      </c>
      <c r="S869" t="s">
        <v>2036</v>
      </c>
      <c r="T869" t="s">
        <v>2051</v>
      </c>
    </row>
    <row r="870" spans="1:20" ht="17" x14ac:dyDescent="0.2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s="4">
        <f t="shared" si="55"/>
        <v>1.8484285714285715</v>
      </c>
      <c r="G870" t="s">
        <v>20</v>
      </c>
      <c r="H870">
        <v>126</v>
      </c>
      <c r="I870" s="6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3"/>
        <v>41559.208333333336</v>
      </c>
      <c r="O870" s="13">
        <f t="shared" si="54"/>
        <v>41570.208333333336</v>
      </c>
      <c r="P870" t="b">
        <v>0</v>
      </c>
      <c r="Q870" t="b">
        <v>0</v>
      </c>
      <c r="R870" t="s">
        <v>33</v>
      </c>
      <c r="S870" t="s">
        <v>2043</v>
      </c>
      <c r="T870" t="s">
        <v>2058</v>
      </c>
    </row>
    <row r="871" spans="1:20" ht="17" x14ac:dyDescent="0.2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s="4">
        <f t="shared" si="55"/>
        <v>0.23703520691785052</v>
      </c>
      <c r="G871" t="s">
        <v>14</v>
      </c>
      <c r="H871">
        <v>526</v>
      </c>
      <c r="I871" s="6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3"/>
        <v>40350.208333333336</v>
      </c>
      <c r="O871" s="13">
        <f t="shared" si="54"/>
        <v>40364.208333333336</v>
      </c>
      <c r="P871" t="b">
        <v>0</v>
      </c>
      <c r="Q871" t="b">
        <v>0</v>
      </c>
      <c r="R871" t="s">
        <v>53</v>
      </c>
      <c r="S871" t="s">
        <v>2035</v>
      </c>
      <c r="T871" t="s">
        <v>2048</v>
      </c>
    </row>
    <row r="872" spans="1:20" ht="17" x14ac:dyDescent="0.2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s="4">
        <f t="shared" si="55"/>
        <v>0.89870129870129867</v>
      </c>
      <c r="G872" t="s">
        <v>14</v>
      </c>
      <c r="H872">
        <v>121</v>
      </c>
      <c r="I872" s="6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3"/>
        <v>42240.208333333328</v>
      </c>
      <c r="O872" s="13">
        <f t="shared" si="54"/>
        <v>42265.208333333328</v>
      </c>
      <c r="P872" t="b">
        <v>0</v>
      </c>
      <c r="Q872" t="b">
        <v>0</v>
      </c>
      <c r="R872" t="s">
        <v>33</v>
      </c>
      <c r="S872" t="s">
        <v>2043</v>
      </c>
      <c r="T872" t="s">
        <v>2058</v>
      </c>
    </row>
    <row r="873" spans="1:20" ht="34" x14ac:dyDescent="0.2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s="4">
        <f t="shared" si="55"/>
        <v>2.7260419580419581</v>
      </c>
      <c r="G873" t="s">
        <v>20</v>
      </c>
      <c r="H873">
        <v>2320</v>
      </c>
      <c r="I873" s="6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3"/>
        <v>43040.208333333328</v>
      </c>
      <c r="O873" s="13">
        <f t="shared" si="54"/>
        <v>43058.25</v>
      </c>
      <c r="P873" t="b">
        <v>0</v>
      </c>
      <c r="Q873" t="b">
        <v>1</v>
      </c>
      <c r="R873" t="s">
        <v>33</v>
      </c>
      <c r="S873" t="s">
        <v>2043</v>
      </c>
      <c r="T873" t="s">
        <v>2058</v>
      </c>
    </row>
    <row r="874" spans="1:20" ht="17" x14ac:dyDescent="0.2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s="4">
        <f t="shared" si="55"/>
        <v>1.7004255319148935</v>
      </c>
      <c r="G874" t="s">
        <v>20</v>
      </c>
      <c r="H874">
        <v>81</v>
      </c>
      <c r="I874" s="6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3"/>
        <v>43346.208333333328</v>
      </c>
      <c r="O874" s="13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2035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s="4">
        <f t="shared" si="55"/>
        <v>1.8828503562945369</v>
      </c>
      <c r="G875" t="s">
        <v>20</v>
      </c>
      <c r="H875">
        <v>1887</v>
      </c>
      <c r="I875" s="6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3"/>
        <v>41647.25</v>
      </c>
      <c r="O875" s="13">
        <f t="shared" si="54"/>
        <v>41652.25</v>
      </c>
      <c r="P875" t="b">
        <v>0</v>
      </c>
      <c r="Q875" t="b">
        <v>0</v>
      </c>
      <c r="R875" t="s">
        <v>122</v>
      </c>
      <c r="S875" t="s">
        <v>2040</v>
      </c>
      <c r="T875" t="s">
        <v>2057</v>
      </c>
    </row>
    <row r="876" spans="1:20" ht="17" x14ac:dyDescent="0.2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s="4">
        <f t="shared" si="55"/>
        <v>3.4693532338308457</v>
      </c>
      <c r="G876" t="s">
        <v>20</v>
      </c>
      <c r="H876">
        <v>4358</v>
      </c>
      <c r="I876" s="6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3"/>
        <v>40291.208333333336</v>
      </c>
      <c r="O876" s="13">
        <f t="shared" si="54"/>
        <v>40329.208333333336</v>
      </c>
      <c r="P876" t="b">
        <v>0</v>
      </c>
      <c r="Q876" t="b">
        <v>1</v>
      </c>
      <c r="R876" t="s">
        <v>122</v>
      </c>
      <c r="S876" t="s">
        <v>2040</v>
      </c>
      <c r="T876" t="s">
        <v>2057</v>
      </c>
    </row>
    <row r="877" spans="1:20" ht="17" x14ac:dyDescent="0.2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s="4">
        <f t="shared" si="55"/>
        <v>0.6917721518987342</v>
      </c>
      <c r="G877" t="s">
        <v>14</v>
      </c>
      <c r="H877">
        <v>67</v>
      </c>
      <c r="I877" s="6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3"/>
        <v>40556.25</v>
      </c>
      <c r="O877" s="13">
        <f t="shared" si="54"/>
        <v>40557.25</v>
      </c>
      <c r="P877" t="b">
        <v>0</v>
      </c>
      <c r="Q877" t="b">
        <v>0</v>
      </c>
      <c r="R877" t="s">
        <v>23</v>
      </c>
      <c r="S877" t="s">
        <v>2039</v>
      </c>
      <c r="T877" t="s">
        <v>2060</v>
      </c>
    </row>
    <row r="878" spans="1:20" ht="34" x14ac:dyDescent="0.2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s="4">
        <f t="shared" si="55"/>
        <v>0.25433734939759034</v>
      </c>
      <c r="G878" t="s">
        <v>14</v>
      </c>
      <c r="H878">
        <v>57</v>
      </c>
      <c r="I878" s="6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3"/>
        <v>43624.208333333328</v>
      </c>
      <c r="O878" s="13">
        <f t="shared" si="54"/>
        <v>43648.208333333328</v>
      </c>
      <c r="P878" t="b">
        <v>0</v>
      </c>
      <c r="Q878" t="b">
        <v>0</v>
      </c>
      <c r="R878" t="s">
        <v>122</v>
      </c>
      <c r="S878" t="s">
        <v>2040</v>
      </c>
      <c r="T878" t="s">
        <v>2057</v>
      </c>
    </row>
    <row r="879" spans="1:20" ht="17" x14ac:dyDescent="0.2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s="4">
        <f t="shared" si="55"/>
        <v>0.77400977995110021</v>
      </c>
      <c r="G879" t="s">
        <v>14</v>
      </c>
      <c r="H879">
        <v>1229</v>
      </c>
      <c r="I879" s="6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3"/>
        <v>42577.208333333328</v>
      </c>
      <c r="O879" s="13">
        <f t="shared" si="54"/>
        <v>42578.208333333328</v>
      </c>
      <c r="P879" t="b">
        <v>0</v>
      </c>
      <c r="Q879" t="b">
        <v>0</v>
      </c>
      <c r="R879" t="s">
        <v>17</v>
      </c>
      <c r="S879" t="s">
        <v>2036</v>
      </c>
      <c r="T879" t="s">
        <v>2051</v>
      </c>
    </row>
    <row r="880" spans="1:20" ht="17" x14ac:dyDescent="0.2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s="4">
        <f t="shared" si="55"/>
        <v>0.37481481481481482</v>
      </c>
      <c r="G880" t="s">
        <v>14</v>
      </c>
      <c r="H880">
        <v>12</v>
      </c>
      <c r="I880" s="6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3"/>
        <v>43845.25</v>
      </c>
      <c r="O880" s="13">
        <f t="shared" si="54"/>
        <v>43869.25</v>
      </c>
      <c r="P880" t="b">
        <v>0</v>
      </c>
      <c r="Q880" t="b">
        <v>0</v>
      </c>
      <c r="R880" t="s">
        <v>148</v>
      </c>
      <c r="S880" t="s">
        <v>2039</v>
      </c>
      <c r="T880" t="s">
        <v>2054</v>
      </c>
    </row>
    <row r="881" spans="1:20" ht="17" x14ac:dyDescent="0.2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s="4">
        <f t="shared" si="55"/>
        <v>5.4379999999999997</v>
      </c>
      <c r="G881" t="s">
        <v>20</v>
      </c>
      <c r="H881">
        <v>53</v>
      </c>
      <c r="I881" s="6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3"/>
        <v>42788.25</v>
      </c>
      <c r="O881" s="13">
        <f t="shared" si="54"/>
        <v>42797.25</v>
      </c>
      <c r="P881" t="b">
        <v>0</v>
      </c>
      <c r="Q881" t="b">
        <v>0</v>
      </c>
      <c r="R881" t="s">
        <v>68</v>
      </c>
      <c r="S881" t="s">
        <v>2041</v>
      </c>
      <c r="T881" t="s">
        <v>2056</v>
      </c>
    </row>
    <row r="882" spans="1:20" ht="17" x14ac:dyDescent="0.2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s="4">
        <f t="shared" si="55"/>
        <v>2.2852189349112426</v>
      </c>
      <c r="G882" t="s">
        <v>20</v>
      </c>
      <c r="H882">
        <v>2414</v>
      </c>
      <c r="I882" s="6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3"/>
        <v>43667.208333333328</v>
      </c>
      <c r="O882" s="13">
        <f t="shared" si="54"/>
        <v>43669.208333333328</v>
      </c>
      <c r="P882" t="b">
        <v>0</v>
      </c>
      <c r="Q882" t="b">
        <v>0</v>
      </c>
      <c r="R882" t="s">
        <v>50</v>
      </c>
      <c r="S882" t="s">
        <v>2039</v>
      </c>
      <c r="T882" t="s">
        <v>2049</v>
      </c>
    </row>
    <row r="883" spans="1:20" ht="17" x14ac:dyDescent="0.2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s="4">
        <f t="shared" si="55"/>
        <v>0.38948339483394834</v>
      </c>
      <c r="G883" t="s">
        <v>14</v>
      </c>
      <c r="H883">
        <v>452</v>
      </c>
      <c r="I883" s="6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3"/>
        <v>42194.208333333328</v>
      </c>
      <c r="O883" s="13">
        <f t="shared" si="54"/>
        <v>42223.208333333328</v>
      </c>
      <c r="P883" t="b">
        <v>0</v>
      </c>
      <c r="Q883" t="b">
        <v>1</v>
      </c>
      <c r="R883" t="s">
        <v>33</v>
      </c>
      <c r="S883" t="s">
        <v>2043</v>
      </c>
      <c r="T883" t="s">
        <v>2058</v>
      </c>
    </row>
    <row r="884" spans="1:20" ht="17" x14ac:dyDescent="0.2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s="4">
        <f t="shared" si="55"/>
        <v>3.7</v>
      </c>
      <c r="G884" t="s">
        <v>20</v>
      </c>
      <c r="H884">
        <v>80</v>
      </c>
      <c r="I884" s="6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3"/>
        <v>42025.25</v>
      </c>
      <c r="O884" s="13">
        <f t="shared" si="54"/>
        <v>42029.25</v>
      </c>
      <c r="P884" t="b">
        <v>0</v>
      </c>
      <c r="Q884" t="b">
        <v>0</v>
      </c>
      <c r="R884" t="s">
        <v>33</v>
      </c>
      <c r="S884" t="s">
        <v>2043</v>
      </c>
      <c r="T884" t="s">
        <v>2058</v>
      </c>
    </row>
    <row r="885" spans="1:20" ht="34" x14ac:dyDescent="0.2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s="4">
        <f t="shared" si="55"/>
        <v>2.3791176470588233</v>
      </c>
      <c r="G885" t="s">
        <v>20</v>
      </c>
      <c r="H885">
        <v>193</v>
      </c>
      <c r="I885" s="6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3"/>
        <v>40323.208333333336</v>
      </c>
      <c r="O885" s="13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2035</v>
      </c>
      <c r="T885" t="s">
        <v>2062</v>
      </c>
    </row>
    <row r="886" spans="1:20" ht="17" x14ac:dyDescent="0.2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s="4">
        <f t="shared" si="55"/>
        <v>0.64036299765807958</v>
      </c>
      <c r="G886" t="s">
        <v>14</v>
      </c>
      <c r="H886">
        <v>1886</v>
      </c>
      <c r="I886" s="6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3"/>
        <v>41763.208333333336</v>
      </c>
      <c r="O886" s="13">
        <f t="shared" si="54"/>
        <v>41765.208333333336</v>
      </c>
      <c r="P886" t="b">
        <v>0</v>
      </c>
      <c r="Q886" t="b">
        <v>1</v>
      </c>
      <c r="R886" t="s">
        <v>33</v>
      </c>
      <c r="S886" t="s">
        <v>2043</v>
      </c>
      <c r="T886" t="s">
        <v>2058</v>
      </c>
    </row>
    <row r="887" spans="1:20" ht="17" x14ac:dyDescent="0.2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s="4">
        <f t="shared" si="55"/>
        <v>1.1827777777777777</v>
      </c>
      <c r="G887" t="s">
        <v>20</v>
      </c>
      <c r="H887">
        <v>52</v>
      </c>
      <c r="I887" s="6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3"/>
        <v>40335.208333333336</v>
      </c>
      <c r="O887" s="13">
        <f t="shared" si="54"/>
        <v>40373.208333333336</v>
      </c>
      <c r="P887" t="b">
        <v>0</v>
      </c>
      <c r="Q887" t="b">
        <v>0</v>
      </c>
      <c r="R887" t="s">
        <v>33</v>
      </c>
      <c r="S887" t="s">
        <v>2043</v>
      </c>
      <c r="T887" t="s">
        <v>2058</v>
      </c>
    </row>
    <row r="888" spans="1:20" ht="17" x14ac:dyDescent="0.2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s="4">
        <f t="shared" si="55"/>
        <v>0.84824037184594958</v>
      </c>
      <c r="G888" t="s">
        <v>14</v>
      </c>
      <c r="H888">
        <v>1825</v>
      </c>
      <c r="I888" s="6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3"/>
        <v>40416.208333333336</v>
      </c>
      <c r="O888" s="13">
        <f t="shared" si="54"/>
        <v>40434.208333333336</v>
      </c>
      <c r="P888" t="b">
        <v>0</v>
      </c>
      <c r="Q888" t="b">
        <v>0</v>
      </c>
      <c r="R888" t="s">
        <v>60</v>
      </c>
      <c r="S888" t="s">
        <v>2039</v>
      </c>
      <c r="T888" t="s">
        <v>2052</v>
      </c>
    </row>
    <row r="889" spans="1:20" ht="34" x14ac:dyDescent="0.2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s="4">
        <f t="shared" si="55"/>
        <v>0.29346153846153844</v>
      </c>
      <c r="G889" t="s">
        <v>14</v>
      </c>
      <c r="H889">
        <v>31</v>
      </c>
      <c r="I889" s="6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3"/>
        <v>42202.208333333328</v>
      </c>
      <c r="O889" s="13">
        <f t="shared" si="54"/>
        <v>42249.208333333328</v>
      </c>
      <c r="P889" t="b">
        <v>0</v>
      </c>
      <c r="Q889" t="b">
        <v>1</v>
      </c>
      <c r="R889" t="s">
        <v>33</v>
      </c>
      <c r="S889" t="s">
        <v>2043</v>
      </c>
      <c r="T889" t="s">
        <v>2058</v>
      </c>
    </row>
    <row r="890" spans="1:20" ht="34" x14ac:dyDescent="0.2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s="4">
        <f t="shared" si="55"/>
        <v>2.0989655172413793</v>
      </c>
      <c r="G890" t="s">
        <v>20</v>
      </c>
      <c r="H890">
        <v>290</v>
      </c>
      <c r="I890" s="6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3"/>
        <v>42836.208333333328</v>
      </c>
      <c r="O890" s="13">
        <f t="shared" si="54"/>
        <v>42855.208333333328</v>
      </c>
      <c r="P890" t="b">
        <v>0</v>
      </c>
      <c r="Q890" t="b">
        <v>0</v>
      </c>
      <c r="R890" t="s">
        <v>33</v>
      </c>
      <c r="S890" t="s">
        <v>2043</v>
      </c>
      <c r="T890" t="s">
        <v>2058</v>
      </c>
    </row>
    <row r="891" spans="1:20" ht="17" x14ac:dyDescent="0.2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s="4">
        <f t="shared" si="55"/>
        <v>1.697857142857143</v>
      </c>
      <c r="G891" t="s">
        <v>20</v>
      </c>
      <c r="H891">
        <v>122</v>
      </c>
      <c r="I891" s="6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3"/>
        <v>41710.208333333336</v>
      </c>
      <c r="O891" s="13">
        <f t="shared" si="54"/>
        <v>41717.208333333336</v>
      </c>
      <c r="P891" t="b">
        <v>0</v>
      </c>
      <c r="Q891" t="b">
        <v>1</v>
      </c>
      <c r="R891" t="s">
        <v>50</v>
      </c>
      <c r="S891" t="s">
        <v>2039</v>
      </c>
      <c r="T891" t="s">
        <v>2049</v>
      </c>
    </row>
    <row r="892" spans="1:20" ht="17" x14ac:dyDescent="0.2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s="4">
        <f t="shared" si="55"/>
        <v>1.1595907738095239</v>
      </c>
      <c r="G892" t="s">
        <v>20</v>
      </c>
      <c r="H892">
        <v>1470</v>
      </c>
      <c r="I892" s="6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3"/>
        <v>43640.208333333328</v>
      </c>
      <c r="O892" s="13">
        <f t="shared" si="54"/>
        <v>43641.208333333328</v>
      </c>
      <c r="P892" t="b">
        <v>0</v>
      </c>
      <c r="Q892" t="b">
        <v>0</v>
      </c>
      <c r="R892" t="s">
        <v>60</v>
      </c>
      <c r="S892" t="s">
        <v>2039</v>
      </c>
      <c r="T892" t="s">
        <v>2052</v>
      </c>
    </row>
    <row r="893" spans="1:20" ht="34" x14ac:dyDescent="0.2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s="4">
        <f t="shared" si="55"/>
        <v>2.5859999999999999</v>
      </c>
      <c r="G893" t="s">
        <v>20</v>
      </c>
      <c r="H893">
        <v>165</v>
      </c>
      <c r="I893" s="6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3"/>
        <v>40880.25</v>
      </c>
      <c r="O893" s="13">
        <f t="shared" si="54"/>
        <v>40924.25</v>
      </c>
      <c r="P893" t="b">
        <v>0</v>
      </c>
      <c r="Q893" t="b">
        <v>0</v>
      </c>
      <c r="R893" t="s">
        <v>42</v>
      </c>
      <c r="S893" t="s">
        <v>2035</v>
      </c>
      <c r="T893" t="s">
        <v>2047</v>
      </c>
    </row>
    <row r="894" spans="1:20" ht="17" x14ac:dyDescent="0.2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s="4">
        <f t="shared" si="55"/>
        <v>2.3058333333333332</v>
      </c>
      <c r="G894" t="s">
        <v>20</v>
      </c>
      <c r="H894">
        <v>182</v>
      </c>
      <c r="I894" s="6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3"/>
        <v>40319.208333333336</v>
      </c>
      <c r="O894" s="13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2041</v>
      </c>
      <c r="T894" t="s">
        <v>2064</v>
      </c>
    </row>
    <row r="895" spans="1:20" ht="17" x14ac:dyDescent="0.2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s="4">
        <f t="shared" si="55"/>
        <v>1.2821428571428573</v>
      </c>
      <c r="G895" t="s">
        <v>20</v>
      </c>
      <c r="H895">
        <v>199</v>
      </c>
      <c r="I895" s="6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3"/>
        <v>42170.208333333328</v>
      </c>
      <c r="O895" s="13">
        <f t="shared" si="54"/>
        <v>42174.208333333328</v>
      </c>
      <c r="P895" t="b">
        <v>0</v>
      </c>
      <c r="Q895" t="b">
        <v>1</v>
      </c>
      <c r="R895" t="s">
        <v>42</v>
      </c>
      <c r="S895" t="s">
        <v>2035</v>
      </c>
      <c r="T895" t="s">
        <v>2047</v>
      </c>
    </row>
    <row r="896" spans="1:20" ht="17" x14ac:dyDescent="0.2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s="4">
        <f t="shared" si="55"/>
        <v>1.8870588235294117</v>
      </c>
      <c r="G896" t="s">
        <v>20</v>
      </c>
      <c r="H896">
        <v>56</v>
      </c>
      <c r="I896" s="6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3"/>
        <v>41466.208333333336</v>
      </c>
      <c r="O896" s="13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2035</v>
      </c>
      <c r="T896" t="s">
        <v>2063</v>
      </c>
    </row>
    <row r="897" spans="1:20" ht="34" x14ac:dyDescent="0.2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s="4">
        <f t="shared" si="55"/>
        <v>6.9511889862327911E-2</v>
      </c>
      <c r="G897" t="s">
        <v>14</v>
      </c>
      <c r="H897">
        <v>107</v>
      </c>
      <c r="I897" s="6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3"/>
        <v>43134.25</v>
      </c>
      <c r="O897" s="13">
        <f t="shared" si="54"/>
        <v>43143.25</v>
      </c>
      <c r="P897" t="b">
        <v>0</v>
      </c>
      <c r="Q897" t="b">
        <v>0</v>
      </c>
      <c r="R897" t="s">
        <v>33</v>
      </c>
      <c r="S897" t="s">
        <v>2043</v>
      </c>
      <c r="T897" t="s">
        <v>2058</v>
      </c>
    </row>
    <row r="898" spans="1:20" ht="34" x14ac:dyDescent="0.2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s="4">
        <f t="shared" si="55"/>
        <v>7.7443434343434348</v>
      </c>
      <c r="G898" t="s">
        <v>20</v>
      </c>
      <c r="H898">
        <v>1460</v>
      </c>
      <c r="I898" s="6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3"/>
        <v>40738.208333333336</v>
      </c>
      <c r="O898" s="13">
        <f t="shared" si="54"/>
        <v>40741.208333333336</v>
      </c>
      <c r="P898" t="b">
        <v>0</v>
      </c>
      <c r="Q898" t="b">
        <v>1</v>
      </c>
      <c r="R898" t="s">
        <v>17</v>
      </c>
      <c r="S898" t="s">
        <v>2036</v>
      </c>
      <c r="T898" t="s">
        <v>2051</v>
      </c>
    </row>
    <row r="899" spans="1:20" ht="17" x14ac:dyDescent="0.2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s="4">
        <f t="shared" si="55"/>
        <v>0.27693181818181817</v>
      </c>
      <c r="G899" t="s">
        <v>14</v>
      </c>
      <c r="H899">
        <v>27</v>
      </c>
      <c r="I899" s="6">
        <f t="shared" ref="I899:I962" si="56">IF(H899&lt;&gt;0,E899/H899,0)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3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2043</v>
      </c>
      <c r="T899" t="s">
        <v>2058</v>
      </c>
    </row>
    <row r="900" spans="1:20" ht="17" x14ac:dyDescent="0.2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 s="6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7"/>
        <v>43815.25</v>
      </c>
      <c r="O900" s="13">
        <f t="shared" si="58"/>
        <v>43821.25</v>
      </c>
      <c r="P900" t="b">
        <v>0</v>
      </c>
      <c r="Q900" t="b">
        <v>0</v>
      </c>
      <c r="R900" t="s">
        <v>42</v>
      </c>
      <c r="S900" t="s">
        <v>2035</v>
      </c>
      <c r="T900" t="s">
        <v>2047</v>
      </c>
    </row>
    <row r="901" spans="1:20" ht="17" x14ac:dyDescent="0.2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s="4">
        <f t="shared" si="59"/>
        <v>4.0709677419354842</v>
      </c>
      <c r="G901" t="s">
        <v>20</v>
      </c>
      <c r="H901">
        <v>123</v>
      </c>
      <c r="I901" s="6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7"/>
        <v>41554.208333333336</v>
      </c>
      <c r="O901" s="13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2039</v>
      </c>
      <c r="T901" t="s">
        <v>2053</v>
      </c>
    </row>
    <row r="902" spans="1:20" ht="17" x14ac:dyDescent="0.2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s="4">
        <f t="shared" si="59"/>
        <v>0.02</v>
      </c>
      <c r="G902" t="s">
        <v>14</v>
      </c>
      <c r="H902">
        <v>1</v>
      </c>
      <c r="I902" s="6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7"/>
        <v>41901.208333333336</v>
      </c>
      <c r="O902" s="13">
        <f t="shared" si="58"/>
        <v>41902.208333333336</v>
      </c>
      <c r="P902" t="b">
        <v>0</v>
      </c>
      <c r="Q902" t="b">
        <v>1</v>
      </c>
      <c r="R902" t="s">
        <v>28</v>
      </c>
      <c r="S902" t="s">
        <v>2042</v>
      </c>
      <c r="T902" t="s">
        <v>2067</v>
      </c>
    </row>
    <row r="903" spans="1:20" ht="17" x14ac:dyDescent="0.2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s="4">
        <f t="shared" si="59"/>
        <v>1.5617857142857143</v>
      </c>
      <c r="G903" t="s">
        <v>20</v>
      </c>
      <c r="H903">
        <v>159</v>
      </c>
      <c r="I903" s="6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7"/>
        <v>43298.208333333328</v>
      </c>
      <c r="O903" s="13">
        <f t="shared" si="58"/>
        <v>43331.208333333328</v>
      </c>
      <c r="P903" t="b">
        <v>0</v>
      </c>
      <c r="Q903" t="b">
        <v>1</v>
      </c>
      <c r="R903" t="s">
        <v>23</v>
      </c>
      <c r="S903" t="s">
        <v>2039</v>
      </c>
      <c r="T903" t="s">
        <v>2060</v>
      </c>
    </row>
    <row r="904" spans="1:20" ht="17" x14ac:dyDescent="0.2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s="4">
        <f t="shared" si="59"/>
        <v>2.5242857142857145</v>
      </c>
      <c r="G904" t="s">
        <v>20</v>
      </c>
      <c r="H904">
        <v>110</v>
      </c>
      <c r="I904" s="6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7"/>
        <v>42399.25</v>
      </c>
      <c r="O904" s="13">
        <f t="shared" si="58"/>
        <v>42441.25</v>
      </c>
      <c r="P904" t="b">
        <v>0</v>
      </c>
      <c r="Q904" t="b">
        <v>0</v>
      </c>
      <c r="R904" t="s">
        <v>28</v>
      </c>
      <c r="S904" t="s">
        <v>2042</v>
      </c>
      <c r="T904" t="s">
        <v>2067</v>
      </c>
    </row>
    <row r="905" spans="1:20" ht="34" x14ac:dyDescent="0.2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s="4">
        <f t="shared" si="59"/>
        <v>1.729268292682927E-2</v>
      </c>
      <c r="G905" t="s">
        <v>47</v>
      </c>
      <c r="H905">
        <v>14</v>
      </c>
      <c r="I905" s="6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7"/>
        <v>41034.208333333336</v>
      </c>
      <c r="O905" s="13">
        <f t="shared" si="58"/>
        <v>41049.208333333336</v>
      </c>
      <c r="P905" t="b">
        <v>0</v>
      </c>
      <c r="Q905" t="b">
        <v>1</v>
      </c>
      <c r="R905" t="s">
        <v>68</v>
      </c>
      <c r="S905" t="s">
        <v>2041</v>
      </c>
      <c r="T905" t="s">
        <v>2056</v>
      </c>
    </row>
    <row r="906" spans="1:20" ht="17" x14ac:dyDescent="0.2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s="4">
        <f t="shared" si="59"/>
        <v>0.12230769230769231</v>
      </c>
      <c r="G906" t="s">
        <v>14</v>
      </c>
      <c r="H906">
        <v>16</v>
      </c>
      <c r="I906" s="6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7"/>
        <v>41186.208333333336</v>
      </c>
      <c r="O906" s="13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2041</v>
      </c>
      <c r="T906" t="s">
        <v>2059</v>
      </c>
    </row>
    <row r="907" spans="1:20" ht="17" x14ac:dyDescent="0.2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s="4">
        <f t="shared" si="59"/>
        <v>1.6398734177215191</v>
      </c>
      <c r="G907" t="s">
        <v>20</v>
      </c>
      <c r="H907">
        <v>236</v>
      </c>
      <c r="I907" s="6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7"/>
        <v>41536.208333333336</v>
      </c>
      <c r="O907" s="13">
        <f t="shared" si="58"/>
        <v>41539.208333333336</v>
      </c>
      <c r="P907" t="b">
        <v>0</v>
      </c>
      <c r="Q907" t="b">
        <v>0</v>
      </c>
      <c r="R907" t="s">
        <v>33</v>
      </c>
      <c r="S907" t="s">
        <v>2043</v>
      </c>
      <c r="T907" t="s">
        <v>2058</v>
      </c>
    </row>
    <row r="908" spans="1:20" ht="34" x14ac:dyDescent="0.2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s="4">
        <f t="shared" si="59"/>
        <v>1.6298181818181818</v>
      </c>
      <c r="G908" t="s">
        <v>20</v>
      </c>
      <c r="H908">
        <v>191</v>
      </c>
      <c r="I908" s="6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7"/>
        <v>42868.208333333328</v>
      </c>
      <c r="O908" s="13">
        <f t="shared" si="58"/>
        <v>42904.208333333328</v>
      </c>
      <c r="P908" t="b">
        <v>1</v>
      </c>
      <c r="Q908" t="b">
        <v>1</v>
      </c>
      <c r="R908" t="s">
        <v>42</v>
      </c>
      <c r="S908" t="s">
        <v>2035</v>
      </c>
      <c r="T908" t="s">
        <v>2047</v>
      </c>
    </row>
    <row r="909" spans="1:20" ht="17" x14ac:dyDescent="0.2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s="4">
        <f t="shared" si="59"/>
        <v>0.20252747252747252</v>
      </c>
      <c r="G909" t="s">
        <v>14</v>
      </c>
      <c r="H909">
        <v>41</v>
      </c>
      <c r="I909" s="6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7"/>
        <v>40660.208333333336</v>
      </c>
      <c r="O909" s="13">
        <f t="shared" si="58"/>
        <v>40667.208333333336</v>
      </c>
      <c r="P909" t="b">
        <v>0</v>
      </c>
      <c r="Q909" t="b">
        <v>0</v>
      </c>
      <c r="R909" t="s">
        <v>33</v>
      </c>
      <c r="S909" t="s">
        <v>2043</v>
      </c>
      <c r="T909" t="s">
        <v>2058</v>
      </c>
    </row>
    <row r="910" spans="1:20" ht="17" x14ac:dyDescent="0.2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s="4">
        <f t="shared" si="59"/>
        <v>3.1924083769633507</v>
      </c>
      <c r="G910" t="s">
        <v>20</v>
      </c>
      <c r="H910">
        <v>3934</v>
      </c>
      <c r="I910" s="6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7"/>
        <v>41031.208333333336</v>
      </c>
      <c r="O910" s="13">
        <f t="shared" si="58"/>
        <v>41042.208333333336</v>
      </c>
      <c r="P910" t="b">
        <v>0</v>
      </c>
      <c r="Q910" t="b">
        <v>0</v>
      </c>
      <c r="R910" t="s">
        <v>89</v>
      </c>
      <c r="S910" t="s">
        <v>2037</v>
      </c>
      <c r="T910" t="s">
        <v>2065</v>
      </c>
    </row>
    <row r="911" spans="1:20" ht="17" x14ac:dyDescent="0.2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s="4">
        <f t="shared" si="59"/>
        <v>4.7894444444444444</v>
      </c>
      <c r="G911" t="s">
        <v>20</v>
      </c>
      <c r="H911">
        <v>80</v>
      </c>
      <c r="I911" s="6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7"/>
        <v>43255.208333333328</v>
      </c>
      <c r="O911" s="13">
        <f t="shared" si="58"/>
        <v>43282.208333333328</v>
      </c>
      <c r="P911" t="b">
        <v>0</v>
      </c>
      <c r="Q911" t="b">
        <v>1</v>
      </c>
      <c r="R911" t="s">
        <v>33</v>
      </c>
      <c r="S911" t="s">
        <v>2043</v>
      </c>
      <c r="T911" t="s">
        <v>2058</v>
      </c>
    </row>
    <row r="912" spans="1:20" ht="17" x14ac:dyDescent="0.2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s="4">
        <f t="shared" si="59"/>
        <v>0.19556634304207121</v>
      </c>
      <c r="G912" t="s">
        <v>74</v>
      </c>
      <c r="H912">
        <v>296</v>
      </c>
      <c r="I912" s="6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7"/>
        <v>42026.25</v>
      </c>
      <c r="O912" s="13">
        <f t="shared" si="58"/>
        <v>42027.25</v>
      </c>
      <c r="P912" t="b">
        <v>0</v>
      </c>
      <c r="Q912" t="b">
        <v>0</v>
      </c>
      <c r="R912" t="s">
        <v>33</v>
      </c>
      <c r="S912" t="s">
        <v>2043</v>
      </c>
      <c r="T912" t="s">
        <v>2058</v>
      </c>
    </row>
    <row r="913" spans="1:20" ht="17" x14ac:dyDescent="0.2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s="4">
        <f t="shared" si="59"/>
        <v>1.9894827586206896</v>
      </c>
      <c r="G913" t="s">
        <v>20</v>
      </c>
      <c r="H913">
        <v>462</v>
      </c>
      <c r="I913" s="6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7"/>
        <v>43717.208333333328</v>
      </c>
      <c r="O913" s="13">
        <f t="shared" si="58"/>
        <v>43719.208333333328</v>
      </c>
      <c r="P913" t="b">
        <v>1</v>
      </c>
      <c r="Q913" t="b">
        <v>0</v>
      </c>
      <c r="R913" t="s">
        <v>28</v>
      </c>
      <c r="S913" t="s">
        <v>2042</v>
      </c>
      <c r="T913" t="s">
        <v>2067</v>
      </c>
    </row>
    <row r="914" spans="1:20" ht="17" x14ac:dyDescent="0.2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s="4">
        <f t="shared" si="59"/>
        <v>7.95</v>
      </c>
      <c r="G914" t="s">
        <v>20</v>
      </c>
      <c r="H914">
        <v>179</v>
      </c>
      <c r="I914" s="6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7"/>
        <v>41157.208333333336</v>
      </c>
      <c r="O914" s="13">
        <f t="shared" si="58"/>
        <v>41170.208333333336</v>
      </c>
      <c r="P914" t="b">
        <v>1</v>
      </c>
      <c r="Q914" t="b">
        <v>0</v>
      </c>
      <c r="R914" t="s">
        <v>53</v>
      </c>
      <c r="S914" t="s">
        <v>2035</v>
      </c>
      <c r="T914" t="s">
        <v>2048</v>
      </c>
    </row>
    <row r="915" spans="1:20" ht="17" x14ac:dyDescent="0.2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s="4">
        <f t="shared" si="59"/>
        <v>0.50621082621082625</v>
      </c>
      <c r="G915" t="s">
        <v>14</v>
      </c>
      <c r="H915">
        <v>523</v>
      </c>
      <c r="I915" s="6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7"/>
        <v>43597.208333333328</v>
      </c>
      <c r="O915" s="13">
        <f t="shared" si="58"/>
        <v>43610.208333333328</v>
      </c>
      <c r="P915" t="b">
        <v>0</v>
      </c>
      <c r="Q915" t="b">
        <v>0</v>
      </c>
      <c r="R915" t="s">
        <v>53</v>
      </c>
      <c r="S915" t="s">
        <v>2035</v>
      </c>
      <c r="T915" t="s">
        <v>2048</v>
      </c>
    </row>
    <row r="916" spans="1:20" ht="17" x14ac:dyDescent="0.2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s="4">
        <f t="shared" si="59"/>
        <v>0.57437499999999997</v>
      </c>
      <c r="G916" t="s">
        <v>14</v>
      </c>
      <c r="H916">
        <v>141</v>
      </c>
      <c r="I916" s="6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7"/>
        <v>41490.208333333336</v>
      </c>
      <c r="O916" s="13">
        <f t="shared" si="58"/>
        <v>41502.208333333336</v>
      </c>
      <c r="P916" t="b">
        <v>0</v>
      </c>
      <c r="Q916" t="b">
        <v>0</v>
      </c>
      <c r="R916" t="s">
        <v>33</v>
      </c>
      <c r="S916" t="s">
        <v>2043</v>
      </c>
      <c r="T916" t="s">
        <v>2058</v>
      </c>
    </row>
    <row r="917" spans="1:20" ht="17" x14ac:dyDescent="0.2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s="4">
        <f t="shared" si="59"/>
        <v>1.5562827640984909</v>
      </c>
      <c r="G917" t="s">
        <v>20</v>
      </c>
      <c r="H917">
        <v>1866</v>
      </c>
      <c r="I917" s="6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7"/>
        <v>42976.208333333328</v>
      </c>
      <c r="O917" s="13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2035</v>
      </c>
      <c r="T917" t="s">
        <v>2063</v>
      </c>
    </row>
    <row r="918" spans="1:20" ht="34" x14ac:dyDescent="0.2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s="4">
        <f t="shared" si="59"/>
        <v>0.36297297297297298</v>
      </c>
      <c r="G918" t="s">
        <v>14</v>
      </c>
      <c r="H918">
        <v>52</v>
      </c>
      <c r="I918" s="6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7"/>
        <v>41991.25</v>
      </c>
      <c r="O918" s="13">
        <f t="shared" si="58"/>
        <v>42000.25</v>
      </c>
      <c r="P918" t="b">
        <v>0</v>
      </c>
      <c r="Q918" t="b">
        <v>0</v>
      </c>
      <c r="R918" t="s">
        <v>122</v>
      </c>
      <c r="S918" t="s">
        <v>2040</v>
      </c>
      <c r="T918" t="s">
        <v>2057</v>
      </c>
    </row>
    <row r="919" spans="1:20" ht="17" x14ac:dyDescent="0.2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s="4">
        <f t="shared" si="59"/>
        <v>0.58250000000000002</v>
      </c>
      <c r="G919" t="s">
        <v>47</v>
      </c>
      <c r="H919">
        <v>27</v>
      </c>
      <c r="I919" s="6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7"/>
        <v>40722.208333333336</v>
      </c>
      <c r="O919" s="13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2035</v>
      </c>
      <c r="T919" t="s">
        <v>2062</v>
      </c>
    </row>
    <row r="920" spans="1:20" ht="17" x14ac:dyDescent="0.2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s="4">
        <f t="shared" si="59"/>
        <v>2.3739473684210526</v>
      </c>
      <c r="G920" t="s">
        <v>20</v>
      </c>
      <c r="H920">
        <v>156</v>
      </c>
      <c r="I920" s="6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7"/>
        <v>41117.208333333336</v>
      </c>
      <c r="O920" s="13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2041</v>
      </c>
      <c r="T920" t="s">
        <v>2059</v>
      </c>
    </row>
    <row r="921" spans="1:20" ht="17" x14ac:dyDescent="0.2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s="4">
        <f t="shared" si="59"/>
        <v>0.58750000000000002</v>
      </c>
      <c r="G921" t="s">
        <v>14</v>
      </c>
      <c r="H921">
        <v>225</v>
      </c>
      <c r="I921" s="6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7"/>
        <v>43022.208333333328</v>
      </c>
      <c r="O921" s="13">
        <f t="shared" si="58"/>
        <v>43054.25</v>
      </c>
      <c r="P921" t="b">
        <v>0</v>
      </c>
      <c r="Q921" t="b">
        <v>1</v>
      </c>
      <c r="R921" t="s">
        <v>33</v>
      </c>
      <c r="S921" t="s">
        <v>2043</v>
      </c>
      <c r="T921" t="s">
        <v>2058</v>
      </c>
    </row>
    <row r="922" spans="1:20" ht="17" x14ac:dyDescent="0.2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s="4">
        <f t="shared" si="59"/>
        <v>1.8256603773584905</v>
      </c>
      <c r="G922" t="s">
        <v>20</v>
      </c>
      <c r="H922">
        <v>255</v>
      </c>
      <c r="I922" s="6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7"/>
        <v>43503.25</v>
      </c>
      <c r="O922" s="13">
        <f t="shared" si="58"/>
        <v>43523.25</v>
      </c>
      <c r="P922" t="b">
        <v>1</v>
      </c>
      <c r="Q922" t="b">
        <v>0</v>
      </c>
      <c r="R922" t="s">
        <v>71</v>
      </c>
      <c r="S922" t="s">
        <v>2035</v>
      </c>
      <c r="T922" t="s">
        <v>2045</v>
      </c>
    </row>
    <row r="923" spans="1:20" ht="17" x14ac:dyDescent="0.2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s="4">
        <f t="shared" si="59"/>
        <v>7.5436408977556111E-3</v>
      </c>
      <c r="G923" t="s">
        <v>14</v>
      </c>
      <c r="H923">
        <v>38</v>
      </c>
      <c r="I923" s="6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7"/>
        <v>40951.25</v>
      </c>
      <c r="O923" s="13">
        <f t="shared" si="58"/>
        <v>40965.25</v>
      </c>
      <c r="P923" t="b">
        <v>0</v>
      </c>
      <c r="Q923" t="b">
        <v>0</v>
      </c>
      <c r="R923" t="s">
        <v>28</v>
      </c>
      <c r="S923" t="s">
        <v>2042</v>
      </c>
      <c r="T923" t="s">
        <v>2067</v>
      </c>
    </row>
    <row r="924" spans="1:20" ht="17" x14ac:dyDescent="0.2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s="4">
        <f t="shared" si="59"/>
        <v>1.7595330739299611</v>
      </c>
      <c r="G924" t="s">
        <v>20</v>
      </c>
      <c r="H924">
        <v>2261</v>
      </c>
      <c r="I924" s="6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7"/>
        <v>43443.25</v>
      </c>
      <c r="O924" s="13">
        <f t="shared" si="58"/>
        <v>43452.25</v>
      </c>
      <c r="P924" t="b">
        <v>0</v>
      </c>
      <c r="Q924" t="b">
        <v>1</v>
      </c>
      <c r="R924" t="s">
        <v>319</v>
      </c>
      <c r="S924" t="s">
        <v>2039</v>
      </c>
      <c r="T924" t="s">
        <v>2068</v>
      </c>
    </row>
    <row r="925" spans="1:20" ht="17" x14ac:dyDescent="0.2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s="4">
        <f t="shared" si="59"/>
        <v>2.3788235294117648</v>
      </c>
      <c r="G925" t="s">
        <v>20</v>
      </c>
      <c r="H925">
        <v>40</v>
      </c>
      <c r="I925" s="6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7"/>
        <v>40373.208333333336</v>
      </c>
      <c r="O925" s="13">
        <f t="shared" si="58"/>
        <v>40374.208333333336</v>
      </c>
      <c r="P925" t="b">
        <v>0</v>
      </c>
      <c r="Q925" t="b">
        <v>0</v>
      </c>
      <c r="R925" t="s">
        <v>33</v>
      </c>
      <c r="S925" t="s">
        <v>2043</v>
      </c>
      <c r="T925" t="s">
        <v>2058</v>
      </c>
    </row>
    <row r="926" spans="1:20" ht="17" x14ac:dyDescent="0.2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s="4">
        <f t="shared" si="59"/>
        <v>4.8805076142131982</v>
      </c>
      <c r="G926" t="s">
        <v>20</v>
      </c>
      <c r="H926">
        <v>2289</v>
      </c>
      <c r="I926" s="6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7"/>
        <v>43769.208333333328</v>
      </c>
      <c r="O926" s="13">
        <f t="shared" si="58"/>
        <v>43780.25</v>
      </c>
      <c r="P926" t="b">
        <v>0</v>
      </c>
      <c r="Q926" t="b">
        <v>0</v>
      </c>
      <c r="R926" t="s">
        <v>33</v>
      </c>
      <c r="S926" t="s">
        <v>2043</v>
      </c>
      <c r="T926" t="s">
        <v>2058</v>
      </c>
    </row>
    <row r="927" spans="1:20" ht="34" x14ac:dyDescent="0.2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s="4">
        <f t="shared" si="59"/>
        <v>2.2406666666666668</v>
      </c>
      <c r="G927" t="s">
        <v>20</v>
      </c>
      <c r="H927">
        <v>65</v>
      </c>
      <c r="I927" s="6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7"/>
        <v>43000.208333333328</v>
      </c>
      <c r="O927" s="13">
        <f t="shared" si="58"/>
        <v>43012.208333333328</v>
      </c>
      <c r="P927" t="b">
        <v>0</v>
      </c>
      <c r="Q927" t="b">
        <v>0</v>
      </c>
      <c r="R927" t="s">
        <v>33</v>
      </c>
      <c r="S927" t="s">
        <v>2043</v>
      </c>
      <c r="T927" t="s">
        <v>2058</v>
      </c>
    </row>
    <row r="928" spans="1:20" ht="17" x14ac:dyDescent="0.2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s="4">
        <f t="shared" si="59"/>
        <v>0.18126436781609195</v>
      </c>
      <c r="G928" t="s">
        <v>14</v>
      </c>
      <c r="H928">
        <v>15</v>
      </c>
      <c r="I928" s="6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7"/>
        <v>42502.208333333328</v>
      </c>
      <c r="O928" s="13">
        <f t="shared" si="58"/>
        <v>42506.208333333328</v>
      </c>
      <c r="P928" t="b">
        <v>0</v>
      </c>
      <c r="Q928" t="b">
        <v>0</v>
      </c>
      <c r="R928" t="s">
        <v>17</v>
      </c>
      <c r="S928" t="s">
        <v>2036</v>
      </c>
      <c r="T928" t="s">
        <v>2051</v>
      </c>
    </row>
    <row r="929" spans="1:20" ht="17" x14ac:dyDescent="0.2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s="4">
        <f t="shared" si="59"/>
        <v>0.45847222222222223</v>
      </c>
      <c r="G929" t="s">
        <v>14</v>
      </c>
      <c r="H929">
        <v>37</v>
      </c>
      <c r="I929" s="6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7"/>
        <v>41102.208333333336</v>
      </c>
      <c r="O929" s="13">
        <f t="shared" si="58"/>
        <v>41131.208333333336</v>
      </c>
      <c r="P929" t="b">
        <v>0</v>
      </c>
      <c r="Q929" t="b">
        <v>0</v>
      </c>
      <c r="R929" t="s">
        <v>33</v>
      </c>
      <c r="S929" t="s">
        <v>2043</v>
      </c>
      <c r="T929" t="s">
        <v>2058</v>
      </c>
    </row>
    <row r="930" spans="1:20" ht="17" x14ac:dyDescent="0.2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s="4">
        <f t="shared" si="59"/>
        <v>1.1731541218637993</v>
      </c>
      <c r="G930" t="s">
        <v>20</v>
      </c>
      <c r="H930">
        <v>3777</v>
      </c>
      <c r="I930" s="6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7"/>
        <v>41637.25</v>
      </c>
      <c r="O930" s="13">
        <f t="shared" si="58"/>
        <v>41646.25</v>
      </c>
      <c r="P930" t="b">
        <v>0</v>
      </c>
      <c r="Q930" t="b">
        <v>0</v>
      </c>
      <c r="R930" t="s">
        <v>28</v>
      </c>
      <c r="S930" t="s">
        <v>2042</v>
      </c>
      <c r="T930" t="s">
        <v>2067</v>
      </c>
    </row>
    <row r="931" spans="1:20" ht="17" x14ac:dyDescent="0.2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s="4">
        <f t="shared" si="59"/>
        <v>2.173090909090909</v>
      </c>
      <c r="G931" t="s">
        <v>20</v>
      </c>
      <c r="H931">
        <v>184</v>
      </c>
      <c r="I931" s="6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7"/>
        <v>42858.208333333328</v>
      </c>
      <c r="O931" s="13">
        <f t="shared" si="58"/>
        <v>42872.208333333328</v>
      </c>
      <c r="P931" t="b">
        <v>0</v>
      </c>
      <c r="Q931" t="b">
        <v>0</v>
      </c>
      <c r="R931" t="s">
        <v>33</v>
      </c>
      <c r="S931" t="s">
        <v>2043</v>
      </c>
      <c r="T931" t="s">
        <v>2058</v>
      </c>
    </row>
    <row r="932" spans="1:20" ht="17" x14ac:dyDescent="0.2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s="4">
        <f t="shared" si="59"/>
        <v>1.1228571428571428</v>
      </c>
      <c r="G932" t="s">
        <v>20</v>
      </c>
      <c r="H932">
        <v>85</v>
      </c>
      <c r="I932" s="6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7"/>
        <v>42060.25</v>
      </c>
      <c r="O932" s="13">
        <f t="shared" si="58"/>
        <v>42067.25</v>
      </c>
      <c r="P932" t="b">
        <v>0</v>
      </c>
      <c r="Q932" t="b">
        <v>1</v>
      </c>
      <c r="R932" t="s">
        <v>33</v>
      </c>
      <c r="S932" t="s">
        <v>2043</v>
      </c>
      <c r="T932" t="s">
        <v>2058</v>
      </c>
    </row>
    <row r="933" spans="1:20" ht="17" x14ac:dyDescent="0.2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s="4">
        <f t="shared" si="59"/>
        <v>0.72518987341772156</v>
      </c>
      <c r="G933" t="s">
        <v>14</v>
      </c>
      <c r="H933">
        <v>112</v>
      </c>
      <c r="I933" s="6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7"/>
        <v>41818.208333333336</v>
      </c>
      <c r="O933" s="13">
        <f t="shared" si="58"/>
        <v>41820.208333333336</v>
      </c>
      <c r="P933" t="b">
        <v>0</v>
      </c>
      <c r="Q933" t="b">
        <v>1</v>
      </c>
      <c r="R933" t="s">
        <v>33</v>
      </c>
      <c r="S933" t="s">
        <v>2043</v>
      </c>
      <c r="T933" t="s">
        <v>2058</v>
      </c>
    </row>
    <row r="934" spans="1:20" ht="17" x14ac:dyDescent="0.2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s="4">
        <f t="shared" si="59"/>
        <v>2.1230434782608696</v>
      </c>
      <c r="G934" t="s">
        <v>20</v>
      </c>
      <c r="H934">
        <v>144</v>
      </c>
      <c r="I934" s="6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7"/>
        <v>41709.208333333336</v>
      </c>
      <c r="O934" s="13">
        <f t="shared" si="58"/>
        <v>41712.208333333336</v>
      </c>
      <c r="P934" t="b">
        <v>0</v>
      </c>
      <c r="Q934" t="b">
        <v>0</v>
      </c>
      <c r="R934" t="s">
        <v>23</v>
      </c>
      <c r="S934" t="s">
        <v>2039</v>
      </c>
      <c r="T934" t="s">
        <v>2060</v>
      </c>
    </row>
    <row r="935" spans="1:20" ht="17" x14ac:dyDescent="0.2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s="4">
        <f t="shared" si="59"/>
        <v>2.3974657534246577</v>
      </c>
      <c r="G935" t="s">
        <v>20</v>
      </c>
      <c r="H935">
        <v>1902</v>
      </c>
      <c r="I935" s="6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7"/>
        <v>41372.208333333336</v>
      </c>
      <c r="O935" s="13">
        <f t="shared" si="58"/>
        <v>41385.208333333336</v>
      </c>
      <c r="P935" t="b">
        <v>0</v>
      </c>
      <c r="Q935" t="b">
        <v>0</v>
      </c>
      <c r="R935" t="s">
        <v>33</v>
      </c>
      <c r="S935" t="s">
        <v>2043</v>
      </c>
      <c r="T935" t="s">
        <v>2058</v>
      </c>
    </row>
    <row r="936" spans="1:20" ht="17" x14ac:dyDescent="0.2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s="4">
        <f t="shared" si="59"/>
        <v>1.8193548387096774</v>
      </c>
      <c r="G936" t="s">
        <v>20</v>
      </c>
      <c r="H936">
        <v>105</v>
      </c>
      <c r="I936" s="6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7"/>
        <v>42422.25</v>
      </c>
      <c r="O936" s="13">
        <f t="shared" si="58"/>
        <v>42428.25</v>
      </c>
      <c r="P936" t="b">
        <v>0</v>
      </c>
      <c r="Q936" t="b">
        <v>0</v>
      </c>
      <c r="R936" t="s">
        <v>33</v>
      </c>
      <c r="S936" t="s">
        <v>2043</v>
      </c>
      <c r="T936" t="s">
        <v>2058</v>
      </c>
    </row>
    <row r="937" spans="1:20" ht="34" x14ac:dyDescent="0.2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s="4">
        <f t="shared" si="59"/>
        <v>1.6413114754098361</v>
      </c>
      <c r="G937" t="s">
        <v>20</v>
      </c>
      <c r="H937">
        <v>132</v>
      </c>
      <c r="I937" s="6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7"/>
        <v>42209.208333333328</v>
      </c>
      <c r="O937" s="13">
        <f t="shared" si="58"/>
        <v>42216.208333333328</v>
      </c>
      <c r="P937" t="b">
        <v>0</v>
      </c>
      <c r="Q937" t="b">
        <v>0</v>
      </c>
      <c r="R937" t="s">
        <v>33</v>
      </c>
      <c r="S937" t="s">
        <v>2043</v>
      </c>
      <c r="T937" t="s">
        <v>2058</v>
      </c>
    </row>
    <row r="938" spans="1:20" ht="17" x14ac:dyDescent="0.2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s="4">
        <f t="shared" si="59"/>
        <v>1.6375968992248063E-2</v>
      </c>
      <c r="G938" t="s">
        <v>14</v>
      </c>
      <c r="H938">
        <v>21</v>
      </c>
      <c r="I938" s="6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7"/>
        <v>43668.208333333328</v>
      </c>
      <c r="O938" s="13">
        <f t="shared" si="58"/>
        <v>43671.208333333328</v>
      </c>
      <c r="P938" t="b">
        <v>1</v>
      </c>
      <c r="Q938" t="b">
        <v>0</v>
      </c>
      <c r="R938" t="s">
        <v>33</v>
      </c>
      <c r="S938" t="s">
        <v>2043</v>
      </c>
      <c r="T938" t="s">
        <v>2058</v>
      </c>
    </row>
    <row r="939" spans="1:20" ht="17" x14ac:dyDescent="0.2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s="4">
        <f t="shared" si="59"/>
        <v>0.49643859649122807</v>
      </c>
      <c r="G939" t="s">
        <v>74</v>
      </c>
      <c r="H939">
        <v>976</v>
      </c>
      <c r="I939" s="6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7"/>
        <v>42334.25</v>
      </c>
      <c r="O939" s="13">
        <f t="shared" si="58"/>
        <v>42343.25</v>
      </c>
      <c r="P939" t="b">
        <v>0</v>
      </c>
      <c r="Q939" t="b">
        <v>0</v>
      </c>
      <c r="R939" t="s">
        <v>42</v>
      </c>
      <c r="S939" t="s">
        <v>2035</v>
      </c>
      <c r="T939" t="s">
        <v>2047</v>
      </c>
    </row>
    <row r="940" spans="1:20" ht="17" x14ac:dyDescent="0.2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s="4">
        <f t="shared" si="59"/>
        <v>1.0970652173913042</v>
      </c>
      <c r="G940" t="s">
        <v>20</v>
      </c>
      <c r="H940">
        <v>96</v>
      </c>
      <c r="I940" s="6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7"/>
        <v>43263.208333333328</v>
      </c>
      <c r="O940" s="13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2041</v>
      </c>
      <c r="T940" t="s">
        <v>2050</v>
      </c>
    </row>
    <row r="941" spans="1:20" ht="34" x14ac:dyDescent="0.2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s="4">
        <f t="shared" si="59"/>
        <v>0.49217948717948717</v>
      </c>
      <c r="G941" t="s">
        <v>14</v>
      </c>
      <c r="H941">
        <v>67</v>
      </c>
      <c r="I941" s="6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7"/>
        <v>40670.208333333336</v>
      </c>
      <c r="O941" s="13">
        <f t="shared" si="58"/>
        <v>40687.208333333336</v>
      </c>
      <c r="P941" t="b">
        <v>0</v>
      </c>
      <c r="Q941" t="b">
        <v>1</v>
      </c>
      <c r="R941" t="s">
        <v>89</v>
      </c>
      <c r="S941" t="s">
        <v>2037</v>
      </c>
      <c r="T941" t="s">
        <v>2065</v>
      </c>
    </row>
    <row r="942" spans="1:20" ht="17" x14ac:dyDescent="0.2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s="4">
        <f t="shared" si="59"/>
        <v>0.62232323232323228</v>
      </c>
      <c r="G942" t="s">
        <v>47</v>
      </c>
      <c r="H942">
        <v>66</v>
      </c>
      <c r="I942" s="6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7"/>
        <v>41244.25</v>
      </c>
      <c r="O942" s="13">
        <f t="shared" si="58"/>
        <v>41266.25</v>
      </c>
      <c r="P942" t="b">
        <v>0</v>
      </c>
      <c r="Q942" t="b">
        <v>0</v>
      </c>
      <c r="R942" t="s">
        <v>28</v>
      </c>
      <c r="S942" t="s">
        <v>2042</v>
      </c>
      <c r="T942" t="s">
        <v>2067</v>
      </c>
    </row>
    <row r="943" spans="1:20" ht="17" x14ac:dyDescent="0.2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s="4">
        <f t="shared" si="59"/>
        <v>0.1305813953488372</v>
      </c>
      <c r="G943" t="s">
        <v>14</v>
      </c>
      <c r="H943">
        <v>78</v>
      </c>
      <c r="I943" s="6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7"/>
        <v>40552.25</v>
      </c>
      <c r="O943" s="13">
        <f t="shared" si="58"/>
        <v>40587.25</v>
      </c>
      <c r="P943" t="b">
        <v>1</v>
      </c>
      <c r="Q943" t="b">
        <v>0</v>
      </c>
      <c r="R943" t="s">
        <v>33</v>
      </c>
      <c r="S943" t="s">
        <v>2043</v>
      </c>
      <c r="T943" t="s">
        <v>2058</v>
      </c>
    </row>
    <row r="944" spans="1:20" ht="17" x14ac:dyDescent="0.2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s="4">
        <f t="shared" si="59"/>
        <v>0.64635416666666667</v>
      </c>
      <c r="G944" t="s">
        <v>14</v>
      </c>
      <c r="H944">
        <v>67</v>
      </c>
      <c r="I944" s="6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7"/>
        <v>40568.25</v>
      </c>
      <c r="O944" s="13">
        <f t="shared" si="58"/>
        <v>40571.25</v>
      </c>
      <c r="P944" t="b">
        <v>0</v>
      </c>
      <c r="Q944" t="b">
        <v>0</v>
      </c>
      <c r="R944" t="s">
        <v>33</v>
      </c>
      <c r="S944" t="s">
        <v>2043</v>
      </c>
      <c r="T944" t="s">
        <v>2058</v>
      </c>
    </row>
    <row r="945" spans="1:20" ht="17" x14ac:dyDescent="0.2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s="4">
        <f t="shared" si="59"/>
        <v>1.5958666666666668</v>
      </c>
      <c r="G945" t="s">
        <v>20</v>
      </c>
      <c r="H945">
        <v>114</v>
      </c>
      <c r="I945" s="6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7"/>
        <v>41906.208333333336</v>
      </c>
      <c r="O945" s="13">
        <f t="shared" si="58"/>
        <v>41941.208333333336</v>
      </c>
      <c r="P945" t="b">
        <v>0</v>
      </c>
      <c r="Q945" t="b">
        <v>0</v>
      </c>
      <c r="R945" t="s">
        <v>17</v>
      </c>
      <c r="S945" t="s">
        <v>2036</v>
      </c>
      <c r="T945" t="s">
        <v>2051</v>
      </c>
    </row>
    <row r="946" spans="1:20" ht="17" x14ac:dyDescent="0.2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s="4">
        <f t="shared" si="59"/>
        <v>0.81420000000000003</v>
      </c>
      <c r="G946" t="s">
        <v>14</v>
      </c>
      <c r="H946">
        <v>263</v>
      </c>
      <c r="I946" s="6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7"/>
        <v>42776.25</v>
      </c>
      <c r="O946" s="13">
        <f t="shared" si="58"/>
        <v>42795.25</v>
      </c>
      <c r="P946" t="b">
        <v>0</v>
      </c>
      <c r="Q946" t="b">
        <v>0</v>
      </c>
      <c r="R946" t="s">
        <v>122</v>
      </c>
      <c r="S946" t="s">
        <v>2040</v>
      </c>
      <c r="T946" t="s">
        <v>2057</v>
      </c>
    </row>
    <row r="947" spans="1:20" ht="17" x14ac:dyDescent="0.2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s="4">
        <f t="shared" si="59"/>
        <v>0.32444767441860467</v>
      </c>
      <c r="G947" t="s">
        <v>14</v>
      </c>
      <c r="H947">
        <v>1691</v>
      </c>
      <c r="I947" s="6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7"/>
        <v>41004.208333333336</v>
      </c>
      <c r="O947" s="13">
        <f t="shared" si="58"/>
        <v>41019.208333333336</v>
      </c>
      <c r="P947" t="b">
        <v>1</v>
      </c>
      <c r="Q947" t="b">
        <v>0</v>
      </c>
      <c r="R947" t="s">
        <v>122</v>
      </c>
      <c r="S947" t="s">
        <v>2040</v>
      </c>
      <c r="T947" t="s">
        <v>2057</v>
      </c>
    </row>
    <row r="948" spans="1:20" ht="34" x14ac:dyDescent="0.2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s="4">
        <f t="shared" si="59"/>
        <v>9.9141184124918666E-2</v>
      </c>
      <c r="G948" t="s">
        <v>14</v>
      </c>
      <c r="H948">
        <v>181</v>
      </c>
      <c r="I948" s="6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7"/>
        <v>40710.208333333336</v>
      </c>
      <c r="O948" s="13">
        <f t="shared" si="58"/>
        <v>40712.208333333336</v>
      </c>
      <c r="P948" t="b">
        <v>0</v>
      </c>
      <c r="Q948" t="b">
        <v>0</v>
      </c>
      <c r="R948" t="s">
        <v>33</v>
      </c>
      <c r="S948" t="s">
        <v>2043</v>
      </c>
      <c r="T948" t="s">
        <v>2058</v>
      </c>
    </row>
    <row r="949" spans="1:20" ht="17" x14ac:dyDescent="0.2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s="4">
        <f t="shared" si="59"/>
        <v>0.26694444444444443</v>
      </c>
      <c r="G949" t="s">
        <v>14</v>
      </c>
      <c r="H949">
        <v>13</v>
      </c>
      <c r="I949" s="6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7"/>
        <v>41908.208333333336</v>
      </c>
      <c r="O949" s="13">
        <f t="shared" si="58"/>
        <v>41915.208333333336</v>
      </c>
      <c r="P949" t="b">
        <v>0</v>
      </c>
      <c r="Q949" t="b">
        <v>0</v>
      </c>
      <c r="R949" t="s">
        <v>33</v>
      </c>
      <c r="S949" t="s">
        <v>2043</v>
      </c>
      <c r="T949" t="s">
        <v>2058</v>
      </c>
    </row>
    <row r="950" spans="1:20" ht="17" x14ac:dyDescent="0.2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s="4">
        <f t="shared" si="59"/>
        <v>0.62957446808510642</v>
      </c>
      <c r="G950" t="s">
        <v>74</v>
      </c>
      <c r="H950">
        <v>160</v>
      </c>
      <c r="I950" s="6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7"/>
        <v>41985.25</v>
      </c>
      <c r="O950" s="13">
        <f t="shared" si="58"/>
        <v>41995.25</v>
      </c>
      <c r="P950" t="b">
        <v>1</v>
      </c>
      <c r="Q950" t="b">
        <v>1</v>
      </c>
      <c r="R950" t="s">
        <v>42</v>
      </c>
      <c r="S950" t="s">
        <v>2035</v>
      </c>
      <c r="T950" t="s">
        <v>2047</v>
      </c>
    </row>
    <row r="951" spans="1:20" ht="34" x14ac:dyDescent="0.2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s="4">
        <f t="shared" si="59"/>
        <v>1.6135593220338984</v>
      </c>
      <c r="G951" t="s">
        <v>20</v>
      </c>
      <c r="H951">
        <v>203</v>
      </c>
      <c r="I951" s="6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7"/>
        <v>42112.208333333328</v>
      </c>
      <c r="O951" s="13">
        <f t="shared" si="58"/>
        <v>42131.208333333328</v>
      </c>
      <c r="P951" t="b">
        <v>0</v>
      </c>
      <c r="Q951" t="b">
        <v>0</v>
      </c>
      <c r="R951" t="s">
        <v>28</v>
      </c>
      <c r="S951" t="s">
        <v>2042</v>
      </c>
      <c r="T951" t="s">
        <v>2067</v>
      </c>
    </row>
    <row r="952" spans="1:20" ht="17" x14ac:dyDescent="0.2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s="4">
        <f t="shared" si="59"/>
        <v>0.05</v>
      </c>
      <c r="G952" t="s">
        <v>14</v>
      </c>
      <c r="H952">
        <v>1</v>
      </c>
      <c r="I952" s="6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7"/>
        <v>43571.208333333328</v>
      </c>
      <c r="O952" s="13">
        <f t="shared" si="58"/>
        <v>43576.208333333328</v>
      </c>
      <c r="P952" t="b">
        <v>0</v>
      </c>
      <c r="Q952" t="b">
        <v>1</v>
      </c>
      <c r="R952" t="s">
        <v>33</v>
      </c>
      <c r="S952" t="s">
        <v>2043</v>
      </c>
      <c r="T952" t="s">
        <v>2058</v>
      </c>
    </row>
    <row r="953" spans="1:20" ht="17" x14ac:dyDescent="0.2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s="4">
        <f t="shared" si="59"/>
        <v>10.969379310344827</v>
      </c>
      <c r="G953" t="s">
        <v>20</v>
      </c>
      <c r="H953">
        <v>1559</v>
      </c>
      <c r="I953" s="6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7"/>
        <v>42730.25</v>
      </c>
      <c r="O953" s="13">
        <f t="shared" si="58"/>
        <v>42731.25</v>
      </c>
      <c r="P953" t="b">
        <v>0</v>
      </c>
      <c r="Q953" t="b">
        <v>1</v>
      </c>
      <c r="R953" t="s">
        <v>23</v>
      </c>
      <c r="S953" t="s">
        <v>2039</v>
      </c>
      <c r="T953" t="s">
        <v>2060</v>
      </c>
    </row>
    <row r="954" spans="1:20" ht="17" x14ac:dyDescent="0.2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s="4">
        <f t="shared" si="59"/>
        <v>0.70094158075601376</v>
      </c>
      <c r="G954" t="s">
        <v>74</v>
      </c>
      <c r="H954">
        <v>2266</v>
      </c>
      <c r="I954" s="6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7"/>
        <v>42591.208333333328</v>
      </c>
      <c r="O954" s="13">
        <f t="shared" si="58"/>
        <v>42605.208333333328</v>
      </c>
      <c r="P954" t="b">
        <v>0</v>
      </c>
      <c r="Q954" t="b">
        <v>0</v>
      </c>
      <c r="R954" t="s">
        <v>42</v>
      </c>
      <c r="S954" t="s">
        <v>2035</v>
      </c>
      <c r="T954" t="s">
        <v>2047</v>
      </c>
    </row>
    <row r="955" spans="1:20" ht="34" x14ac:dyDescent="0.2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s="4">
        <f t="shared" si="59"/>
        <v>0.6</v>
      </c>
      <c r="G955" t="s">
        <v>14</v>
      </c>
      <c r="H955">
        <v>21</v>
      </c>
      <c r="I955" s="6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7"/>
        <v>42358.25</v>
      </c>
      <c r="O955" s="13">
        <f t="shared" si="58"/>
        <v>42394.25</v>
      </c>
      <c r="P955" t="b">
        <v>0</v>
      </c>
      <c r="Q955" t="b">
        <v>1</v>
      </c>
      <c r="R955" t="s">
        <v>474</v>
      </c>
      <c r="S955" t="s">
        <v>2035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s="4">
        <f t="shared" si="59"/>
        <v>3.6709859154929578</v>
      </c>
      <c r="G956" t="s">
        <v>20</v>
      </c>
      <c r="H956">
        <v>1548</v>
      </c>
      <c r="I956" s="6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7"/>
        <v>41174.208333333336</v>
      </c>
      <c r="O956" s="13">
        <f t="shared" si="58"/>
        <v>41198.208333333336</v>
      </c>
      <c r="P956" t="b">
        <v>0</v>
      </c>
      <c r="Q956" t="b">
        <v>0</v>
      </c>
      <c r="R956" t="s">
        <v>28</v>
      </c>
      <c r="S956" t="s">
        <v>2042</v>
      </c>
      <c r="T956" t="s">
        <v>2067</v>
      </c>
    </row>
    <row r="957" spans="1:20" ht="34" x14ac:dyDescent="0.2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s="4">
        <f t="shared" si="59"/>
        <v>11.09</v>
      </c>
      <c r="G957" t="s">
        <v>20</v>
      </c>
      <c r="H957">
        <v>80</v>
      </c>
      <c r="I957" s="6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7"/>
        <v>41238.25</v>
      </c>
      <c r="O957" s="13">
        <f t="shared" si="58"/>
        <v>41240.25</v>
      </c>
      <c r="P957" t="b">
        <v>0</v>
      </c>
      <c r="Q957" t="b">
        <v>0</v>
      </c>
      <c r="R957" t="s">
        <v>33</v>
      </c>
      <c r="S957" t="s">
        <v>2043</v>
      </c>
      <c r="T957" t="s">
        <v>2058</v>
      </c>
    </row>
    <row r="958" spans="1:20" ht="17" x14ac:dyDescent="0.2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s="4">
        <f t="shared" si="59"/>
        <v>0.19028784648187633</v>
      </c>
      <c r="G958" t="s">
        <v>14</v>
      </c>
      <c r="H958">
        <v>830</v>
      </c>
      <c r="I958" s="6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7"/>
        <v>42360.25</v>
      </c>
      <c r="O958" s="13">
        <f t="shared" si="58"/>
        <v>42364.25</v>
      </c>
      <c r="P958" t="b">
        <v>0</v>
      </c>
      <c r="Q958" t="b">
        <v>0</v>
      </c>
      <c r="R958" t="s">
        <v>474</v>
      </c>
      <c r="S958" t="s">
        <v>2035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s="4">
        <f t="shared" si="59"/>
        <v>1.2687755102040816</v>
      </c>
      <c r="G959" t="s">
        <v>20</v>
      </c>
      <c r="H959">
        <v>131</v>
      </c>
      <c r="I959" s="6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7"/>
        <v>40955.25</v>
      </c>
      <c r="O959" s="13">
        <f t="shared" si="58"/>
        <v>40958.25</v>
      </c>
      <c r="P959" t="b">
        <v>0</v>
      </c>
      <c r="Q959" t="b">
        <v>0</v>
      </c>
      <c r="R959" t="s">
        <v>33</v>
      </c>
      <c r="S959" t="s">
        <v>2043</v>
      </c>
      <c r="T959" t="s">
        <v>2058</v>
      </c>
    </row>
    <row r="960" spans="1:20" ht="34" x14ac:dyDescent="0.2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s="4">
        <f t="shared" si="59"/>
        <v>7.3463636363636367</v>
      </c>
      <c r="G960" t="s">
        <v>20</v>
      </c>
      <c r="H960">
        <v>112</v>
      </c>
      <c r="I960" s="6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7"/>
        <v>40350.208333333336</v>
      </c>
      <c r="O960" s="13">
        <f t="shared" si="58"/>
        <v>40372.208333333336</v>
      </c>
      <c r="P960" t="b">
        <v>0</v>
      </c>
      <c r="Q960" t="b">
        <v>0</v>
      </c>
      <c r="R960" t="s">
        <v>71</v>
      </c>
      <c r="S960" t="s">
        <v>2035</v>
      </c>
      <c r="T960" t="s">
        <v>2045</v>
      </c>
    </row>
    <row r="961" spans="1:20" ht="17" x14ac:dyDescent="0.2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s="4">
        <f t="shared" si="59"/>
        <v>4.5731034482758622E-2</v>
      </c>
      <c r="G961" t="s">
        <v>14</v>
      </c>
      <c r="H961">
        <v>130</v>
      </c>
      <c r="I961" s="6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7"/>
        <v>40357.208333333336</v>
      </c>
      <c r="O961" s="13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2041</v>
      </c>
      <c r="T961" t="s">
        <v>2064</v>
      </c>
    </row>
    <row r="962" spans="1:20" ht="17" x14ac:dyDescent="0.2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s="4">
        <f t="shared" si="59"/>
        <v>0.85054545454545449</v>
      </c>
      <c r="G962" t="s">
        <v>14</v>
      </c>
      <c r="H962">
        <v>55</v>
      </c>
      <c r="I962" s="6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7"/>
        <v>42408.25</v>
      </c>
      <c r="O962" s="13">
        <f t="shared" si="58"/>
        <v>42445.208333333328</v>
      </c>
      <c r="P962" t="b">
        <v>0</v>
      </c>
      <c r="Q962" t="b">
        <v>0</v>
      </c>
      <c r="R962" t="s">
        <v>28</v>
      </c>
      <c r="S962" t="s">
        <v>2042</v>
      </c>
      <c r="T962" t="s">
        <v>2067</v>
      </c>
    </row>
    <row r="963" spans="1:20" ht="34" x14ac:dyDescent="0.2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s="4">
        <f t="shared" si="59"/>
        <v>1.1929824561403508</v>
      </c>
      <c r="G963" t="s">
        <v>20</v>
      </c>
      <c r="H963">
        <v>155</v>
      </c>
      <c r="I963" s="6">
        <f t="shared" ref="I963:I1001" si="60">IF(H963&lt;&gt;0,E963/H963,0)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3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2041</v>
      </c>
      <c r="T963" t="s">
        <v>2064</v>
      </c>
    </row>
    <row r="964" spans="1:20" ht="17" x14ac:dyDescent="0.2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 s="6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1"/>
        <v>41592.25</v>
      </c>
      <c r="O964" s="13">
        <f t="shared" si="62"/>
        <v>41613.25</v>
      </c>
      <c r="P964" t="b">
        <v>0</v>
      </c>
      <c r="Q964" t="b">
        <v>0</v>
      </c>
      <c r="R964" t="s">
        <v>17</v>
      </c>
      <c r="S964" t="s">
        <v>2036</v>
      </c>
      <c r="T964" t="s">
        <v>2051</v>
      </c>
    </row>
    <row r="965" spans="1:20" ht="17" x14ac:dyDescent="0.2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s="4">
        <f t="shared" si="63"/>
        <v>0.84694915254237291</v>
      </c>
      <c r="G965" t="s">
        <v>14</v>
      </c>
      <c r="H965">
        <v>114</v>
      </c>
      <c r="I965" s="6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1"/>
        <v>40607.25</v>
      </c>
      <c r="O965" s="13">
        <f t="shared" si="62"/>
        <v>40613.25</v>
      </c>
      <c r="P965" t="b">
        <v>0</v>
      </c>
      <c r="Q965" t="b">
        <v>1</v>
      </c>
      <c r="R965" t="s">
        <v>122</v>
      </c>
      <c r="S965" t="s">
        <v>2040</v>
      </c>
      <c r="T965" t="s">
        <v>2057</v>
      </c>
    </row>
    <row r="966" spans="1:20" ht="17" x14ac:dyDescent="0.2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s="4">
        <f t="shared" si="63"/>
        <v>3.5578378378378379</v>
      </c>
      <c r="G966" t="s">
        <v>20</v>
      </c>
      <c r="H966">
        <v>155</v>
      </c>
      <c r="I966" s="6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1"/>
        <v>42135.208333333328</v>
      </c>
      <c r="O966" s="13">
        <f t="shared" si="62"/>
        <v>42140.208333333328</v>
      </c>
      <c r="P966" t="b">
        <v>0</v>
      </c>
      <c r="Q966" t="b">
        <v>0</v>
      </c>
      <c r="R966" t="s">
        <v>33</v>
      </c>
      <c r="S966" t="s">
        <v>2043</v>
      </c>
      <c r="T966" t="s">
        <v>2058</v>
      </c>
    </row>
    <row r="967" spans="1:20" ht="17" x14ac:dyDescent="0.2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s="4">
        <f t="shared" si="63"/>
        <v>3.8640909090909092</v>
      </c>
      <c r="G967" t="s">
        <v>20</v>
      </c>
      <c r="H967">
        <v>207</v>
      </c>
      <c r="I967" s="6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1"/>
        <v>40203.25</v>
      </c>
      <c r="O967" s="13">
        <f t="shared" si="62"/>
        <v>40243.25</v>
      </c>
      <c r="P967" t="b">
        <v>0</v>
      </c>
      <c r="Q967" t="b">
        <v>0</v>
      </c>
      <c r="R967" t="s">
        <v>23</v>
      </c>
      <c r="S967" t="s">
        <v>2039</v>
      </c>
      <c r="T967" t="s">
        <v>2060</v>
      </c>
    </row>
    <row r="968" spans="1:20" ht="17" x14ac:dyDescent="0.2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s="4">
        <f t="shared" si="63"/>
        <v>7.9223529411764702</v>
      </c>
      <c r="G968" t="s">
        <v>20</v>
      </c>
      <c r="H968">
        <v>245</v>
      </c>
      <c r="I968" s="6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1"/>
        <v>42901.208333333328</v>
      </c>
      <c r="O968" s="13">
        <f t="shared" si="62"/>
        <v>42903.208333333328</v>
      </c>
      <c r="P968" t="b">
        <v>0</v>
      </c>
      <c r="Q968" t="b">
        <v>0</v>
      </c>
      <c r="R968" t="s">
        <v>33</v>
      </c>
      <c r="S968" t="s">
        <v>2043</v>
      </c>
      <c r="T968" t="s">
        <v>2058</v>
      </c>
    </row>
    <row r="969" spans="1:20" ht="17" x14ac:dyDescent="0.2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s="4">
        <f t="shared" si="63"/>
        <v>1.3703393665158372</v>
      </c>
      <c r="G969" t="s">
        <v>20</v>
      </c>
      <c r="H969">
        <v>1573</v>
      </c>
      <c r="I969" s="6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1"/>
        <v>41005.208333333336</v>
      </c>
      <c r="O969" s="13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2039</v>
      </c>
      <c r="T969" t="s">
        <v>2068</v>
      </c>
    </row>
    <row r="970" spans="1:20" ht="34" x14ac:dyDescent="0.2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s="4">
        <f t="shared" si="63"/>
        <v>3.3820833333333336</v>
      </c>
      <c r="G970" t="s">
        <v>20</v>
      </c>
      <c r="H970">
        <v>114</v>
      </c>
      <c r="I970" s="6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1"/>
        <v>40544.25</v>
      </c>
      <c r="O970" s="13">
        <f t="shared" si="62"/>
        <v>40559.25</v>
      </c>
      <c r="P970" t="b">
        <v>0</v>
      </c>
      <c r="Q970" t="b">
        <v>0</v>
      </c>
      <c r="R970" t="s">
        <v>17</v>
      </c>
      <c r="S970" t="s">
        <v>2036</v>
      </c>
      <c r="T970" t="s">
        <v>2051</v>
      </c>
    </row>
    <row r="971" spans="1:20" ht="17" x14ac:dyDescent="0.2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s="4">
        <f t="shared" si="63"/>
        <v>1.0822784810126582</v>
      </c>
      <c r="G971" t="s">
        <v>20</v>
      </c>
      <c r="H971">
        <v>93</v>
      </c>
      <c r="I971" s="6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1"/>
        <v>43821.25</v>
      </c>
      <c r="O971" s="13">
        <f t="shared" si="62"/>
        <v>43828.25</v>
      </c>
      <c r="P971" t="b">
        <v>0</v>
      </c>
      <c r="Q971" t="b">
        <v>0</v>
      </c>
      <c r="R971" t="s">
        <v>33</v>
      </c>
      <c r="S971" t="s">
        <v>2043</v>
      </c>
      <c r="T971" t="s">
        <v>2058</v>
      </c>
    </row>
    <row r="972" spans="1:20" ht="34" x14ac:dyDescent="0.2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s="4">
        <f t="shared" si="63"/>
        <v>0.60757639620653314</v>
      </c>
      <c r="G972" t="s">
        <v>14</v>
      </c>
      <c r="H972">
        <v>594</v>
      </c>
      <c r="I972" s="6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1"/>
        <v>40672.208333333336</v>
      </c>
      <c r="O972" s="13">
        <f t="shared" si="62"/>
        <v>40673.208333333336</v>
      </c>
      <c r="P972" t="b">
        <v>0</v>
      </c>
      <c r="Q972" t="b">
        <v>0</v>
      </c>
      <c r="R972" t="s">
        <v>33</v>
      </c>
      <c r="S972" t="s">
        <v>2043</v>
      </c>
      <c r="T972" t="s">
        <v>2058</v>
      </c>
    </row>
    <row r="973" spans="1:20" ht="17" x14ac:dyDescent="0.2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s="4">
        <f t="shared" si="63"/>
        <v>0.27725490196078434</v>
      </c>
      <c r="G973" t="s">
        <v>14</v>
      </c>
      <c r="H973">
        <v>24</v>
      </c>
      <c r="I973" s="6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1"/>
        <v>41555.208333333336</v>
      </c>
      <c r="O973" s="13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2035</v>
      </c>
      <c r="T973" t="s">
        <v>2063</v>
      </c>
    </row>
    <row r="974" spans="1:20" ht="34" x14ac:dyDescent="0.2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s="4">
        <f t="shared" si="63"/>
        <v>2.283934426229508</v>
      </c>
      <c r="G974" t="s">
        <v>20</v>
      </c>
      <c r="H974">
        <v>1681</v>
      </c>
      <c r="I974" s="6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1"/>
        <v>41792.208333333336</v>
      </c>
      <c r="O974" s="13">
        <f t="shared" si="62"/>
        <v>41801.208333333336</v>
      </c>
      <c r="P974" t="b">
        <v>0</v>
      </c>
      <c r="Q974" t="b">
        <v>1</v>
      </c>
      <c r="R974" t="s">
        <v>28</v>
      </c>
      <c r="S974" t="s">
        <v>2042</v>
      </c>
      <c r="T974" t="s">
        <v>2067</v>
      </c>
    </row>
    <row r="975" spans="1:20" ht="17" x14ac:dyDescent="0.2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s="4">
        <f t="shared" si="63"/>
        <v>0.21615194054500414</v>
      </c>
      <c r="G975" t="s">
        <v>14</v>
      </c>
      <c r="H975">
        <v>252</v>
      </c>
      <c r="I975" s="6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1"/>
        <v>40522.25</v>
      </c>
      <c r="O975" s="13">
        <f t="shared" si="62"/>
        <v>40524.25</v>
      </c>
      <c r="P975" t="b">
        <v>0</v>
      </c>
      <c r="Q975" t="b">
        <v>1</v>
      </c>
      <c r="R975" t="s">
        <v>33</v>
      </c>
      <c r="S975" t="s">
        <v>2043</v>
      </c>
      <c r="T975" t="s">
        <v>2058</v>
      </c>
    </row>
    <row r="976" spans="1:20" ht="17" x14ac:dyDescent="0.2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s="4">
        <f t="shared" si="63"/>
        <v>3.73875</v>
      </c>
      <c r="G976" t="s">
        <v>20</v>
      </c>
      <c r="H976">
        <v>32</v>
      </c>
      <c r="I976" s="6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1"/>
        <v>41412.208333333336</v>
      </c>
      <c r="O976" s="13">
        <f t="shared" si="62"/>
        <v>41413.208333333336</v>
      </c>
      <c r="P976" t="b">
        <v>0</v>
      </c>
      <c r="Q976" t="b">
        <v>0</v>
      </c>
      <c r="R976" t="s">
        <v>60</v>
      </c>
      <c r="S976" t="s">
        <v>2039</v>
      </c>
      <c r="T976" t="s">
        <v>2052</v>
      </c>
    </row>
    <row r="977" spans="1:20" ht="17" x14ac:dyDescent="0.2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s="4">
        <f t="shared" si="63"/>
        <v>1.5492592592592593</v>
      </c>
      <c r="G977" t="s">
        <v>20</v>
      </c>
      <c r="H977">
        <v>135</v>
      </c>
      <c r="I977" s="6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1"/>
        <v>42337.25</v>
      </c>
      <c r="O977" s="13">
        <f t="shared" si="62"/>
        <v>42376.25</v>
      </c>
      <c r="P977" t="b">
        <v>0</v>
      </c>
      <c r="Q977" t="b">
        <v>1</v>
      </c>
      <c r="R977" t="s">
        <v>33</v>
      </c>
      <c r="S977" t="s">
        <v>2043</v>
      </c>
      <c r="T977" t="s">
        <v>2058</v>
      </c>
    </row>
    <row r="978" spans="1:20" ht="34" x14ac:dyDescent="0.2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s="4">
        <f t="shared" si="63"/>
        <v>3.2214999999999998</v>
      </c>
      <c r="G978" t="s">
        <v>20</v>
      </c>
      <c r="H978">
        <v>140</v>
      </c>
      <c r="I978" s="6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1"/>
        <v>40571.25</v>
      </c>
      <c r="O978" s="13">
        <f t="shared" si="62"/>
        <v>40577.25</v>
      </c>
      <c r="P978" t="b">
        <v>0</v>
      </c>
      <c r="Q978" t="b">
        <v>1</v>
      </c>
      <c r="R978" t="s">
        <v>33</v>
      </c>
      <c r="S978" t="s">
        <v>2043</v>
      </c>
      <c r="T978" t="s">
        <v>2058</v>
      </c>
    </row>
    <row r="979" spans="1:20" ht="17" x14ac:dyDescent="0.2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s="4">
        <f t="shared" si="63"/>
        <v>0.73957142857142855</v>
      </c>
      <c r="G979" t="s">
        <v>14</v>
      </c>
      <c r="H979">
        <v>67</v>
      </c>
      <c r="I979" s="6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1"/>
        <v>43138.25</v>
      </c>
      <c r="O979" s="13">
        <f t="shared" si="62"/>
        <v>43170.25</v>
      </c>
      <c r="P979" t="b">
        <v>0</v>
      </c>
      <c r="Q979" t="b">
        <v>0</v>
      </c>
      <c r="R979" t="s">
        <v>17</v>
      </c>
      <c r="S979" t="s">
        <v>2036</v>
      </c>
      <c r="T979" t="s">
        <v>2051</v>
      </c>
    </row>
    <row r="980" spans="1:20" ht="17" x14ac:dyDescent="0.2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s="4">
        <f t="shared" si="63"/>
        <v>8.641</v>
      </c>
      <c r="G980" t="s">
        <v>20</v>
      </c>
      <c r="H980">
        <v>92</v>
      </c>
      <c r="I980" s="6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1"/>
        <v>42686.25</v>
      </c>
      <c r="O980" s="13">
        <f t="shared" si="62"/>
        <v>42708.25</v>
      </c>
      <c r="P980" t="b">
        <v>0</v>
      </c>
      <c r="Q980" t="b">
        <v>0</v>
      </c>
      <c r="R980" t="s">
        <v>89</v>
      </c>
      <c r="S980" t="s">
        <v>2037</v>
      </c>
      <c r="T980" t="s">
        <v>2065</v>
      </c>
    </row>
    <row r="981" spans="1:20" ht="17" x14ac:dyDescent="0.2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s="4">
        <f t="shared" si="63"/>
        <v>1.432624584717608</v>
      </c>
      <c r="G981" t="s">
        <v>20</v>
      </c>
      <c r="H981">
        <v>1015</v>
      </c>
      <c r="I981" s="6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1"/>
        <v>42078.208333333328</v>
      </c>
      <c r="O981" s="13">
        <f t="shared" si="62"/>
        <v>42084.208333333328</v>
      </c>
      <c r="P981" t="b">
        <v>0</v>
      </c>
      <c r="Q981" t="b">
        <v>0</v>
      </c>
      <c r="R981" t="s">
        <v>33</v>
      </c>
      <c r="S981" t="s">
        <v>2043</v>
      </c>
      <c r="T981" t="s">
        <v>2058</v>
      </c>
    </row>
    <row r="982" spans="1:20" ht="17" x14ac:dyDescent="0.2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s="4">
        <f t="shared" si="63"/>
        <v>0.40281762295081969</v>
      </c>
      <c r="G982" t="s">
        <v>14</v>
      </c>
      <c r="H982">
        <v>742</v>
      </c>
      <c r="I982" s="6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1"/>
        <v>42307.208333333328</v>
      </c>
      <c r="O982" s="13">
        <f t="shared" si="62"/>
        <v>42312.25</v>
      </c>
      <c r="P982" t="b">
        <v>1</v>
      </c>
      <c r="Q982" t="b">
        <v>0</v>
      </c>
      <c r="R982" t="s">
        <v>68</v>
      </c>
      <c r="S982" t="s">
        <v>2041</v>
      </c>
      <c r="T982" t="s">
        <v>2056</v>
      </c>
    </row>
    <row r="983" spans="1:20" ht="17" x14ac:dyDescent="0.2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s="4">
        <f t="shared" si="63"/>
        <v>1.7822388059701493</v>
      </c>
      <c r="G983" t="s">
        <v>20</v>
      </c>
      <c r="H983">
        <v>323</v>
      </c>
      <c r="I983" s="6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1"/>
        <v>43094.25</v>
      </c>
      <c r="O983" s="13">
        <f t="shared" si="62"/>
        <v>43127.25</v>
      </c>
      <c r="P983" t="b">
        <v>0</v>
      </c>
      <c r="Q983" t="b">
        <v>0</v>
      </c>
      <c r="R983" t="s">
        <v>28</v>
      </c>
      <c r="S983" t="s">
        <v>2042</v>
      </c>
      <c r="T983" t="s">
        <v>2067</v>
      </c>
    </row>
    <row r="984" spans="1:20" ht="17" x14ac:dyDescent="0.2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s="4">
        <f t="shared" si="63"/>
        <v>0.84930555555555554</v>
      </c>
      <c r="G984" t="s">
        <v>14</v>
      </c>
      <c r="H984">
        <v>75</v>
      </c>
      <c r="I984" s="6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1"/>
        <v>40743.208333333336</v>
      </c>
      <c r="O984" s="13">
        <f t="shared" si="62"/>
        <v>40745.208333333336</v>
      </c>
      <c r="P984" t="b">
        <v>0</v>
      </c>
      <c r="Q984" t="b">
        <v>1</v>
      </c>
      <c r="R984" t="s">
        <v>42</v>
      </c>
      <c r="S984" t="s">
        <v>2035</v>
      </c>
      <c r="T984" t="s">
        <v>2047</v>
      </c>
    </row>
    <row r="985" spans="1:20" ht="17" x14ac:dyDescent="0.2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s="4">
        <f t="shared" si="63"/>
        <v>1.4593648334624323</v>
      </c>
      <c r="G985" t="s">
        <v>20</v>
      </c>
      <c r="H985">
        <v>2326</v>
      </c>
      <c r="I985" s="6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1"/>
        <v>43681.208333333328</v>
      </c>
      <c r="O985" s="13">
        <f t="shared" si="62"/>
        <v>43696.208333333328</v>
      </c>
      <c r="P985" t="b">
        <v>0</v>
      </c>
      <c r="Q985" t="b">
        <v>0</v>
      </c>
      <c r="R985" t="s">
        <v>42</v>
      </c>
      <c r="S985" t="s">
        <v>2035</v>
      </c>
      <c r="T985" t="s">
        <v>2047</v>
      </c>
    </row>
    <row r="986" spans="1:20" ht="34" x14ac:dyDescent="0.2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s="4">
        <f t="shared" si="63"/>
        <v>1.5246153846153847</v>
      </c>
      <c r="G986" t="s">
        <v>20</v>
      </c>
      <c r="H986">
        <v>381</v>
      </c>
      <c r="I986" s="6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1"/>
        <v>43716.208333333328</v>
      </c>
      <c r="O986" s="13">
        <f t="shared" si="62"/>
        <v>43742.208333333328</v>
      </c>
      <c r="P986" t="b">
        <v>0</v>
      </c>
      <c r="Q986" t="b">
        <v>0</v>
      </c>
      <c r="R986" t="s">
        <v>33</v>
      </c>
      <c r="S986" t="s">
        <v>2043</v>
      </c>
      <c r="T986" t="s">
        <v>2058</v>
      </c>
    </row>
    <row r="987" spans="1:20" ht="17" x14ac:dyDescent="0.2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s="4">
        <f t="shared" si="63"/>
        <v>0.67129542790152408</v>
      </c>
      <c r="G987" t="s">
        <v>14</v>
      </c>
      <c r="H987">
        <v>4405</v>
      </c>
      <c r="I987" s="6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1"/>
        <v>41614.25</v>
      </c>
      <c r="O987" s="13">
        <f t="shared" si="62"/>
        <v>41640.25</v>
      </c>
      <c r="P987" t="b">
        <v>0</v>
      </c>
      <c r="Q987" t="b">
        <v>1</v>
      </c>
      <c r="R987" t="s">
        <v>23</v>
      </c>
      <c r="S987" t="s">
        <v>2039</v>
      </c>
      <c r="T987" t="s">
        <v>2060</v>
      </c>
    </row>
    <row r="988" spans="1:20" ht="34" x14ac:dyDescent="0.2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s="4">
        <f t="shared" si="63"/>
        <v>0.40307692307692305</v>
      </c>
      <c r="G988" t="s">
        <v>14</v>
      </c>
      <c r="H988">
        <v>92</v>
      </c>
      <c r="I988" s="6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1"/>
        <v>40638.208333333336</v>
      </c>
      <c r="O988" s="13">
        <f t="shared" si="62"/>
        <v>40652.208333333336</v>
      </c>
      <c r="P988" t="b">
        <v>0</v>
      </c>
      <c r="Q988" t="b">
        <v>0</v>
      </c>
      <c r="R988" t="s">
        <v>23</v>
      </c>
      <c r="S988" t="s">
        <v>2039</v>
      </c>
      <c r="T988" t="s">
        <v>2060</v>
      </c>
    </row>
    <row r="989" spans="1:20" ht="17" x14ac:dyDescent="0.2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s="4">
        <f t="shared" si="63"/>
        <v>2.1679032258064517</v>
      </c>
      <c r="G989" t="s">
        <v>20</v>
      </c>
      <c r="H989">
        <v>480</v>
      </c>
      <c r="I989" s="6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1"/>
        <v>42852.208333333328</v>
      </c>
      <c r="O989" s="13">
        <f t="shared" si="62"/>
        <v>42866.208333333328</v>
      </c>
      <c r="P989" t="b">
        <v>0</v>
      </c>
      <c r="Q989" t="b">
        <v>0</v>
      </c>
      <c r="R989" t="s">
        <v>42</v>
      </c>
      <c r="S989" t="s">
        <v>2035</v>
      </c>
      <c r="T989" t="s">
        <v>2047</v>
      </c>
    </row>
    <row r="990" spans="1:20" ht="17" x14ac:dyDescent="0.2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s="4">
        <f t="shared" si="63"/>
        <v>0.52117021276595743</v>
      </c>
      <c r="G990" t="s">
        <v>14</v>
      </c>
      <c r="H990">
        <v>64</v>
      </c>
      <c r="I990" s="6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1"/>
        <v>42686.25</v>
      </c>
      <c r="O990" s="13">
        <f t="shared" si="62"/>
        <v>42707.25</v>
      </c>
      <c r="P990" t="b">
        <v>0</v>
      </c>
      <c r="Q990" t="b">
        <v>0</v>
      </c>
      <c r="R990" t="s">
        <v>133</v>
      </c>
      <c r="S990" t="s">
        <v>2041</v>
      </c>
      <c r="T990" t="s">
        <v>2059</v>
      </c>
    </row>
    <row r="991" spans="1:20" ht="17" x14ac:dyDescent="0.2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s="4">
        <f t="shared" si="63"/>
        <v>4.9958333333333336</v>
      </c>
      <c r="G991" t="s">
        <v>20</v>
      </c>
      <c r="H991">
        <v>226</v>
      </c>
      <c r="I991" s="6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1"/>
        <v>43571.208333333328</v>
      </c>
      <c r="O991" s="13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2041</v>
      </c>
      <c r="T991" t="s">
        <v>2064</v>
      </c>
    </row>
    <row r="992" spans="1:20" ht="17" x14ac:dyDescent="0.2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s="4">
        <f t="shared" si="63"/>
        <v>0.87679487179487181</v>
      </c>
      <c r="G992" t="s">
        <v>14</v>
      </c>
      <c r="H992">
        <v>64</v>
      </c>
      <c r="I992" s="6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1"/>
        <v>42432.25</v>
      </c>
      <c r="O992" s="13">
        <f t="shared" si="62"/>
        <v>42454.208333333328</v>
      </c>
      <c r="P992" t="b">
        <v>0</v>
      </c>
      <c r="Q992" t="b">
        <v>1</v>
      </c>
      <c r="R992" t="s">
        <v>53</v>
      </c>
      <c r="S992" t="s">
        <v>2035</v>
      </c>
      <c r="T992" t="s">
        <v>2048</v>
      </c>
    </row>
    <row r="993" spans="1:20" ht="17" x14ac:dyDescent="0.2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s="4">
        <f t="shared" si="63"/>
        <v>1.131734693877551</v>
      </c>
      <c r="G993" t="s">
        <v>20</v>
      </c>
      <c r="H993">
        <v>241</v>
      </c>
      <c r="I993" s="6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1"/>
        <v>41907.208333333336</v>
      </c>
      <c r="O993" s="13">
        <f t="shared" si="62"/>
        <v>41911.208333333336</v>
      </c>
      <c r="P993" t="b">
        <v>0</v>
      </c>
      <c r="Q993" t="b">
        <v>1</v>
      </c>
      <c r="R993" t="s">
        <v>23</v>
      </c>
      <c r="S993" t="s">
        <v>2039</v>
      </c>
      <c r="T993" t="s">
        <v>2060</v>
      </c>
    </row>
    <row r="994" spans="1:20" ht="17" x14ac:dyDescent="0.2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s="4">
        <f t="shared" si="63"/>
        <v>4.2654838709677421</v>
      </c>
      <c r="G994" t="s">
        <v>20</v>
      </c>
      <c r="H994">
        <v>132</v>
      </c>
      <c r="I994" s="6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1"/>
        <v>43227.208333333328</v>
      </c>
      <c r="O994" s="13">
        <f t="shared" si="62"/>
        <v>43241.208333333328</v>
      </c>
      <c r="P994" t="b">
        <v>0</v>
      </c>
      <c r="Q994" t="b">
        <v>1</v>
      </c>
      <c r="R994" t="s">
        <v>53</v>
      </c>
      <c r="S994" t="s">
        <v>2035</v>
      </c>
      <c r="T994" t="s">
        <v>2048</v>
      </c>
    </row>
    <row r="995" spans="1:20" ht="17" x14ac:dyDescent="0.2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s="4">
        <f t="shared" si="63"/>
        <v>0.77632653061224488</v>
      </c>
      <c r="G995" t="s">
        <v>74</v>
      </c>
      <c r="H995">
        <v>75</v>
      </c>
      <c r="I995" s="6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1"/>
        <v>42362.25</v>
      </c>
      <c r="O995" s="13">
        <f t="shared" si="62"/>
        <v>42379.25</v>
      </c>
      <c r="P995" t="b">
        <v>0</v>
      </c>
      <c r="Q995" t="b">
        <v>1</v>
      </c>
      <c r="R995" t="s">
        <v>122</v>
      </c>
      <c r="S995" t="s">
        <v>2040</v>
      </c>
      <c r="T995" t="s">
        <v>2057</v>
      </c>
    </row>
    <row r="996" spans="1:20" ht="17" x14ac:dyDescent="0.2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s="4">
        <f t="shared" si="63"/>
        <v>0.52496810772501767</v>
      </c>
      <c r="G996" t="s">
        <v>14</v>
      </c>
      <c r="H996">
        <v>842</v>
      </c>
      <c r="I996" s="6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1"/>
        <v>41929.208333333336</v>
      </c>
      <c r="O996" s="13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2041</v>
      </c>
      <c r="T996" t="s">
        <v>2064</v>
      </c>
    </row>
    <row r="997" spans="1:20" ht="17" x14ac:dyDescent="0.2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s="4">
        <f t="shared" si="63"/>
        <v>1.5746762589928058</v>
      </c>
      <c r="G997" t="s">
        <v>20</v>
      </c>
      <c r="H997">
        <v>2043</v>
      </c>
      <c r="I997" s="6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1"/>
        <v>43408.208333333328</v>
      </c>
      <c r="O997" s="13">
        <f t="shared" si="62"/>
        <v>43437.25</v>
      </c>
      <c r="P997" t="b">
        <v>0</v>
      </c>
      <c r="Q997" t="b">
        <v>1</v>
      </c>
      <c r="R997" t="s">
        <v>17</v>
      </c>
      <c r="S997" t="s">
        <v>2036</v>
      </c>
      <c r="T997" t="s">
        <v>2051</v>
      </c>
    </row>
    <row r="998" spans="1:20" ht="34" x14ac:dyDescent="0.2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s="4">
        <f t="shared" si="63"/>
        <v>0.72939393939393937</v>
      </c>
      <c r="G998" t="s">
        <v>14</v>
      </c>
      <c r="H998">
        <v>112</v>
      </c>
      <c r="I998" s="6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1"/>
        <v>41276.25</v>
      </c>
      <c r="O998" s="13">
        <f t="shared" si="62"/>
        <v>41306.25</v>
      </c>
      <c r="P998" t="b">
        <v>0</v>
      </c>
      <c r="Q998" t="b">
        <v>0</v>
      </c>
      <c r="R998" t="s">
        <v>33</v>
      </c>
      <c r="S998" t="s">
        <v>2043</v>
      </c>
      <c r="T998" t="s">
        <v>2058</v>
      </c>
    </row>
    <row r="999" spans="1:20" ht="17" x14ac:dyDescent="0.2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s="4">
        <f t="shared" si="63"/>
        <v>0.60565789473684206</v>
      </c>
      <c r="G999" t="s">
        <v>74</v>
      </c>
      <c r="H999">
        <v>139</v>
      </c>
      <c r="I999" s="6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1"/>
        <v>41659.25</v>
      </c>
      <c r="O999" s="13">
        <f t="shared" si="62"/>
        <v>41664.25</v>
      </c>
      <c r="P999" t="b">
        <v>0</v>
      </c>
      <c r="Q999" t="b">
        <v>0</v>
      </c>
      <c r="R999" t="s">
        <v>33</v>
      </c>
      <c r="S999" t="s">
        <v>2043</v>
      </c>
      <c r="T999" t="s">
        <v>2058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s="4">
        <f t="shared" si="63"/>
        <v>0.5679129129129129</v>
      </c>
      <c r="G1000" t="s">
        <v>14</v>
      </c>
      <c r="H1000">
        <v>374</v>
      </c>
      <c r="I1000" s="6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1"/>
        <v>40220.25</v>
      </c>
      <c r="O1000" s="13">
        <f t="shared" si="62"/>
        <v>40234.25</v>
      </c>
      <c r="P1000" t="b">
        <v>0</v>
      </c>
      <c r="Q1000" t="b">
        <v>1</v>
      </c>
      <c r="R1000" t="s">
        <v>60</v>
      </c>
      <c r="S1000" t="s">
        <v>2039</v>
      </c>
      <c r="T1000" t="s">
        <v>2052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s="4">
        <f t="shared" si="63"/>
        <v>0.56542754275427543</v>
      </c>
      <c r="G1001" t="s">
        <v>74</v>
      </c>
      <c r="H1001">
        <v>1122</v>
      </c>
      <c r="I1001" s="6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1"/>
        <v>42550.208333333328</v>
      </c>
      <c r="O1001" s="13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2036</v>
      </c>
      <c r="T1001" t="s">
        <v>2051</v>
      </c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29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6</v>
      </c>
      <c r="B1" t="s">
        <v>2044</v>
      </c>
    </row>
    <row r="3" spans="1:6" x14ac:dyDescent="0.2">
      <c r="A3" s="10" t="s">
        <v>2031</v>
      </c>
      <c r="B3" s="10" t="s">
        <v>2032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11" t="s">
        <v>2045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11" t="s">
        <v>2046</v>
      </c>
      <c r="E6">
        <v>4</v>
      </c>
      <c r="F6">
        <v>4</v>
      </c>
    </row>
    <row r="7" spans="1:6" x14ac:dyDescent="0.2">
      <c r="A7" s="11" t="s">
        <v>2047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1" t="s">
        <v>2048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1" t="s">
        <v>2049</v>
      </c>
      <c r="C9">
        <v>8</v>
      </c>
      <c r="E9">
        <v>10</v>
      </c>
      <c r="F9">
        <v>18</v>
      </c>
    </row>
    <row r="10" spans="1:6" x14ac:dyDescent="0.2">
      <c r="A10" s="11" t="s">
        <v>2050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11" t="s">
        <v>2051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11" t="s">
        <v>2052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11" t="s">
        <v>2053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11" t="s">
        <v>2054</v>
      </c>
      <c r="C14">
        <v>3</v>
      </c>
      <c r="E14">
        <v>4</v>
      </c>
      <c r="F14">
        <v>7</v>
      </c>
    </row>
    <row r="15" spans="1:6" x14ac:dyDescent="0.2">
      <c r="A15" s="11" t="s">
        <v>2055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11" t="s">
        <v>2056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11" t="s">
        <v>2057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11" t="s">
        <v>2058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11" t="s">
        <v>2059</v>
      </c>
      <c r="C19">
        <v>4</v>
      </c>
      <c r="E19">
        <v>4</v>
      </c>
      <c r="F19">
        <v>8</v>
      </c>
    </row>
    <row r="20" spans="1:6" x14ac:dyDescent="0.2">
      <c r="A20" s="11" t="s">
        <v>2060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11" t="s">
        <v>2061</v>
      </c>
      <c r="C21">
        <v>9</v>
      </c>
      <c r="E21">
        <v>5</v>
      </c>
      <c r="F21">
        <v>14</v>
      </c>
    </row>
    <row r="22" spans="1:6" x14ac:dyDescent="0.2">
      <c r="A22" s="11" t="s">
        <v>2062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11" t="s">
        <v>2063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11" t="s">
        <v>2064</v>
      </c>
      <c r="C24">
        <v>7</v>
      </c>
      <c r="E24">
        <v>14</v>
      </c>
      <c r="F24">
        <v>21</v>
      </c>
    </row>
    <row r="25" spans="1:6" x14ac:dyDescent="0.2">
      <c r="A25" s="11" t="s">
        <v>2065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11" t="s">
        <v>2066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11" t="s">
        <v>2067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11" t="s">
        <v>2068</v>
      </c>
      <c r="E28">
        <v>3</v>
      </c>
      <c r="F28">
        <v>3</v>
      </c>
    </row>
    <row r="29" spans="1:6" x14ac:dyDescent="0.2">
      <c r="A29" s="11" t="s">
        <v>2033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F14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3.1640625" bestFit="1" customWidth="1"/>
    <col min="8" max="8" width="15.6640625" bestFit="1" customWidth="1"/>
    <col min="9" max="9" width="23.1640625" bestFit="1" customWidth="1"/>
    <col min="10" max="10" width="20.5" bestFit="1" customWidth="1"/>
    <col min="11" max="11" width="28" bestFit="1" customWidth="1"/>
  </cols>
  <sheetData>
    <row r="1" spans="1:6" x14ac:dyDescent="0.2">
      <c r="A1" s="10" t="s">
        <v>6</v>
      </c>
      <c r="B1" t="s">
        <v>2044</v>
      </c>
    </row>
    <row r="3" spans="1:6" x14ac:dyDescent="0.2">
      <c r="A3" s="10" t="s">
        <v>2031</v>
      </c>
      <c r="B3" s="10" t="s">
        <v>2032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2038</v>
      </c>
      <c r="E8">
        <v>4</v>
      </c>
      <c r="F8">
        <v>4</v>
      </c>
    </row>
    <row r="9" spans="1:6" x14ac:dyDescent="0.2">
      <c r="A9" s="11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7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1.33203125" bestFit="1" customWidth="1"/>
  </cols>
  <sheetData>
    <row r="1" spans="1:5" x14ac:dyDescent="0.2">
      <c r="A1" s="10" t="s">
        <v>2083</v>
      </c>
      <c r="B1" t="s">
        <v>2044</v>
      </c>
    </row>
    <row r="3" spans="1:5" x14ac:dyDescent="0.2">
      <c r="A3" s="10" t="s">
        <v>2031</v>
      </c>
      <c r="B3" s="10" t="s">
        <v>2032</v>
      </c>
    </row>
    <row r="4" spans="1:5" x14ac:dyDescent="0.2">
      <c r="A4" s="10" t="s">
        <v>2034</v>
      </c>
      <c r="B4" t="s">
        <v>74</v>
      </c>
      <c r="C4" t="s">
        <v>14</v>
      </c>
      <c r="D4" t="s">
        <v>20</v>
      </c>
      <c r="E4" t="s">
        <v>2033</v>
      </c>
    </row>
    <row r="5" spans="1:5" x14ac:dyDescent="0.2">
      <c r="A5" s="15" t="s">
        <v>2071</v>
      </c>
      <c r="B5">
        <v>6</v>
      </c>
      <c r="C5">
        <v>36</v>
      </c>
      <c r="D5">
        <v>49</v>
      </c>
      <c r="E5">
        <v>91</v>
      </c>
    </row>
    <row r="6" spans="1:5" x14ac:dyDescent="0.2">
      <c r="A6" s="15" t="s">
        <v>2072</v>
      </c>
      <c r="B6">
        <v>7</v>
      </c>
      <c r="C6">
        <v>28</v>
      </c>
      <c r="D6">
        <v>44</v>
      </c>
      <c r="E6">
        <v>79</v>
      </c>
    </row>
    <row r="7" spans="1:5" x14ac:dyDescent="0.2">
      <c r="A7" s="15" t="s">
        <v>2073</v>
      </c>
      <c r="B7">
        <v>4</v>
      </c>
      <c r="C7">
        <v>33</v>
      </c>
      <c r="D7">
        <v>49</v>
      </c>
      <c r="E7">
        <v>86</v>
      </c>
    </row>
    <row r="8" spans="1:5" x14ac:dyDescent="0.2">
      <c r="A8" s="15" t="s">
        <v>2074</v>
      </c>
      <c r="B8">
        <v>1</v>
      </c>
      <c r="C8">
        <v>30</v>
      </c>
      <c r="D8">
        <v>46</v>
      </c>
      <c r="E8">
        <v>77</v>
      </c>
    </row>
    <row r="9" spans="1:5" x14ac:dyDescent="0.2">
      <c r="A9" s="15" t="s">
        <v>2075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15" t="s">
        <v>2076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15" t="s">
        <v>2077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15" t="s">
        <v>2078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15" t="s">
        <v>2079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15" t="s">
        <v>2080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15" t="s">
        <v>2081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15" t="s">
        <v>2082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15" t="s">
        <v>2033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="140" zoomScaleNormal="140" workbookViewId="0"/>
  </sheetViews>
  <sheetFormatPr baseColWidth="10" defaultRowHeight="16" x14ac:dyDescent="0.2"/>
  <cols>
    <col min="1" max="1" width="28.83203125" customWidth="1"/>
    <col min="2" max="2" width="18.83203125" customWidth="1"/>
    <col min="3" max="3" width="15.5" customWidth="1"/>
    <col min="4" max="4" width="18" customWidth="1"/>
    <col min="5" max="5" width="14.33203125" customWidth="1"/>
    <col min="6" max="6" width="21.1640625" style="17" customWidth="1"/>
    <col min="7" max="7" width="17.83203125" style="17" customWidth="1"/>
    <col min="8" max="8" width="20.5" style="17" customWidth="1"/>
  </cols>
  <sheetData>
    <row r="1" spans="1:8" s="16" customFormat="1" x14ac:dyDescent="0.2">
      <c r="A1" s="20" t="s">
        <v>2084</v>
      </c>
      <c r="B1" s="21" t="s">
        <v>2085</v>
      </c>
      <c r="C1" s="21" t="s">
        <v>2086</v>
      </c>
      <c r="D1" s="21" t="s">
        <v>2087</v>
      </c>
      <c r="E1" s="21" t="s">
        <v>2088</v>
      </c>
      <c r="F1" s="22" t="s">
        <v>2089</v>
      </c>
      <c r="G1" s="22" t="s">
        <v>2090</v>
      </c>
      <c r="H1" s="22" t="s">
        <v>2091</v>
      </c>
    </row>
    <row r="2" spans="1:8" x14ac:dyDescent="0.2">
      <c r="A2" s="19" t="s">
        <v>2092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18">
        <f>B2/$E2</f>
        <v>0.58823529411764708</v>
      </c>
      <c r="G2" s="18">
        <f>C2/$E2</f>
        <v>0.39215686274509803</v>
      </c>
      <c r="H2" s="18">
        <f>D2/$E2</f>
        <v>1.9607843137254902E-2</v>
      </c>
    </row>
    <row r="3" spans="1:8" x14ac:dyDescent="0.2">
      <c r="A3" s="19" t="s">
        <v>2093</v>
      </c>
      <c r="B3">
        <f>COUNTIFS(Crowdfunding!$D$2:$D$1001,"&gt;=1000",Crowdfunding!$D$2:$D$1001,"&lt;=4999",Crowdfunding!$G$2:$G$1001,"=successful")</f>
        <v>191</v>
      </c>
      <c r="C3">
        <f>COUNTIFS(Crowdfunding!$D$2:$D$1001,"&gt;=1000",Crowdfunding!$D$2:$D$1001,"&lt;=4999",Crowdfunding!$G$2:$G$1001,"=failed")</f>
        <v>38</v>
      </c>
      <c r="D3">
        <f>COUNTIFS(Crowdfunding!$D$2:$D$1001,"&gt;=1000",Crowdfunding!$D$2:$D$1001,"&lt;=4999",Crowdfunding!$G$2:$G$1001,"=canceled")</f>
        <v>2</v>
      </c>
      <c r="E3">
        <f t="shared" ref="E3:E13" si="0">SUM(B3:D3)</f>
        <v>231</v>
      </c>
      <c r="F3" s="18">
        <f t="shared" ref="F3:H13" si="1">B3/$E3</f>
        <v>0.82683982683982682</v>
      </c>
      <c r="G3" s="18">
        <f t="shared" si="1"/>
        <v>0.16450216450216451</v>
      </c>
      <c r="H3" s="18">
        <f t="shared" si="1"/>
        <v>8.658008658008658E-3</v>
      </c>
    </row>
    <row r="4" spans="1:8" x14ac:dyDescent="0.2">
      <c r="A4" s="19" t="s">
        <v>2094</v>
      </c>
      <c r="B4">
        <f>COUNTIFS(Crowdfunding!$D$2:$D$1001,"&gt;=5000",Crowdfunding!$D$2:$D$1001,"&lt;=9999",Crowdfunding!$G$2:$G$1001,"=successful")</f>
        <v>164</v>
      </c>
      <c r="C4">
        <f>COUNTIFS(Crowdfunding!$D$2:$D$1001,"&gt;=5000",Crowdfunding!$D$2:$D$1001,"&lt;=9999",Crowdfunding!$G$2:$G$1001,"=failed")</f>
        <v>126</v>
      </c>
      <c r="D4">
        <f>COUNTIFS(Crowdfunding!$D$2:$D$1001,"&gt;=5000",Crowdfunding!$D$2:$D$1001,"&lt;=9999",Crowdfunding!$G$2:$G$1001,"=canceled")</f>
        <v>25</v>
      </c>
      <c r="E4">
        <f t="shared" si="0"/>
        <v>315</v>
      </c>
      <c r="F4" s="18">
        <f t="shared" si="1"/>
        <v>0.52063492063492067</v>
      </c>
      <c r="G4" s="18">
        <f t="shared" si="1"/>
        <v>0.4</v>
      </c>
      <c r="H4" s="18">
        <f t="shared" si="1"/>
        <v>7.9365079365079361E-2</v>
      </c>
    </row>
    <row r="5" spans="1:8" x14ac:dyDescent="0.2">
      <c r="A5" s="19" t="s">
        <v>2095</v>
      </c>
      <c r="B5">
        <f>COUNTIFS(Crowdfunding!$D$2:$D$1001,"&gt;=10000",Crowdfunding!$D$2:$D$1001,"&lt;=14999",Crowdfunding!$G$2:$G$1001,"=successful")</f>
        <v>4</v>
      </c>
      <c r="C5">
        <f>COUNTIFS(Crowdfunding!$D$2:$D$1001,"&gt;=10000",Crowdfunding!$D$2:$D$1001,"&lt;=14999",Crowdfunding!$G$2:$G$1001,"=failed")</f>
        <v>5</v>
      </c>
      <c r="D5">
        <f>COUNTIFS(Crowdfunding!$D$2:$D$1001,"&gt;=10000",Crowdfunding!$D$2:$D$1001,"&lt;=14999",Crowdfunding!$G$2:$G$1001,"=canceled")</f>
        <v>0</v>
      </c>
      <c r="E5">
        <f t="shared" si="0"/>
        <v>9</v>
      </c>
      <c r="F5" s="18">
        <f t="shared" si="1"/>
        <v>0.44444444444444442</v>
      </c>
      <c r="G5" s="18">
        <f t="shared" si="1"/>
        <v>0.55555555555555558</v>
      </c>
      <c r="H5" s="18">
        <f t="shared" si="1"/>
        <v>0</v>
      </c>
    </row>
    <row r="6" spans="1:8" x14ac:dyDescent="0.2">
      <c r="A6" s="19" t="s">
        <v>2096</v>
      </c>
      <c r="B6">
        <f>COUNTIFS(Crowdfunding!$D$2:$D$1001,"&gt;=15000",Crowdfunding!$D$2:$D$1001,"&lt;=19999",Crowdfunding!$G$2:$G$1001,"=successful")</f>
        <v>10</v>
      </c>
      <c r="C6">
        <f>COUNTIFS(Crowdfunding!$D$2:$D$1001,"&gt;=15000",Crowdfunding!$D$2:$D$1001,"&lt;=19999",Crowdfunding!$G$2:$G$1001,"=failed")</f>
        <v>0</v>
      </c>
      <c r="D6">
        <f>COUNTIFS(Crowdfunding!$D$2:$D$1001,"&gt;=15000",Crowdfunding!$D$2:$D$1001,"&lt;=19999",Crowdfunding!$G$2:$G$1001,"=canceled")</f>
        <v>0</v>
      </c>
      <c r="E6">
        <f t="shared" si="0"/>
        <v>10</v>
      </c>
      <c r="F6" s="18">
        <f t="shared" si="1"/>
        <v>1</v>
      </c>
      <c r="G6" s="18">
        <f t="shared" si="1"/>
        <v>0</v>
      </c>
      <c r="H6" s="18">
        <f t="shared" si="1"/>
        <v>0</v>
      </c>
    </row>
    <row r="7" spans="1:8" x14ac:dyDescent="0.2">
      <c r="A7" s="19" t="s">
        <v>2097</v>
      </c>
      <c r="B7">
        <f>COUNTIFS(Crowdfunding!$D$2:$D$1001,"&gt;=20000",Crowdfunding!$D$2:$D$1001,"&lt;=24999",Crowdfunding!$G$2:$G$1001,"=successful")</f>
        <v>7</v>
      </c>
      <c r="C7">
        <f>COUNTIFS(Crowdfunding!$D$2:$D$1001,"&gt;=20000",Crowdfunding!$D$2:$D$1001,"&lt;=24999",Crowdfunding!$G$2:$G$1001,"=failed")</f>
        <v>0</v>
      </c>
      <c r="D7">
        <f>COUNTIFS(Crowdfunding!$D$2:$D$1001,"&gt;=20000",Crowdfunding!$D$2:$D$1001,"&lt;=24999",Crowdfunding!$G$2:$G$1001,"=canceled")</f>
        <v>0</v>
      </c>
      <c r="E7">
        <f t="shared" si="0"/>
        <v>7</v>
      </c>
      <c r="F7" s="18">
        <f t="shared" si="1"/>
        <v>1</v>
      </c>
      <c r="G7" s="18">
        <f t="shared" si="1"/>
        <v>0</v>
      </c>
      <c r="H7" s="18">
        <f t="shared" si="1"/>
        <v>0</v>
      </c>
    </row>
    <row r="8" spans="1:8" x14ac:dyDescent="0.2">
      <c r="A8" s="19" t="s">
        <v>2098</v>
      </c>
      <c r="B8">
        <f>COUNTIFS(Crowdfunding!$D$2:$D$1001,"&gt;=25000",Crowdfunding!$D$2:$D$1001,"&lt;=29999",Crowdfunding!$G$2:$G$1001,"=successful")</f>
        <v>11</v>
      </c>
      <c r="C8">
        <f>COUNTIFS(Crowdfunding!$D$2:$D$1001,"&gt;=25000",Crowdfunding!$D$2:$D$1001,"&lt;=29999",Crowdfunding!$G$2:$G$1001,"=failed")</f>
        <v>3</v>
      </c>
      <c r="D8">
        <f>COUNTIFS(Crowdfunding!$D$2:$D$1001,"&gt;=25000",Crowdfunding!$D$2:$D$1001,"&lt;=29999",Crowdfunding!$G$2:$G$1001,"=canceled")</f>
        <v>0</v>
      </c>
      <c r="E8">
        <f t="shared" si="0"/>
        <v>14</v>
      </c>
      <c r="F8" s="18">
        <f t="shared" si="1"/>
        <v>0.7857142857142857</v>
      </c>
      <c r="G8" s="18">
        <f t="shared" si="1"/>
        <v>0.21428571428571427</v>
      </c>
      <c r="H8" s="18">
        <f t="shared" si="1"/>
        <v>0</v>
      </c>
    </row>
    <row r="9" spans="1:8" x14ac:dyDescent="0.2">
      <c r="A9" s="19" t="s">
        <v>2099</v>
      </c>
      <c r="B9">
        <f>COUNTIFS(Crowdfunding!$D$2:$D$1001,"&gt;=30000",Crowdfunding!$D$2:$D$1001,"&lt;=34999",Crowdfunding!$G$2:$G$1001,"=successful")</f>
        <v>7</v>
      </c>
      <c r="C9">
        <f>COUNTIFS(Crowdfunding!$D$2:$D$1001,"&gt;=30000",Crowdfunding!$D$2:$D$1001,"&lt;=34999",Crowdfunding!$G$2:$G$1001,"=failed")</f>
        <v>0</v>
      </c>
      <c r="D9">
        <f>COUNTIFS(Crowdfunding!$D$2:$D$1001,"&gt;=30000",Crowdfunding!$D$2:$D$1001,"&lt;=34999",Crowdfunding!$G$2:$G$1001,"=canceled")</f>
        <v>0</v>
      </c>
      <c r="E9">
        <f t="shared" si="0"/>
        <v>7</v>
      </c>
      <c r="F9" s="18">
        <f t="shared" si="1"/>
        <v>1</v>
      </c>
      <c r="G9" s="18">
        <f t="shared" si="1"/>
        <v>0</v>
      </c>
      <c r="H9" s="18">
        <f t="shared" si="1"/>
        <v>0</v>
      </c>
    </row>
    <row r="10" spans="1:8" x14ac:dyDescent="0.2">
      <c r="A10" s="19" t="s">
        <v>2100</v>
      </c>
      <c r="B10">
        <f>COUNTIFS(Crowdfunding!$D$2:$D$1001,"&gt;=35000",Crowdfunding!$D$2:$D$1001,"&lt;=39999",Crowdfunding!$G$2:$G$1001,"=successful")</f>
        <v>8</v>
      </c>
      <c r="C10">
        <f>COUNTIFS(Crowdfunding!$D$2:$D$1001,"&gt;=35000",Crowdfunding!$D$2:$D$1001,"&lt;=39999",Crowdfunding!$G$2:$G$1001,"=failed")</f>
        <v>3</v>
      </c>
      <c r="D10">
        <f>COUNTIFS(Crowdfunding!$D$2:$D$1001,"&gt;=35000",Crowdfunding!$D$2:$D$1001,"&lt;=39999",Crowdfunding!$G$2:$G$1001,"=canceled")</f>
        <v>1</v>
      </c>
      <c r="E10">
        <f t="shared" si="0"/>
        <v>12</v>
      </c>
      <c r="F10" s="18">
        <f t="shared" si="1"/>
        <v>0.66666666666666663</v>
      </c>
      <c r="G10" s="18">
        <f t="shared" si="1"/>
        <v>0.25</v>
      </c>
      <c r="H10" s="18">
        <f t="shared" si="1"/>
        <v>8.3333333333333329E-2</v>
      </c>
    </row>
    <row r="11" spans="1:8" x14ac:dyDescent="0.2">
      <c r="A11" s="19" t="s">
        <v>2101</v>
      </c>
      <c r="B11">
        <f>COUNTIFS(Crowdfunding!$D$2:$D$1001,"&gt;=40000",Crowdfunding!$D$2:$D$1001,"&lt;=44999",Crowdfunding!$G$2:$G$1001,"=successful")</f>
        <v>11</v>
      </c>
      <c r="C11">
        <f>COUNTIFS(Crowdfunding!$D$2:$D$1001,"&gt;=40000",Crowdfunding!$D$2:$D$1001,"&lt;=44999",Crowdfunding!$G$2:$G$1001,"=failed")</f>
        <v>3</v>
      </c>
      <c r="D11">
        <f>COUNTIFS(Crowdfunding!$D$2:$D$1001,"&gt;=40000",Crowdfunding!$D$2:$D$1001,"&lt;=44999",Crowdfunding!$G$2:$G$1001,"=canceled")</f>
        <v>0</v>
      </c>
      <c r="E11">
        <f t="shared" si="0"/>
        <v>14</v>
      </c>
      <c r="F11" s="18">
        <f t="shared" si="1"/>
        <v>0.7857142857142857</v>
      </c>
      <c r="G11" s="18">
        <f t="shared" si="1"/>
        <v>0.21428571428571427</v>
      </c>
      <c r="H11" s="18">
        <f t="shared" si="1"/>
        <v>0</v>
      </c>
    </row>
    <row r="12" spans="1:8" x14ac:dyDescent="0.2">
      <c r="A12" s="19" t="s">
        <v>2102</v>
      </c>
      <c r="B12">
        <f>COUNTIFS(Crowdfunding!$D$2:$D$1001,"&gt;=45000",Crowdfunding!$D$2:$D$1001,"&lt;=49999",Crowdfunding!$G$2:$G$1001,"=successful")</f>
        <v>8</v>
      </c>
      <c r="C12">
        <f>COUNTIFS(Crowdfunding!$D$2:$D$1001,"&gt;=45000",Crowdfunding!$D$2:$D$1001,"&lt;=49999",Crowdfunding!$G$2:$G$1001,"=failed")</f>
        <v>3</v>
      </c>
      <c r="D12">
        <f>COUNTIFS(Crowdfunding!$D$2:$D$1001,"&gt;=45000",Crowdfunding!$D$2:$D$1001,"&lt;=49999",Crowdfunding!$G$2:$G$1001,"=canceled")</f>
        <v>0</v>
      </c>
      <c r="E12">
        <f t="shared" si="0"/>
        <v>11</v>
      </c>
      <c r="F12" s="18">
        <f t="shared" si="1"/>
        <v>0.72727272727272729</v>
      </c>
      <c r="G12" s="18">
        <f t="shared" si="1"/>
        <v>0.27272727272727271</v>
      </c>
      <c r="H12" s="18">
        <f t="shared" si="1"/>
        <v>0</v>
      </c>
    </row>
    <row r="13" spans="1:8" x14ac:dyDescent="0.2">
      <c r="A13" s="19" t="s">
        <v>2103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8">
        <f t="shared" si="1"/>
        <v>0.3737704918032787</v>
      </c>
      <c r="G13" s="18">
        <f t="shared" si="1"/>
        <v>0.53442622950819674</v>
      </c>
      <c r="H13" s="18">
        <f t="shared" si="1"/>
        <v>9.1803278688524587E-2</v>
      </c>
    </row>
    <row r="14" spans="1:8" x14ac:dyDescent="0.2">
      <c r="A14" s="19"/>
      <c r="F14" s="39"/>
      <c r="G14" s="39"/>
      <c r="H14" s="39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N565"/>
  <sheetViews>
    <sheetView zoomScale="120" zoomScaleNormal="120" workbookViewId="0"/>
  </sheetViews>
  <sheetFormatPr baseColWidth="10" defaultRowHeight="16" x14ac:dyDescent="0.2"/>
  <cols>
    <col min="9" max="13" width="15.83203125" customWidth="1"/>
    <col min="14" max="14" width="18.83203125" customWidth="1"/>
  </cols>
  <sheetData>
    <row r="1" spans="1:14" x14ac:dyDescent="0.2">
      <c r="A1" s="25" t="str" cm="1">
        <f t="array" ref="A1:B565">_xlfn._xlws.FILTER(CrowdfundingTable[[outcome]:[backers_count]],CrowdfundingTable[outcome]="successful")</f>
        <v>successful</v>
      </c>
      <c r="B1">
        <v>158</v>
      </c>
      <c r="D1" s="14" t="str" cm="1">
        <f t="array" ref="D1:E364">_xlfn._xlws.FILTER(CrowdfundingTable[[outcome]:[backers_count]],CrowdfundingTable[outcome]="failed")</f>
        <v>failed</v>
      </c>
      <c r="E1">
        <v>0</v>
      </c>
      <c r="H1" t="s">
        <v>2110</v>
      </c>
      <c r="I1" t="s">
        <v>2104</v>
      </c>
      <c r="J1" t="s">
        <v>2105</v>
      </c>
      <c r="K1" t="s">
        <v>2106</v>
      </c>
      <c r="L1" t="s">
        <v>2107</v>
      </c>
      <c r="M1" t="s">
        <v>2108</v>
      </c>
      <c r="N1" t="s">
        <v>2109</v>
      </c>
    </row>
    <row r="2" spans="1:14" x14ac:dyDescent="0.2">
      <c r="A2" s="25" t="str">
        <v>successful</v>
      </c>
      <c r="B2">
        <v>1425</v>
      </c>
      <c r="D2" s="14" t="str">
        <v>failed</v>
      </c>
      <c r="E2">
        <v>24</v>
      </c>
      <c r="H2" t="s">
        <v>20</v>
      </c>
      <c r="I2" s="23">
        <f>AVERAGE($B$1:$B$565)</f>
        <v>851.14690265486729</v>
      </c>
      <c r="J2" s="23">
        <f>MEDIAN($B$1:$B$565)</f>
        <v>201</v>
      </c>
      <c r="K2" s="24">
        <f>MIN($B$1:$B$565)</f>
        <v>16</v>
      </c>
      <c r="L2" s="24">
        <f>MAX($B$1:$B$565)</f>
        <v>7295</v>
      </c>
      <c r="M2" s="23">
        <f>_xlfn.VAR.P($B$1:$B$565)</f>
        <v>1603373.7324019109</v>
      </c>
      <c r="N2" s="23">
        <f>_xlfn.STDEV.P($B$1:$B$565)</f>
        <v>1266.2439466397898</v>
      </c>
    </row>
    <row r="3" spans="1:14" x14ac:dyDescent="0.2">
      <c r="A3" s="25" t="str">
        <v>successful</v>
      </c>
      <c r="B3">
        <v>174</v>
      </c>
      <c r="D3" s="14" t="str">
        <v>failed</v>
      </c>
      <c r="E3">
        <v>53</v>
      </c>
      <c r="H3" t="s">
        <v>14</v>
      </c>
      <c r="I3" s="23">
        <f>AVERAGE($E$1:$E$364)</f>
        <v>585.61538461538464</v>
      </c>
      <c r="J3" s="23">
        <f>MEDIAN($E$1:$E$364)</f>
        <v>114.5</v>
      </c>
      <c r="K3" s="24">
        <f>MIN($E$1:$E$364)</f>
        <v>0</v>
      </c>
      <c r="L3" s="24">
        <f>MAX($E$1:$E$364)</f>
        <v>6080</v>
      </c>
      <c r="M3" s="23">
        <f>_xlfn.VAR.P($E$1:$E$364)</f>
        <v>921574.68174133555</v>
      </c>
      <c r="N3" s="23">
        <f>_xlfn.STDEV.P($E$1:$E$364)</f>
        <v>959.98681331637863</v>
      </c>
    </row>
    <row r="4" spans="1:14" x14ac:dyDescent="0.2">
      <c r="A4" s="25" t="str">
        <v>successful</v>
      </c>
      <c r="B4">
        <v>227</v>
      </c>
      <c r="D4" s="14" t="str">
        <v>failed</v>
      </c>
      <c r="E4">
        <v>18</v>
      </c>
    </row>
    <row r="5" spans="1:14" x14ac:dyDescent="0.2">
      <c r="A5" s="25" t="str">
        <v>successful</v>
      </c>
      <c r="B5">
        <v>220</v>
      </c>
      <c r="D5" s="14" t="str">
        <v>failed</v>
      </c>
      <c r="E5">
        <v>44</v>
      </c>
    </row>
    <row r="6" spans="1:14" x14ac:dyDescent="0.2">
      <c r="A6" s="25" t="str">
        <v>successful</v>
      </c>
      <c r="B6">
        <v>98</v>
      </c>
      <c r="D6" s="14" t="str">
        <v>failed</v>
      </c>
      <c r="E6">
        <v>27</v>
      </c>
    </row>
    <row r="7" spans="1:14" x14ac:dyDescent="0.2">
      <c r="A7" s="25" t="str">
        <v>successful</v>
      </c>
      <c r="B7">
        <v>100</v>
      </c>
      <c r="D7" s="14" t="str">
        <v>failed</v>
      </c>
      <c r="E7">
        <v>55</v>
      </c>
    </row>
    <row r="8" spans="1:14" x14ac:dyDescent="0.2">
      <c r="A8" s="25" t="str">
        <v>successful</v>
      </c>
      <c r="B8">
        <v>1249</v>
      </c>
      <c r="D8" s="14" t="str">
        <v>failed</v>
      </c>
      <c r="E8">
        <v>200</v>
      </c>
    </row>
    <row r="9" spans="1:14" x14ac:dyDescent="0.2">
      <c r="A9" s="25" t="str">
        <v>successful</v>
      </c>
      <c r="B9">
        <v>1396</v>
      </c>
      <c r="D9" s="14" t="str">
        <v>failed</v>
      </c>
      <c r="E9">
        <v>452</v>
      </c>
    </row>
    <row r="10" spans="1:14" x14ac:dyDescent="0.2">
      <c r="A10" s="25" t="str">
        <v>successful</v>
      </c>
      <c r="B10">
        <v>890</v>
      </c>
      <c r="D10" s="14" t="str">
        <v>failed</v>
      </c>
      <c r="E10">
        <v>674</v>
      </c>
    </row>
    <row r="11" spans="1:14" x14ac:dyDescent="0.2">
      <c r="A11" s="25" t="str">
        <v>successful</v>
      </c>
      <c r="B11">
        <v>142</v>
      </c>
      <c r="D11" s="14" t="str">
        <v>failed</v>
      </c>
      <c r="E11">
        <v>558</v>
      </c>
    </row>
    <row r="12" spans="1:14" x14ac:dyDescent="0.2">
      <c r="A12" s="25" t="str">
        <v>successful</v>
      </c>
      <c r="B12">
        <v>2673</v>
      </c>
      <c r="D12" s="14" t="str">
        <v>failed</v>
      </c>
      <c r="E12">
        <v>15</v>
      </c>
    </row>
    <row r="13" spans="1:14" x14ac:dyDescent="0.2">
      <c r="A13" s="25" t="str">
        <v>successful</v>
      </c>
      <c r="B13">
        <v>163</v>
      </c>
      <c r="D13" s="14" t="str">
        <v>failed</v>
      </c>
      <c r="E13">
        <v>2307</v>
      </c>
    </row>
    <row r="14" spans="1:14" x14ac:dyDescent="0.2">
      <c r="A14" s="25" t="str">
        <v>successful</v>
      </c>
      <c r="B14">
        <v>2220</v>
      </c>
      <c r="D14" s="14" t="str">
        <v>failed</v>
      </c>
      <c r="E14">
        <v>88</v>
      </c>
    </row>
    <row r="15" spans="1:14" x14ac:dyDescent="0.2">
      <c r="A15" s="25" t="str">
        <v>successful</v>
      </c>
      <c r="B15">
        <v>1606</v>
      </c>
      <c r="D15" s="14" t="str">
        <v>failed</v>
      </c>
      <c r="E15">
        <v>48</v>
      </c>
    </row>
    <row r="16" spans="1:14" x14ac:dyDescent="0.2">
      <c r="A16" s="25" t="str">
        <v>successful</v>
      </c>
      <c r="B16">
        <v>129</v>
      </c>
      <c r="D16" s="14" t="str">
        <v>failed</v>
      </c>
      <c r="E16">
        <v>1</v>
      </c>
    </row>
    <row r="17" spans="1:5" x14ac:dyDescent="0.2">
      <c r="A17" s="25" t="str">
        <v>successful</v>
      </c>
      <c r="B17">
        <v>226</v>
      </c>
      <c r="D17" s="14" t="str">
        <v>failed</v>
      </c>
      <c r="E17">
        <v>1467</v>
      </c>
    </row>
    <row r="18" spans="1:5" x14ac:dyDescent="0.2">
      <c r="A18" s="25" t="str">
        <v>successful</v>
      </c>
      <c r="B18">
        <v>5419</v>
      </c>
      <c r="D18" s="14" t="str">
        <v>failed</v>
      </c>
      <c r="E18">
        <v>75</v>
      </c>
    </row>
    <row r="19" spans="1:5" x14ac:dyDescent="0.2">
      <c r="A19" s="25" t="str">
        <v>successful</v>
      </c>
      <c r="B19">
        <v>165</v>
      </c>
      <c r="D19" s="14" t="str">
        <v>failed</v>
      </c>
      <c r="E19">
        <v>120</v>
      </c>
    </row>
    <row r="20" spans="1:5" x14ac:dyDescent="0.2">
      <c r="A20" s="25" t="str">
        <v>successful</v>
      </c>
      <c r="B20">
        <v>1965</v>
      </c>
      <c r="D20" s="14" t="str">
        <v>failed</v>
      </c>
      <c r="E20">
        <v>2253</v>
      </c>
    </row>
    <row r="21" spans="1:5" x14ac:dyDescent="0.2">
      <c r="A21" s="25" t="str">
        <v>successful</v>
      </c>
      <c r="B21">
        <v>16</v>
      </c>
      <c r="D21" s="14" t="str">
        <v>failed</v>
      </c>
      <c r="E21">
        <v>5</v>
      </c>
    </row>
    <row r="22" spans="1:5" x14ac:dyDescent="0.2">
      <c r="A22" s="25" t="str">
        <v>successful</v>
      </c>
      <c r="B22">
        <v>107</v>
      </c>
      <c r="D22" s="14" t="str">
        <v>failed</v>
      </c>
      <c r="E22">
        <v>38</v>
      </c>
    </row>
    <row r="23" spans="1:5" x14ac:dyDescent="0.2">
      <c r="A23" s="25" t="str">
        <v>successful</v>
      </c>
      <c r="B23">
        <v>134</v>
      </c>
      <c r="D23" s="14" t="str">
        <v>failed</v>
      </c>
      <c r="E23">
        <v>12</v>
      </c>
    </row>
    <row r="24" spans="1:5" x14ac:dyDescent="0.2">
      <c r="A24" s="25" t="str">
        <v>successful</v>
      </c>
      <c r="B24">
        <v>198</v>
      </c>
      <c r="D24" s="14" t="str">
        <v>failed</v>
      </c>
      <c r="E24">
        <v>1684</v>
      </c>
    </row>
    <row r="25" spans="1:5" x14ac:dyDescent="0.2">
      <c r="A25" s="25" t="str">
        <v>successful</v>
      </c>
      <c r="B25">
        <v>111</v>
      </c>
      <c r="D25" s="14" t="str">
        <v>failed</v>
      </c>
      <c r="E25">
        <v>56</v>
      </c>
    </row>
    <row r="26" spans="1:5" x14ac:dyDescent="0.2">
      <c r="A26" s="25" t="str">
        <v>successful</v>
      </c>
      <c r="B26">
        <v>222</v>
      </c>
      <c r="D26" s="14" t="str">
        <v>failed</v>
      </c>
      <c r="E26">
        <v>838</v>
      </c>
    </row>
    <row r="27" spans="1:5" x14ac:dyDescent="0.2">
      <c r="A27" s="25" t="str">
        <v>successful</v>
      </c>
      <c r="B27">
        <v>6212</v>
      </c>
      <c r="D27" s="14" t="str">
        <v>failed</v>
      </c>
      <c r="E27">
        <v>1000</v>
      </c>
    </row>
    <row r="28" spans="1:5" x14ac:dyDescent="0.2">
      <c r="A28" s="25" t="str">
        <v>successful</v>
      </c>
      <c r="B28">
        <v>98</v>
      </c>
      <c r="D28" s="14" t="str">
        <v>failed</v>
      </c>
      <c r="E28">
        <v>1482</v>
      </c>
    </row>
    <row r="29" spans="1:5" x14ac:dyDescent="0.2">
      <c r="A29" s="25" t="str">
        <v>successful</v>
      </c>
      <c r="B29">
        <v>92</v>
      </c>
      <c r="D29" s="14" t="str">
        <v>failed</v>
      </c>
      <c r="E29">
        <v>106</v>
      </c>
    </row>
    <row r="30" spans="1:5" x14ac:dyDescent="0.2">
      <c r="A30" s="25" t="str">
        <v>successful</v>
      </c>
      <c r="B30">
        <v>149</v>
      </c>
      <c r="D30" s="14" t="str">
        <v>failed</v>
      </c>
      <c r="E30">
        <v>679</v>
      </c>
    </row>
    <row r="31" spans="1:5" x14ac:dyDescent="0.2">
      <c r="A31" s="25" t="str">
        <v>successful</v>
      </c>
      <c r="B31">
        <v>2431</v>
      </c>
      <c r="D31" s="14" t="str">
        <v>failed</v>
      </c>
      <c r="E31">
        <v>1220</v>
      </c>
    </row>
    <row r="32" spans="1:5" x14ac:dyDescent="0.2">
      <c r="A32" s="25" t="str">
        <v>successful</v>
      </c>
      <c r="B32">
        <v>303</v>
      </c>
      <c r="D32" s="14" t="str">
        <v>failed</v>
      </c>
      <c r="E32">
        <v>1</v>
      </c>
    </row>
    <row r="33" spans="1:5" x14ac:dyDescent="0.2">
      <c r="A33" s="25" t="str">
        <v>successful</v>
      </c>
      <c r="B33">
        <v>209</v>
      </c>
      <c r="D33" s="14" t="str">
        <v>failed</v>
      </c>
      <c r="E33">
        <v>37</v>
      </c>
    </row>
    <row r="34" spans="1:5" x14ac:dyDescent="0.2">
      <c r="A34" s="25" t="str">
        <v>successful</v>
      </c>
      <c r="B34">
        <v>131</v>
      </c>
      <c r="D34" s="14" t="str">
        <v>failed</v>
      </c>
      <c r="E34">
        <v>60</v>
      </c>
    </row>
    <row r="35" spans="1:5" x14ac:dyDescent="0.2">
      <c r="A35" s="25" t="str">
        <v>successful</v>
      </c>
      <c r="B35">
        <v>164</v>
      </c>
      <c r="D35" s="14" t="str">
        <v>failed</v>
      </c>
      <c r="E35">
        <v>296</v>
      </c>
    </row>
    <row r="36" spans="1:5" x14ac:dyDescent="0.2">
      <c r="A36" s="25" t="str">
        <v>successful</v>
      </c>
      <c r="B36">
        <v>201</v>
      </c>
      <c r="D36" s="14" t="str">
        <v>failed</v>
      </c>
      <c r="E36">
        <v>3304</v>
      </c>
    </row>
    <row r="37" spans="1:5" x14ac:dyDescent="0.2">
      <c r="A37" s="25" t="str">
        <v>successful</v>
      </c>
      <c r="B37">
        <v>211</v>
      </c>
      <c r="D37" s="14" t="str">
        <v>failed</v>
      </c>
      <c r="E37">
        <v>73</v>
      </c>
    </row>
    <row r="38" spans="1:5" x14ac:dyDescent="0.2">
      <c r="A38" s="25" t="str">
        <v>successful</v>
      </c>
      <c r="B38">
        <v>128</v>
      </c>
      <c r="D38" s="14" t="str">
        <v>failed</v>
      </c>
      <c r="E38">
        <v>3387</v>
      </c>
    </row>
    <row r="39" spans="1:5" x14ac:dyDescent="0.2">
      <c r="A39" s="25" t="str">
        <v>successful</v>
      </c>
      <c r="B39">
        <v>1600</v>
      </c>
      <c r="D39" s="14" t="str">
        <v>failed</v>
      </c>
      <c r="E39">
        <v>662</v>
      </c>
    </row>
    <row r="40" spans="1:5" x14ac:dyDescent="0.2">
      <c r="A40" s="25" t="str">
        <v>successful</v>
      </c>
      <c r="B40">
        <v>249</v>
      </c>
      <c r="D40" s="14" t="str">
        <v>failed</v>
      </c>
      <c r="E40">
        <v>774</v>
      </c>
    </row>
    <row r="41" spans="1:5" x14ac:dyDescent="0.2">
      <c r="A41" s="25" t="str">
        <v>successful</v>
      </c>
      <c r="B41">
        <v>236</v>
      </c>
      <c r="D41" s="14" t="str">
        <v>failed</v>
      </c>
      <c r="E41">
        <v>672</v>
      </c>
    </row>
    <row r="42" spans="1:5" x14ac:dyDescent="0.2">
      <c r="A42" s="25" t="str">
        <v>successful</v>
      </c>
      <c r="B42">
        <v>4065</v>
      </c>
      <c r="D42" s="14" t="str">
        <v>failed</v>
      </c>
      <c r="E42">
        <v>940</v>
      </c>
    </row>
    <row r="43" spans="1:5" x14ac:dyDescent="0.2">
      <c r="A43" s="25" t="str">
        <v>successful</v>
      </c>
      <c r="B43">
        <v>246</v>
      </c>
      <c r="D43" s="14" t="str">
        <v>failed</v>
      </c>
      <c r="E43">
        <v>117</v>
      </c>
    </row>
    <row r="44" spans="1:5" x14ac:dyDescent="0.2">
      <c r="A44" s="25" t="str">
        <v>successful</v>
      </c>
      <c r="B44">
        <v>2475</v>
      </c>
      <c r="D44" s="14" t="str">
        <v>failed</v>
      </c>
      <c r="E44">
        <v>115</v>
      </c>
    </row>
    <row r="45" spans="1:5" x14ac:dyDescent="0.2">
      <c r="A45" s="25" t="str">
        <v>successful</v>
      </c>
      <c r="B45">
        <v>76</v>
      </c>
      <c r="D45" s="14" t="str">
        <v>failed</v>
      </c>
      <c r="E45">
        <v>326</v>
      </c>
    </row>
    <row r="46" spans="1:5" x14ac:dyDescent="0.2">
      <c r="A46" s="25" t="str">
        <v>successful</v>
      </c>
      <c r="B46">
        <v>54</v>
      </c>
      <c r="D46" s="14" t="str">
        <v>failed</v>
      </c>
      <c r="E46">
        <v>1</v>
      </c>
    </row>
    <row r="47" spans="1:5" x14ac:dyDescent="0.2">
      <c r="A47" s="25" t="str">
        <v>successful</v>
      </c>
      <c r="B47">
        <v>88</v>
      </c>
      <c r="D47" s="14" t="str">
        <v>failed</v>
      </c>
      <c r="E47">
        <v>1467</v>
      </c>
    </row>
    <row r="48" spans="1:5" x14ac:dyDescent="0.2">
      <c r="A48" s="25" t="str">
        <v>successful</v>
      </c>
      <c r="B48">
        <v>85</v>
      </c>
      <c r="D48" s="14" t="str">
        <v>failed</v>
      </c>
      <c r="E48">
        <v>5681</v>
      </c>
    </row>
    <row r="49" spans="1:5" x14ac:dyDescent="0.2">
      <c r="A49" s="25" t="str">
        <v>successful</v>
      </c>
      <c r="B49">
        <v>170</v>
      </c>
      <c r="D49" s="14" t="str">
        <v>failed</v>
      </c>
      <c r="E49">
        <v>1059</v>
      </c>
    </row>
    <row r="50" spans="1:5" x14ac:dyDescent="0.2">
      <c r="A50" s="25" t="str">
        <v>successful</v>
      </c>
      <c r="B50">
        <v>330</v>
      </c>
      <c r="D50" s="14" t="str">
        <v>failed</v>
      </c>
      <c r="E50">
        <v>1194</v>
      </c>
    </row>
    <row r="51" spans="1:5" x14ac:dyDescent="0.2">
      <c r="A51" s="25" t="str">
        <v>successful</v>
      </c>
      <c r="B51">
        <v>127</v>
      </c>
      <c r="D51" s="14" t="str">
        <v>failed</v>
      </c>
      <c r="E51">
        <v>30</v>
      </c>
    </row>
    <row r="52" spans="1:5" x14ac:dyDescent="0.2">
      <c r="A52" s="25" t="str">
        <v>successful</v>
      </c>
      <c r="B52">
        <v>411</v>
      </c>
      <c r="D52" s="14" t="str">
        <v>failed</v>
      </c>
      <c r="E52">
        <v>75</v>
      </c>
    </row>
    <row r="53" spans="1:5" x14ac:dyDescent="0.2">
      <c r="A53" s="25" t="str">
        <v>successful</v>
      </c>
      <c r="B53">
        <v>180</v>
      </c>
      <c r="D53" s="14" t="str">
        <v>failed</v>
      </c>
      <c r="E53">
        <v>955</v>
      </c>
    </row>
    <row r="54" spans="1:5" x14ac:dyDescent="0.2">
      <c r="A54" s="25" t="str">
        <v>successful</v>
      </c>
      <c r="B54">
        <v>374</v>
      </c>
      <c r="D54" s="14" t="str">
        <v>failed</v>
      </c>
      <c r="E54">
        <v>67</v>
      </c>
    </row>
    <row r="55" spans="1:5" x14ac:dyDescent="0.2">
      <c r="A55" s="25" t="str">
        <v>successful</v>
      </c>
      <c r="B55">
        <v>71</v>
      </c>
      <c r="D55" s="14" t="str">
        <v>failed</v>
      </c>
      <c r="E55">
        <v>5</v>
      </c>
    </row>
    <row r="56" spans="1:5" x14ac:dyDescent="0.2">
      <c r="A56" s="25" t="str">
        <v>successful</v>
      </c>
      <c r="B56">
        <v>203</v>
      </c>
      <c r="D56" s="14" t="str">
        <v>failed</v>
      </c>
      <c r="E56">
        <v>26</v>
      </c>
    </row>
    <row r="57" spans="1:5" x14ac:dyDescent="0.2">
      <c r="A57" s="25" t="str">
        <v>successful</v>
      </c>
      <c r="B57">
        <v>113</v>
      </c>
      <c r="D57" s="14" t="str">
        <v>failed</v>
      </c>
      <c r="E57">
        <v>1130</v>
      </c>
    </row>
    <row r="58" spans="1:5" x14ac:dyDescent="0.2">
      <c r="A58" s="25" t="str">
        <v>successful</v>
      </c>
      <c r="B58">
        <v>96</v>
      </c>
      <c r="D58" s="14" t="str">
        <v>failed</v>
      </c>
      <c r="E58">
        <v>782</v>
      </c>
    </row>
    <row r="59" spans="1:5" x14ac:dyDescent="0.2">
      <c r="A59" s="25" t="str">
        <v>successful</v>
      </c>
      <c r="B59">
        <v>498</v>
      </c>
      <c r="D59" s="14" t="str">
        <v>failed</v>
      </c>
      <c r="E59">
        <v>210</v>
      </c>
    </row>
    <row r="60" spans="1:5" x14ac:dyDescent="0.2">
      <c r="A60" s="25" t="str">
        <v>successful</v>
      </c>
      <c r="B60">
        <v>180</v>
      </c>
      <c r="D60" s="14" t="str">
        <v>failed</v>
      </c>
      <c r="E60">
        <v>136</v>
      </c>
    </row>
    <row r="61" spans="1:5" x14ac:dyDescent="0.2">
      <c r="A61" s="25" t="str">
        <v>successful</v>
      </c>
      <c r="B61">
        <v>27</v>
      </c>
      <c r="D61" s="14" t="str">
        <v>failed</v>
      </c>
      <c r="E61">
        <v>86</v>
      </c>
    </row>
    <row r="62" spans="1:5" x14ac:dyDescent="0.2">
      <c r="A62" s="25" t="str">
        <v>successful</v>
      </c>
      <c r="B62">
        <v>2331</v>
      </c>
      <c r="D62" s="14" t="str">
        <v>failed</v>
      </c>
      <c r="E62">
        <v>19</v>
      </c>
    </row>
    <row r="63" spans="1:5" x14ac:dyDescent="0.2">
      <c r="A63" s="25" t="str">
        <v>successful</v>
      </c>
      <c r="B63">
        <v>113</v>
      </c>
      <c r="D63" s="14" t="str">
        <v>failed</v>
      </c>
      <c r="E63">
        <v>886</v>
      </c>
    </row>
    <row r="64" spans="1:5" x14ac:dyDescent="0.2">
      <c r="A64" s="25" t="str">
        <v>successful</v>
      </c>
      <c r="B64">
        <v>164</v>
      </c>
      <c r="D64" s="14" t="str">
        <v>failed</v>
      </c>
      <c r="E64">
        <v>35</v>
      </c>
    </row>
    <row r="65" spans="1:5" x14ac:dyDescent="0.2">
      <c r="A65" s="25" t="str">
        <v>successful</v>
      </c>
      <c r="B65">
        <v>164</v>
      </c>
      <c r="D65" s="14" t="str">
        <v>failed</v>
      </c>
      <c r="E65">
        <v>24</v>
      </c>
    </row>
    <row r="66" spans="1:5" x14ac:dyDescent="0.2">
      <c r="A66" s="25" t="str">
        <v>successful</v>
      </c>
      <c r="B66">
        <v>336</v>
      </c>
      <c r="D66" s="14" t="str">
        <v>failed</v>
      </c>
      <c r="E66">
        <v>86</v>
      </c>
    </row>
    <row r="67" spans="1:5" x14ac:dyDescent="0.2">
      <c r="A67" s="25" t="str">
        <v>successful</v>
      </c>
      <c r="B67">
        <v>1917</v>
      </c>
      <c r="D67" s="14" t="str">
        <v>failed</v>
      </c>
      <c r="E67">
        <v>243</v>
      </c>
    </row>
    <row r="68" spans="1:5" x14ac:dyDescent="0.2">
      <c r="A68" s="25" t="str">
        <v>successful</v>
      </c>
      <c r="B68">
        <v>95</v>
      </c>
      <c r="D68" s="14" t="str">
        <v>failed</v>
      </c>
      <c r="E68">
        <v>65</v>
      </c>
    </row>
    <row r="69" spans="1:5" x14ac:dyDescent="0.2">
      <c r="A69" s="25" t="str">
        <v>successful</v>
      </c>
      <c r="B69">
        <v>147</v>
      </c>
      <c r="D69" s="14" t="str">
        <v>failed</v>
      </c>
      <c r="E69">
        <v>100</v>
      </c>
    </row>
    <row r="70" spans="1:5" x14ac:dyDescent="0.2">
      <c r="A70" s="25" t="str">
        <v>successful</v>
      </c>
      <c r="B70">
        <v>86</v>
      </c>
      <c r="D70" s="14" t="str">
        <v>failed</v>
      </c>
      <c r="E70">
        <v>168</v>
      </c>
    </row>
    <row r="71" spans="1:5" x14ac:dyDescent="0.2">
      <c r="A71" s="25" t="str">
        <v>successful</v>
      </c>
      <c r="B71">
        <v>83</v>
      </c>
      <c r="D71" s="14" t="str">
        <v>failed</v>
      </c>
      <c r="E71">
        <v>13</v>
      </c>
    </row>
    <row r="72" spans="1:5" x14ac:dyDescent="0.2">
      <c r="A72" s="25" t="str">
        <v>successful</v>
      </c>
      <c r="B72">
        <v>676</v>
      </c>
      <c r="D72" s="14" t="str">
        <v>failed</v>
      </c>
      <c r="E72">
        <v>1</v>
      </c>
    </row>
    <row r="73" spans="1:5" x14ac:dyDescent="0.2">
      <c r="A73" s="25" t="str">
        <v>successful</v>
      </c>
      <c r="B73">
        <v>361</v>
      </c>
      <c r="D73" s="14" t="str">
        <v>failed</v>
      </c>
      <c r="E73">
        <v>40</v>
      </c>
    </row>
    <row r="74" spans="1:5" x14ac:dyDescent="0.2">
      <c r="A74" s="25" t="str">
        <v>successful</v>
      </c>
      <c r="B74">
        <v>131</v>
      </c>
      <c r="D74" s="14" t="str">
        <v>failed</v>
      </c>
      <c r="E74">
        <v>226</v>
      </c>
    </row>
    <row r="75" spans="1:5" x14ac:dyDescent="0.2">
      <c r="A75" s="25" t="str">
        <v>successful</v>
      </c>
      <c r="B75">
        <v>126</v>
      </c>
      <c r="D75" s="14" t="str">
        <v>failed</v>
      </c>
      <c r="E75">
        <v>1625</v>
      </c>
    </row>
    <row r="76" spans="1:5" x14ac:dyDescent="0.2">
      <c r="A76" s="25" t="str">
        <v>successful</v>
      </c>
      <c r="B76">
        <v>275</v>
      </c>
      <c r="D76" s="14" t="str">
        <v>failed</v>
      </c>
      <c r="E76">
        <v>143</v>
      </c>
    </row>
    <row r="77" spans="1:5" x14ac:dyDescent="0.2">
      <c r="A77" s="25" t="str">
        <v>successful</v>
      </c>
      <c r="B77">
        <v>67</v>
      </c>
      <c r="D77" s="14" t="str">
        <v>failed</v>
      </c>
      <c r="E77">
        <v>934</v>
      </c>
    </row>
    <row r="78" spans="1:5" x14ac:dyDescent="0.2">
      <c r="A78" s="25" t="str">
        <v>successful</v>
      </c>
      <c r="B78">
        <v>154</v>
      </c>
      <c r="D78" s="14" t="str">
        <v>failed</v>
      </c>
      <c r="E78">
        <v>17</v>
      </c>
    </row>
    <row r="79" spans="1:5" x14ac:dyDescent="0.2">
      <c r="A79" s="25" t="str">
        <v>successful</v>
      </c>
      <c r="B79">
        <v>1782</v>
      </c>
      <c r="D79" s="14" t="str">
        <v>failed</v>
      </c>
      <c r="E79">
        <v>2179</v>
      </c>
    </row>
    <row r="80" spans="1:5" x14ac:dyDescent="0.2">
      <c r="A80" s="25" t="str">
        <v>successful</v>
      </c>
      <c r="B80">
        <v>903</v>
      </c>
      <c r="D80" s="14" t="str">
        <v>failed</v>
      </c>
      <c r="E80">
        <v>931</v>
      </c>
    </row>
    <row r="81" spans="1:5" x14ac:dyDescent="0.2">
      <c r="A81" s="25" t="str">
        <v>successful</v>
      </c>
      <c r="B81">
        <v>94</v>
      </c>
      <c r="D81" s="14" t="str">
        <v>failed</v>
      </c>
      <c r="E81">
        <v>92</v>
      </c>
    </row>
    <row r="82" spans="1:5" x14ac:dyDescent="0.2">
      <c r="A82" s="25" t="str">
        <v>successful</v>
      </c>
      <c r="B82">
        <v>180</v>
      </c>
      <c r="D82" s="14" t="str">
        <v>failed</v>
      </c>
      <c r="E82">
        <v>57</v>
      </c>
    </row>
    <row r="83" spans="1:5" x14ac:dyDescent="0.2">
      <c r="A83" s="25" t="str">
        <v>successful</v>
      </c>
      <c r="B83">
        <v>533</v>
      </c>
      <c r="D83" s="14" t="str">
        <v>failed</v>
      </c>
      <c r="E83">
        <v>41</v>
      </c>
    </row>
    <row r="84" spans="1:5" x14ac:dyDescent="0.2">
      <c r="A84" s="25" t="str">
        <v>successful</v>
      </c>
      <c r="B84">
        <v>2443</v>
      </c>
      <c r="D84" s="14" t="str">
        <v>failed</v>
      </c>
      <c r="E84">
        <v>1</v>
      </c>
    </row>
    <row r="85" spans="1:5" x14ac:dyDescent="0.2">
      <c r="A85" s="25" t="str">
        <v>successful</v>
      </c>
      <c r="B85">
        <v>89</v>
      </c>
      <c r="D85" s="14" t="str">
        <v>failed</v>
      </c>
      <c r="E85">
        <v>101</v>
      </c>
    </row>
    <row r="86" spans="1:5" x14ac:dyDescent="0.2">
      <c r="A86" s="25" t="str">
        <v>successful</v>
      </c>
      <c r="B86">
        <v>159</v>
      </c>
      <c r="D86" s="14" t="str">
        <v>failed</v>
      </c>
      <c r="E86">
        <v>1335</v>
      </c>
    </row>
    <row r="87" spans="1:5" x14ac:dyDescent="0.2">
      <c r="A87" s="25" t="str">
        <v>successful</v>
      </c>
      <c r="B87">
        <v>50</v>
      </c>
      <c r="D87" s="14" t="str">
        <v>failed</v>
      </c>
      <c r="E87">
        <v>15</v>
      </c>
    </row>
    <row r="88" spans="1:5" x14ac:dyDescent="0.2">
      <c r="A88" s="25" t="str">
        <v>successful</v>
      </c>
      <c r="B88">
        <v>186</v>
      </c>
      <c r="D88" s="14" t="str">
        <v>failed</v>
      </c>
      <c r="E88">
        <v>454</v>
      </c>
    </row>
    <row r="89" spans="1:5" x14ac:dyDescent="0.2">
      <c r="A89" s="25" t="str">
        <v>successful</v>
      </c>
      <c r="B89">
        <v>1071</v>
      </c>
      <c r="D89" s="14" t="str">
        <v>failed</v>
      </c>
      <c r="E89">
        <v>3182</v>
      </c>
    </row>
    <row r="90" spans="1:5" x14ac:dyDescent="0.2">
      <c r="A90" s="25" t="str">
        <v>successful</v>
      </c>
      <c r="B90">
        <v>117</v>
      </c>
      <c r="D90" s="14" t="str">
        <v>failed</v>
      </c>
      <c r="E90">
        <v>15</v>
      </c>
    </row>
    <row r="91" spans="1:5" x14ac:dyDescent="0.2">
      <c r="A91" s="25" t="str">
        <v>successful</v>
      </c>
      <c r="B91">
        <v>70</v>
      </c>
      <c r="D91" s="14" t="str">
        <v>failed</v>
      </c>
      <c r="E91">
        <v>133</v>
      </c>
    </row>
    <row r="92" spans="1:5" x14ac:dyDescent="0.2">
      <c r="A92" s="25" t="str">
        <v>successful</v>
      </c>
      <c r="B92">
        <v>135</v>
      </c>
      <c r="D92" s="14" t="str">
        <v>failed</v>
      </c>
      <c r="E92">
        <v>2062</v>
      </c>
    </row>
    <row r="93" spans="1:5" x14ac:dyDescent="0.2">
      <c r="A93" s="25" t="str">
        <v>successful</v>
      </c>
      <c r="B93">
        <v>768</v>
      </c>
      <c r="D93" s="14" t="str">
        <v>failed</v>
      </c>
      <c r="E93">
        <v>29</v>
      </c>
    </row>
    <row r="94" spans="1:5" x14ac:dyDescent="0.2">
      <c r="A94" s="25" t="str">
        <v>successful</v>
      </c>
      <c r="B94">
        <v>199</v>
      </c>
      <c r="D94" s="14" t="str">
        <v>failed</v>
      </c>
      <c r="E94">
        <v>132</v>
      </c>
    </row>
    <row r="95" spans="1:5" x14ac:dyDescent="0.2">
      <c r="A95" s="25" t="str">
        <v>successful</v>
      </c>
      <c r="B95">
        <v>107</v>
      </c>
      <c r="D95" s="14" t="str">
        <v>failed</v>
      </c>
      <c r="E95">
        <v>137</v>
      </c>
    </row>
    <row r="96" spans="1:5" x14ac:dyDescent="0.2">
      <c r="A96" s="25" t="str">
        <v>successful</v>
      </c>
      <c r="B96">
        <v>195</v>
      </c>
      <c r="D96" s="14" t="str">
        <v>failed</v>
      </c>
      <c r="E96">
        <v>908</v>
      </c>
    </row>
    <row r="97" spans="1:5" x14ac:dyDescent="0.2">
      <c r="A97" s="25" t="str">
        <v>successful</v>
      </c>
      <c r="B97">
        <v>3376</v>
      </c>
      <c r="D97" s="14" t="str">
        <v>failed</v>
      </c>
      <c r="E97">
        <v>10</v>
      </c>
    </row>
    <row r="98" spans="1:5" x14ac:dyDescent="0.2">
      <c r="A98" s="25" t="str">
        <v>successful</v>
      </c>
      <c r="B98">
        <v>41</v>
      </c>
      <c r="D98" s="14" t="str">
        <v>failed</v>
      </c>
      <c r="E98">
        <v>1910</v>
      </c>
    </row>
    <row r="99" spans="1:5" x14ac:dyDescent="0.2">
      <c r="A99" s="25" t="str">
        <v>successful</v>
      </c>
      <c r="B99">
        <v>1821</v>
      </c>
      <c r="D99" s="14" t="str">
        <v>failed</v>
      </c>
      <c r="E99">
        <v>38</v>
      </c>
    </row>
    <row r="100" spans="1:5" x14ac:dyDescent="0.2">
      <c r="A100" s="25" t="str">
        <v>successful</v>
      </c>
      <c r="B100">
        <v>164</v>
      </c>
      <c r="D100" s="14" t="str">
        <v>failed</v>
      </c>
      <c r="E100">
        <v>104</v>
      </c>
    </row>
    <row r="101" spans="1:5" x14ac:dyDescent="0.2">
      <c r="A101" s="25" t="str">
        <v>successful</v>
      </c>
      <c r="B101">
        <v>157</v>
      </c>
      <c r="D101" s="14" t="str">
        <v>failed</v>
      </c>
      <c r="E101">
        <v>49</v>
      </c>
    </row>
    <row r="102" spans="1:5" x14ac:dyDescent="0.2">
      <c r="A102" s="25" t="str">
        <v>successful</v>
      </c>
      <c r="B102">
        <v>246</v>
      </c>
      <c r="D102" s="14" t="str">
        <v>failed</v>
      </c>
      <c r="E102">
        <v>1</v>
      </c>
    </row>
    <row r="103" spans="1:5" x14ac:dyDescent="0.2">
      <c r="A103" s="25" t="str">
        <v>successful</v>
      </c>
      <c r="B103">
        <v>1396</v>
      </c>
      <c r="D103" s="14" t="str">
        <v>failed</v>
      </c>
      <c r="E103">
        <v>245</v>
      </c>
    </row>
    <row r="104" spans="1:5" x14ac:dyDescent="0.2">
      <c r="A104" s="25" t="str">
        <v>successful</v>
      </c>
      <c r="B104">
        <v>2506</v>
      </c>
      <c r="D104" s="14" t="str">
        <v>failed</v>
      </c>
      <c r="E104">
        <v>32</v>
      </c>
    </row>
    <row r="105" spans="1:5" x14ac:dyDescent="0.2">
      <c r="A105" s="25" t="str">
        <v>successful</v>
      </c>
      <c r="B105">
        <v>244</v>
      </c>
      <c r="D105" s="14" t="str">
        <v>failed</v>
      </c>
      <c r="E105">
        <v>7</v>
      </c>
    </row>
    <row r="106" spans="1:5" x14ac:dyDescent="0.2">
      <c r="A106" s="25" t="str">
        <v>successful</v>
      </c>
      <c r="B106">
        <v>146</v>
      </c>
      <c r="D106" s="14" t="str">
        <v>failed</v>
      </c>
      <c r="E106">
        <v>803</v>
      </c>
    </row>
    <row r="107" spans="1:5" x14ac:dyDescent="0.2">
      <c r="A107" s="25" t="str">
        <v>successful</v>
      </c>
      <c r="B107">
        <v>1267</v>
      </c>
      <c r="D107" s="14" t="str">
        <v>failed</v>
      </c>
      <c r="E107">
        <v>16</v>
      </c>
    </row>
    <row r="108" spans="1:5" x14ac:dyDescent="0.2">
      <c r="A108" s="25" t="str">
        <v>successful</v>
      </c>
      <c r="B108">
        <v>1561</v>
      </c>
      <c r="D108" s="14" t="str">
        <v>failed</v>
      </c>
      <c r="E108">
        <v>31</v>
      </c>
    </row>
    <row r="109" spans="1:5" x14ac:dyDescent="0.2">
      <c r="A109" s="25" t="str">
        <v>successful</v>
      </c>
      <c r="B109">
        <v>48</v>
      </c>
      <c r="D109" s="14" t="str">
        <v>failed</v>
      </c>
      <c r="E109">
        <v>108</v>
      </c>
    </row>
    <row r="110" spans="1:5" x14ac:dyDescent="0.2">
      <c r="A110" s="25" t="str">
        <v>successful</v>
      </c>
      <c r="B110">
        <v>2739</v>
      </c>
      <c r="D110" s="14" t="str">
        <v>failed</v>
      </c>
      <c r="E110">
        <v>30</v>
      </c>
    </row>
    <row r="111" spans="1:5" x14ac:dyDescent="0.2">
      <c r="A111" s="25" t="str">
        <v>successful</v>
      </c>
      <c r="B111">
        <v>3537</v>
      </c>
      <c r="D111" s="14" t="str">
        <v>failed</v>
      </c>
      <c r="E111">
        <v>17</v>
      </c>
    </row>
    <row r="112" spans="1:5" x14ac:dyDescent="0.2">
      <c r="A112" s="25" t="str">
        <v>successful</v>
      </c>
      <c r="B112">
        <v>2107</v>
      </c>
      <c r="D112" s="14" t="str">
        <v>failed</v>
      </c>
      <c r="E112">
        <v>80</v>
      </c>
    </row>
    <row r="113" spans="1:5" x14ac:dyDescent="0.2">
      <c r="A113" s="25" t="str">
        <v>successful</v>
      </c>
      <c r="B113">
        <v>3318</v>
      </c>
      <c r="D113" s="14" t="str">
        <v>failed</v>
      </c>
      <c r="E113">
        <v>2468</v>
      </c>
    </row>
    <row r="114" spans="1:5" x14ac:dyDescent="0.2">
      <c r="A114" s="25" t="str">
        <v>successful</v>
      </c>
      <c r="B114">
        <v>340</v>
      </c>
      <c r="D114" s="14" t="str">
        <v>failed</v>
      </c>
      <c r="E114">
        <v>26</v>
      </c>
    </row>
    <row r="115" spans="1:5" x14ac:dyDescent="0.2">
      <c r="A115" s="25" t="str">
        <v>successful</v>
      </c>
      <c r="B115">
        <v>1442</v>
      </c>
      <c r="D115" s="14" t="str">
        <v>failed</v>
      </c>
      <c r="E115">
        <v>73</v>
      </c>
    </row>
    <row r="116" spans="1:5" x14ac:dyDescent="0.2">
      <c r="A116" s="25" t="str">
        <v>successful</v>
      </c>
      <c r="B116">
        <v>126</v>
      </c>
      <c r="D116" s="14" t="str">
        <v>failed</v>
      </c>
      <c r="E116">
        <v>128</v>
      </c>
    </row>
    <row r="117" spans="1:5" x14ac:dyDescent="0.2">
      <c r="A117" s="25" t="str">
        <v>successful</v>
      </c>
      <c r="B117">
        <v>524</v>
      </c>
      <c r="D117" s="14" t="str">
        <v>failed</v>
      </c>
      <c r="E117">
        <v>33</v>
      </c>
    </row>
    <row r="118" spans="1:5" x14ac:dyDescent="0.2">
      <c r="A118" s="25" t="str">
        <v>successful</v>
      </c>
      <c r="B118">
        <v>1989</v>
      </c>
      <c r="D118" s="14" t="str">
        <v>failed</v>
      </c>
      <c r="E118">
        <v>1072</v>
      </c>
    </row>
    <row r="119" spans="1:5" x14ac:dyDescent="0.2">
      <c r="A119" s="25" t="str">
        <v>successful</v>
      </c>
      <c r="B119">
        <v>157</v>
      </c>
      <c r="D119" s="14" t="str">
        <v>failed</v>
      </c>
      <c r="E119">
        <v>393</v>
      </c>
    </row>
    <row r="120" spans="1:5" x14ac:dyDescent="0.2">
      <c r="A120" s="25" t="str">
        <v>successful</v>
      </c>
      <c r="B120">
        <v>4498</v>
      </c>
      <c r="D120" s="14" t="str">
        <v>failed</v>
      </c>
      <c r="E120">
        <v>1257</v>
      </c>
    </row>
    <row r="121" spans="1:5" x14ac:dyDescent="0.2">
      <c r="A121" s="25" t="str">
        <v>successful</v>
      </c>
      <c r="B121">
        <v>80</v>
      </c>
      <c r="D121" s="14" t="str">
        <v>failed</v>
      </c>
      <c r="E121">
        <v>328</v>
      </c>
    </row>
    <row r="122" spans="1:5" x14ac:dyDescent="0.2">
      <c r="A122" s="25" t="str">
        <v>successful</v>
      </c>
      <c r="B122">
        <v>43</v>
      </c>
      <c r="D122" s="14" t="str">
        <v>failed</v>
      </c>
      <c r="E122">
        <v>147</v>
      </c>
    </row>
    <row r="123" spans="1:5" x14ac:dyDescent="0.2">
      <c r="A123" s="25" t="str">
        <v>successful</v>
      </c>
      <c r="B123">
        <v>2053</v>
      </c>
      <c r="D123" s="14" t="str">
        <v>failed</v>
      </c>
      <c r="E123">
        <v>830</v>
      </c>
    </row>
    <row r="124" spans="1:5" x14ac:dyDescent="0.2">
      <c r="A124" s="25" t="str">
        <v>successful</v>
      </c>
      <c r="B124">
        <v>168</v>
      </c>
      <c r="D124" s="14" t="str">
        <v>failed</v>
      </c>
      <c r="E124">
        <v>331</v>
      </c>
    </row>
    <row r="125" spans="1:5" x14ac:dyDescent="0.2">
      <c r="A125" s="25" t="str">
        <v>successful</v>
      </c>
      <c r="B125">
        <v>4289</v>
      </c>
      <c r="D125" s="14" t="str">
        <v>failed</v>
      </c>
      <c r="E125">
        <v>25</v>
      </c>
    </row>
    <row r="126" spans="1:5" x14ac:dyDescent="0.2">
      <c r="A126" s="25" t="str">
        <v>successful</v>
      </c>
      <c r="B126">
        <v>165</v>
      </c>
      <c r="D126" s="14" t="str">
        <v>failed</v>
      </c>
      <c r="E126">
        <v>3483</v>
      </c>
    </row>
    <row r="127" spans="1:5" x14ac:dyDescent="0.2">
      <c r="A127" s="25" t="str">
        <v>successful</v>
      </c>
      <c r="B127">
        <v>1815</v>
      </c>
      <c r="D127" s="14" t="str">
        <v>failed</v>
      </c>
      <c r="E127">
        <v>923</v>
      </c>
    </row>
    <row r="128" spans="1:5" x14ac:dyDescent="0.2">
      <c r="A128" s="25" t="str">
        <v>successful</v>
      </c>
      <c r="B128">
        <v>397</v>
      </c>
      <c r="D128" s="14" t="str">
        <v>failed</v>
      </c>
      <c r="E128">
        <v>1</v>
      </c>
    </row>
    <row r="129" spans="1:5" x14ac:dyDescent="0.2">
      <c r="A129" s="25" t="str">
        <v>successful</v>
      </c>
      <c r="B129">
        <v>1539</v>
      </c>
      <c r="D129" s="14" t="str">
        <v>failed</v>
      </c>
      <c r="E129">
        <v>33</v>
      </c>
    </row>
    <row r="130" spans="1:5" x14ac:dyDescent="0.2">
      <c r="A130" s="25" t="str">
        <v>successful</v>
      </c>
      <c r="B130">
        <v>138</v>
      </c>
      <c r="D130" s="14" t="str">
        <v>failed</v>
      </c>
      <c r="E130">
        <v>40</v>
      </c>
    </row>
    <row r="131" spans="1:5" x14ac:dyDescent="0.2">
      <c r="A131" s="25" t="str">
        <v>successful</v>
      </c>
      <c r="B131">
        <v>3594</v>
      </c>
      <c r="D131" s="14" t="str">
        <v>failed</v>
      </c>
      <c r="E131">
        <v>23</v>
      </c>
    </row>
    <row r="132" spans="1:5" x14ac:dyDescent="0.2">
      <c r="A132" s="25" t="str">
        <v>successful</v>
      </c>
      <c r="B132">
        <v>5880</v>
      </c>
      <c r="D132" s="14" t="str">
        <v>failed</v>
      </c>
      <c r="E132">
        <v>75</v>
      </c>
    </row>
    <row r="133" spans="1:5" x14ac:dyDescent="0.2">
      <c r="A133" s="25" t="str">
        <v>successful</v>
      </c>
      <c r="B133">
        <v>112</v>
      </c>
      <c r="D133" s="14" t="str">
        <v>failed</v>
      </c>
      <c r="E133">
        <v>2176</v>
      </c>
    </row>
    <row r="134" spans="1:5" x14ac:dyDescent="0.2">
      <c r="A134" s="25" t="str">
        <v>successful</v>
      </c>
      <c r="B134">
        <v>943</v>
      </c>
      <c r="D134" s="14" t="str">
        <v>failed</v>
      </c>
      <c r="E134">
        <v>441</v>
      </c>
    </row>
    <row r="135" spans="1:5" x14ac:dyDescent="0.2">
      <c r="A135" s="25" t="str">
        <v>successful</v>
      </c>
      <c r="B135">
        <v>2468</v>
      </c>
      <c r="D135" s="14" t="str">
        <v>failed</v>
      </c>
      <c r="E135">
        <v>25</v>
      </c>
    </row>
    <row r="136" spans="1:5" x14ac:dyDescent="0.2">
      <c r="A136" s="25" t="str">
        <v>successful</v>
      </c>
      <c r="B136">
        <v>2551</v>
      </c>
      <c r="D136" s="14" t="str">
        <v>failed</v>
      </c>
      <c r="E136">
        <v>127</v>
      </c>
    </row>
    <row r="137" spans="1:5" x14ac:dyDescent="0.2">
      <c r="A137" s="25" t="str">
        <v>successful</v>
      </c>
      <c r="B137">
        <v>101</v>
      </c>
      <c r="D137" s="14" t="str">
        <v>failed</v>
      </c>
      <c r="E137">
        <v>355</v>
      </c>
    </row>
    <row r="138" spans="1:5" x14ac:dyDescent="0.2">
      <c r="A138" s="25" t="str">
        <v>successful</v>
      </c>
      <c r="B138">
        <v>92</v>
      </c>
      <c r="D138" s="14" t="str">
        <v>failed</v>
      </c>
      <c r="E138">
        <v>44</v>
      </c>
    </row>
    <row r="139" spans="1:5" x14ac:dyDescent="0.2">
      <c r="A139" s="25" t="str">
        <v>successful</v>
      </c>
      <c r="B139">
        <v>62</v>
      </c>
      <c r="D139" s="14" t="str">
        <v>failed</v>
      </c>
      <c r="E139">
        <v>67</v>
      </c>
    </row>
    <row r="140" spans="1:5" x14ac:dyDescent="0.2">
      <c r="A140" s="25" t="str">
        <v>successful</v>
      </c>
      <c r="B140">
        <v>149</v>
      </c>
      <c r="D140" s="14" t="str">
        <v>failed</v>
      </c>
      <c r="E140">
        <v>1068</v>
      </c>
    </row>
    <row r="141" spans="1:5" x14ac:dyDescent="0.2">
      <c r="A141" s="25" t="str">
        <v>successful</v>
      </c>
      <c r="B141">
        <v>329</v>
      </c>
      <c r="D141" s="14" t="str">
        <v>failed</v>
      </c>
      <c r="E141">
        <v>424</v>
      </c>
    </row>
    <row r="142" spans="1:5" x14ac:dyDescent="0.2">
      <c r="A142" s="25" t="str">
        <v>successful</v>
      </c>
      <c r="B142">
        <v>97</v>
      </c>
      <c r="D142" s="14" t="str">
        <v>failed</v>
      </c>
      <c r="E142">
        <v>151</v>
      </c>
    </row>
    <row r="143" spans="1:5" x14ac:dyDescent="0.2">
      <c r="A143" s="25" t="str">
        <v>successful</v>
      </c>
      <c r="B143">
        <v>1784</v>
      </c>
      <c r="D143" s="14" t="str">
        <v>failed</v>
      </c>
      <c r="E143">
        <v>1608</v>
      </c>
    </row>
    <row r="144" spans="1:5" x14ac:dyDescent="0.2">
      <c r="A144" s="25" t="str">
        <v>successful</v>
      </c>
      <c r="B144">
        <v>1684</v>
      </c>
      <c r="D144" s="14" t="str">
        <v>failed</v>
      </c>
      <c r="E144">
        <v>941</v>
      </c>
    </row>
    <row r="145" spans="1:5" x14ac:dyDescent="0.2">
      <c r="A145" s="25" t="str">
        <v>successful</v>
      </c>
      <c r="B145">
        <v>250</v>
      </c>
      <c r="D145" s="14" t="str">
        <v>failed</v>
      </c>
      <c r="E145">
        <v>1</v>
      </c>
    </row>
    <row r="146" spans="1:5" x14ac:dyDescent="0.2">
      <c r="A146" s="25" t="str">
        <v>successful</v>
      </c>
      <c r="B146">
        <v>238</v>
      </c>
      <c r="D146" s="14" t="str">
        <v>failed</v>
      </c>
      <c r="E146">
        <v>40</v>
      </c>
    </row>
    <row r="147" spans="1:5" x14ac:dyDescent="0.2">
      <c r="A147" s="25" t="str">
        <v>successful</v>
      </c>
      <c r="B147">
        <v>53</v>
      </c>
      <c r="D147" s="14" t="str">
        <v>failed</v>
      </c>
      <c r="E147">
        <v>3015</v>
      </c>
    </row>
    <row r="148" spans="1:5" x14ac:dyDescent="0.2">
      <c r="A148" s="25" t="str">
        <v>successful</v>
      </c>
      <c r="B148">
        <v>214</v>
      </c>
      <c r="D148" s="14" t="str">
        <v>failed</v>
      </c>
      <c r="E148">
        <v>435</v>
      </c>
    </row>
    <row r="149" spans="1:5" x14ac:dyDescent="0.2">
      <c r="A149" s="25" t="str">
        <v>successful</v>
      </c>
      <c r="B149">
        <v>222</v>
      </c>
      <c r="D149" s="14" t="str">
        <v>failed</v>
      </c>
      <c r="E149">
        <v>714</v>
      </c>
    </row>
    <row r="150" spans="1:5" x14ac:dyDescent="0.2">
      <c r="A150" s="25" t="str">
        <v>successful</v>
      </c>
      <c r="B150">
        <v>1884</v>
      </c>
      <c r="D150" s="14" t="str">
        <v>failed</v>
      </c>
      <c r="E150">
        <v>5497</v>
      </c>
    </row>
    <row r="151" spans="1:5" x14ac:dyDescent="0.2">
      <c r="A151" s="25" t="str">
        <v>successful</v>
      </c>
      <c r="B151">
        <v>218</v>
      </c>
      <c r="D151" s="14" t="str">
        <v>failed</v>
      </c>
      <c r="E151">
        <v>418</v>
      </c>
    </row>
    <row r="152" spans="1:5" x14ac:dyDescent="0.2">
      <c r="A152" s="25" t="str">
        <v>successful</v>
      </c>
      <c r="B152">
        <v>6465</v>
      </c>
      <c r="D152" s="14" t="str">
        <v>failed</v>
      </c>
      <c r="E152">
        <v>1439</v>
      </c>
    </row>
    <row r="153" spans="1:5" x14ac:dyDescent="0.2">
      <c r="A153" s="25" t="str">
        <v>successful</v>
      </c>
      <c r="B153">
        <v>59</v>
      </c>
      <c r="D153" s="14" t="str">
        <v>failed</v>
      </c>
      <c r="E153">
        <v>15</v>
      </c>
    </row>
    <row r="154" spans="1:5" x14ac:dyDescent="0.2">
      <c r="A154" s="25" t="str">
        <v>successful</v>
      </c>
      <c r="B154">
        <v>88</v>
      </c>
      <c r="D154" s="14" t="str">
        <v>failed</v>
      </c>
      <c r="E154">
        <v>1999</v>
      </c>
    </row>
    <row r="155" spans="1:5" x14ac:dyDescent="0.2">
      <c r="A155" s="25" t="str">
        <v>successful</v>
      </c>
      <c r="B155">
        <v>1697</v>
      </c>
      <c r="D155" s="14" t="str">
        <v>failed</v>
      </c>
      <c r="E155">
        <v>118</v>
      </c>
    </row>
    <row r="156" spans="1:5" x14ac:dyDescent="0.2">
      <c r="A156" s="25" t="str">
        <v>successful</v>
      </c>
      <c r="B156">
        <v>92</v>
      </c>
      <c r="D156" s="14" t="str">
        <v>failed</v>
      </c>
      <c r="E156">
        <v>162</v>
      </c>
    </row>
    <row r="157" spans="1:5" x14ac:dyDescent="0.2">
      <c r="A157" s="25" t="str">
        <v>successful</v>
      </c>
      <c r="B157">
        <v>186</v>
      </c>
      <c r="D157" s="14" t="str">
        <v>failed</v>
      </c>
      <c r="E157">
        <v>83</v>
      </c>
    </row>
    <row r="158" spans="1:5" x14ac:dyDescent="0.2">
      <c r="A158" s="25" t="str">
        <v>successful</v>
      </c>
      <c r="B158">
        <v>138</v>
      </c>
      <c r="D158" s="14" t="str">
        <v>failed</v>
      </c>
      <c r="E158">
        <v>747</v>
      </c>
    </row>
    <row r="159" spans="1:5" x14ac:dyDescent="0.2">
      <c r="A159" s="25" t="str">
        <v>successful</v>
      </c>
      <c r="B159">
        <v>261</v>
      </c>
      <c r="D159" s="14" t="str">
        <v>failed</v>
      </c>
      <c r="E159">
        <v>84</v>
      </c>
    </row>
    <row r="160" spans="1:5" x14ac:dyDescent="0.2">
      <c r="A160" s="25" t="str">
        <v>successful</v>
      </c>
      <c r="B160">
        <v>107</v>
      </c>
      <c r="D160" s="14" t="str">
        <v>failed</v>
      </c>
      <c r="E160">
        <v>91</v>
      </c>
    </row>
    <row r="161" spans="1:5" x14ac:dyDescent="0.2">
      <c r="A161" s="25" t="str">
        <v>successful</v>
      </c>
      <c r="B161">
        <v>199</v>
      </c>
      <c r="D161" s="14" t="str">
        <v>failed</v>
      </c>
      <c r="E161">
        <v>792</v>
      </c>
    </row>
    <row r="162" spans="1:5" x14ac:dyDescent="0.2">
      <c r="A162" s="25" t="str">
        <v>successful</v>
      </c>
      <c r="B162">
        <v>5512</v>
      </c>
      <c r="D162" s="14" t="str">
        <v>failed</v>
      </c>
      <c r="E162">
        <v>32</v>
      </c>
    </row>
    <row r="163" spans="1:5" x14ac:dyDescent="0.2">
      <c r="A163" s="25" t="str">
        <v>successful</v>
      </c>
      <c r="B163">
        <v>86</v>
      </c>
      <c r="D163" s="14" t="str">
        <v>failed</v>
      </c>
      <c r="E163">
        <v>186</v>
      </c>
    </row>
    <row r="164" spans="1:5" x14ac:dyDescent="0.2">
      <c r="A164" s="25" t="str">
        <v>successful</v>
      </c>
      <c r="B164">
        <v>2768</v>
      </c>
      <c r="D164" s="14" t="str">
        <v>failed</v>
      </c>
      <c r="E164">
        <v>605</v>
      </c>
    </row>
    <row r="165" spans="1:5" x14ac:dyDescent="0.2">
      <c r="A165" s="25" t="str">
        <v>successful</v>
      </c>
      <c r="B165">
        <v>48</v>
      </c>
      <c r="D165" s="14" t="str">
        <v>failed</v>
      </c>
      <c r="E165">
        <v>1</v>
      </c>
    </row>
    <row r="166" spans="1:5" x14ac:dyDescent="0.2">
      <c r="A166" s="25" t="str">
        <v>successful</v>
      </c>
      <c r="B166">
        <v>87</v>
      </c>
      <c r="D166" s="14" t="str">
        <v>failed</v>
      </c>
      <c r="E166">
        <v>31</v>
      </c>
    </row>
    <row r="167" spans="1:5" x14ac:dyDescent="0.2">
      <c r="A167" s="25" t="str">
        <v>successful</v>
      </c>
      <c r="B167">
        <v>1894</v>
      </c>
      <c r="D167" s="14" t="str">
        <v>failed</v>
      </c>
      <c r="E167">
        <v>1181</v>
      </c>
    </row>
    <row r="168" spans="1:5" x14ac:dyDescent="0.2">
      <c r="A168" s="25" t="str">
        <v>successful</v>
      </c>
      <c r="B168">
        <v>282</v>
      </c>
      <c r="D168" s="14" t="str">
        <v>failed</v>
      </c>
      <c r="E168">
        <v>39</v>
      </c>
    </row>
    <row r="169" spans="1:5" x14ac:dyDescent="0.2">
      <c r="A169" s="25" t="str">
        <v>successful</v>
      </c>
      <c r="B169">
        <v>116</v>
      </c>
      <c r="D169" s="14" t="str">
        <v>failed</v>
      </c>
      <c r="E169">
        <v>46</v>
      </c>
    </row>
    <row r="170" spans="1:5" x14ac:dyDescent="0.2">
      <c r="A170" s="25" t="str">
        <v>successful</v>
      </c>
      <c r="B170">
        <v>83</v>
      </c>
      <c r="D170" s="14" t="str">
        <v>failed</v>
      </c>
      <c r="E170">
        <v>105</v>
      </c>
    </row>
    <row r="171" spans="1:5" x14ac:dyDescent="0.2">
      <c r="A171" s="25" t="str">
        <v>successful</v>
      </c>
      <c r="B171">
        <v>91</v>
      </c>
      <c r="D171" s="14" t="str">
        <v>failed</v>
      </c>
      <c r="E171">
        <v>535</v>
      </c>
    </row>
    <row r="172" spans="1:5" x14ac:dyDescent="0.2">
      <c r="A172" s="25" t="str">
        <v>successful</v>
      </c>
      <c r="B172">
        <v>546</v>
      </c>
      <c r="D172" s="14" t="str">
        <v>failed</v>
      </c>
      <c r="E172">
        <v>16</v>
      </c>
    </row>
    <row r="173" spans="1:5" x14ac:dyDescent="0.2">
      <c r="A173" s="25" t="str">
        <v>successful</v>
      </c>
      <c r="B173">
        <v>393</v>
      </c>
      <c r="D173" s="14" t="str">
        <v>failed</v>
      </c>
      <c r="E173">
        <v>575</v>
      </c>
    </row>
    <row r="174" spans="1:5" x14ac:dyDescent="0.2">
      <c r="A174" s="25" t="str">
        <v>successful</v>
      </c>
      <c r="B174">
        <v>133</v>
      </c>
      <c r="D174" s="14" t="str">
        <v>failed</v>
      </c>
      <c r="E174">
        <v>1120</v>
      </c>
    </row>
    <row r="175" spans="1:5" x14ac:dyDescent="0.2">
      <c r="A175" s="25" t="str">
        <v>successful</v>
      </c>
      <c r="B175">
        <v>254</v>
      </c>
      <c r="D175" s="14" t="str">
        <v>failed</v>
      </c>
      <c r="E175">
        <v>113</v>
      </c>
    </row>
    <row r="176" spans="1:5" x14ac:dyDescent="0.2">
      <c r="A176" s="25" t="str">
        <v>successful</v>
      </c>
      <c r="B176">
        <v>176</v>
      </c>
      <c r="D176" s="14" t="str">
        <v>failed</v>
      </c>
      <c r="E176">
        <v>1538</v>
      </c>
    </row>
    <row r="177" spans="1:5" x14ac:dyDescent="0.2">
      <c r="A177" s="25" t="str">
        <v>successful</v>
      </c>
      <c r="B177">
        <v>337</v>
      </c>
      <c r="D177" s="14" t="str">
        <v>failed</v>
      </c>
      <c r="E177">
        <v>9</v>
      </c>
    </row>
    <row r="178" spans="1:5" x14ac:dyDescent="0.2">
      <c r="A178" s="25" t="str">
        <v>successful</v>
      </c>
      <c r="B178">
        <v>107</v>
      </c>
      <c r="D178" s="14" t="str">
        <v>failed</v>
      </c>
      <c r="E178">
        <v>554</v>
      </c>
    </row>
    <row r="179" spans="1:5" x14ac:dyDescent="0.2">
      <c r="A179" s="25" t="str">
        <v>successful</v>
      </c>
      <c r="B179">
        <v>183</v>
      </c>
      <c r="D179" s="14" t="str">
        <v>failed</v>
      </c>
      <c r="E179">
        <v>648</v>
      </c>
    </row>
    <row r="180" spans="1:5" x14ac:dyDescent="0.2">
      <c r="A180" s="25" t="str">
        <v>successful</v>
      </c>
      <c r="B180">
        <v>72</v>
      </c>
      <c r="D180" s="14" t="str">
        <v>failed</v>
      </c>
      <c r="E180">
        <v>21</v>
      </c>
    </row>
    <row r="181" spans="1:5" x14ac:dyDescent="0.2">
      <c r="A181" s="25" t="str">
        <v>successful</v>
      </c>
      <c r="B181">
        <v>295</v>
      </c>
      <c r="D181" s="14" t="str">
        <v>failed</v>
      </c>
      <c r="E181">
        <v>54</v>
      </c>
    </row>
    <row r="182" spans="1:5" x14ac:dyDescent="0.2">
      <c r="A182" s="25" t="str">
        <v>successful</v>
      </c>
      <c r="B182">
        <v>142</v>
      </c>
      <c r="D182" s="14" t="str">
        <v>failed</v>
      </c>
      <c r="E182">
        <v>120</v>
      </c>
    </row>
    <row r="183" spans="1:5" x14ac:dyDescent="0.2">
      <c r="A183" s="25" t="str">
        <v>successful</v>
      </c>
      <c r="B183">
        <v>85</v>
      </c>
      <c r="D183" s="14" t="str">
        <v>failed</v>
      </c>
      <c r="E183">
        <v>579</v>
      </c>
    </row>
    <row r="184" spans="1:5" x14ac:dyDescent="0.2">
      <c r="A184" s="25" t="str">
        <v>successful</v>
      </c>
      <c r="B184">
        <v>659</v>
      </c>
      <c r="D184" s="14" t="str">
        <v>failed</v>
      </c>
      <c r="E184">
        <v>2072</v>
      </c>
    </row>
    <row r="185" spans="1:5" x14ac:dyDescent="0.2">
      <c r="A185" s="25" t="str">
        <v>successful</v>
      </c>
      <c r="B185">
        <v>121</v>
      </c>
      <c r="D185" s="14" t="str">
        <v>failed</v>
      </c>
      <c r="E185">
        <v>0</v>
      </c>
    </row>
    <row r="186" spans="1:5" x14ac:dyDescent="0.2">
      <c r="A186" s="25" t="str">
        <v>successful</v>
      </c>
      <c r="B186">
        <v>3742</v>
      </c>
      <c r="D186" s="14" t="str">
        <v>failed</v>
      </c>
      <c r="E186">
        <v>1796</v>
      </c>
    </row>
    <row r="187" spans="1:5" x14ac:dyDescent="0.2">
      <c r="A187" s="25" t="str">
        <v>successful</v>
      </c>
      <c r="B187">
        <v>223</v>
      </c>
      <c r="D187" s="14" t="str">
        <v>failed</v>
      </c>
      <c r="E187">
        <v>62</v>
      </c>
    </row>
    <row r="188" spans="1:5" x14ac:dyDescent="0.2">
      <c r="A188" s="25" t="str">
        <v>successful</v>
      </c>
      <c r="B188">
        <v>133</v>
      </c>
      <c r="D188" s="14" t="str">
        <v>failed</v>
      </c>
      <c r="E188">
        <v>347</v>
      </c>
    </row>
    <row r="189" spans="1:5" x14ac:dyDescent="0.2">
      <c r="A189" s="25" t="str">
        <v>successful</v>
      </c>
      <c r="B189">
        <v>5168</v>
      </c>
      <c r="D189" s="14" t="str">
        <v>failed</v>
      </c>
      <c r="E189">
        <v>19</v>
      </c>
    </row>
    <row r="190" spans="1:5" x14ac:dyDescent="0.2">
      <c r="A190" s="25" t="str">
        <v>successful</v>
      </c>
      <c r="B190">
        <v>307</v>
      </c>
      <c r="D190" s="14" t="str">
        <v>failed</v>
      </c>
      <c r="E190">
        <v>1258</v>
      </c>
    </row>
    <row r="191" spans="1:5" x14ac:dyDescent="0.2">
      <c r="A191" s="25" t="str">
        <v>successful</v>
      </c>
      <c r="B191">
        <v>2441</v>
      </c>
      <c r="D191" s="14" t="str">
        <v>failed</v>
      </c>
      <c r="E191">
        <v>362</v>
      </c>
    </row>
    <row r="192" spans="1:5" x14ac:dyDescent="0.2">
      <c r="A192" s="25" t="str">
        <v>successful</v>
      </c>
      <c r="B192">
        <v>1385</v>
      </c>
      <c r="D192" s="14" t="str">
        <v>failed</v>
      </c>
      <c r="E192">
        <v>133</v>
      </c>
    </row>
    <row r="193" spans="1:5" x14ac:dyDescent="0.2">
      <c r="A193" s="25" t="str">
        <v>successful</v>
      </c>
      <c r="B193">
        <v>190</v>
      </c>
      <c r="D193" s="14" t="str">
        <v>failed</v>
      </c>
      <c r="E193">
        <v>846</v>
      </c>
    </row>
    <row r="194" spans="1:5" x14ac:dyDescent="0.2">
      <c r="A194" s="25" t="str">
        <v>successful</v>
      </c>
      <c r="B194">
        <v>470</v>
      </c>
      <c r="D194" s="14" t="str">
        <v>failed</v>
      </c>
      <c r="E194">
        <v>10</v>
      </c>
    </row>
    <row r="195" spans="1:5" x14ac:dyDescent="0.2">
      <c r="A195" s="25" t="str">
        <v>successful</v>
      </c>
      <c r="B195">
        <v>253</v>
      </c>
      <c r="D195" s="14" t="str">
        <v>failed</v>
      </c>
      <c r="E195">
        <v>191</v>
      </c>
    </row>
    <row r="196" spans="1:5" x14ac:dyDescent="0.2">
      <c r="A196" s="25" t="str">
        <v>successful</v>
      </c>
      <c r="B196">
        <v>1113</v>
      </c>
      <c r="D196" s="14" t="str">
        <v>failed</v>
      </c>
      <c r="E196">
        <v>1979</v>
      </c>
    </row>
    <row r="197" spans="1:5" x14ac:dyDescent="0.2">
      <c r="A197" s="25" t="str">
        <v>successful</v>
      </c>
      <c r="B197">
        <v>2283</v>
      </c>
      <c r="D197" s="14" t="str">
        <v>failed</v>
      </c>
      <c r="E197">
        <v>63</v>
      </c>
    </row>
    <row r="198" spans="1:5" x14ac:dyDescent="0.2">
      <c r="A198" s="25" t="str">
        <v>successful</v>
      </c>
      <c r="B198">
        <v>1095</v>
      </c>
      <c r="D198" s="14" t="str">
        <v>failed</v>
      </c>
      <c r="E198">
        <v>6080</v>
      </c>
    </row>
    <row r="199" spans="1:5" x14ac:dyDescent="0.2">
      <c r="A199" s="25" t="str">
        <v>successful</v>
      </c>
      <c r="B199">
        <v>1690</v>
      </c>
      <c r="D199" s="14" t="str">
        <v>failed</v>
      </c>
      <c r="E199">
        <v>80</v>
      </c>
    </row>
    <row r="200" spans="1:5" x14ac:dyDescent="0.2">
      <c r="A200" s="25" t="str">
        <v>successful</v>
      </c>
      <c r="B200">
        <v>191</v>
      </c>
      <c r="D200" s="14" t="str">
        <v>failed</v>
      </c>
      <c r="E200">
        <v>9</v>
      </c>
    </row>
    <row r="201" spans="1:5" x14ac:dyDescent="0.2">
      <c r="A201" s="25" t="str">
        <v>successful</v>
      </c>
      <c r="B201">
        <v>2013</v>
      </c>
      <c r="D201" s="14" t="str">
        <v>failed</v>
      </c>
      <c r="E201">
        <v>1784</v>
      </c>
    </row>
    <row r="202" spans="1:5" x14ac:dyDescent="0.2">
      <c r="A202" s="25" t="str">
        <v>successful</v>
      </c>
      <c r="B202">
        <v>1703</v>
      </c>
      <c r="D202" s="14" t="str">
        <v>failed</v>
      </c>
      <c r="E202">
        <v>243</v>
      </c>
    </row>
    <row r="203" spans="1:5" x14ac:dyDescent="0.2">
      <c r="A203" s="25" t="str">
        <v>successful</v>
      </c>
      <c r="B203">
        <v>80</v>
      </c>
      <c r="D203" s="14" t="str">
        <v>failed</v>
      </c>
      <c r="E203">
        <v>1296</v>
      </c>
    </row>
    <row r="204" spans="1:5" x14ac:dyDescent="0.2">
      <c r="A204" s="25" t="str">
        <v>successful</v>
      </c>
      <c r="B204">
        <v>41</v>
      </c>
      <c r="D204" s="14" t="str">
        <v>failed</v>
      </c>
      <c r="E204">
        <v>77</v>
      </c>
    </row>
    <row r="205" spans="1:5" x14ac:dyDescent="0.2">
      <c r="A205" s="25" t="str">
        <v>successful</v>
      </c>
      <c r="B205">
        <v>187</v>
      </c>
      <c r="D205" s="14" t="str">
        <v>failed</v>
      </c>
      <c r="E205">
        <v>395</v>
      </c>
    </row>
    <row r="206" spans="1:5" x14ac:dyDescent="0.2">
      <c r="A206" s="25" t="str">
        <v>successful</v>
      </c>
      <c r="B206">
        <v>2875</v>
      </c>
      <c r="D206" s="14" t="str">
        <v>failed</v>
      </c>
      <c r="E206">
        <v>49</v>
      </c>
    </row>
    <row r="207" spans="1:5" x14ac:dyDescent="0.2">
      <c r="A207" s="25" t="str">
        <v>successful</v>
      </c>
      <c r="B207">
        <v>88</v>
      </c>
      <c r="D207" s="14" t="str">
        <v>failed</v>
      </c>
      <c r="E207">
        <v>180</v>
      </c>
    </row>
    <row r="208" spans="1:5" x14ac:dyDescent="0.2">
      <c r="A208" s="25" t="str">
        <v>successful</v>
      </c>
      <c r="B208">
        <v>191</v>
      </c>
      <c r="D208" s="14" t="str">
        <v>failed</v>
      </c>
      <c r="E208">
        <v>2690</v>
      </c>
    </row>
    <row r="209" spans="1:5" x14ac:dyDescent="0.2">
      <c r="A209" s="25" t="str">
        <v>successful</v>
      </c>
      <c r="B209">
        <v>139</v>
      </c>
      <c r="D209" s="14" t="str">
        <v>failed</v>
      </c>
      <c r="E209">
        <v>2779</v>
      </c>
    </row>
    <row r="210" spans="1:5" x14ac:dyDescent="0.2">
      <c r="A210" s="25" t="str">
        <v>successful</v>
      </c>
      <c r="B210">
        <v>186</v>
      </c>
      <c r="D210" s="14" t="str">
        <v>failed</v>
      </c>
      <c r="E210">
        <v>92</v>
      </c>
    </row>
    <row r="211" spans="1:5" x14ac:dyDescent="0.2">
      <c r="A211" s="25" t="str">
        <v>successful</v>
      </c>
      <c r="B211">
        <v>112</v>
      </c>
      <c r="D211" s="14" t="str">
        <v>failed</v>
      </c>
      <c r="E211">
        <v>1028</v>
      </c>
    </row>
    <row r="212" spans="1:5" x14ac:dyDescent="0.2">
      <c r="A212" s="25" t="str">
        <v>successful</v>
      </c>
      <c r="B212">
        <v>101</v>
      </c>
      <c r="D212" s="14" t="str">
        <v>failed</v>
      </c>
      <c r="E212">
        <v>26</v>
      </c>
    </row>
    <row r="213" spans="1:5" x14ac:dyDescent="0.2">
      <c r="A213" s="25" t="str">
        <v>successful</v>
      </c>
      <c r="B213">
        <v>206</v>
      </c>
      <c r="D213" s="14" t="str">
        <v>failed</v>
      </c>
      <c r="E213">
        <v>1790</v>
      </c>
    </row>
    <row r="214" spans="1:5" x14ac:dyDescent="0.2">
      <c r="A214" s="25" t="str">
        <v>successful</v>
      </c>
      <c r="B214">
        <v>154</v>
      </c>
      <c r="D214" s="14" t="str">
        <v>failed</v>
      </c>
      <c r="E214">
        <v>37</v>
      </c>
    </row>
    <row r="215" spans="1:5" x14ac:dyDescent="0.2">
      <c r="A215" s="25" t="str">
        <v>successful</v>
      </c>
      <c r="B215">
        <v>5966</v>
      </c>
      <c r="D215" s="14" t="str">
        <v>failed</v>
      </c>
      <c r="E215">
        <v>35</v>
      </c>
    </row>
    <row r="216" spans="1:5" x14ac:dyDescent="0.2">
      <c r="A216" s="25" t="str">
        <v>successful</v>
      </c>
      <c r="B216">
        <v>169</v>
      </c>
      <c r="D216" s="14" t="str">
        <v>failed</v>
      </c>
      <c r="E216">
        <v>558</v>
      </c>
    </row>
    <row r="217" spans="1:5" x14ac:dyDescent="0.2">
      <c r="A217" s="25" t="str">
        <v>successful</v>
      </c>
      <c r="B217">
        <v>2106</v>
      </c>
      <c r="D217" s="14" t="str">
        <v>failed</v>
      </c>
      <c r="E217">
        <v>64</v>
      </c>
    </row>
    <row r="218" spans="1:5" x14ac:dyDescent="0.2">
      <c r="A218" s="25" t="str">
        <v>successful</v>
      </c>
      <c r="B218">
        <v>131</v>
      </c>
      <c r="D218" s="14" t="str">
        <v>failed</v>
      </c>
      <c r="E218">
        <v>245</v>
      </c>
    </row>
    <row r="219" spans="1:5" x14ac:dyDescent="0.2">
      <c r="A219" s="25" t="str">
        <v>successful</v>
      </c>
      <c r="B219">
        <v>84</v>
      </c>
      <c r="D219" s="14" t="str">
        <v>failed</v>
      </c>
      <c r="E219">
        <v>71</v>
      </c>
    </row>
    <row r="220" spans="1:5" x14ac:dyDescent="0.2">
      <c r="A220" s="25" t="str">
        <v>successful</v>
      </c>
      <c r="B220">
        <v>155</v>
      </c>
      <c r="D220" s="14" t="str">
        <v>failed</v>
      </c>
      <c r="E220">
        <v>42</v>
      </c>
    </row>
    <row r="221" spans="1:5" x14ac:dyDescent="0.2">
      <c r="A221" s="25" t="str">
        <v>successful</v>
      </c>
      <c r="B221">
        <v>189</v>
      </c>
      <c r="D221" s="14" t="str">
        <v>failed</v>
      </c>
      <c r="E221">
        <v>156</v>
      </c>
    </row>
    <row r="222" spans="1:5" x14ac:dyDescent="0.2">
      <c r="A222" s="25" t="str">
        <v>successful</v>
      </c>
      <c r="B222">
        <v>4799</v>
      </c>
      <c r="D222" s="14" t="str">
        <v>failed</v>
      </c>
      <c r="E222">
        <v>1368</v>
      </c>
    </row>
    <row r="223" spans="1:5" x14ac:dyDescent="0.2">
      <c r="A223" s="25" t="str">
        <v>successful</v>
      </c>
      <c r="B223">
        <v>1137</v>
      </c>
      <c r="D223" s="14" t="str">
        <v>failed</v>
      </c>
      <c r="E223">
        <v>102</v>
      </c>
    </row>
    <row r="224" spans="1:5" x14ac:dyDescent="0.2">
      <c r="A224" s="25" t="str">
        <v>successful</v>
      </c>
      <c r="B224">
        <v>1152</v>
      </c>
      <c r="D224" s="14" t="str">
        <v>failed</v>
      </c>
      <c r="E224">
        <v>86</v>
      </c>
    </row>
    <row r="225" spans="1:5" x14ac:dyDescent="0.2">
      <c r="A225" s="25" t="str">
        <v>successful</v>
      </c>
      <c r="B225">
        <v>50</v>
      </c>
      <c r="D225" s="14" t="str">
        <v>failed</v>
      </c>
      <c r="E225">
        <v>253</v>
      </c>
    </row>
    <row r="226" spans="1:5" x14ac:dyDescent="0.2">
      <c r="A226" s="25" t="str">
        <v>successful</v>
      </c>
      <c r="B226">
        <v>3059</v>
      </c>
      <c r="D226" s="14" t="str">
        <v>failed</v>
      </c>
      <c r="E226">
        <v>157</v>
      </c>
    </row>
    <row r="227" spans="1:5" x14ac:dyDescent="0.2">
      <c r="A227" s="25" t="str">
        <v>successful</v>
      </c>
      <c r="B227">
        <v>34</v>
      </c>
      <c r="D227" s="14" t="str">
        <v>failed</v>
      </c>
      <c r="E227">
        <v>183</v>
      </c>
    </row>
    <row r="228" spans="1:5" x14ac:dyDescent="0.2">
      <c r="A228" s="25" t="str">
        <v>successful</v>
      </c>
      <c r="B228">
        <v>220</v>
      </c>
      <c r="D228" s="14" t="str">
        <v>failed</v>
      </c>
      <c r="E228">
        <v>82</v>
      </c>
    </row>
    <row r="229" spans="1:5" x14ac:dyDescent="0.2">
      <c r="A229" s="25" t="str">
        <v>successful</v>
      </c>
      <c r="B229">
        <v>1604</v>
      </c>
      <c r="D229" s="14" t="str">
        <v>failed</v>
      </c>
      <c r="E229">
        <v>1</v>
      </c>
    </row>
    <row r="230" spans="1:5" x14ac:dyDescent="0.2">
      <c r="A230" s="25" t="str">
        <v>successful</v>
      </c>
      <c r="B230">
        <v>454</v>
      </c>
      <c r="D230" s="14" t="str">
        <v>failed</v>
      </c>
      <c r="E230">
        <v>1198</v>
      </c>
    </row>
    <row r="231" spans="1:5" x14ac:dyDescent="0.2">
      <c r="A231" s="25" t="str">
        <v>successful</v>
      </c>
      <c r="B231">
        <v>123</v>
      </c>
      <c r="D231" s="14" t="str">
        <v>failed</v>
      </c>
      <c r="E231">
        <v>648</v>
      </c>
    </row>
    <row r="232" spans="1:5" x14ac:dyDescent="0.2">
      <c r="A232" s="25" t="str">
        <v>successful</v>
      </c>
      <c r="B232">
        <v>299</v>
      </c>
      <c r="D232" s="14" t="str">
        <v>failed</v>
      </c>
      <c r="E232">
        <v>64</v>
      </c>
    </row>
    <row r="233" spans="1:5" x14ac:dyDescent="0.2">
      <c r="A233" s="25" t="str">
        <v>successful</v>
      </c>
      <c r="B233">
        <v>2237</v>
      </c>
      <c r="D233" s="14" t="str">
        <v>failed</v>
      </c>
      <c r="E233">
        <v>62</v>
      </c>
    </row>
    <row r="234" spans="1:5" x14ac:dyDescent="0.2">
      <c r="A234" s="25" t="str">
        <v>successful</v>
      </c>
      <c r="B234">
        <v>645</v>
      </c>
      <c r="D234" s="14" t="str">
        <v>failed</v>
      </c>
      <c r="E234">
        <v>750</v>
      </c>
    </row>
    <row r="235" spans="1:5" x14ac:dyDescent="0.2">
      <c r="A235" s="25" t="str">
        <v>successful</v>
      </c>
      <c r="B235">
        <v>484</v>
      </c>
      <c r="D235" s="14" t="str">
        <v>failed</v>
      </c>
      <c r="E235">
        <v>105</v>
      </c>
    </row>
    <row r="236" spans="1:5" x14ac:dyDescent="0.2">
      <c r="A236" s="25" t="str">
        <v>successful</v>
      </c>
      <c r="B236">
        <v>154</v>
      </c>
      <c r="D236" s="14" t="str">
        <v>failed</v>
      </c>
      <c r="E236">
        <v>2604</v>
      </c>
    </row>
    <row r="237" spans="1:5" x14ac:dyDescent="0.2">
      <c r="A237" s="25" t="str">
        <v>successful</v>
      </c>
      <c r="B237">
        <v>82</v>
      </c>
      <c r="D237" s="14" t="str">
        <v>failed</v>
      </c>
      <c r="E237">
        <v>65</v>
      </c>
    </row>
    <row r="238" spans="1:5" x14ac:dyDescent="0.2">
      <c r="A238" s="25" t="str">
        <v>successful</v>
      </c>
      <c r="B238">
        <v>134</v>
      </c>
      <c r="D238" s="14" t="str">
        <v>failed</v>
      </c>
      <c r="E238">
        <v>94</v>
      </c>
    </row>
    <row r="239" spans="1:5" x14ac:dyDescent="0.2">
      <c r="A239" s="25" t="str">
        <v>successful</v>
      </c>
      <c r="B239">
        <v>5203</v>
      </c>
      <c r="D239" s="14" t="str">
        <v>failed</v>
      </c>
      <c r="E239">
        <v>257</v>
      </c>
    </row>
    <row r="240" spans="1:5" x14ac:dyDescent="0.2">
      <c r="A240" s="25" t="str">
        <v>successful</v>
      </c>
      <c r="B240">
        <v>94</v>
      </c>
      <c r="D240" s="14" t="str">
        <v>failed</v>
      </c>
      <c r="E240">
        <v>2928</v>
      </c>
    </row>
    <row r="241" spans="1:5" x14ac:dyDescent="0.2">
      <c r="A241" s="25" t="str">
        <v>successful</v>
      </c>
      <c r="B241">
        <v>205</v>
      </c>
      <c r="D241" s="14" t="str">
        <v>failed</v>
      </c>
      <c r="E241">
        <v>4697</v>
      </c>
    </row>
    <row r="242" spans="1:5" x14ac:dyDescent="0.2">
      <c r="A242" s="25" t="str">
        <v>successful</v>
      </c>
      <c r="B242">
        <v>92</v>
      </c>
      <c r="D242" s="14" t="str">
        <v>failed</v>
      </c>
      <c r="E242">
        <v>2915</v>
      </c>
    </row>
    <row r="243" spans="1:5" x14ac:dyDescent="0.2">
      <c r="A243" s="25" t="str">
        <v>successful</v>
      </c>
      <c r="B243">
        <v>219</v>
      </c>
      <c r="D243" s="14" t="str">
        <v>failed</v>
      </c>
      <c r="E243">
        <v>18</v>
      </c>
    </row>
    <row r="244" spans="1:5" x14ac:dyDescent="0.2">
      <c r="A244" s="25" t="str">
        <v>successful</v>
      </c>
      <c r="B244">
        <v>2526</v>
      </c>
      <c r="D244" s="14" t="str">
        <v>failed</v>
      </c>
      <c r="E244">
        <v>602</v>
      </c>
    </row>
    <row r="245" spans="1:5" x14ac:dyDescent="0.2">
      <c r="A245" s="25" t="str">
        <v>successful</v>
      </c>
      <c r="B245">
        <v>94</v>
      </c>
      <c r="D245" s="14" t="str">
        <v>failed</v>
      </c>
      <c r="E245">
        <v>1</v>
      </c>
    </row>
    <row r="246" spans="1:5" x14ac:dyDescent="0.2">
      <c r="A246" s="25" t="str">
        <v>successful</v>
      </c>
      <c r="B246">
        <v>1713</v>
      </c>
      <c r="D246" s="14" t="str">
        <v>failed</v>
      </c>
      <c r="E246">
        <v>3868</v>
      </c>
    </row>
    <row r="247" spans="1:5" x14ac:dyDescent="0.2">
      <c r="A247" s="25" t="str">
        <v>successful</v>
      </c>
      <c r="B247">
        <v>249</v>
      </c>
      <c r="D247" s="14" t="str">
        <v>failed</v>
      </c>
      <c r="E247">
        <v>504</v>
      </c>
    </row>
    <row r="248" spans="1:5" x14ac:dyDescent="0.2">
      <c r="A248" s="25" t="str">
        <v>successful</v>
      </c>
      <c r="B248">
        <v>192</v>
      </c>
      <c r="D248" s="14" t="str">
        <v>failed</v>
      </c>
      <c r="E248">
        <v>14</v>
      </c>
    </row>
    <row r="249" spans="1:5" x14ac:dyDescent="0.2">
      <c r="A249" s="25" t="str">
        <v>successful</v>
      </c>
      <c r="B249">
        <v>247</v>
      </c>
      <c r="D249" s="14" t="str">
        <v>failed</v>
      </c>
      <c r="E249">
        <v>750</v>
      </c>
    </row>
    <row r="250" spans="1:5" x14ac:dyDescent="0.2">
      <c r="A250" s="25" t="str">
        <v>successful</v>
      </c>
      <c r="B250">
        <v>2293</v>
      </c>
      <c r="D250" s="14" t="str">
        <v>failed</v>
      </c>
      <c r="E250">
        <v>77</v>
      </c>
    </row>
    <row r="251" spans="1:5" x14ac:dyDescent="0.2">
      <c r="A251" s="25" t="str">
        <v>successful</v>
      </c>
      <c r="B251">
        <v>3131</v>
      </c>
      <c r="D251" s="14" t="str">
        <v>failed</v>
      </c>
      <c r="E251">
        <v>752</v>
      </c>
    </row>
    <row r="252" spans="1:5" x14ac:dyDescent="0.2">
      <c r="A252" s="25" t="str">
        <v>successful</v>
      </c>
      <c r="B252">
        <v>143</v>
      </c>
      <c r="D252" s="14" t="str">
        <v>failed</v>
      </c>
      <c r="E252">
        <v>131</v>
      </c>
    </row>
    <row r="253" spans="1:5" x14ac:dyDescent="0.2">
      <c r="A253" s="25" t="str">
        <v>successful</v>
      </c>
      <c r="B253">
        <v>296</v>
      </c>
      <c r="D253" s="14" t="str">
        <v>failed</v>
      </c>
      <c r="E253">
        <v>87</v>
      </c>
    </row>
    <row r="254" spans="1:5" x14ac:dyDescent="0.2">
      <c r="A254" s="25" t="str">
        <v>successful</v>
      </c>
      <c r="B254">
        <v>170</v>
      </c>
      <c r="D254" s="14" t="str">
        <v>failed</v>
      </c>
      <c r="E254">
        <v>1063</v>
      </c>
    </row>
    <row r="255" spans="1:5" x14ac:dyDescent="0.2">
      <c r="A255" s="25" t="str">
        <v>successful</v>
      </c>
      <c r="B255">
        <v>86</v>
      </c>
      <c r="D255" s="14" t="str">
        <v>failed</v>
      </c>
      <c r="E255">
        <v>76</v>
      </c>
    </row>
    <row r="256" spans="1:5" x14ac:dyDescent="0.2">
      <c r="A256" s="25" t="str">
        <v>successful</v>
      </c>
      <c r="B256">
        <v>6286</v>
      </c>
      <c r="D256" s="14" t="str">
        <v>failed</v>
      </c>
      <c r="E256">
        <v>4428</v>
      </c>
    </row>
    <row r="257" spans="1:5" x14ac:dyDescent="0.2">
      <c r="A257" s="25" t="str">
        <v>successful</v>
      </c>
      <c r="B257">
        <v>3727</v>
      </c>
      <c r="D257" s="14" t="str">
        <v>failed</v>
      </c>
      <c r="E257">
        <v>58</v>
      </c>
    </row>
    <row r="258" spans="1:5" x14ac:dyDescent="0.2">
      <c r="A258" s="25" t="str">
        <v>successful</v>
      </c>
      <c r="B258">
        <v>1605</v>
      </c>
      <c r="D258" s="14" t="str">
        <v>failed</v>
      </c>
      <c r="E258">
        <v>111</v>
      </c>
    </row>
    <row r="259" spans="1:5" x14ac:dyDescent="0.2">
      <c r="A259" s="25" t="str">
        <v>successful</v>
      </c>
      <c r="B259">
        <v>2120</v>
      </c>
      <c r="D259" s="14" t="str">
        <v>failed</v>
      </c>
      <c r="E259">
        <v>2955</v>
      </c>
    </row>
    <row r="260" spans="1:5" x14ac:dyDescent="0.2">
      <c r="A260" s="25" t="str">
        <v>successful</v>
      </c>
      <c r="B260">
        <v>50</v>
      </c>
      <c r="D260" s="14" t="str">
        <v>failed</v>
      </c>
      <c r="E260">
        <v>1657</v>
      </c>
    </row>
    <row r="261" spans="1:5" x14ac:dyDescent="0.2">
      <c r="A261" s="25" t="str">
        <v>successful</v>
      </c>
      <c r="B261">
        <v>2080</v>
      </c>
      <c r="D261" s="14" t="str">
        <v>failed</v>
      </c>
      <c r="E261">
        <v>926</v>
      </c>
    </row>
    <row r="262" spans="1:5" x14ac:dyDescent="0.2">
      <c r="A262" s="25" t="str">
        <v>successful</v>
      </c>
      <c r="B262">
        <v>2105</v>
      </c>
      <c r="D262" s="14" t="str">
        <v>failed</v>
      </c>
      <c r="E262">
        <v>77</v>
      </c>
    </row>
    <row r="263" spans="1:5" x14ac:dyDescent="0.2">
      <c r="A263" s="25" t="str">
        <v>successful</v>
      </c>
      <c r="B263">
        <v>2436</v>
      </c>
      <c r="D263" s="14" t="str">
        <v>failed</v>
      </c>
      <c r="E263">
        <v>1748</v>
      </c>
    </row>
    <row r="264" spans="1:5" x14ac:dyDescent="0.2">
      <c r="A264" s="25" t="str">
        <v>successful</v>
      </c>
      <c r="B264">
        <v>80</v>
      </c>
      <c r="D264" s="14" t="str">
        <v>failed</v>
      </c>
      <c r="E264">
        <v>79</v>
      </c>
    </row>
    <row r="265" spans="1:5" x14ac:dyDescent="0.2">
      <c r="A265" s="25" t="str">
        <v>successful</v>
      </c>
      <c r="B265">
        <v>42</v>
      </c>
      <c r="D265" s="14" t="str">
        <v>failed</v>
      </c>
      <c r="E265">
        <v>889</v>
      </c>
    </row>
    <row r="266" spans="1:5" x14ac:dyDescent="0.2">
      <c r="A266" s="25" t="str">
        <v>successful</v>
      </c>
      <c r="B266">
        <v>139</v>
      </c>
      <c r="D266" s="14" t="str">
        <v>failed</v>
      </c>
      <c r="E266">
        <v>56</v>
      </c>
    </row>
    <row r="267" spans="1:5" x14ac:dyDescent="0.2">
      <c r="A267" s="25" t="str">
        <v>successful</v>
      </c>
      <c r="B267">
        <v>159</v>
      </c>
      <c r="D267" s="14" t="str">
        <v>failed</v>
      </c>
      <c r="E267">
        <v>1</v>
      </c>
    </row>
    <row r="268" spans="1:5" x14ac:dyDescent="0.2">
      <c r="A268" s="25" t="str">
        <v>successful</v>
      </c>
      <c r="B268">
        <v>381</v>
      </c>
      <c r="D268" s="14" t="str">
        <v>failed</v>
      </c>
      <c r="E268">
        <v>83</v>
      </c>
    </row>
    <row r="269" spans="1:5" x14ac:dyDescent="0.2">
      <c r="A269" s="25" t="str">
        <v>successful</v>
      </c>
      <c r="B269">
        <v>194</v>
      </c>
      <c r="D269" s="14" t="str">
        <v>failed</v>
      </c>
      <c r="E269">
        <v>2025</v>
      </c>
    </row>
    <row r="270" spans="1:5" x14ac:dyDescent="0.2">
      <c r="A270" s="25" t="str">
        <v>successful</v>
      </c>
      <c r="B270">
        <v>106</v>
      </c>
      <c r="D270" s="14" t="str">
        <v>failed</v>
      </c>
      <c r="E270">
        <v>14</v>
      </c>
    </row>
    <row r="271" spans="1:5" x14ac:dyDescent="0.2">
      <c r="A271" s="25" t="str">
        <v>successful</v>
      </c>
      <c r="B271">
        <v>142</v>
      </c>
      <c r="D271" s="14" t="str">
        <v>failed</v>
      </c>
      <c r="E271">
        <v>656</v>
      </c>
    </row>
    <row r="272" spans="1:5" x14ac:dyDescent="0.2">
      <c r="A272" s="25" t="str">
        <v>successful</v>
      </c>
      <c r="B272">
        <v>211</v>
      </c>
      <c r="D272" s="14" t="str">
        <v>failed</v>
      </c>
      <c r="E272">
        <v>1596</v>
      </c>
    </row>
    <row r="273" spans="1:5" x14ac:dyDescent="0.2">
      <c r="A273" s="25" t="str">
        <v>successful</v>
      </c>
      <c r="B273">
        <v>2756</v>
      </c>
      <c r="D273" s="14" t="str">
        <v>failed</v>
      </c>
      <c r="E273">
        <v>10</v>
      </c>
    </row>
    <row r="274" spans="1:5" x14ac:dyDescent="0.2">
      <c r="A274" s="25" t="str">
        <v>successful</v>
      </c>
      <c r="B274">
        <v>173</v>
      </c>
      <c r="D274" s="14" t="str">
        <v>failed</v>
      </c>
      <c r="E274">
        <v>1121</v>
      </c>
    </row>
    <row r="275" spans="1:5" x14ac:dyDescent="0.2">
      <c r="A275" s="25" t="str">
        <v>successful</v>
      </c>
      <c r="B275">
        <v>87</v>
      </c>
      <c r="D275" s="14" t="str">
        <v>failed</v>
      </c>
      <c r="E275">
        <v>15</v>
      </c>
    </row>
    <row r="276" spans="1:5" x14ac:dyDescent="0.2">
      <c r="A276" s="25" t="str">
        <v>successful</v>
      </c>
      <c r="B276">
        <v>1572</v>
      </c>
      <c r="D276" s="14" t="str">
        <v>failed</v>
      </c>
      <c r="E276">
        <v>191</v>
      </c>
    </row>
    <row r="277" spans="1:5" x14ac:dyDescent="0.2">
      <c r="A277" s="25" t="str">
        <v>successful</v>
      </c>
      <c r="B277">
        <v>2346</v>
      </c>
      <c r="D277" s="14" t="str">
        <v>failed</v>
      </c>
      <c r="E277">
        <v>16</v>
      </c>
    </row>
    <row r="278" spans="1:5" x14ac:dyDescent="0.2">
      <c r="A278" s="25" t="str">
        <v>successful</v>
      </c>
      <c r="B278">
        <v>115</v>
      </c>
      <c r="D278" s="14" t="str">
        <v>failed</v>
      </c>
      <c r="E278">
        <v>17</v>
      </c>
    </row>
    <row r="279" spans="1:5" x14ac:dyDescent="0.2">
      <c r="A279" s="25" t="str">
        <v>successful</v>
      </c>
      <c r="B279">
        <v>85</v>
      </c>
      <c r="D279" s="14" t="str">
        <v>failed</v>
      </c>
      <c r="E279">
        <v>34</v>
      </c>
    </row>
    <row r="280" spans="1:5" x14ac:dyDescent="0.2">
      <c r="A280" s="25" t="str">
        <v>successful</v>
      </c>
      <c r="B280">
        <v>144</v>
      </c>
      <c r="D280" s="14" t="str">
        <v>failed</v>
      </c>
      <c r="E280">
        <v>1</v>
      </c>
    </row>
    <row r="281" spans="1:5" x14ac:dyDescent="0.2">
      <c r="A281" s="25" t="str">
        <v>successful</v>
      </c>
      <c r="B281">
        <v>2443</v>
      </c>
      <c r="D281" s="14" t="str">
        <v>failed</v>
      </c>
      <c r="E281">
        <v>1274</v>
      </c>
    </row>
    <row r="282" spans="1:5" x14ac:dyDescent="0.2">
      <c r="A282" s="25" t="str">
        <v>successful</v>
      </c>
      <c r="B282">
        <v>64</v>
      </c>
      <c r="D282" s="14" t="str">
        <v>failed</v>
      </c>
      <c r="E282">
        <v>210</v>
      </c>
    </row>
    <row r="283" spans="1:5" x14ac:dyDescent="0.2">
      <c r="A283" s="25" t="str">
        <v>successful</v>
      </c>
      <c r="B283">
        <v>268</v>
      </c>
      <c r="D283" s="14" t="str">
        <v>failed</v>
      </c>
      <c r="E283">
        <v>248</v>
      </c>
    </row>
    <row r="284" spans="1:5" x14ac:dyDescent="0.2">
      <c r="A284" s="25" t="str">
        <v>successful</v>
      </c>
      <c r="B284">
        <v>195</v>
      </c>
      <c r="D284" s="14" t="str">
        <v>failed</v>
      </c>
      <c r="E284">
        <v>513</v>
      </c>
    </row>
    <row r="285" spans="1:5" x14ac:dyDescent="0.2">
      <c r="A285" s="25" t="str">
        <v>successful</v>
      </c>
      <c r="B285">
        <v>186</v>
      </c>
      <c r="D285" s="14" t="str">
        <v>failed</v>
      </c>
      <c r="E285">
        <v>3410</v>
      </c>
    </row>
    <row r="286" spans="1:5" x14ac:dyDescent="0.2">
      <c r="A286" s="25" t="str">
        <v>successful</v>
      </c>
      <c r="B286">
        <v>460</v>
      </c>
      <c r="D286" s="14" t="str">
        <v>failed</v>
      </c>
      <c r="E286">
        <v>10</v>
      </c>
    </row>
    <row r="287" spans="1:5" x14ac:dyDescent="0.2">
      <c r="A287" s="25" t="str">
        <v>successful</v>
      </c>
      <c r="B287">
        <v>2528</v>
      </c>
      <c r="D287" s="14" t="str">
        <v>failed</v>
      </c>
      <c r="E287">
        <v>2201</v>
      </c>
    </row>
    <row r="288" spans="1:5" x14ac:dyDescent="0.2">
      <c r="A288" s="25" t="str">
        <v>successful</v>
      </c>
      <c r="B288">
        <v>3657</v>
      </c>
      <c r="D288" s="14" t="str">
        <v>failed</v>
      </c>
      <c r="E288">
        <v>676</v>
      </c>
    </row>
    <row r="289" spans="1:5" x14ac:dyDescent="0.2">
      <c r="A289" s="25" t="str">
        <v>successful</v>
      </c>
      <c r="B289">
        <v>131</v>
      </c>
      <c r="D289" s="14" t="str">
        <v>failed</v>
      </c>
      <c r="E289">
        <v>831</v>
      </c>
    </row>
    <row r="290" spans="1:5" x14ac:dyDescent="0.2">
      <c r="A290" s="25" t="str">
        <v>successful</v>
      </c>
      <c r="B290">
        <v>239</v>
      </c>
      <c r="D290" s="14" t="str">
        <v>failed</v>
      </c>
      <c r="E290">
        <v>859</v>
      </c>
    </row>
    <row r="291" spans="1:5" x14ac:dyDescent="0.2">
      <c r="A291" s="25" t="str">
        <v>successful</v>
      </c>
      <c r="B291">
        <v>78</v>
      </c>
      <c r="D291" s="14" t="str">
        <v>failed</v>
      </c>
      <c r="E291">
        <v>45</v>
      </c>
    </row>
    <row r="292" spans="1:5" x14ac:dyDescent="0.2">
      <c r="A292" s="25" t="str">
        <v>successful</v>
      </c>
      <c r="B292">
        <v>1773</v>
      </c>
      <c r="D292" s="14" t="str">
        <v>failed</v>
      </c>
      <c r="E292">
        <v>6</v>
      </c>
    </row>
    <row r="293" spans="1:5" x14ac:dyDescent="0.2">
      <c r="A293" s="25" t="str">
        <v>successful</v>
      </c>
      <c r="B293">
        <v>32</v>
      </c>
      <c r="D293" s="14" t="str">
        <v>failed</v>
      </c>
      <c r="E293">
        <v>7</v>
      </c>
    </row>
    <row r="294" spans="1:5" x14ac:dyDescent="0.2">
      <c r="A294" s="25" t="str">
        <v>successful</v>
      </c>
      <c r="B294">
        <v>369</v>
      </c>
      <c r="D294" s="14" t="str">
        <v>failed</v>
      </c>
      <c r="E294">
        <v>31</v>
      </c>
    </row>
    <row r="295" spans="1:5" x14ac:dyDescent="0.2">
      <c r="A295" s="25" t="str">
        <v>successful</v>
      </c>
      <c r="B295">
        <v>89</v>
      </c>
      <c r="D295" s="14" t="str">
        <v>failed</v>
      </c>
      <c r="E295">
        <v>78</v>
      </c>
    </row>
    <row r="296" spans="1:5" x14ac:dyDescent="0.2">
      <c r="A296" s="25" t="str">
        <v>successful</v>
      </c>
      <c r="B296">
        <v>147</v>
      </c>
      <c r="D296" s="14" t="str">
        <v>failed</v>
      </c>
      <c r="E296">
        <v>1225</v>
      </c>
    </row>
    <row r="297" spans="1:5" x14ac:dyDescent="0.2">
      <c r="A297" s="25" t="str">
        <v>successful</v>
      </c>
      <c r="B297">
        <v>126</v>
      </c>
      <c r="D297" s="14" t="str">
        <v>failed</v>
      </c>
      <c r="E297">
        <v>1</v>
      </c>
    </row>
    <row r="298" spans="1:5" x14ac:dyDescent="0.2">
      <c r="A298" s="25" t="str">
        <v>successful</v>
      </c>
      <c r="B298">
        <v>2218</v>
      </c>
      <c r="D298" s="14" t="str">
        <v>failed</v>
      </c>
      <c r="E298">
        <v>67</v>
      </c>
    </row>
    <row r="299" spans="1:5" x14ac:dyDescent="0.2">
      <c r="A299" s="25" t="str">
        <v>successful</v>
      </c>
      <c r="B299">
        <v>202</v>
      </c>
      <c r="D299" s="14" t="str">
        <v>failed</v>
      </c>
      <c r="E299">
        <v>19</v>
      </c>
    </row>
    <row r="300" spans="1:5" x14ac:dyDescent="0.2">
      <c r="A300" s="25" t="str">
        <v>successful</v>
      </c>
      <c r="B300">
        <v>140</v>
      </c>
      <c r="D300" s="14" t="str">
        <v>failed</v>
      </c>
      <c r="E300">
        <v>2108</v>
      </c>
    </row>
    <row r="301" spans="1:5" x14ac:dyDescent="0.2">
      <c r="A301" s="25" t="str">
        <v>successful</v>
      </c>
      <c r="B301">
        <v>1052</v>
      </c>
      <c r="D301" s="14" t="str">
        <v>failed</v>
      </c>
      <c r="E301">
        <v>679</v>
      </c>
    </row>
    <row r="302" spans="1:5" x14ac:dyDescent="0.2">
      <c r="A302" s="25" t="str">
        <v>successful</v>
      </c>
      <c r="B302">
        <v>247</v>
      </c>
      <c r="D302" s="14" t="str">
        <v>failed</v>
      </c>
      <c r="E302">
        <v>36</v>
      </c>
    </row>
    <row r="303" spans="1:5" x14ac:dyDescent="0.2">
      <c r="A303" s="25" t="str">
        <v>successful</v>
      </c>
      <c r="B303">
        <v>84</v>
      </c>
      <c r="D303" s="14" t="str">
        <v>failed</v>
      </c>
      <c r="E303">
        <v>47</v>
      </c>
    </row>
    <row r="304" spans="1:5" x14ac:dyDescent="0.2">
      <c r="A304" s="25" t="str">
        <v>successful</v>
      </c>
      <c r="B304">
        <v>88</v>
      </c>
      <c r="D304" s="14" t="str">
        <v>failed</v>
      </c>
      <c r="E304">
        <v>70</v>
      </c>
    </row>
    <row r="305" spans="1:5" x14ac:dyDescent="0.2">
      <c r="A305" s="25" t="str">
        <v>successful</v>
      </c>
      <c r="B305">
        <v>156</v>
      </c>
      <c r="D305" s="14" t="str">
        <v>failed</v>
      </c>
      <c r="E305">
        <v>154</v>
      </c>
    </row>
    <row r="306" spans="1:5" x14ac:dyDescent="0.2">
      <c r="A306" s="25" t="str">
        <v>successful</v>
      </c>
      <c r="B306">
        <v>2985</v>
      </c>
      <c r="D306" s="14" t="str">
        <v>failed</v>
      </c>
      <c r="E306">
        <v>22</v>
      </c>
    </row>
    <row r="307" spans="1:5" x14ac:dyDescent="0.2">
      <c r="A307" s="25" t="str">
        <v>successful</v>
      </c>
      <c r="B307">
        <v>762</v>
      </c>
      <c r="D307" s="14" t="str">
        <v>failed</v>
      </c>
      <c r="E307">
        <v>1758</v>
      </c>
    </row>
    <row r="308" spans="1:5" x14ac:dyDescent="0.2">
      <c r="A308" s="25" t="str">
        <v>successful</v>
      </c>
      <c r="B308">
        <v>554</v>
      </c>
      <c r="D308" s="14" t="str">
        <v>failed</v>
      </c>
      <c r="E308">
        <v>94</v>
      </c>
    </row>
    <row r="309" spans="1:5" x14ac:dyDescent="0.2">
      <c r="A309" s="25" t="str">
        <v>successful</v>
      </c>
      <c r="B309">
        <v>135</v>
      </c>
      <c r="D309" s="14" t="str">
        <v>failed</v>
      </c>
      <c r="E309">
        <v>33</v>
      </c>
    </row>
    <row r="310" spans="1:5" x14ac:dyDescent="0.2">
      <c r="A310" s="25" t="str">
        <v>successful</v>
      </c>
      <c r="B310">
        <v>122</v>
      </c>
      <c r="D310" s="14" t="str">
        <v>failed</v>
      </c>
      <c r="E310">
        <v>1</v>
      </c>
    </row>
    <row r="311" spans="1:5" x14ac:dyDescent="0.2">
      <c r="A311" s="25" t="str">
        <v>successful</v>
      </c>
      <c r="B311">
        <v>221</v>
      </c>
      <c r="D311" s="14" t="str">
        <v>failed</v>
      </c>
      <c r="E311">
        <v>31</v>
      </c>
    </row>
    <row r="312" spans="1:5" x14ac:dyDescent="0.2">
      <c r="A312" s="25" t="str">
        <v>successful</v>
      </c>
      <c r="B312">
        <v>126</v>
      </c>
      <c r="D312" s="14" t="str">
        <v>failed</v>
      </c>
      <c r="E312">
        <v>35</v>
      </c>
    </row>
    <row r="313" spans="1:5" x14ac:dyDescent="0.2">
      <c r="A313" s="25" t="str">
        <v>successful</v>
      </c>
      <c r="B313">
        <v>1022</v>
      </c>
      <c r="D313" s="14" t="str">
        <v>failed</v>
      </c>
      <c r="E313">
        <v>63</v>
      </c>
    </row>
    <row r="314" spans="1:5" x14ac:dyDescent="0.2">
      <c r="A314" s="25" t="str">
        <v>successful</v>
      </c>
      <c r="B314">
        <v>3177</v>
      </c>
      <c r="D314" s="14" t="str">
        <v>failed</v>
      </c>
      <c r="E314">
        <v>526</v>
      </c>
    </row>
    <row r="315" spans="1:5" x14ac:dyDescent="0.2">
      <c r="A315" s="25" t="str">
        <v>successful</v>
      </c>
      <c r="B315">
        <v>198</v>
      </c>
      <c r="D315" s="14" t="str">
        <v>failed</v>
      </c>
      <c r="E315">
        <v>121</v>
      </c>
    </row>
    <row r="316" spans="1:5" x14ac:dyDescent="0.2">
      <c r="A316" s="25" t="str">
        <v>successful</v>
      </c>
      <c r="B316">
        <v>85</v>
      </c>
      <c r="D316" s="14" t="str">
        <v>failed</v>
      </c>
      <c r="E316">
        <v>67</v>
      </c>
    </row>
    <row r="317" spans="1:5" x14ac:dyDescent="0.2">
      <c r="A317" s="25" t="str">
        <v>successful</v>
      </c>
      <c r="B317">
        <v>3596</v>
      </c>
      <c r="D317" s="14" t="str">
        <v>failed</v>
      </c>
      <c r="E317">
        <v>57</v>
      </c>
    </row>
    <row r="318" spans="1:5" x14ac:dyDescent="0.2">
      <c r="A318" s="25" t="str">
        <v>successful</v>
      </c>
      <c r="B318">
        <v>244</v>
      </c>
      <c r="D318" s="14" t="str">
        <v>failed</v>
      </c>
      <c r="E318">
        <v>1229</v>
      </c>
    </row>
    <row r="319" spans="1:5" x14ac:dyDescent="0.2">
      <c r="A319" s="25" t="str">
        <v>successful</v>
      </c>
      <c r="B319">
        <v>5180</v>
      </c>
      <c r="D319" s="14" t="str">
        <v>failed</v>
      </c>
      <c r="E319">
        <v>12</v>
      </c>
    </row>
    <row r="320" spans="1:5" x14ac:dyDescent="0.2">
      <c r="A320" s="25" t="str">
        <v>successful</v>
      </c>
      <c r="B320">
        <v>589</v>
      </c>
      <c r="D320" s="14" t="str">
        <v>failed</v>
      </c>
      <c r="E320">
        <v>452</v>
      </c>
    </row>
    <row r="321" spans="1:5" x14ac:dyDescent="0.2">
      <c r="A321" s="25" t="str">
        <v>successful</v>
      </c>
      <c r="B321">
        <v>2725</v>
      </c>
      <c r="D321" s="14" t="str">
        <v>failed</v>
      </c>
      <c r="E321">
        <v>1886</v>
      </c>
    </row>
    <row r="322" spans="1:5" x14ac:dyDescent="0.2">
      <c r="A322" s="25" t="str">
        <v>successful</v>
      </c>
      <c r="B322">
        <v>300</v>
      </c>
      <c r="D322" s="14" t="str">
        <v>failed</v>
      </c>
      <c r="E322">
        <v>1825</v>
      </c>
    </row>
    <row r="323" spans="1:5" x14ac:dyDescent="0.2">
      <c r="A323" s="25" t="str">
        <v>successful</v>
      </c>
      <c r="B323">
        <v>144</v>
      </c>
      <c r="D323" s="14" t="str">
        <v>failed</v>
      </c>
      <c r="E323">
        <v>31</v>
      </c>
    </row>
    <row r="324" spans="1:5" x14ac:dyDescent="0.2">
      <c r="A324" s="25" t="str">
        <v>successful</v>
      </c>
      <c r="B324">
        <v>87</v>
      </c>
      <c r="D324" s="14" t="str">
        <v>failed</v>
      </c>
      <c r="E324">
        <v>107</v>
      </c>
    </row>
    <row r="325" spans="1:5" x14ac:dyDescent="0.2">
      <c r="A325" s="25" t="str">
        <v>successful</v>
      </c>
      <c r="B325">
        <v>3116</v>
      </c>
      <c r="D325" s="14" t="str">
        <v>failed</v>
      </c>
      <c r="E325">
        <v>27</v>
      </c>
    </row>
    <row r="326" spans="1:5" x14ac:dyDescent="0.2">
      <c r="A326" s="25" t="str">
        <v>successful</v>
      </c>
      <c r="B326">
        <v>909</v>
      </c>
      <c r="D326" s="14" t="str">
        <v>failed</v>
      </c>
      <c r="E326">
        <v>1221</v>
      </c>
    </row>
    <row r="327" spans="1:5" x14ac:dyDescent="0.2">
      <c r="A327" s="25" t="str">
        <v>successful</v>
      </c>
      <c r="B327">
        <v>1613</v>
      </c>
      <c r="D327" s="14" t="str">
        <v>failed</v>
      </c>
      <c r="E327">
        <v>1</v>
      </c>
    </row>
    <row r="328" spans="1:5" x14ac:dyDescent="0.2">
      <c r="A328" s="25" t="str">
        <v>successful</v>
      </c>
      <c r="B328">
        <v>136</v>
      </c>
      <c r="D328" s="14" t="str">
        <v>failed</v>
      </c>
      <c r="E328">
        <v>16</v>
      </c>
    </row>
    <row r="329" spans="1:5" x14ac:dyDescent="0.2">
      <c r="A329" s="25" t="str">
        <v>successful</v>
      </c>
      <c r="B329">
        <v>130</v>
      </c>
      <c r="D329" s="14" t="str">
        <v>failed</v>
      </c>
      <c r="E329">
        <v>41</v>
      </c>
    </row>
    <row r="330" spans="1:5" x14ac:dyDescent="0.2">
      <c r="A330" s="25" t="str">
        <v>successful</v>
      </c>
      <c r="B330">
        <v>102</v>
      </c>
      <c r="D330" s="14" t="str">
        <v>failed</v>
      </c>
      <c r="E330">
        <v>523</v>
      </c>
    </row>
    <row r="331" spans="1:5" x14ac:dyDescent="0.2">
      <c r="A331" s="25" t="str">
        <v>successful</v>
      </c>
      <c r="B331">
        <v>4006</v>
      </c>
      <c r="D331" s="14" t="str">
        <v>failed</v>
      </c>
      <c r="E331">
        <v>141</v>
      </c>
    </row>
    <row r="332" spans="1:5" x14ac:dyDescent="0.2">
      <c r="A332" s="25" t="str">
        <v>successful</v>
      </c>
      <c r="B332">
        <v>1629</v>
      </c>
      <c r="D332" s="14" t="str">
        <v>failed</v>
      </c>
      <c r="E332">
        <v>52</v>
      </c>
    </row>
    <row r="333" spans="1:5" x14ac:dyDescent="0.2">
      <c r="A333" s="25" t="str">
        <v>successful</v>
      </c>
      <c r="B333">
        <v>2188</v>
      </c>
      <c r="D333" s="14" t="str">
        <v>failed</v>
      </c>
      <c r="E333">
        <v>225</v>
      </c>
    </row>
    <row r="334" spans="1:5" x14ac:dyDescent="0.2">
      <c r="A334" s="25" t="str">
        <v>successful</v>
      </c>
      <c r="B334">
        <v>2409</v>
      </c>
      <c r="D334" s="14" t="str">
        <v>failed</v>
      </c>
      <c r="E334">
        <v>38</v>
      </c>
    </row>
    <row r="335" spans="1:5" x14ac:dyDescent="0.2">
      <c r="A335" s="25" t="str">
        <v>successful</v>
      </c>
      <c r="B335">
        <v>194</v>
      </c>
      <c r="D335" s="14" t="str">
        <v>failed</v>
      </c>
      <c r="E335">
        <v>15</v>
      </c>
    </row>
    <row r="336" spans="1:5" x14ac:dyDescent="0.2">
      <c r="A336" s="25" t="str">
        <v>successful</v>
      </c>
      <c r="B336">
        <v>1140</v>
      </c>
      <c r="D336" s="14" t="str">
        <v>failed</v>
      </c>
      <c r="E336">
        <v>37</v>
      </c>
    </row>
    <row r="337" spans="1:5" x14ac:dyDescent="0.2">
      <c r="A337" s="25" t="str">
        <v>successful</v>
      </c>
      <c r="B337">
        <v>102</v>
      </c>
      <c r="D337" s="14" t="str">
        <v>failed</v>
      </c>
      <c r="E337">
        <v>112</v>
      </c>
    </row>
    <row r="338" spans="1:5" x14ac:dyDescent="0.2">
      <c r="A338" s="25" t="str">
        <v>successful</v>
      </c>
      <c r="B338">
        <v>2857</v>
      </c>
      <c r="D338" s="14" t="str">
        <v>failed</v>
      </c>
      <c r="E338">
        <v>21</v>
      </c>
    </row>
    <row r="339" spans="1:5" x14ac:dyDescent="0.2">
      <c r="A339" s="25" t="str">
        <v>successful</v>
      </c>
      <c r="B339">
        <v>107</v>
      </c>
      <c r="D339" s="14" t="str">
        <v>failed</v>
      </c>
      <c r="E339">
        <v>67</v>
      </c>
    </row>
    <row r="340" spans="1:5" x14ac:dyDescent="0.2">
      <c r="A340" s="25" t="str">
        <v>successful</v>
      </c>
      <c r="B340">
        <v>160</v>
      </c>
      <c r="D340" s="14" t="str">
        <v>failed</v>
      </c>
      <c r="E340">
        <v>78</v>
      </c>
    </row>
    <row r="341" spans="1:5" x14ac:dyDescent="0.2">
      <c r="A341" s="25" t="str">
        <v>successful</v>
      </c>
      <c r="B341">
        <v>2230</v>
      </c>
      <c r="D341" s="14" t="str">
        <v>failed</v>
      </c>
      <c r="E341">
        <v>67</v>
      </c>
    </row>
    <row r="342" spans="1:5" x14ac:dyDescent="0.2">
      <c r="A342" s="25" t="str">
        <v>successful</v>
      </c>
      <c r="B342">
        <v>316</v>
      </c>
      <c r="D342" s="14" t="str">
        <v>failed</v>
      </c>
      <c r="E342">
        <v>263</v>
      </c>
    </row>
    <row r="343" spans="1:5" x14ac:dyDescent="0.2">
      <c r="A343" s="25" t="str">
        <v>successful</v>
      </c>
      <c r="B343">
        <v>117</v>
      </c>
      <c r="D343" s="14" t="str">
        <v>failed</v>
      </c>
      <c r="E343">
        <v>1691</v>
      </c>
    </row>
    <row r="344" spans="1:5" x14ac:dyDescent="0.2">
      <c r="A344" s="25" t="str">
        <v>successful</v>
      </c>
      <c r="B344">
        <v>6406</v>
      </c>
      <c r="D344" s="14" t="str">
        <v>failed</v>
      </c>
      <c r="E344">
        <v>181</v>
      </c>
    </row>
    <row r="345" spans="1:5" x14ac:dyDescent="0.2">
      <c r="A345" s="25" t="str">
        <v>successful</v>
      </c>
      <c r="B345">
        <v>192</v>
      </c>
      <c r="D345" s="14" t="str">
        <v>failed</v>
      </c>
      <c r="E345">
        <v>13</v>
      </c>
    </row>
    <row r="346" spans="1:5" x14ac:dyDescent="0.2">
      <c r="A346" s="25" t="str">
        <v>successful</v>
      </c>
      <c r="B346">
        <v>26</v>
      </c>
      <c r="D346" s="14" t="str">
        <v>failed</v>
      </c>
      <c r="E346">
        <v>1</v>
      </c>
    </row>
    <row r="347" spans="1:5" x14ac:dyDescent="0.2">
      <c r="A347" s="25" t="str">
        <v>successful</v>
      </c>
      <c r="B347">
        <v>723</v>
      </c>
      <c r="D347" s="14" t="str">
        <v>failed</v>
      </c>
      <c r="E347">
        <v>21</v>
      </c>
    </row>
    <row r="348" spans="1:5" x14ac:dyDescent="0.2">
      <c r="A348" s="25" t="str">
        <v>successful</v>
      </c>
      <c r="B348">
        <v>170</v>
      </c>
      <c r="D348" s="14" t="str">
        <v>failed</v>
      </c>
      <c r="E348">
        <v>830</v>
      </c>
    </row>
    <row r="349" spans="1:5" x14ac:dyDescent="0.2">
      <c r="A349" s="25" t="str">
        <v>successful</v>
      </c>
      <c r="B349">
        <v>238</v>
      </c>
      <c r="D349" s="14" t="str">
        <v>failed</v>
      </c>
      <c r="E349">
        <v>130</v>
      </c>
    </row>
    <row r="350" spans="1:5" x14ac:dyDescent="0.2">
      <c r="A350" s="25" t="str">
        <v>successful</v>
      </c>
      <c r="B350">
        <v>55</v>
      </c>
      <c r="D350" s="14" t="str">
        <v>failed</v>
      </c>
      <c r="E350">
        <v>55</v>
      </c>
    </row>
    <row r="351" spans="1:5" x14ac:dyDescent="0.2">
      <c r="A351" s="25" t="str">
        <v>successful</v>
      </c>
      <c r="B351">
        <v>128</v>
      </c>
      <c r="D351" s="14" t="str">
        <v>failed</v>
      </c>
      <c r="E351">
        <v>114</v>
      </c>
    </row>
    <row r="352" spans="1:5" x14ac:dyDescent="0.2">
      <c r="A352" s="25" t="str">
        <v>successful</v>
      </c>
      <c r="B352">
        <v>2144</v>
      </c>
      <c r="D352" s="14" t="str">
        <v>failed</v>
      </c>
      <c r="E352">
        <v>594</v>
      </c>
    </row>
    <row r="353" spans="1:5" x14ac:dyDescent="0.2">
      <c r="A353" s="25" t="str">
        <v>successful</v>
      </c>
      <c r="B353">
        <v>2693</v>
      </c>
      <c r="D353" s="14" t="str">
        <v>failed</v>
      </c>
      <c r="E353">
        <v>24</v>
      </c>
    </row>
    <row r="354" spans="1:5" x14ac:dyDescent="0.2">
      <c r="A354" s="25" t="str">
        <v>successful</v>
      </c>
      <c r="B354">
        <v>432</v>
      </c>
      <c r="D354" s="14" t="str">
        <v>failed</v>
      </c>
      <c r="E354">
        <v>252</v>
      </c>
    </row>
    <row r="355" spans="1:5" x14ac:dyDescent="0.2">
      <c r="A355" s="25" t="str">
        <v>successful</v>
      </c>
      <c r="B355">
        <v>189</v>
      </c>
      <c r="D355" s="14" t="str">
        <v>failed</v>
      </c>
      <c r="E355">
        <v>67</v>
      </c>
    </row>
    <row r="356" spans="1:5" x14ac:dyDescent="0.2">
      <c r="A356" s="25" t="str">
        <v>successful</v>
      </c>
      <c r="B356">
        <v>154</v>
      </c>
      <c r="D356" s="14" t="str">
        <v>failed</v>
      </c>
      <c r="E356">
        <v>742</v>
      </c>
    </row>
    <row r="357" spans="1:5" x14ac:dyDescent="0.2">
      <c r="A357" s="25" t="str">
        <v>successful</v>
      </c>
      <c r="B357">
        <v>96</v>
      </c>
      <c r="D357" s="14" t="str">
        <v>failed</v>
      </c>
      <c r="E357">
        <v>75</v>
      </c>
    </row>
    <row r="358" spans="1:5" x14ac:dyDescent="0.2">
      <c r="A358" s="25" t="str">
        <v>successful</v>
      </c>
      <c r="B358">
        <v>3063</v>
      </c>
      <c r="D358" s="14" t="str">
        <v>failed</v>
      </c>
      <c r="E358">
        <v>4405</v>
      </c>
    </row>
    <row r="359" spans="1:5" x14ac:dyDescent="0.2">
      <c r="A359" s="25" t="str">
        <v>successful</v>
      </c>
      <c r="B359">
        <v>2266</v>
      </c>
      <c r="D359" s="14" t="str">
        <v>failed</v>
      </c>
      <c r="E359">
        <v>92</v>
      </c>
    </row>
    <row r="360" spans="1:5" x14ac:dyDescent="0.2">
      <c r="A360" s="25" t="str">
        <v>successful</v>
      </c>
      <c r="B360">
        <v>194</v>
      </c>
      <c r="D360" s="14" t="str">
        <v>failed</v>
      </c>
      <c r="E360">
        <v>64</v>
      </c>
    </row>
    <row r="361" spans="1:5" x14ac:dyDescent="0.2">
      <c r="A361" s="25" t="str">
        <v>successful</v>
      </c>
      <c r="B361">
        <v>129</v>
      </c>
      <c r="D361" s="14" t="str">
        <v>failed</v>
      </c>
      <c r="E361">
        <v>64</v>
      </c>
    </row>
    <row r="362" spans="1:5" x14ac:dyDescent="0.2">
      <c r="A362" s="25" t="str">
        <v>successful</v>
      </c>
      <c r="B362">
        <v>375</v>
      </c>
      <c r="D362" s="14" t="str">
        <v>failed</v>
      </c>
      <c r="E362">
        <v>842</v>
      </c>
    </row>
    <row r="363" spans="1:5" x14ac:dyDescent="0.2">
      <c r="A363" s="25" t="str">
        <v>successful</v>
      </c>
      <c r="B363">
        <v>409</v>
      </c>
      <c r="D363" s="14" t="str">
        <v>failed</v>
      </c>
      <c r="E363">
        <v>112</v>
      </c>
    </row>
    <row r="364" spans="1:5" x14ac:dyDescent="0.2">
      <c r="A364" s="25" t="str">
        <v>successful</v>
      </c>
      <c r="B364">
        <v>234</v>
      </c>
      <c r="D364" s="14" t="str">
        <v>failed</v>
      </c>
      <c r="E364">
        <v>374</v>
      </c>
    </row>
    <row r="365" spans="1:5" x14ac:dyDescent="0.2">
      <c r="A365" s="25" t="str">
        <v>successful</v>
      </c>
      <c r="B365">
        <v>3016</v>
      </c>
    </row>
    <row r="366" spans="1:5" x14ac:dyDescent="0.2">
      <c r="A366" s="25" t="str">
        <v>successful</v>
      </c>
      <c r="B366">
        <v>264</v>
      </c>
    </row>
    <row r="367" spans="1:5" x14ac:dyDescent="0.2">
      <c r="A367" s="25" t="str">
        <v>successful</v>
      </c>
      <c r="B367">
        <v>272</v>
      </c>
    </row>
    <row r="368" spans="1:5" x14ac:dyDescent="0.2">
      <c r="A368" s="25" t="str">
        <v>successful</v>
      </c>
      <c r="B368">
        <v>419</v>
      </c>
    </row>
    <row r="369" spans="1:2" x14ac:dyDescent="0.2">
      <c r="A369" s="25" t="str">
        <v>successful</v>
      </c>
      <c r="B369">
        <v>1621</v>
      </c>
    </row>
    <row r="370" spans="1:2" x14ac:dyDescent="0.2">
      <c r="A370" s="25" t="str">
        <v>successful</v>
      </c>
      <c r="B370">
        <v>1101</v>
      </c>
    </row>
    <row r="371" spans="1:2" x14ac:dyDescent="0.2">
      <c r="A371" s="25" t="str">
        <v>successful</v>
      </c>
      <c r="B371">
        <v>1073</v>
      </c>
    </row>
    <row r="372" spans="1:2" x14ac:dyDescent="0.2">
      <c r="A372" s="25" t="str">
        <v>successful</v>
      </c>
      <c r="B372">
        <v>331</v>
      </c>
    </row>
    <row r="373" spans="1:2" x14ac:dyDescent="0.2">
      <c r="A373" s="25" t="str">
        <v>successful</v>
      </c>
      <c r="B373">
        <v>1170</v>
      </c>
    </row>
    <row r="374" spans="1:2" x14ac:dyDescent="0.2">
      <c r="A374" s="25" t="str">
        <v>successful</v>
      </c>
      <c r="B374">
        <v>363</v>
      </c>
    </row>
    <row r="375" spans="1:2" x14ac:dyDescent="0.2">
      <c r="A375" s="25" t="str">
        <v>successful</v>
      </c>
      <c r="B375">
        <v>103</v>
      </c>
    </row>
    <row r="376" spans="1:2" x14ac:dyDescent="0.2">
      <c r="A376" s="25" t="str">
        <v>successful</v>
      </c>
      <c r="B376">
        <v>147</v>
      </c>
    </row>
    <row r="377" spans="1:2" x14ac:dyDescent="0.2">
      <c r="A377" s="25" t="str">
        <v>successful</v>
      </c>
      <c r="B377">
        <v>110</v>
      </c>
    </row>
    <row r="378" spans="1:2" x14ac:dyDescent="0.2">
      <c r="A378" s="25" t="str">
        <v>successful</v>
      </c>
      <c r="B378">
        <v>134</v>
      </c>
    </row>
    <row r="379" spans="1:2" x14ac:dyDescent="0.2">
      <c r="A379" s="25" t="str">
        <v>successful</v>
      </c>
      <c r="B379">
        <v>269</v>
      </c>
    </row>
    <row r="380" spans="1:2" x14ac:dyDescent="0.2">
      <c r="A380" s="25" t="str">
        <v>successful</v>
      </c>
      <c r="B380">
        <v>175</v>
      </c>
    </row>
    <row r="381" spans="1:2" x14ac:dyDescent="0.2">
      <c r="A381" s="25" t="str">
        <v>successful</v>
      </c>
      <c r="B381">
        <v>69</v>
      </c>
    </row>
    <row r="382" spans="1:2" x14ac:dyDescent="0.2">
      <c r="A382" s="25" t="str">
        <v>successful</v>
      </c>
      <c r="B382">
        <v>190</v>
      </c>
    </row>
    <row r="383" spans="1:2" x14ac:dyDescent="0.2">
      <c r="A383" s="25" t="str">
        <v>successful</v>
      </c>
      <c r="B383">
        <v>237</v>
      </c>
    </row>
    <row r="384" spans="1:2" x14ac:dyDescent="0.2">
      <c r="A384" s="25" t="str">
        <v>successful</v>
      </c>
      <c r="B384">
        <v>196</v>
      </c>
    </row>
    <row r="385" spans="1:2" x14ac:dyDescent="0.2">
      <c r="A385" s="25" t="str">
        <v>successful</v>
      </c>
      <c r="B385">
        <v>7295</v>
      </c>
    </row>
    <row r="386" spans="1:2" x14ac:dyDescent="0.2">
      <c r="A386" s="25" t="str">
        <v>successful</v>
      </c>
      <c r="B386">
        <v>2893</v>
      </c>
    </row>
    <row r="387" spans="1:2" x14ac:dyDescent="0.2">
      <c r="A387" s="25" t="str">
        <v>successful</v>
      </c>
      <c r="B387">
        <v>820</v>
      </c>
    </row>
    <row r="388" spans="1:2" x14ac:dyDescent="0.2">
      <c r="A388" s="25" t="str">
        <v>successful</v>
      </c>
      <c r="B388">
        <v>2038</v>
      </c>
    </row>
    <row r="389" spans="1:2" x14ac:dyDescent="0.2">
      <c r="A389" s="25" t="str">
        <v>successful</v>
      </c>
      <c r="B389">
        <v>116</v>
      </c>
    </row>
    <row r="390" spans="1:2" x14ac:dyDescent="0.2">
      <c r="A390" s="25" t="str">
        <v>successful</v>
      </c>
      <c r="B390">
        <v>1345</v>
      </c>
    </row>
    <row r="391" spans="1:2" x14ac:dyDescent="0.2">
      <c r="A391" s="25" t="str">
        <v>successful</v>
      </c>
      <c r="B391">
        <v>168</v>
      </c>
    </row>
    <row r="392" spans="1:2" x14ac:dyDescent="0.2">
      <c r="A392" s="25" t="str">
        <v>successful</v>
      </c>
      <c r="B392">
        <v>137</v>
      </c>
    </row>
    <row r="393" spans="1:2" x14ac:dyDescent="0.2">
      <c r="A393" s="25" t="str">
        <v>successful</v>
      </c>
      <c r="B393">
        <v>186</v>
      </c>
    </row>
    <row r="394" spans="1:2" x14ac:dyDescent="0.2">
      <c r="A394" s="25" t="str">
        <v>successful</v>
      </c>
      <c r="B394">
        <v>125</v>
      </c>
    </row>
    <row r="395" spans="1:2" x14ac:dyDescent="0.2">
      <c r="A395" s="25" t="str">
        <v>successful</v>
      </c>
      <c r="B395">
        <v>202</v>
      </c>
    </row>
    <row r="396" spans="1:2" x14ac:dyDescent="0.2">
      <c r="A396" s="25" t="str">
        <v>successful</v>
      </c>
      <c r="B396">
        <v>103</v>
      </c>
    </row>
    <row r="397" spans="1:2" x14ac:dyDescent="0.2">
      <c r="A397" s="25" t="str">
        <v>successful</v>
      </c>
      <c r="B397">
        <v>1785</v>
      </c>
    </row>
    <row r="398" spans="1:2" x14ac:dyDescent="0.2">
      <c r="A398" s="25" t="str">
        <v>successful</v>
      </c>
      <c r="B398">
        <v>157</v>
      </c>
    </row>
    <row r="399" spans="1:2" x14ac:dyDescent="0.2">
      <c r="A399" s="25" t="str">
        <v>successful</v>
      </c>
      <c r="B399">
        <v>555</v>
      </c>
    </row>
    <row r="400" spans="1:2" x14ac:dyDescent="0.2">
      <c r="A400" s="25" t="str">
        <v>successful</v>
      </c>
      <c r="B400">
        <v>297</v>
      </c>
    </row>
    <row r="401" spans="1:2" x14ac:dyDescent="0.2">
      <c r="A401" s="25" t="str">
        <v>successful</v>
      </c>
      <c r="B401">
        <v>123</v>
      </c>
    </row>
    <row r="402" spans="1:2" x14ac:dyDescent="0.2">
      <c r="A402" s="25" t="str">
        <v>successful</v>
      </c>
      <c r="B402">
        <v>3036</v>
      </c>
    </row>
    <row r="403" spans="1:2" x14ac:dyDescent="0.2">
      <c r="A403" s="25" t="str">
        <v>successful</v>
      </c>
      <c r="B403">
        <v>144</v>
      </c>
    </row>
    <row r="404" spans="1:2" x14ac:dyDescent="0.2">
      <c r="A404" s="25" t="str">
        <v>successful</v>
      </c>
      <c r="B404">
        <v>121</v>
      </c>
    </row>
    <row r="405" spans="1:2" x14ac:dyDescent="0.2">
      <c r="A405" s="25" t="str">
        <v>successful</v>
      </c>
      <c r="B405">
        <v>181</v>
      </c>
    </row>
    <row r="406" spans="1:2" x14ac:dyDescent="0.2">
      <c r="A406" s="25" t="str">
        <v>successful</v>
      </c>
      <c r="B406">
        <v>122</v>
      </c>
    </row>
    <row r="407" spans="1:2" x14ac:dyDescent="0.2">
      <c r="A407" s="25" t="str">
        <v>successful</v>
      </c>
      <c r="B407">
        <v>1071</v>
      </c>
    </row>
    <row r="408" spans="1:2" x14ac:dyDescent="0.2">
      <c r="A408" s="25" t="str">
        <v>successful</v>
      </c>
      <c r="B408">
        <v>980</v>
      </c>
    </row>
    <row r="409" spans="1:2" x14ac:dyDescent="0.2">
      <c r="A409" s="25" t="str">
        <v>successful</v>
      </c>
      <c r="B409">
        <v>536</v>
      </c>
    </row>
    <row r="410" spans="1:2" x14ac:dyDescent="0.2">
      <c r="A410" s="25" t="str">
        <v>successful</v>
      </c>
      <c r="B410">
        <v>1991</v>
      </c>
    </row>
    <row r="411" spans="1:2" x14ac:dyDescent="0.2">
      <c r="A411" s="25" t="str">
        <v>successful</v>
      </c>
      <c r="B411">
        <v>180</v>
      </c>
    </row>
    <row r="412" spans="1:2" x14ac:dyDescent="0.2">
      <c r="A412" s="25" t="str">
        <v>successful</v>
      </c>
      <c r="B412">
        <v>130</v>
      </c>
    </row>
    <row r="413" spans="1:2" x14ac:dyDescent="0.2">
      <c r="A413" s="25" t="str">
        <v>successful</v>
      </c>
      <c r="B413">
        <v>122</v>
      </c>
    </row>
    <row r="414" spans="1:2" x14ac:dyDescent="0.2">
      <c r="A414" s="25" t="str">
        <v>successful</v>
      </c>
      <c r="B414">
        <v>140</v>
      </c>
    </row>
    <row r="415" spans="1:2" x14ac:dyDescent="0.2">
      <c r="A415" s="25" t="str">
        <v>successful</v>
      </c>
      <c r="B415">
        <v>3388</v>
      </c>
    </row>
    <row r="416" spans="1:2" x14ac:dyDescent="0.2">
      <c r="A416" s="25" t="str">
        <v>successful</v>
      </c>
      <c r="B416">
        <v>280</v>
      </c>
    </row>
    <row r="417" spans="1:2" x14ac:dyDescent="0.2">
      <c r="A417" s="25" t="str">
        <v>successful</v>
      </c>
      <c r="B417">
        <v>366</v>
      </c>
    </row>
    <row r="418" spans="1:2" x14ac:dyDescent="0.2">
      <c r="A418" s="25" t="str">
        <v>successful</v>
      </c>
      <c r="B418">
        <v>270</v>
      </c>
    </row>
    <row r="419" spans="1:2" x14ac:dyDescent="0.2">
      <c r="A419" s="25" t="str">
        <v>successful</v>
      </c>
      <c r="B419">
        <v>137</v>
      </c>
    </row>
    <row r="420" spans="1:2" x14ac:dyDescent="0.2">
      <c r="A420" s="25" t="str">
        <v>successful</v>
      </c>
      <c r="B420">
        <v>3205</v>
      </c>
    </row>
    <row r="421" spans="1:2" x14ac:dyDescent="0.2">
      <c r="A421" s="25" t="str">
        <v>successful</v>
      </c>
      <c r="B421">
        <v>288</v>
      </c>
    </row>
    <row r="422" spans="1:2" x14ac:dyDescent="0.2">
      <c r="A422" s="25" t="str">
        <v>successful</v>
      </c>
      <c r="B422">
        <v>148</v>
      </c>
    </row>
    <row r="423" spans="1:2" x14ac:dyDescent="0.2">
      <c r="A423" s="25" t="str">
        <v>successful</v>
      </c>
      <c r="B423">
        <v>114</v>
      </c>
    </row>
    <row r="424" spans="1:2" x14ac:dyDescent="0.2">
      <c r="A424" s="25" t="str">
        <v>successful</v>
      </c>
      <c r="B424">
        <v>1518</v>
      </c>
    </row>
    <row r="425" spans="1:2" x14ac:dyDescent="0.2">
      <c r="A425" s="25" t="str">
        <v>successful</v>
      </c>
      <c r="B425">
        <v>166</v>
      </c>
    </row>
    <row r="426" spans="1:2" x14ac:dyDescent="0.2">
      <c r="A426" s="25" t="str">
        <v>successful</v>
      </c>
      <c r="B426">
        <v>100</v>
      </c>
    </row>
    <row r="427" spans="1:2" x14ac:dyDescent="0.2">
      <c r="A427" s="25" t="str">
        <v>successful</v>
      </c>
      <c r="B427">
        <v>235</v>
      </c>
    </row>
    <row r="428" spans="1:2" x14ac:dyDescent="0.2">
      <c r="A428" s="25" t="str">
        <v>successful</v>
      </c>
      <c r="B428">
        <v>148</v>
      </c>
    </row>
    <row r="429" spans="1:2" x14ac:dyDescent="0.2">
      <c r="A429" s="25" t="str">
        <v>successful</v>
      </c>
      <c r="B429">
        <v>198</v>
      </c>
    </row>
    <row r="430" spans="1:2" x14ac:dyDescent="0.2">
      <c r="A430" s="25" t="str">
        <v>successful</v>
      </c>
      <c r="B430">
        <v>150</v>
      </c>
    </row>
    <row r="431" spans="1:2" x14ac:dyDescent="0.2">
      <c r="A431" s="25" t="str">
        <v>successful</v>
      </c>
      <c r="B431">
        <v>216</v>
      </c>
    </row>
    <row r="432" spans="1:2" x14ac:dyDescent="0.2">
      <c r="A432" s="25" t="str">
        <v>successful</v>
      </c>
      <c r="B432">
        <v>5139</v>
      </c>
    </row>
    <row r="433" spans="1:2" x14ac:dyDescent="0.2">
      <c r="A433" s="25" t="str">
        <v>successful</v>
      </c>
      <c r="B433">
        <v>2353</v>
      </c>
    </row>
    <row r="434" spans="1:2" x14ac:dyDescent="0.2">
      <c r="A434" s="25" t="str">
        <v>successful</v>
      </c>
      <c r="B434">
        <v>78</v>
      </c>
    </row>
    <row r="435" spans="1:2" x14ac:dyDescent="0.2">
      <c r="A435" s="25" t="str">
        <v>successful</v>
      </c>
      <c r="B435">
        <v>174</v>
      </c>
    </row>
    <row r="436" spans="1:2" x14ac:dyDescent="0.2">
      <c r="A436" s="25" t="str">
        <v>successful</v>
      </c>
      <c r="B436">
        <v>164</v>
      </c>
    </row>
    <row r="437" spans="1:2" x14ac:dyDescent="0.2">
      <c r="A437" s="25" t="str">
        <v>successful</v>
      </c>
      <c r="B437">
        <v>161</v>
      </c>
    </row>
    <row r="438" spans="1:2" x14ac:dyDescent="0.2">
      <c r="A438" s="25" t="str">
        <v>successful</v>
      </c>
      <c r="B438">
        <v>138</v>
      </c>
    </row>
    <row r="439" spans="1:2" x14ac:dyDescent="0.2">
      <c r="A439" s="25" t="str">
        <v>successful</v>
      </c>
      <c r="B439">
        <v>3308</v>
      </c>
    </row>
    <row r="440" spans="1:2" x14ac:dyDescent="0.2">
      <c r="A440" s="25" t="str">
        <v>successful</v>
      </c>
      <c r="B440">
        <v>127</v>
      </c>
    </row>
    <row r="441" spans="1:2" x14ac:dyDescent="0.2">
      <c r="A441" s="25" t="str">
        <v>successful</v>
      </c>
      <c r="B441">
        <v>207</v>
      </c>
    </row>
    <row r="442" spans="1:2" x14ac:dyDescent="0.2">
      <c r="A442" s="25" t="str">
        <v>successful</v>
      </c>
      <c r="B442">
        <v>181</v>
      </c>
    </row>
    <row r="443" spans="1:2" x14ac:dyDescent="0.2">
      <c r="A443" s="25" t="str">
        <v>successful</v>
      </c>
      <c r="B443">
        <v>110</v>
      </c>
    </row>
    <row r="444" spans="1:2" x14ac:dyDescent="0.2">
      <c r="A444" s="25" t="str">
        <v>successful</v>
      </c>
      <c r="B444">
        <v>185</v>
      </c>
    </row>
    <row r="445" spans="1:2" x14ac:dyDescent="0.2">
      <c r="A445" s="25" t="str">
        <v>successful</v>
      </c>
      <c r="B445">
        <v>121</v>
      </c>
    </row>
    <row r="446" spans="1:2" x14ac:dyDescent="0.2">
      <c r="A446" s="25" t="str">
        <v>successful</v>
      </c>
      <c r="B446">
        <v>106</v>
      </c>
    </row>
    <row r="447" spans="1:2" x14ac:dyDescent="0.2">
      <c r="A447" s="25" t="str">
        <v>successful</v>
      </c>
      <c r="B447">
        <v>142</v>
      </c>
    </row>
    <row r="448" spans="1:2" x14ac:dyDescent="0.2">
      <c r="A448" s="25" t="str">
        <v>successful</v>
      </c>
      <c r="B448">
        <v>233</v>
      </c>
    </row>
    <row r="449" spans="1:2" x14ac:dyDescent="0.2">
      <c r="A449" s="25" t="str">
        <v>successful</v>
      </c>
      <c r="B449">
        <v>218</v>
      </c>
    </row>
    <row r="450" spans="1:2" x14ac:dyDescent="0.2">
      <c r="A450" s="25" t="str">
        <v>successful</v>
      </c>
      <c r="B450">
        <v>76</v>
      </c>
    </row>
    <row r="451" spans="1:2" x14ac:dyDescent="0.2">
      <c r="A451" s="25" t="str">
        <v>successful</v>
      </c>
      <c r="B451">
        <v>43</v>
      </c>
    </row>
    <row r="452" spans="1:2" x14ac:dyDescent="0.2">
      <c r="A452" s="25" t="str">
        <v>successful</v>
      </c>
      <c r="B452">
        <v>221</v>
      </c>
    </row>
    <row r="453" spans="1:2" x14ac:dyDescent="0.2">
      <c r="A453" s="25" t="str">
        <v>successful</v>
      </c>
      <c r="B453">
        <v>2805</v>
      </c>
    </row>
    <row r="454" spans="1:2" x14ac:dyDescent="0.2">
      <c r="A454" s="25" t="str">
        <v>successful</v>
      </c>
      <c r="B454">
        <v>68</v>
      </c>
    </row>
    <row r="455" spans="1:2" x14ac:dyDescent="0.2">
      <c r="A455" s="25" t="str">
        <v>successful</v>
      </c>
      <c r="B455">
        <v>183</v>
      </c>
    </row>
    <row r="456" spans="1:2" x14ac:dyDescent="0.2">
      <c r="A456" s="25" t="str">
        <v>successful</v>
      </c>
      <c r="B456">
        <v>133</v>
      </c>
    </row>
    <row r="457" spans="1:2" x14ac:dyDescent="0.2">
      <c r="A457" s="25" t="str">
        <v>successful</v>
      </c>
      <c r="B457">
        <v>2489</v>
      </c>
    </row>
    <row r="458" spans="1:2" x14ac:dyDescent="0.2">
      <c r="A458" s="25" t="str">
        <v>successful</v>
      </c>
      <c r="B458">
        <v>69</v>
      </c>
    </row>
    <row r="459" spans="1:2" x14ac:dyDescent="0.2">
      <c r="A459" s="25" t="str">
        <v>successful</v>
      </c>
      <c r="B459">
        <v>279</v>
      </c>
    </row>
    <row r="460" spans="1:2" x14ac:dyDescent="0.2">
      <c r="A460" s="25" t="str">
        <v>successful</v>
      </c>
      <c r="B460">
        <v>210</v>
      </c>
    </row>
    <row r="461" spans="1:2" x14ac:dyDescent="0.2">
      <c r="A461" s="25" t="str">
        <v>successful</v>
      </c>
      <c r="B461">
        <v>2100</v>
      </c>
    </row>
    <row r="462" spans="1:2" x14ac:dyDescent="0.2">
      <c r="A462" s="25" t="str">
        <v>successful</v>
      </c>
      <c r="B462">
        <v>252</v>
      </c>
    </row>
    <row r="463" spans="1:2" x14ac:dyDescent="0.2">
      <c r="A463" s="25" t="str">
        <v>successful</v>
      </c>
      <c r="B463">
        <v>1280</v>
      </c>
    </row>
    <row r="464" spans="1:2" x14ac:dyDescent="0.2">
      <c r="A464" s="25" t="str">
        <v>successful</v>
      </c>
      <c r="B464">
        <v>157</v>
      </c>
    </row>
    <row r="465" spans="1:2" x14ac:dyDescent="0.2">
      <c r="A465" s="25" t="str">
        <v>successful</v>
      </c>
      <c r="B465">
        <v>194</v>
      </c>
    </row>
    <row r="466" spans="1:2" x14ac:dyDescent="0.2">
      <c r="A466" s="25" t="str">
        <v>successful</v>
      </c>
      <c r="B466">
        <v>82</v>
      </c>
    </row>
    <row r="467" spans="1:2" x14ac:dyDescent="0.2">
      <c r="A467" s="25" t="str">
        <v>successful</v>
      </c>
      <c r="B467">
        <v>4233</v>
      </c>
    </row>
    <row r="468" spans="1:2" x14ac:dyDescent="0.2">
      <c r="A468" s="25" t="str">
        <v>successful</v>
      </c>
      <c r="B468">
        <v>1297</v>
      </c>
    </row>
    <row r="469" spans="1:2" x14ac:dyDescent="0.2">
      <c r="A469" s="25" t="str">
        <v>successful</v>
      </c>
      <c r="B469">
        <v>165</v>
      </c>
    </row>
    <row r="470" spans="1:2" x14ac:dyDescent="0.2">
      <c r="A470" s="25" t="str">
        <v>successful</v>
      </c>
      <c r="B470">
        <v>119</v>
      </c>
    </row>
    <row r="471" spans="1:2" x14ac:dyDescent="0.2">
      <c r="A471" s="25" t="str">
        <v>successful</v>
      </c>
      <c r="B471">
        <v>1797</v>
      </c>
    </row>
    <row r="472" spans="1:2" x14ac:dyDescent="0.2">
      <c r="A472" s="25" t="str">
        <v>successful</v>
      </c>
      <c r="B472">
        <v>261</v>
      </c>
    </row>
    <row r="473" spans="1:2" x14ac:dyDescent="0.2">
      <c r="A473" s="25" t="str">
        <v>successful</v>
      </c>
      <c r="B473">
        <v>157</v>
      </c>
    </row>
    <row r="474" spans="1:2" x14ac:dyDescent="0.2">
      <c r="A474" s="25" t="str">
        <v>successful</v>
      </c>
      <c r="B474">
        <v>3533</v>
      </c>
    </row>
    <row r="475" spans="1:2" x14ac:dyDescent="0.2">
      <c r="A475" s="25" t="str">
        <v>successful</v>
      </c>
      <c r="B475">
        <v>155</v>
      </c>
    </row>
    <row r="476" spans="1:2" x14ac:dyDescent="0.2">
      <c r="A476" s="25" t="str">
        <v>successful</v>
      </c>
      <c r="B476">
        <v>132</v>
      </c>
    </row>
    <row r="477" spans="1:2" x14ac:dyDescent="0.2">
      <c r="A477" s="25" t="str">
        <v>successful</v>
      </c>
      <c r="B477">
        <v>1354</v>
      </c>
    </row>
    <row r="478" spans="1:2" x14ac:dyDescent="0.2">
      <c r="A478" s="25" t="str">
        <v>successful</v>
      </c>
      <c r="B478">
        <v>48</v>
      </c>
    </row>
    <row r="479" spans="1:2" x14ac:dyDescent="0.2">
      <c r="A479" s="25" t="str">
        <v>successful</v>
      </c>
      <c r="B479">
        <v>110</v>
      </c>
    </row>
    <row r="480" spans="1:2" x14ac:dyDescent="0.2">
      <c r="A480" s="25" t="str">
        <v>successful</v>
      </c>
      <c r="B480">
        <v>172</v>
      </c>
    </row>
    <row r="481" spans="1:2" x14ac:dyDescent="0.2">
      <c r="A481" s="25" t="str">
        <v>successful</v>
      </c>
      <c r="B481">
        <v>307</v>
      </c>
    </row>
    <row r="482" spans="1:2" x14ac:dyDescent="0.2">
      <c r="A482" s="25" t="str">
        <v>successful</v>
      </c>
      <c r="B482">
        <v>160</v>
      </c>
    </row>
    <row r="483" spans="1:2" x14ac:dyDescent="0.2">
      <c r="A483" s="25" t="str">
        <v>successful</v>
      </c>
      <c r="B483">
        <v>1467</v>
      </c>
    </row>
    <row r="484" spans="1:2" x14ac:dyDescent="0.2">
      <c r="A484" s="25" t="str">
        <v>successful</v>
      </c>
      <c r="B484">
        <v>2662</v>
      </c>
    </row>
    <row r="485" spans="1:2" x14ac:dyDescent="0.2">
      <c r="A485" s="25" t="str">
        <v>successful</v>
      </c>
      <c r="B485">
        <v>452</v>
      </c>
    </row>
    <row r="486" spans="1:2" x14ac:dyDescent="0.2">
      <c r="A486" s="25" t="str">
        <v>successful</v>
      </c>
      <c r="B486">
        <v>158</v>
      </c>
    </row>
    <row r="487" spans="1:2" x14ac:dyDescent="0.2">
      <c r="A487" s="25" t="str">
        <v>successful</v>
      </c>
      <c r="B487">
        <v>225</v>
      </c>
    </row>
    <row r="488" spans="1:2" x14ac:dyDescent="0.2">
      <c r="A488" s="25" t="str">
        <v>successful</v>
      </c>
      <c r="B488">
        <v>65</v>
      </c>
    </row>
    <row r="489" spans="1:2" x14ac:dyDescent="0.2">
      <c r="A489" s="25" t="str">
        <v>successful</v>
      </c>
      <c r="B489">
        <v>163</v>
      </c>
    </row>
    <row r="490" spans="1:2" x14ac:dyDescent="0.2">
      <c r="A490" s="25" t="str">
        <v>successful</v>
      </c>
      <c r="B490">
        <v>85</v>
      </c>
    </row>
    <row r="491" spans="1:2" x14ac:dyDescent="0.2">
      <c r="A491" s="25" t="str">
        <v>successful</v>
      </c>
      <c r="B491">
        <v>217</v>
      </c>
    </row>
    <row r="492" spans="1:2" x14ac:dyDescent="0.2">
      <c r="A492" s="25" t="str">
        <v>successful</v>
      </c>
      <c r="B492">
        <v>150</v>
      </c>
    </row>
    <row r="493" spans="1:2" x14ac:dyDescent="0.2">
      <c r="A493" s="25" t="str">
        <v>successful</v>
      </c>
      <c r="B493">
        <v>3272</v>
      </c>
    </row>
    <row r="494" spans="1:2" x14ac:dyDescent="0.2">
      <c r="A494" s="25" t="str">
        <v>successful</v>
      </c>
      <c r="B494">
        <v>300</v>
      </c>
    </row>
    <row r="495" spans="1:2" x14ac:dyDescent="0.2">
      <c r="A495" s="25" t="str">
        <v>successful</v>
      </c>
      <c r="B495">
        <v>126</v>
      </c>
    </row>
    <row r="496" spans="1:2" x14ac:dyDescent="0.2">
      <c r="A496" s="25" t="str">
        <v>successful</v>
      </c>
      <c r="B496">
        <v>2320</v>
      </c>
    </row>
    <row r="497" spans="1:2" x14ac:dyDescent="0.2">
      <c r="A497" s="25" t="str">
        <v>successful</v>
      </c>
      <c r="B497">
        <v>81</v>
      </c>
    </row>
    <row r="498" spans="1:2" x14ac:dyDescent="0.2">
      <c r="A498" s="25" t="str">
        <v>successful</v>
      </c>
      <c r="B498">
        <v>1887</v>
      </c>
    </row>
    <row r="499" spans="1:2" x14ac:dyDescent="0.2">
      <c r="A499" s="25" t="str">
        <v>successful</v>
      </c>
      <c r="B499">
        <v>4358</v>
      </c>
    </row>
    <row r="500" spans="1:2" x14ac:dyDescent="0.2">
      <c r="A500" s="25" t="str">
        <v>successful</v>
      </c>
      <c r="B500">
        <v>53</v>
      </c>
    </row>
    <row r="501" spans="1:2" x14ac:dyDescent="0.2">
      <c r="A501" s="25" t="str">
        <v>successful</v>
      </c>
      <c r="B501">
        <v>2414</v>
      </c>
    </row>
    <row r="502" spans="1:2" x14ac:dyDescent="0.2">
      <c r="A502" s="25" t="str">
        <v>successful</v>
      </c>
      <c r="B502">
        <v>80</v>
      </c>
    </row>
    <row r="503" spans="1:2" x14ac:dyDescent="0.2">
      <c r="A503" s="25" t="str">
        <v>successful</v>
      </c>
      <c r="B503">
        <v>193</v>
      </c>
    </row>
    <row r="504" spans="1:2" x14ac:dyDescent="0.2">
      <c r="A504" s="25" t="str">
        <v>successful</v>
      </c>
      <c r="B504">
        <v>52</v>
      </c>
    </row>
    <row r="505" spans="1:2" x14ac:dyDescent="0.2">
      <c r="A505" s="25" t="str">
        <v>successful</v>
      </c>
      <c r="B505">
        <v>290</v>
      </c>
    </row>
    <row r="506" spans="1:2" x14ac:dyDescent="0.2">
      <c r="A506" s="25" t="str">
        <v>successful</v>
      </c>
      <c r="B506">
        <v>122</v>
      </c>
    </row>
    <row r="507" spans="1:2" x14ac:dyDescent="0.2">
      <c r="A507" s="25" t="str">
        <v>successful</v>
      </c>
      <c r="B507">
        <v>1470</v>
      </c>
    </row>
    <row r="508" spans="1:2" x14ac:dyDescent="0.2">
      <c r="A508" s="25" t="str">
        <v>successful</v>
      </c>
      <c r="B508">
        <v>165</v>
      </c>
    </row>
    <row r="509" spans="1:2" x14ac:dyDescent="0.2">
      <c r="A509" s="25" t="str">
        <v>successful</v>
      </c>
      <c r="B509">
        <v>182</v>
      </c>
    </row>
    <row r="510" spans="1:2" x14ac:dyDescent="0.2">
      <c r="A510" s="25" t="str">
        <v>successful</v>
      </c>
      <c r="B510">
        <v>199</v>
      </c>
    </row>
    <row r="511" spans="1:2" x14ac:dyDescent="0.2">
      <c r="A511" s="25" t="str">
        <v>successful</v>
      </c>
      <c r="B511">
        <v>56</v>
      </c>
    </row>
    <row r="512" spans="1:2" x14ac:dyDescent="0.2">
      <c r="A512" s="25" t="str">
        <v>successful</v>
      </c>
      <c r="B512">
        <v>1460</v>
      </c>
    </row>
    <row r="513" spans="1:2" x14ac:dyDescent="0.2">
      <c r="A513" s="25" t="str">
        <v>successful</v>
      </c>
      <c r="B513">
        <v>123</v>
      </c>
    </row>
    <row r="514" spans="1:2" x14ac:dyDescent="0.2">
      <c r="A514" s="25" t="str">
        <v>successful</v>
      </c>
      <c r="B514">
        <v>159</v>
      </c>
    </row>
    <row r="515" spans="1:2" x14ac:dyDescent="0.2">
      <c r="A515" s="25" t="str">
        <v>successful</v>
      </c>
      <c r="B515">
        <v>110</v>
      </c>
    </row>
    <row r="516" spans="1:2" x14ac:dyDescent="0.2">
      <c r="A516" s="25" t="str">
        <v>successful</v>
      </c>
      <c r="B516">
        <v>236</v>
      </c>
    </row>
    <row r="517" spans="1:2" x14ac:dyDescent="0.2">
      <c r="A517" s="25" t="str">
        <v>successful</v>
      </c>
      <c r="B517">
        <v>191</v>
      </c>
    </row>
    <row r="518" spans="1:2" x14ac:dyDescent="0.2">
      <c r="A518" s="25" t="str">
        <v>successful</v>
      </c>
      <c r="B518">
        <v>3934</v>
      </c>
    </row>
    <row r="519" spans="1:2" x14ac:dyDescent="0.2">
      <c r="A519" s="25" t="str">
        <v>successful</v>
      </c>
      <c r="B519">
        <v>80</v>
      </c>
    </row>
    <row r="520" spans="1:2" x14ac:dyDescent="0.2">
      <c r="A520" s="25" t="str">
        <v>successful</v>
      </c>
      <c r="B520">
        <v>462</v>
      </c>
    </row>
    <row r="521" spans="1:2" x14ac:dyDescent="0.2">
      <c r="A521" s="25" t="str">
        <v>successful</v>
      </c>
      <c r="B521">
        <v>179</v>
      </c>
    </row>
    <row r="522" spans="1:2" x14ac:dyDescent="0.2">
      <c r="A522" s="25" t="str">
        <v>successful</v>
      </c>
      <c r="B522">
        <v>1866</v>
      </c>
    </row>
    <row r="523" spans="1:2" x14ac:dyDescent="0.2">
      <c r="A523" s="25" t="str">
        <v>successful</v>
      </c>
      <c r="B523">
        <v>156</v>
      </c>
    </row>
    <row r="524" spans="1:2" x14ac:dyDescent="0.2">
      <c r="A524" s="25" t="str">
        <v>successful</v>
      </c>
      <c r="B524">
        <v>255</v>
      </c>
    </row>
    <row r="525" spans="1:2" x14ac:dyDescent="0.2">
      <c r="A525" s="25" t="str">
        <v>successful</v>
      </c>
      <c r="B525">
        <v>2261</v>
      </c>
    </row>
    <row r="526" spans="1:2" x14ac:dyDescent="0.2">
      <c r="A526" s="25" t="str">
        <v>successful</v>
      </c>
      <c r="B526">
        <v>40</v>
      </c>
    </row>
    <row r="527" spans="1:2" x14ac:dyDescent="0.2">
      <c r="A527" s="25" t="str">
        <v>successful</v>
      </c>
      <c r="B527">
        <v>2289</v>
      </c>
    </row>
    <row r="528" spans="1:2" x14ac:dyDescent="0.2">
      <c r="A528" s="25" t="str">
        <v>successful</v>
      </c>
      <c r="B528">
        <v>65</v>
      </c>
    </row>
    <row r="529" spans="1:2" x14ac:dyDescent="0.2">
      <c r="A529" s="25" t="str">
        <v>successful</v>
      </c>
      <c r="B529">
        <v>3777</v>
      </c>
    </row>
    <row r="530" spans="1:2" x14ac:dyDescent="0.2">
      <c r="A530" s="25" t="str">
        <v>successful</v>
      </c>
      <c r="B530">
        <v>184</v>
      </c>
    </row>
    <row r="531" spans="1:2" x14ac:dyDescent="0.2">
      <c r="A531" s="25" t="str">
        <v>successful</v>
      </c>
      <c r="B531">
        <v>85</v>
      </c>
    </row>
    <row r="532" spans="1:2" x14ac:dyDescent="0.2">
      <c r="A532" s="25" t="str">
        <v>successful</v>
      </c>
      <c r="B532">
        <v>144</v>
      </c>
    </row>
    <row r="533" spans="1:2" x14ac:dyDescent="0.2">
      <c r="A533" s="25" t="str">
        <v>successful</v>
      </c>
      <c r="B533">
        <v>1902</v>
      </c>
    </row>
    <row r="534" spans="1:2" x14ac:dyDescent="0.2">
      <c r="A534" s="25" t="str">
        <v>successful</v>
      </c>
      <c r="B534">
        <v>105</v>
      </c>
    </row>
    <row r="535" spans="1:2" x14ac:dyDescent="0.2">
      <c r="A535" s="25" t="str">
        <v>successful</v>
      </c>
      <c r="B535">
        <v>132</v>
      </c>
    </row>
    <row r="536" spans="1:2" x14ac:dyDescent="0.2">
      <c r="A536" s="25" t="str">
        <v>successful</v>
      </c>
      <c r="B536">
        <v>96</v>
      </c>
    </row>
    <row r="537" spans="1:2" x14ac:dyDescent="0.2">
      <c r="A537" s="25" t="str">
        <v>successful</v>
      </c>
      <c r="B537">
        <v>114</v>
      </c>
    </row>
    <row r="538" spans="1:2" x14ac:dyDescent="0.2">
      <c r="A538" s="25" t="str">
        <v>successful</v>
      </c>
      <c r="B538">
        <v>203</v>
      </c>
    </row>
    <row r="539" spans="1:2" x14ac:dyDescent="0.2">
      <c r="A539" s="25" t="str">
        <v>successful</v>
      </c>
      <c r="B539">
        <v>1559</v>
      </c>
    </row>
    <row r="540" spans="1:2" x14ac:dyDescent="0.2">
      <c r="A540" s="25" t="str">
        <v>successful</v>
      </c>
      <c r="B540">
        <v>1548</v>
      </c>
    </row>
    <row r="541" spans="1:2" x14ac:dyDescent="0.2">
      <c r="A541" s="25" t="str">
        <v>successful</v>
      </c>
      <c r="B541">
        <v>80</v>
      </c>
    </row>
    <row r="542" spans="1:2" x14ac:dyDescent="0.2">
      <c r="A542" s="25" t="str">
        <v>successful</v>
      </c>
      <c r="B542">
        <v>131</v>
      </c>
    </row>
    <row r="543" spans="1:2" x14ac:dyDescent="0.2">
      <c r="A543" s="25" t="str">
        <v>successful</v>
      </c>
      <c r="B543">
        <v>112</v>
      </c>
    </row>
    <row r="544" spans="1:2" x14ac:dyDescent="0.2">
      <c r="A544" s="25" t="str">
        <v>successful</v>
      </c>
      <c r="B544">
        <v>155</v>
      </c>
    </row>
    <row r="545" spans="1:2" x14ac:dyDescent="0.2">
      <c r="A545" s="25" t="str">
        <v>successful</v>
      </c>
      <c r="B545">
        <v>266</v>
      </c>
    </row>
    <row r="546" spans="1:2" x14ac:dyDescent="0.2">
      <c r="A546" s="25" t="str">
        <v>successful</v>
      </c>
      <c r="B546">
        <v>155</v>
      </c>
    </row>
    <row r="547" spans="1:2" x14ac:dyDescent="0.2">
      <c r="A547" s="25" t="str">
        <v>successful</v>
      </c>
      <c r="B547">
        <v>207</v>
      </c>
    </row>
    <row r="548" spans="1:2" x14ac:dyDescent="0.2">
      <c r="A548" s="25" t="str">
        <v>successful</v>
      </c>
      <c r="B548">
        <v>245</v>
      </c>
    </row>
    <row r="549" spans="1:2" x14ac:dyDescent="0.2">
      <c r="A549" s="25" t="str">
        <v>successful</v>
      </c>
      <c r="B549">
        <v>1573</v>
      </c>
    </row>
    <row r="550" spans="1:2" x14ac:dyDescent="0.2">
      <c r="A550" s="25" t="str">
        <v>successful</v>
      </c>
      <c r="B550">
        <v>114</v>
      </c>
    </row>
    <row r="551" spans="1:2" x14ac:dyDescent="0.2">
      <c r="A551" s="25" t="str">
        <v>successful</v>
      </c>
      <c r="B551">
        <v>93</v>
      </c>
    </row>
    <row r="552" spans="1:2" x14ac:dyDescent="0.2">
      <c r="A552" s="25" t="str">
        <v>successful</v>
      </c>
      <c r="B552">
        <v>1681</v>
      </c>
    </row>
    <row r="553" spans="1:2" x14ac:dyDescent="0.2">
      <c r="A553" s="25" t="str">
        <v>successful</v>
      </c>
      <c r="B553">
        <v>32</v>
      </c>
    </row>
    <row r="554" spans="1:2" x14ac:dyDescent="0.2">
      <c r="A554" s="25" t="str">
        <v>successful</v>
      </c>
      <c r="B554">
        <v>135</v>
      </c>
    </row>
    <row r="555" spans="1:2" x14ac:dyDescent="0.2">
      <c r="A555" s="25" t="str">
        <v>successful</v>
      </c>
      <c r="B555">
        <v>140</v>
      </c>
    </row>
    <row r="556" spans="1:2" x14ac:dyDescent="0.2">
      <c r="A556" s="25" t="str">
        <v>successful</v>
      </c>
      <c r="B556">
        <v>92</v>
      </c>
    </row>
    <row r="557" spans="1:2" x14ac:dyDescent="0.2">
      <c r="A557" s="25" t="str">
        <v>successful</v>
      </c>
      <c r="B557">
        <v>1015</v>
      </c>
    </row>
    <row r="558" spans="1:2" x14ac:dyDescent="0.2">
      <c r="A558" s="25" t="str">
        <v>successful</v>
      </c>
      <c r="B558">
        <v>323</v>
      </c>
    </row>
    <row r="559" spans="1:2" x14ac:dyDescent="0.2">
      <c r="A559" s="25" t="str">
        <v>successful</v>
      </c>
      <c r="B559">
        <v>2326</v>
      </c>
    </row>
    <row r="560" spans="1:2" x14ac:dyDescent="0.2">
      <c r="A560" s="25" t="str">
        <v>successful</v>
      </c>
      <c r="B560">
        <v>381</v>
      </c>
    </row>
    <row r="561" spans="1:2" x14ac:dyDescent="0.2">
      <c r="A561" s="25" t="str">
        <v>successful</v>
      </c>
      <c r="B561">
        <v>480</v>
      </c>
    </row>
    <row r="562" spans="1:2" x14ac:dyDescent="0.2">
      <c r="A562" s="25" t="str">
        <v>successful</v>
      </c>
      <c r="B562">
        <v>226</v>
      </c>
    </row>
    <row r="563" spans="1:2" x14ac:dyDescent="0.2">
      <c r="A563" s="25" t="str">
        <v>successful</v>
      </c>
      <c r="B563">
        <v>241</v>
      </c>
    </row>
    <row r="564" spans="1:2" x14ac:dyDescent="0.2">
      <c r="A564" s="25" t="str">
        <v>successful</v>
      </c>
      <c r="B564">
        <v>132</v>
      </c>
    </row>
    <row r="565" spans="1:2" x14ac:dyDescent="0.2">
      <c r="A565" s="25" t="str">
        <v>successful</v>
      </c>
      <c r="B565">
        <v>2043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G41"/>
  <sheetViews>
    <sheetView zoomScaleNormal="100" workbookViewId="0">
      <selection activeCell="A2" sqref="A2"/>
    </sheetView>
  </sheetViews>
  <sheetFormatPr baseColWidth="10" defaultRowHeight="16" x14ac:dyDescent="0.2"/>
  <cols>
    <col min="1" max="1" width="21.83203125" bestFit="1" customWidth="1"/>
    <col min="2" max="2" width="16.5" bestFit="1" customWidth="1"/>
    <col min="3" max="3" width="6.1640625" bestFit="1" customWidth="1"/>
    <col min="4" max="4" width="4.5" bestFit="1" customWidth="1"/>
    <col min="5" max="5" width="9.83203125" bestFit="1" customWidth="1"/>
    <col min="6" max="6" width="11.1640625" bestFit="1" customWidth="1"/>
    <col min="7" max="7" width="22.83203125" style="28" customWidth="1"/>
    <col min="8" max="8" width="20.5" bestFit="1" customWidth="1"/>
    <col min="9" max="9" width="28" bestFit="1" customWidth="1"/>
  </cols>
  <sheetData>
    <row r="1" spans="1:7" x14ac:dyDescent="0.2">
      <c r="A1" s="10" t="s">
        <v>6</v>
      </c>
      <c r="B1" t="s">
        <v>2044</v>
      </c>
    </row>
    <row r="3" spans="1:7" x14ac:dyDescent="0.2">
      <c r="A3" s="10" t="s">
        <v>2031</v>
      </c>
      <c r="B3" s="10" t="s">
        <v>2032</v>
      </c>
      <c r="G3" s="47"/>
    </row>
    <row r="4" spans="1:7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  <c r="G4" s="47" t="s">
        <v>2131</v>
      </c>
    </row>
    <row r="5" spans="1:7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  <c r="G5" s="31">
        <f>GETPIVOTDATA("outcome",$A$3,"outcome","successful","Primary Category","film &amp; video")/GETPIVOTDATA("outcome",$A$3,"Primary Category","film &amp; video")</f>
        <v>0.5730337078651685</v>
      </c>
    </row>
    <row r="6" spans="1:7" x14ac:dyDescent="0.2">
      <c r="A6" s="26" t="s">
        <v>2045</v>
      </c>
      <c r="B6">
        <v>1</v>
      </c>
      <c r="C6">
        <v>10</v>
      </c>
      <c r="D6">
        <v>2</v>
      </c>
      <c r="E6">
        <v>21</v>
      </c>
      <c r="F6">
        <v>34</v>
      </c>
      <c r="G6" s="28">
        <f>GETPIVOTDATA("outcome",$A$3,"outcome","successful","Primary Category","film &amp; video","Sub-Category","animation")/GETPIVOTDATA("outcome",$A$3,"Primary Category","film &amp; video","Sub-Category","animation")</f>
        <v>0.61764705882352944</v>
      </c>
    </row>
    <row r="7" spans="1:7" x14ac:dyDescent="0.2">
      <c r="A7" s="26" t="s">
        <v>2047</v>
      </c>
      <c r="B7">
        <v>4</v>
      </c>
      <c r="C7">
        <v>21</v>
      </c>
      <c r="D7">
        <v>1</v>
      </c>
      <c r="E7">
        <v>34</v>
      </c>
      <c r="F7">
        <v>60</v>
      </c>
      <c r="G7" s="28">
        <f>GETPIVOTDATA("outcome",$A$3,"outcome","successful","Primary Category","film &amp; video","Sub-Category","documentary")/GETPIVOTDATA("outcome",$A$3,"Primary Category","film &amp; video","Sub-Category","documentary")</f>
        <v>0.56666666666666665</v>
      </c>
    </row>
    <row r="8" spans="1:7" x14ac:dyDescent="0.2">
      <c r="A8" s="26" t="s">
        <v>2048</v>
      </c>
      <c r="B8">
        <v>2</v>
      </c>
      <c r="C8">
        <v>12</v>
      </c>
      <c r="D8">
        <v>1</v>
      </c>
      <c r="E8">
        <v>22</v>
      </c>
      <c r="F8">
        <v>37</v>
      </c>
      <c r="G8" s="28">
        <f>GETPIVOTDATA("outcome",$A$3,"outcome","successful","Primary Category","film &amp; video","Sub-Category","drama")/GETPIVOTDATA("outcome",$A$3,"Primary Category","film &amp; video","Sub-Category","drama")</f>
        <v>0.59459459459459463</v>
      </c>
    </row>
    <row r="9" spans="1:7" x14ac:dyDescent="0.2">
      <c r="A9" s="26" t="s">
        <v>2061</v>
      </c>
      <c r="C9">
        <v>9</v>
      </c>
      <c r="E9">
        <v>5</v>
      </c>
      <c r="F9">
        <v>14</v>
      </c>
      <c r="G9" s="28">
        <f>GETPIVOTDATA("outcome",$A$3,"outcome","successful","Primary Category","film &amp; video","Sub-Category","science fiction")/GETPIVOTDATA("outcome",$A$3,"Primary Category","film &amp; video","Sub-Category","science fiction")</f>
        <v>0.35714285714285715</v>
      </c>
    </row>
    <row r="10" spans="1:7" x14ac:dyDescent="0.2">
      <c r="A10" s="26" t="s">
        <v>2062</v>
      </c>
      <c r="B10">
        <v>1</v>
      </c>
      <c r="C10">
        <v>5</v>
      </c>
      <c r="D10">
        <v>1</v>
      </c>
      <c r="E10">
        <v>9</v>
      </c>
      <c r="F10">
        <v>16</v>
      </c>
      <c r="G10" s="28">
        <f>GETPIVOTDATA("outcome",$A$3,"outcome","successful","Primary Category","film &amp; video","Sub-Category","shorts")/GETPIVOTDATA("outcome",$A$3,"Primary Category","film &amp; video","Sub-Category","shorts")</f>
        <v>0.5625</v>
      </c>
    </row>
    <row r="11" spans="1:7" x14ac:dyDescent="0.2">
      <c r="A11" s="26" t="s">
        <v>2063</v>
      </c>
      <c r="B11">
        <v>3</v>
      </c>
      <c r="C11">
        <v>3</v>
      </c>
      <c r="E11">
        <v>11</v>
      </c>
      <c r="F11">
        <v>17</v>
      </c>
      <c r="G11" s="28">
        <f>GETPIVOTDATA("outcome",$A$3,"outcome","successful","Primary Category","film &amp; video","Sub-Category","television")/GETPIVOTDATA("outcome",$A$3,"Primary Category","film &amp; video","Sub-Category","television")</f>
        <v>0.6470588235294118</v>
      </c>
    </row>
    <row r="12" spans="1:7" x14ac:dyDescent="0.2">
      <c r="A12" s="11" t="s">
        <v>2036</v>
      </c>
      <c r="B12">
        <v>4</v>
      </c>
      <c r="C12">
        <v>20</v>
      </c>
      <c r="E12">
        <v>22</v>
      </c>
      <c r="F12">
        <v>46</v>
      </c>
      <c r="G12" s="31">
        <f>GETPIVOTDATA("outcome",$A$3,"outcome","successful","Primary Category","food")/GETPIVOTDATA("outcome",$A$3,"Primary Category","food")</f>
        <v>0.47826086956521741</v>
      </c>
    </row>
    <row r="13" spans="1:7" x14ac:dyDescent="0.2">
      <c r="A13" s="26" t="s">
        <v>2051</v>
      </c>
      <c r="B13">
        <v>4</v>
      </c>
      <c r="C13">
        <v>20</v>
      </c>
      <c r="E13">
        <v>22</v>
      </c>
      <c r="F13">
        <v>46</v>
      </c>
      <c r="G13" s="28">
        <f>GETPIVOTDATA("outcome",$A$3,"outcome","successful","Primary Category","food","Sub-Category","food trucks")/GETPIVOTDATA("outcome",$A$3,"Primary Category","food","Sub-Category","food trucks")</f>
        <v>0.47826086956521741</v>
      </c>
    </row>
    <row r="14" spans="1:7" x14ac:dyDescent="0.2">
      <c r="A14" s="11" t="s">
        <v>2037</v>
      </c>
      <c r="B14">
        <v>1</v>
      </c>
      <c r="C14">
        <v>23</v>
      </c>
      <c r="D14">
        <v>3</v>
      </c>
      <c r="E14">
        <v>21</v>
      </c>
      <c r="F14">
        <v>48</v>
      </c>
      <c r="G14" s="31">
        <f>GETPIVOTDATA("outcome",$A$3,"outcome","successful","Primary Category","games")/GETPIVOTDATA("outcome",$A$3,"Primary Category","games")</f>
        <v>0.4375</v>
      </c>
    </row>
    <row r="15" spans="1:7" x14ac:dyDescent="0.2">
      <c r="A15" s="26" t="s">
        <v>2055</v>
      </c>
      <c r="C15">
        <v>8</v>
      </c>
      <c r="D15">
        <v>1</v>
      </c>
      <c r="E15">
        <v>4</v>
      </c>
      <c r="F15">
        <v>13</v>
      </c>
      <c r="G15" s="28">
        <f>GETPIVOTDATA("outcome",$A$3,"outcome","successful","Primary Category","games","Sub-Category","mobile games")/GETPIVOTDATA("outcome",$A$3,"Primary Category","games","Sub-Category","mobile games")</f>
        <v>0.30769230769230771</v>
      </c>
    </row>
    <row r="16" spans="1:7" x14ac:dyDescent="0.2">
      <c r="A16" s="26" t="s">
        <v>2065</v>
      </c>
      <c r="B16">
        <v>1</v>
      </c>
      <c r="C16">
        <v>15</v>
      </c>
      <c r="D16">
        <v>2</v>
      </c>
      <c r="E16">
        <v>17</v>
      </c>
      <c r="F16">
        <v>35</v>
      </c>
      <c r="G16" s="28">
        <f>GETPIVOTDATA("outcome",$A$3,"outcome","successful","Primary Category","games","Sub-Category","video games")/GETPIVOTDATA("outcome",$A$3,"Primary Category","games","Sub-Category","video games")</f>
        <v>0.48571428571428571</v>
      </c>
    </row>
    <row r="17" spans="1:7" x14ac:dyDescent="0.2">
      <c r="A17" s="34" t="s">
        <v>2038</v>
      </c>
      <c r="B17" s="42"/>
      <c r="C17" s="42"/>
      <c r="D17" s="42"/>
      <c r="E17" s="42">
        <v>4</v>
      </c>
      <c r="F17" s="42">
        <v>4</v>
      </c>
      <c r="G17" s="32">
        <f>GETPIVOTDATA("outcome",$A$3,"outcome","successful","Primary Category","journalism")/GETPIVOTDATA("outcome",$A$3,"Primary Category","journalism")</f>
        <v>1</v>
      </c>
    </row>
    <row r="18" spans="1:7" x14ac:dyDescent="0.2">
      <c r="A18" s="35" t="s">
        <v>2046</v>
      </c>
      <c r="B18" s="42"/>
      <c r="C18" s="42"/>
      <c r="D18" s="42"/>
      <c r="E18" s="42">
        <v>4</v>
      </c>
      <c r="F18" s="42">
        <v>4</v>
      </c>
      <c r="G18" s="29">
        <f>GETPIVOTDATA("outcome",$A$3,"outcome","successful","Primary Category","journalism","Sub-Category","audio")/GETPIVOTDATA("outcome",$A$3,"Primary Category","journalism","Sub-Category","audio")</f>
        <v>1</v>
      </c>
    </row>
    <row r="19" spans="1:7" x14ac:dyDescent="0.2">
      <c r="A19" s="11" t="s">
        <v>2039</v>
      </c>
      <c r="B19">
        <v>10</v>
      </c>
      <c r="C19">
        <v>66</v>
      </c>
      <c r="E19">
        <v>99</v>
      </c>
      <c r="F19">
        <v>175</v>
      </c>
      <c r="G19" s="31">
        <f>GETPIVOTDATA("outcome",$A$3,"outcome","successful","Primary Category","music")/GETPIVOTDATA("outcome",$A$3,"Primary Category","music")</f>
        <v>0.56571428571428573</v>
      </c>
    </row>
    <row r="20" spans="1:7" x14ac:dyDescent="0.2">
      <c r="A20" s="26" t="s">
        <v>2049</v>
      </c>
      <c r="C20">
        <v>8</v>
      </c>
      <c r="E20">
        <v>10</v>
      </c>
      <c r="F20">
        <v>18</v>
      </c>
      <c r="G20" s="28">
        <f>GETPIVOTDATA("outcome",$A$3,"outcome","successful","Primary Category","music","Sub-Category","electric music")/GETPIVOTDATA("outcome",$A$3,"Primary Category","music","Sub-Category","electric music")</f>
        <v>0.55555555555555558</v>
      </c>
    </row>
    <row r="21" spans="1:7" x14ac:dyDescent="0.2">
      <c r="A21" s="26" t="s">
        <v>2052</v>
      </c>
      <c r="B21">
        <v>3</v>
      </c>
      <c r="C21">
        <v>19</v>
      </c>
      <c r="E21">
        <v>23</v>
      </c>
      <c r="F21">
        <v>45</v>
      </c>
      <c r="G21" s="28">
        <f>GETPIVOTDATA("outcome",$A$3,"outcome","successful","Primary Category","music","Sub-Category","indie rock")/GETPIVOTDATA("outcome",$A$3,"Primary Category","music","Sub-Category","indie rock")</f>
        <v>0.51111111111111107</v>
      </c>
    </row>
    <row r="22" spans="1:7" x14ac:dyDescent="0.2">
      <c r="A22" s="26" t="s">
        <v>2053</v>
      </c>
      <c r="B22">
        <v>1</v>
      </c>
      <c r="C22">
        <v>6</v>
      </c>
      <c r="E22">
        <v>10</v>
      </c>
      <c r="F22">
        <v>17</v>
      </c>
      <c r="G22" s="28">
        <f>GETPIVOTDATA("outcome",$A$3,"outcome","successful","Primary Category","music","Sub-Category","jazz")/GETPIVOTDATA("outcome",$A$3,"Primary Category","music","Sub-Category","jazz")</f>
        <v>0.58823529411764708</v>
      </c>
    </row>
    <row r="23" spans="1:7" x14ac:dyDescent="0.2">
      <c r="A23" s="26" t="s">
        <v>2054</v>
      </c>
      <c r="C23">
        <v>3</v>
      </c>
      <c r="E23">
        <v>4</v>
      </c>
      <c r="F23">
        <v>7</v>
      </c>
      <c r="G23" s="41">
        <f>GETPIVOTDATA("outcome",$A$3,"outcome","successful","Primary Category","music","Sub-Category","metal")/GETPIVOTDATA("outcome",$A$3,"Primary Category","music","Sub-Category","metal")</f>
        <v>0.5714285714285714</v>
      </c>
    </row>
    <row r="24" spans="1:7" x14ac:dyDescent="0.2">
      <c r="A24" s="26" t="s">
        <v>2060</v>
      </c>
      <c r="B24">
        <v>6</v>
      </c>
      <c r="C24">
        <v>30</v>
      </c>
      <c r="E24">
        <v>49</v>
      </c>
      <c r="F24">
        <v>85</v>
      </c>
      <c r="G24" s="28">
        <f>GETPIVOTDATA("outcome",$A$3,"outcome","successful","Primary Category","music","Sub-Category","rock")/GETPIVOTDATA("outcome",$A$3,"Primary Category","music","Sub-Category","rock")</f>
        <v>0.57647058823529407</v>
      </c>
    </row>
    <row r="25" spans="1:7" x14ac:dyDescent="0.2">
      <c r="A25" s="35" t="s">
        <v>2068</v>
      </c>
      <c r="B25" s="42"/>
      <c r="C25" s="42"/>
      <c r="D25" s="42"/>
      <c r="E25" s="42">
        <v>3</v>
      </c>
      <c r="F25" s="42">
        <v>3</v>
      </c>
      <c r="G25" s="29">
        <f>GETPIVOTDATA("outcome",$A$3,"outcome","successful","Primary Category","music","Sub-Category","world music")/GETPIVOTDATA("outcome",$A$3,"Primary Category","music","Sub-Category","world music")</f>
        <v>1</v>
      </c>
    </row>
    <row r="26" spans="1:7" x14ac:dyDescent="0.2">
      <c r="A26" s="11" t="s">
        <v>2040</v>
      </c>
      <c r="B26">
        <v>4</v>
      </c>
      <c r="C26">
        <v>11</v>
      </c>
      <c r="D26">
        <v>1</v>
      </c>
      <c r="E26">
        <v>26</v>
      </c>
      <c r="F26">
        <v>42</v>
      </c>
      <c r="G26" s="31">
        <f>GETPIVOTDATA("outcome",$A$3,"outcome","successful","Primary Category","photography")/GETPIVOTDATA("outcome",$A$3,"Primary Category","photography")</f>
        <v>0.61904761904761907</v>
      </c>
    </row>
    <row r="27" spans="1:7" x14ac:dyDescent="0.2">
      <c r="A27" s="26" t="s">
        <v>2057</v>
      </c>
      <c r="B27">
        <v>4</v>
      </c>
      <c r="C27">
        <v>11</v>
      </c>
      <c r="D27">
        <v>1</v>
      </c>
      <c r="E27">
        <v>26</v>
      </c>
      <c r="F27">
        <v>42</v>
      </c>
      <c r="G27" s="28">
        <f>GETPIVOTDATA("outcome",$A$3,"outcome","successful","Primary Category","photography","Sub-Category","photography books")/GETPIVOTDATA("outcome",$A$3,"Primary Category","photography","Sub-Category","photography books")</f>
        <v>0.61904761904761907</v>
      </c>
    </row>
    <row r="28" spans="1:7" x14ac:dyDescent="0.2">
      <c r="A28" s="11" t="s">
        <v>2041</v>
      </c>
      <c r="B28">
        <v>2</v>
      </c>
      <c r="C28">
        <v>24</v>
      </c>
      <c r="D28">
        <v>1</v>
      </c>
      <c r="E28">
        <v>40</v>
      </c>
      <c r="F28">
        <v>67</v>
      </c>
      <c r="G28" s="31">
        <f>GETPIVOTDATA("outcome",$A$3,"outcome","successful","Primary Category","publishing")/GETPIVOTDATA("outcome",$A$3,"Primary Category","publishing")</f>
        <v>0.59701492537313428</v>
      </c>
    </row>
    <row r="29" spans="1:7" x14ac:dyDescent="0.2">
      <c r="A29" s="26" t="s">
        <v>2050</v>
      </c>
      <c r="B29">
        <v>1</v>
      </c>
      <c r="C29">
        <v>7</v>
      </c>
      <c r="E29">
        <v>9</v>
      </c>
      <c r="F29">
        <v>17</v>
      </c>
      <c r="G29" s="28">
        <f>GETPIVOTDATA("outcome",$A$3,"outcome","successful","Primary Category","publishing","Sub-Category","fiction")/GETPIVOTDATA("outcome",$A$3,"Primary Category","publishing","Sub-Category","fiction")</f>
        <v>0.52941176470588236</v>
      </c>
    </row>
    <row r="30" spans="1:7" x14ac:dyDescent="0.2">
      <c r="A30" s="26" t="s">
        <v>2056</v>
      </c>
      <c r="B30">
        <v>1</v>
      </c>
      <c r="C30">
        <v>6</v>
      </c>
      <c r="D30">
        <v>1</v>
      </c>
      <c r="E30">
        <v>13</v>
      </c>
      <c r="F30">
        <v>21</v>
      </c>
      <c r="G30" s="28">
        <f>GETPIVOTDATA("outcome",$A$3,"outcome","successful","Primary Category","publishing","Sub-Category","nonfiction")/GETPIVOTDATA("outcome",$A$3,"Primary Category","publishing","Sub-Category","nonfiction")</f>
        <v>0.61904761904761907</v>
      </c>
    </row>
    <row r="31" spans="1:7" x14ac:dyDescent="0.2">
      <c r="A31" s="26" t="s">
        <v>2059</v>
      </c>
      <c r="C31">
        <v>4</v>
      </c>
      <c r="E31">
        <v>4</v>
      </c>
      <c r="F31">
        <v>8</v>
      </c>
      <c r="G31" s="41">
        <f>GETPIVOTDATA("outcome",$A$3,"outcome","successful","Primary Category","publishing","Sub-Category","radio &amp; podcasts")/GETPIVOTDATA("outcome",$A$3,"Primary Category","publishing","Sub-Category","radio &amp; podcasts")</f>
        <v>0.5</v>
      </c>
    </row>
    <row r="32" spans="1:7" x14ac:dyDescent="0.2">
      <c r="A32" s="26" t="s">
        <v>2064</v>
      </c>
      <c r="C32">
        <v>7</v>
      </c>
      <c r="E32">
        <v>14</v>
      </c>
      <c r="F32">
        <v>21</v>
      </c>
      <c r="G32" s="28">
        <f>GETPIVOTDATA("outcome",$A$3,"outcome","successful","Primary Category","publishing","Sub-Category","translations")/GETPIVOTDATA("outcome",$A$3,"Primary Category","publishing","Sub-Category","translations")</f>
        <v>0.66666666666666663</v>
      </c>
    </row>
    <row r="33" spans="1:7" x14ac:dyDescent="0.2">
      <c r="A33" s="11" t="s">
        <v>2042</v>
      </c>
      <c r="B33">
        <v>2</v>
      </c>
      <c r="C33">
        <v>28</v>
      </c>
      <c r="D33">
        <v>2</v>
      </c>
      <c r="E33">
        <v>64</v>
      </c>
      <c r="F33">
        <v>96</v>
      </c>
      <c r="G33" s="31">
        <f>GETPIVOTDATA("outcome",$A$3,"outcome","successful","Primary Category","technology")/GETPIVOTDATA("outcome",$A$3,"Primary Category","technology")</f>
        <v>0.66666666666666663</v>
      </c>
    </row>
    <row r="34" spans="1:7" x14ac:dyDescent="0.2">
      <c r="A34" s="26" t="s">
        <v>2066</v>
      </c>
      <c r="C34">
        <v>16</v>
      </c>
      <c r="D34">
        <v>1</v>
      </c>
      <c r="E34">
        <v>28</v>
      </c>
      <c r="F34">
        <v>45</v>
      </c>
      <c r="G34" s="28">
        <f>GETPIVOTDATA("outcome",$A$3,"outcome","successful","Primary Category","technology","Sub-Category","wearables")/GETPIVOTDATA("outcome",$A$3,"Primary Category","technology","Sub-Category","wearables")</f>
        <v>0.62222222222222223</v>
      </c>
    </row>
    <row r="35" spans="1:7" x14ac:dyDescent="0.2">
      <c r="A35" s="26" t="s">
        <v>2067</v>
      </c>
      <c r="B35">
        <v>2</v>
      </c>
      <c r="C35">
        <v>12</v>
      </c>
      <c r="D35">
        <v>1</v>
      </c>
      <c r="E35">
        <v>36</v>
      </c>
      <c r="F35">
        <v>51</v>
      </c>
      <c r="G35" s="28">
        <f>GETPIVOTDATA("outcome",$A$3,"outcome","successful","Primary Category","technology","Sub-Category","web")/GETPIVOTDATA("outcome",$A$3,"Primary Category","technology","Sub-Category","web")</f>
        <v>0.70588235294117652</v>
      </c>
    </row>
    <row r="36" spans="1:7" x14ac:dyDescent="0.2">
      <c r="A36" s="11" t="s">
        <v>2043</v>
      </c>
      <c r="B36">
        <v>23</v>
      </c>
      <c r="C36">
        <v>132</v>
      </c>
      <c r="D36">
        <v>2</v>
      </c>
      <c r="E36">
        <v>187</v>
      </c>
      <c r="F36">
        <v>344</v>
      </c>
      <c r="G36" s="31">
        <f>GETPIVOTDATA("outcome",$A$3,"outcome","successful","Primary Category","theater")/GETPIVOTDATA("outcome",$A$3,"Primary Category","theater")</f>
        <v>0.54360465116279066</v>
      </c>
    </row>
    <row r="37" spans="1:7" x14ac:dyDescent="0.2">
      <c r="A37" s="26" t="s">
        <v>2058</v>
      </c>
      <c r="B37">
        <v>23</v>
      </c>
      <c r="C37">
        <v>132</v>
      </c>
      <c r="D37">
        <v>2</v>
      </c>
      <c r="E37">
        <v>187</v>
      </c>
      <c r="F37">
        <v>344</v>
      </c>
      <c r="G37" s="28">
        <f>GETPIVOTDATA("outcome",$A$3,"outcome","successful","Primary Category","theater","Sub-Category","plays")/GETPIVOTDATA("outcome",$A$3,"Primary Category","theater","Sub-Category","plays")</f>
        <v>0.54360465116279066</v>
      </c>
    </row>
    <row r="38" spans="1:7" x14ac:dyDescent="0.2">
      <c r="A38" s="11" t="s">
        <v>2033</v>
      </c>
      <c r="B38">
        <v>57</v>
      </c>
      <c r="C38">
        <v>364</v>
      </c>
      <c r="D38">
        <v>14</v>
      </c>
      <c r="E38">
        <v>565</v>
      </c>
      <c r="F38">
        <v>1000</v>
      </c>
      <c r="G38" s="47">
        <f>(GETPIVOTDATA("outcome",$A$3,"outcome","successful")-GETPIVOTDATA("outcome",$A$3,"outcome","successful","Primary Category","music","Sub-Category","world music")-GETPIVOTDATA("outcome",$A$3,"outcome","successful","Primary Category","journalism","Sub-Category","audio"))/(GETPIVOTDATA("outcome",$A$3)-GETPIVOTDATA("outcome",$A$3,"Primary Category","music","Sub-Category","world music")-GETPIVOTDATA("outcome",$A$3,"Primary Category","journalism","Sub-Category","audio"))</f>
        <v>0.5619335347432024</v>
      </c>
    </row>
    <row r="40" spans="1:7" x14ac:dyDescent="0.2">
      <c r="D40" s="30" t="s">
        <v>2112</v>
      </c>
      <c r="G40" s="49">
        <f>AVERAGE(G5,G12,G14,G19,G26,G28,G33,G36)</f>
        <v>0.56010534067436024</v>
      </c>
    </row>
    <row r="41" spans="1:7" x14ac:dyDescent="0.2">
      <c r="D41" s="30" t="s">
        <v>2114</v>
      </c>
      <c r="G41" s="49">
        <f>AVERAGE(G6:G11,G13,G15:G16,G20:G24,G27,G29:G32,G34:G35,G37)</f>
        <v>0.55572552181686463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F40"/>
  <sheetViews>
    <sheetView zoomScaleNormal="100" workbookViewId="0">
      <selection activeCell="A3" sqref="A3"/>
    </sheetView>
  </sheetViews>
  <sheetFormatPr baseColWidth="10" defaultRowHeight="16" x14ac:dyDescent="0.2"/>
  <cols>
    <col min="1" max="1" width="21" bestFit="1" customWidth="1"/>
    <col min="2" max="2" width="13.6640625" bestFit="1" customWidth="1"/>
    <col min="3" max="3" width="14" bestFit="1" customWidth="1"/>
    <col min="4" max="4" width="15.5" style="28" bestFit="1" customWidth="1"/>
    <col min="5" max="5" width="15.5" bestFit="1" customWidth="1"/>
    <col min="6" max="6" width="10.1640625" style="33" bestFit="1" customWidth="1"/>
    <col min="7" max="7" width="3.6640625" bestFit="1" customWidth="1"/>
    <col min="8" max="33" width="5.5" bestFit="1" customWidth="1"/>
    <col min="34" max="399" width="7" bestFit="1" customWidth="1"/>
    <col min="400" max="781" width="8" bestFit="1" customWidth="1"/>
    <col min="782" max="965" width="9" bestFit="1" customWidth="1"/>
    <col min="966" max="966" width="12.1640625" bestFit="1" customWidth="1"/>
    <col min="967" max="967" width="13.6640625" bestFit="1" customWidth="1"/>
    <col min="968" max="968" width="8" bestFit="1" customWidth="1"/>
    <col min="969" max="969" width="13.6640625" bestFit="1" customWidth="1"/>
    <col min="970" max="970" width="8" bestFit="1" customWidth="1"/>
    <col min="971" max="971" width="13.6640625" bestFit="1" customWidth="1"/>
    <col min="972" max="972" width="9" bestFit="1" customWidth="1"/>
    <col min="973" max="973" width="13.6640625" bestFit="1" customWidth="1"/>
    <col min="974" max="974" width="8" bestFit="1" customWidth="1"/>
    <col min="975" max="975" width="13.6640625" bestFit="1" customWidth="1"/>
    <col min="976" max="976" width="8" bestFit="1" customWidth="1"/>
    <col min="977" max="977" width="13.6640625" bestFit="1" customWidth="1"/>
    <col min="978" max="979" width="8" bestFit="1" customWidth="1"/>
    <col min="980" max="980" width="13.6640625" bestFit="1" customWidth="1"/>
    <col min="981" max="981" width="8" bestFit="1" customWidth="1"/>
    <col min="982" max="982" width="9" bestFit="1" customWidth="1"/>
    <col min="983" max="983" width="13.6640625" bestFit="1" customWidth="1"/>
    <col min="984" max="984" width="9" bestFit="1" customWidth="1"/>
    <col min="985" max="985" width="13.6640625" bestFit="1" customWidth="1"/>
    <col min="986" max="986" width="8" bestFit="1" customWidth="1"/>
    <col min="987" max="987" width="13.6640625" bestFit="1" customWidth="1"/>
    <col min="988" max="988" width="9" bestFit="1" customWidth="1"/>
    <col min="989" max="989" width="13.6640625" bestFit="1" customWidth="1"/>
    <col min="990" max="990" width="9" bestFit="1" customWidth="1"/>
    <col min="991" max="991" width="13.6640625" bestFit="1" customWidth="1"/>
    <col min="992" max="992" width="8" bestFit="1" customWidth="1"/>
    <col min="993" max="993" width="13.6640625" bestFit="1" customWidth="1"/>
    <col min="994" max="994" width="8" bestFit="1" customWidth="1"/>
    <col min="995" max="995" width="13.6640625" bestFit="1" customWidth="1"/>
    <col min="996" max="996" width="9" bestFit="1" customWidth="1"/>
    <col min="997" max="997" width="13.6640625" bestFit="1" customWidth="1"/>
    <col min="998" max="998" width="8" bestFit="1" customWidth="1"/>
    <col min="999" max="999" width="13.6640625" bestFit="1" customWidth="1"/>
    <col min="1000" max="1000" width="9" bestFit="1" customWidth="1"/>
    <col min="1001" max="1001" width="13.6640625" bestFit="1" customWidth="1"/>
    <col min="1002" max="1002" width="9" bestFit="1" customWidth="1"/>
    <col min="1003" max="1003" width="13.6640625" bestFit="1" customWidth="1"/>
    <col min="1004" max="1004" width="9" bestFit="1" customWidth="1"/>
    <col min="1005" max="1005" width="13.6640625" bestFit="1" customWidth="1"/>
    <col min="1006" max="1006" width="8" bestFit="1" customWidth="1"/>
    <col min="1007" max="1007" width="13.6640625" bestFit="1" customWidth="1"/>
    <col min="1008" max="1008" width="9" bestFit="1" customWidth="1"/>
    <col min="1009" max="1009" width="13.6640625" bestFit="1" customWidth="1"/>
    <col min="1010" max="1010" width="8" bestFit="1" customWidth="1"/>
    <col min="1011" max="1011" width="13.6640625" bestFit="1" customWidth="1"/>
    <col min="1012" max="1013" width="8" bestFit="1" customWidth="1"/>
    <col min="1014" max="1014" width="13.6640625" bestFit="1" customWidth="1"/>
    <col min="1015" max="1015" width="9" bestFit="1" customWidth="1"/>
    <col min="1016" max="1016" width="13.6640625" bestFit="1" customWidth="1"/>
    <col min="1017" max="1017" width="9" bestFit="1" customWidth="1"/>
    <col min="1018" max="1018" width="13.6640625" bestFit="1" customWidth="1"/>
    <col min="1019" max="1019" width="8" bestFit="1" customWidth="1"/>
    <col min="1020" max="1020" width="13.6640625" bestFit="1" customWidth="1"/>
    <col min="1021" max="1021" width="8" bestFit="1" customWidth="1"/>
    <col min="1022" max="1022" width="13.6640625" bestFit="1" customWidth="1"/>
    <col min="1023" max="1023" width="8" bestFit="1" customWidth="1"/>
    <col min="1024" max="1024" width="13.6640625" bestFit="1" customWidth="1"/>
    <col min="1025" max="1025" width="9" bestFit="1" customWidth="1"/>
    <col min="1026" max="1026" width="13.6640625" bestFit="1" customWidth="1"/>
    <col min="1027" max="1027" width="8" bestFit="1" customWidth="1"/>
    <col min="1028" max="1028" width="13.6640625" bestFit="1" customWidth="1"/>
    <col min="1029" max="1030" width="8" bestFit="1" customWidth="1"/>
    <col min="1031" max="1031" width="13.6640625" bestFit="1" customWidth="1"/>
    <col min="1032" max="1032" width="8" bestFit="1" customWidth="1"/>
    <col min="1033" max="1033" width="13.6640625" bestFit="1" customWidth="1"/>
    <col min="1034" max="1034" width="9" bestFit="1" customWidth="1"/>
    <col min="1035" max="1035" width="13.6640625" bestFit="1" customWidth="1"/>
    <col min="1036" max="1036" width="9" bestFit="1" customWidth="1"/>
    <col min="1037" max="1037" width="13.6640625" bestFit="1" customWidth="1"/>
    <col min="1038" max="1038" width="9" bestFit="1" customWidth="1"/>
    <col min="1039" max="1039" width="13.6640625" bestFit="1" customWidth="1"/>
    <col min="1040" max="1040" width="8" bestFit="1" customWidth="1"/>
    <col min="1041" max="1041" width="9" bestFit="1" customWidth="1"/>
    <col min="1042" max="1042" width="13.6640625" bestFit="1" customWidth="1"/>
    <col min="1043" max="1043" width="8" bestFit="1" customWidth="1"/>
    <col min="1044" max="1044" width="13.6640625" bestFit="1" customWidth="1"/>
    <col min="1045" max="1045" width="8" bestFit="1" customWidth="1"/>
    <col min="1046" max="1046" width="9" bestFit="1" customWidth="1"/>
    <col min="1047" max="1047" width="13.6640625" bestFit="1" customWidth="1"/>
    <col min="1048" max="1048" width="9" bestFit="1" customWidth="1"/>
    <col min="1049" max="1049" width="13.6640625" bestFit="1" customWidth="1"/>
    <col min="1050" max="1050" width="8" bestFit="1" customWidth="1"/>
    <col min="1051" max="1051" width="13.6640625" bestFit="1" customWidth="1"/>
    <col min="1052" max="1052" width="8" bestFit="1" customWidth="1"/>
    <col min="1053" max="1053" width="9" bestFit="1" customWidth="1"/>
    <col min="1054" max="1054" width="13.6640625" bestFit="1" customWidth="1"/>
    <col min="1055" max="1055" width="9" bestFit="1" customWidth="1"/>
    <col min="1056" max="1056" width="13.6640625" bestFit="1" customWidth="1"/>
    <col min="1057" max="1057" width="8" bestFit="1" customWidth="1"/>
    <col min="1058" max="1058" width="13.6640625" bestFit="1" customWidth="1"/>
    <col min="1059" max="1059" width="8" bestFit="1" customWidth="1"/>
    <col min="1060" max="1060" width="13.6640625" bestFit="1" customWidth="1"/>
    <col min="1061" max="1061" width="8" bestFit="1" customWidth="1"/>
    <col min="1062" max="1062" width="9" bestFit="1" customWidth="1"/>
    <col min="1063" max="1063" width="13.6640625" bestFit="1" customWidth="1"/>
    <col min="1064" max="1064" width="9" bestFit="1" customWidth="1"/>
    <col min="1065" max="1065" width="13.6640625" bestFit="1" customWidth="1"/>
    <col min="1066" max="1067" width="8" bestFit="1" customWidth="1"/>
    <col min="1068" max="1068" width="13.6640625" bestFit="1" customWidth="1"/>
    <col min="1069" max="1069" width="9" bestFit="1" customWidth="1"/>
    <col min="1070" max="1070" width="14.6640625" bestFit="1" customWidth="1"/>
    <col min="1071" max="1071" width="9" bestFit="1" customWidth="1"/>
    <col min="1072" max="1072" width="14.6640625" bestFit="1" customWidth="1"/>
    <col min="1073" max="1073" width="9" bestFit="1" customWidth="1"/>
    <col min="1074" max="1074" width="14.6640625" bestFit="1" customWidth="1"/>
    <col min="1075" max="1075" width="9" bestFit="1" customWidth="1"/>
    <col min="1076" max="1076" width="14.6640625" bestFit="1" customWidth="1"/>
    <col min="1077" max="1077" width="9" bestFit="1" customWidth="1"/>
    <col min="1078" max="1078" width="8" bestFit="1" customWidth="1"/>
    <col min="1079" max="1079" width="14.6640625" bestFit="1" customWidth="1"/>
    <col min="1080" max="1080" width="9" bestFit="1" customWidth="1"/>
    <col min="1081" max="1081" width="14.6640625" bestFit="1" customWidth="1"/>
    <col min="1082" max="1082" width="9" bestFit="1" customWidth="1"/>
    <col min="1083" max="1083" width="14.6640625" bestFit="1" customWidth="1"/>
    <col min="1084" max="1084" width="9" bestFit="1" customWidth="1"/>
    <col min="1085" max="1085" width="14.6640625" bestFit="1" customWidth="1"/>
    <col min="1086" max="1086" width="9" bestFit="1" customWidth="1"/>
    <col min="1087" max="1087" width="14.6640625" bestFit="1" customWidth="1"/>
    <col min="1088" max="1088" width="9" bestFit="1" customWidth="1"/>
    <col min="1089" max="1089" width="14.6640625" bestFit="1" customWidth="1"/>
    <col min="1090" max="1090" width="9" bestFit="1" customWidth="1"/>
    <col min="1091" max="1091" width="14.6640625" bestFit="1" customWidth="1"/>
    <col min="1092" max="1093" width="9" bestFit="1" customWidth="1"/>
    <col min="1094" max="1094" width="14.6640625" bestFit="1" customWidth="1"/>
    <col min="1095" max="1095" width="9" bestFit="1" customWidth="1"/>
    <col min="1096" max="1096" width="14.6640625" bestFit="1" customWidth="1"/>
    <col min="1097" max="1097" width="9" bestFit="1" customWidth="1"/>
    <col min="1098" max="1098" width="14.6640625" bestFit="1" customWidth="1"/>
    <col min="1099" max="1099" width="9" bestFit="1" customWidth="1"/>
    <col min="1100" max="1100" width="14.6640625" bestFit="1" customWidth="1"/>
    <col min="1101" max="1101" width="9" bestFit="1" customWidth="1"/>
    <col min="1102" max="1102" width="14.6640625" bestFit="1" customWidth="1"/>
    <col min="1103" max="1103" width="9" bestFit="1" customWidth="1"/>
    <col min="1104" max="1104" width="14.6640625" bestFit="1" customWidth="1"/>
    <col min="1105" max="1105" width="9" bestFit="1" customWidth="1"/>
    <col min="1106" max="1106" width="14.6640625" bestFit="1" customWidth="1"/>
    <col min="1107" max="1107" width="9" bestFit="1" customWidth="1"/>
    <col min="1108" max="1108" width="14.6640625" bestFit="1" customWidth="1"/>
    <col min="1109" max="1109" width="9" bestFit="1" customWidth="1"/>
    <col min="1110" max="1110" width="14.6640625" bestFit="1" customWidth="1"/>
    <col min="1111" max="1111" width="9" bestFit="1" customWidth="1"/>
    <col min="1112" max="1112" width="14.6640625" bestFit="1" customWidth="1"/>
    <col min="1113" max="1113" width="9" bestFit="1" customWidth="1"/>
    <col min="1114" max="1114" width="14.6640625" bestFit="1" customWidth="1"/>
    <col min="1115" max="1115" width="9" bestFit="1" customWidth="1"/>
    <col min="1116" max="1116" width="14.6640625" bestFit="1" customWidth="1"/>
    <col min="1117" max="1117" width="9" bestFit="1" customWidth="1"/>
    <col min="1118" max="1118" width="14.6640625" bestFit="1" customWidth="1"/>
    <col min="1119" max="1119" width="9" bestFit="1" customWidth="1"/>
    <col min="1120" max="1120" width="14.6640625" bestFit="1" customWidth="1"/>
    <col min="1121" max="1121" width="9" bestFit="1" customWidth="1"/>
    <col min="1122" max="1122" width="14.6640625" bestFit="1" customWidth="1"/>
    <col min="1123" max="1123" width="9" bestFit="1" customWidth="1"/>
    <col min="1124" max="1124" width="14.6640625" bestFit="1" customWidth="1"/>
    <col min="1125" max="1125" width="9" bestFit="1" customWidth="1"/>
    <col min="1126" max="1126" width="14.6640625" bestFit="1" customWidth="1"/>
    <col min="1127" max="1127" width="9" bestFit="1" customWidth="1"/>
    <col min="1128" max="1128" width="14.6640625" bestFit="1" customWidth="1"/>
    <col min="1129" max="1129" width="9" bestFit="1" customWidth="1"/>
    <col min="1130" max="1130" width="14.6640625" bestFit="1" customWidth="1"/>
    <col min="1131" max="1131" width="9" bestFit="1" customWidth="1"/>
    <col min="1132" max="1132" width="14.6640625" bestFit="1" customWidth="1"/>
    <col min="1133" max="1133" width="9" bestFit="1" customWidth="1"/>
    <col min="1134" max="1134" width="14.6640625" bestFit="1" customWidth="1"/>
    <col min="1135" max="1135" width="9" bestFit="1" customWidth="1"/>
    <col min="1136" max="1136" width="14.6640625" bestFit="1" customWidth="1"/>
    <col min="1137" max="1137" width="9" bestFit="1" customWidth="1"/>
    <col min="1138" max="1138" width="14.6640625" bestFit="1" customWidth="1"/>
    <col min="1139" max="1139" width="9" bestFit="1" customWidth="1"/>
    <col min="1140" max="1140" width="14.6640625" bestFit="1" customWidth="1"/>
    <col min="1141" max="1141" width="9" bestFit="1" customWidth="1"/>
    <col min="1142" max="1142" width="8" bestFit="1" customWidth="1"/>
    <col min="1143" max="1143" width="14.6640625" bestFit="1" customWidth="1"/>
    <col min="1144" max="1144" width="9" bestFit="1" customWidth="1"/>
    <col min="1145" max="1145" width="14.6640625" bestFit="1" customWidth="1"/>
    <col min="1146" max="1146" width="9" bestFit="1" customWidth="1"/>
    <col min="1147" max="1147" width="14.6640625" bestFit="1" customWidth="1"/>
    <col min="1148" max="1148" width="9" bestFit="1" customWidth="1"/>
    <col min="1149" max="1149" width="14.6640625" bestFit="1" customWidth="1"/>
    <col min="1150" max="1150" width="9" bestFit="1" customWidth="1"/>
    <col min="1151" max="1151" width="14.6640625" bestFit="1" customWidth="1"/>
    <col min="1152" max="1152" width="9" bestFit="1" customWidth="1"/>
    <col min="1153" max="1153" width="14.6640625" bestFit="1" customWidth="1"/>
    <col min="1154" max="1154" width="9" bestFit="1" customWidth="1"/>
    <col min="1155" max="1155" width="14.6640625" bestFit="1" customWidth="1"/>
    <col min="1156" max="1157" width="9" bestFit="1" customWidth="1"/>
    <col min="1158" max="1158" width="14.6640625" bestFit="1" customWidth="1"/>
    <col min="1159" max="1160" width="9" bestFit="1" customWidth="1"/>
    <col min="1161" max="1161" width="14.6640625" bestFit="1" customWidth="1"/>
    <col min="1162" max="1163" width="9" bestFit="1" customWidth="1"/>
    <col min="1164" max="1164" width="14.6640625" bestFit="1" customWidth="1"/>
    <col min="1165" max="1165" width="9" bestFit="1" customWidth="1"/>
    <col min="1166" max="1166" width="14.6640625" bestFit="1" customWidth="1"/>
    <col min="1167" max="1167" width="9" bestFit="1" customWidth="1"/>
    <col min="1168" max="1168" width="14.6640625" bestFit="1" customWidth="1"/>
    <col min="1169" max="1169" width="9" bestFit="1" customWidth="1"/>
    <col min="1170" max="1170" width="14.6640625" bestFit="1" customWidth="1"/>
    <col min="1171" max="1171" width="9" bestFit="1" customWidth="1"/>
    <col min="1172" max="1172" width="14.6640625" bestFit="1" customWidth="1"/>
    <col min="1173" max="1173" width="9" bestFit="1" customWidth="1"/>
    <col min="1174" max="1174" width="14.6640625" bestFit="1" customWidth="1"/>
    <col min="1175" max="1175" width="9" bestFit="1" customWidth="1"/>
    <col min="1176" max="1176" width="14.6640625" bestFit="1" customWidth="1"/>
    <col min="1177" max="1177" width="9" bestFit="1" customWidth="1"/>
    <col min="1178" max="1178" width="14.6640625" bestFit="1" customWidth="1"/>
    <col min="1179" max="1179" width="9" bestFit="1" customWidth="1"/>
    <col min="1180" max="1180" width="14.6640625" bestFit="1" customWidth="1"/>
    <col min="1181" max="1181" width="9" bestFit="1" customWidth="1"/>
    <col min="1182" max="1182" width="14.6640625" bestFit="1" customWidth="1"/>
    <col min="1183" max="1183" width="9" bestFit="1" customWidth="1"/>
    <col min="1184" max="1184" width="14.6640625" bestFit="1" customWidth="1"/>
    <col min="1185" max="1185" width="9" bestFit="1" customWidth="1"/>
    <col min="1186" max="1186" width="14.6640625" bestFit="1" customWidth="1"/>
    <col min="1187" max="1187" width="9" bestFit="1" customWidth="1"/>
    <col min="1188" max="1188" width="14.6640625" bestFit="1" customWidth="1"/>
    <col min="1189" max="1189" width="9" bestFit="1" customWidth="1"/>
    <col min="1190" max="1190" width="14.6640625" bestFit="1" customWidth="1"/>
    <col min="1191" max="1191" width="9" bestFit="1" customWidth="1"/>
    <col min="1192" max="1192" width="14.6640625" bestFit="1" customWidth="1"/>
    <col min="1193" max="1193" width="9" bestFit="1" customWidth="1"/>
    <col min="1194" max="1194" width="14.6640625" bestFit="1" customWidth="1"/>
    <col min="1195" max="1195" width="9" bestFit="1" customWidth="1"/>
    <col min="1196" max="1196" width="14.6640625" bestFit="1" customWidth="1"/>
    <col min="1197" max="1197" width="9" bestFit="1" customWidth="1"/>
    <col min="1198" max="1198" width="14.6640625" bestFit="1" customWidth="1"/>
    <col min="1199" max="1199" width="9" bestFit="1" customWidth="1"/>
    <col min="1200" max="1200" width="14.6640625" bestFit="1" customWidth="1"/>
    <col min="1201" max="1201" width="9" bestFit="1" customWidth="1"/>
    <col min="1202" max="1202" width="14.6640625" bestFit="1" customWidth="1"/>
    <col min="1203" max="1203" width="9" bestFit="1" customWidth="1"/>
    <col min="1204" max="1204" width="14.6640625" bestFit="1" customWidth="1"/>
    <col min="1205" max="1205" width="9" bestFit="1" customWidth="1"/>
    <col min="1206" max="1206" width="14.6640625" bestFit="1" customWidth="1"/>
    <col min="1207" max="1207" width="9" bestFit="1" customWidth="1"/>
    <col min="1208" max="1208" width="14.6640625" bestFit="1" customWidth="1"/>
    <col min="1209" max="1209" width="9" bestFit="1" customWidth="1"/>
    <col min="1210" max="1210" width="14.6640625" bestFit="1" customWidth="1"/>
    <col min="1211" max="1211" width="9" bestFit="1" customWidth="1"/>
    <col min="1212" max="1212" width="14.6640625" bestFit="1" customWidth="1"/>
    <col min="1213" max="1213" width="9" bestFit="1" customWidth="1"/>
    <col min="1214" max="1214" width="14.6640625" bestFit="1" customWidth="1"/>
    <col min="1215" max="1215" width="9" bestFit="1" customWidth="1"/>
    <col min="1216" max="1216" width="14.6640625" bestFit="1" customWidth="1"/>
    <col min="1217" max="1217" width="9" bestFit="1" customWidth="1"/>
    <col min="1218" max="1218" width="14.6640625" bestFit="1" customWidth="1"/>
    <col min="1219" max="1219" width="9" bestFit="1" customWidth="1"/>
    <col min="1220" max="1220" width="14.6640625" bestFit="1" customWidth="1"/>
    <col min="1221" max="1221" width="9" bestFit="1" customWidth="1"/>
    <col min="1222" max="1222" width="14.6640625" bestFit="1" customWidth="1"/>
    <col min="1223" max="1223" width="9" bestFit="1" customWidth="1"/>
    <col min="1224" max="1224" width="14.6640625" bestFit="1" customWidth="1"/>
    <col min="1225" max="1225" width="9" bestFit="1" customWidth="1"/>
    <col min="1226" max="1226" width="14.6640625" bestFit="1" customWidth="1"/>
    <col min="1227" max="1227" width="9" bestFit="1" customWidth="1"/>
    <col min="1228" max="1228" width="14.6640625" bestFit="1" customWidth="1"/>
    <col min="1229" max="1229" width="9" bestFit="1" customWidth="1"/>
    <col min="1230" max="1230" width="14.6640625" bestFit="1" customWidth="1"/>
    <col min="1231" max="1231" width="9" bestFit="1" customWidth="1"/>
    <col min="1232" max="1232" width="14.6640625" bestFit="1" customWidth="1"/>
    <col min="1233" max="1233" width="9" bestFit="1" customWidth="1"/>
    <col min="1234" max="1234" width="14.6640625" bestFit="1" customWidth="1"/>
    <col min="1235" max="1235" width="9" bestFit="1" customWidth="1"/>
    <col min="1236" max="1236" width="14.6640625" bestFit="1" customWidth="1"/>
    <col min="1237" max="1237" width="9" bestFit="1" customWidth="1"/>
    <col min="1238" max="1238" width="8" bestFit="1" customWidth="1"/>
    <col min="1239" max="1239" width="14.6640625" bestFit="1" customWidth="1"/>
    <col min="1240" max="1240" width="9" bestFit="1" customWidth="1"/>
    <col min="1241" max="1241" width="14.6640625" bestFit="1" customWidth="1"/>
    <col min="1242" max="1242" width="9" bestFit="1" customWidth="1"/>
    <col min="1243" max="1243" width="14.6640625" bestFit="1" customWidth="1"/>
    <col min="1244" max="1244" width="9" bestFit="1" customWidth="1"/>
    <col min="1245" max="1245" width="14.6640625" bestFit="1" customWidth="1"/>
    <col min="1246" max="1246" width="9" bestFit="1" customWidth="1"/>
    <col min="1247" max="1247" width="14.6640625" bestFit="1" customWidth="1"/>
    <col min="1248" max="1248" width="9" bestFit="1" customWidth="1"/>
    <col min="1249" max="1249" width="14.6640625" bestFit="1" customWidth="1"/>
    <col min="1250" max="1250" width="9" bestFit="1" customWidth="1"/>
    <col min="1251" max="1251" width="14.6640625" bestFit="1" customWidth="1"/>
    <col min="1252" max="1252" width="9" bestFit="1" customWidth="1"/>
    <col min="1253" max="1253" width="14.6640625" bestFit="1" customWidth="1"/>
    <col min="1254" max="1254" width="9" bestFit="1" customWidth="1"/>
    <col min="1255" max="1255" width="14.6640625" bestFit="1" customWidth="1"/>
    <col min="1256" max="1256" width="9" bestFit="1" customWidth="1"/>
    <col min="1257" max="1258" width="8" bestFit="1" customWidth="1"/>
    <col min="1259" max="1259" width="14.6640625" bestFit="1" customWidth="1"/>
    <col min="1260" max="1260" width="9" bestFit="1" customWidth="1"/>
    <col min="1261" max="1261" width="14.6640625" bestFit="1" customWidth="1"/>
    <col min="1262" max="1262" width="9" bestFit="1" customWidth="1"/>
    <col min="1263" max="1263" width="14.6640625" bestFit="1" customWidth="1"/>
    <col min="1264" max="1264" width="9" bestFit="1" customWidth="1"/>
    <col min="1265" max="1265" width="14.6640625" bestFit="1" customWidth="1"/>
    <col min="1266" max="1266" width="9" bestFit="1" customWidth="1"/>
    <col min="1267" max="1267" width="14.6640625" bestFit="1" customWidth="1"/>
    <col min="1268" max="1268" width="9" bestFit="1" customWidth="1"/>
    <col min="1269" max="1269" width="8" bestFit="1" customWidth="1"/>
    <col min="1270" max="1270" width="14.6640625" bestFit="1" customWidth="1"/>
    <col min="1271" max="1271" width="9" bestFit="1" customWidth="1"/>
    <col min="1272" max="1272" width="14.6640625" bestFit="1" customWidth="1"/>
    <col min="1273" max="1274" width="9" bestFit="1" customWidth="1"/>
    <col min="1275" max="1275" width="14.6640625" bestFit="1" customWidth="1"/>
    <col min="1276" max="1276" width="9" bestFit="1" customWidth="1"/>
    <col min="1277" max="1277" width="14.6640625" bestFit="1" customWidth="1"/>
    <col min="1278" max="1278" width="9" bestFit="1" customWidth="1"/>
    <col min="1279" max="1279" width="14.6640625" bestFit="1" customWidth="1"/>
    <col min="1280" max="1280" width="9" bestFit="1" customWidth="1"/>
    <col min="1281" max="1281" width="14.6640625" bestFit="1" customWidth="1"/>
    <col min="1282" max="1282" width="9" bestFit="1" customWidth="1"/>
    <col min="1283" max="1283" width="14.6640625" bestFit="1" customWidth="1"/>
    <col min="1284" max="1284" width="9" bestFit="1" customWidth="1"/>
    <col min="1285" max="1285" width="14.6640625" bestFit="1" customWidth="1"/>
    <col min="1286" max="1286" width="9" bestFit="1" customWidth="1"/>
    <col min="1287" max="1287" width="14.6640625" bestFit="1" customWidth="1"/>
    <col min="1288" max="1288" width="9" bestFit="1" customWidth="1"/>
    <col min="1289" max="1289" width="14.6640625" bestFit="1" customWidth="1"/>
    <col min="1290" max="1290" width="9" bestFit="1" customWidth="1"/>
    <col min="1291" max="1291" width="14.6640625" bestFit="1" customWidth="1"/>
    <col min="1292" max="1292" width="9" bestFit="1" customWidth="1"/>
    <col min="1293" max="1293" width="14.6640625" bestFit="1" customWidth="1"/>
    <col min="1294" max="1294" width="9" bestFit="1" customWidth="1"/>
    <col min="1295" max="1295" width="14.6640625" bestFit="1" customWidth="1"/>
    <col min="1296" max="1296" width="9" bestFit="1" customWidth="1"/>
    <col min="1297" max="1297" width="14.6640625" bestFit="1" customWidth="1"/>
    <col min="1298" max="1299" width="9" bestFit="1" customWidth="1"/>
    <col min="1300" max="1300" width="14.6640625" bestFit="1" customWidth="1"/>
    <col min="1301" max="1301" width="9" bestFit="1" customWidth="1"/>
    <col min="1302" max="1302" width="14.6640625" bestFit="1" customWidth="1"/>
    <col min="1303" max="1304" width="9" bestFit="1" customWidth="1"/>
    <col min="1305" max="1305" width="14.6640625" bestFit="1" customWidth="1"/>
    <col min="1306" max="1306" width="9" bestFit="1" customWidth="1"/>
    <col min="1307" max="1307" width="14.6640625" bestFit="1" customWidth="1"/>
    <col min="1308" max="1308" width="9" bestFit="1" customWidth="1"/>
    <col min="1309" max="1309" width="14.6640625" bestFit="1" customWidth="1"/>
    <col min="1310" max="1310" width="9" bestFit="1" customWidth="1"/>
    <col min="1311" max="1311" width="14.6640625" bestFit="1" customWidth="1"/>
    <col min="1312" max="1312" width="9" bestFit="1" customWidth="1"/>
    <col min="1313" max="1313" width="14.6640625" bestFit="1" customWidth="1"/>
    <col min="1314" max="1314" width="9" bestFit="1" customWidth="1"/>
    <col min="1315" max="1315" width="14.6640625" bestFit="1" customWidth="1"/>
    <col min="1316" max="1317" width="9" bestFit="1" customWidth="1"/>
    <col min="1318" max="1318" width="14.6640625" bestFit="1" customWidth="1"/>
    <col min="1319" max="1319" width="9" bestFit="1" customWidth="1"/>
    <col min="1320" max="1320" width="14.6640625" bestFit="1" customWidth="1"/>
    <col min="1321" max="1321" width="9" bestFit="1" customWidth="1"/>
    <col min="1322" max="1322" width="14.6640625" bestFit="1" customWidth="1"/>
    <col min="1323" max="1324" width="9" bestFit="1" customWidth="1"/>
    <col min="1325" max="1325" width="14.6640625" bestFit="1" customWidth="1"/>
    <col min="1326" max="1326" width="9" bestFit="1" customWidth="1"/>
    <col min="1327" max="1327" width="14.6640625" bestFit="1" customWidth="1"/>
    <col min="1328" max="1328" width="9" bestFit="1" customWidth="1"/>
    <col min="1329" max="1329" width="14.6640625" bestFit="1" customWidth="1"/>
    <col min="1330" max="1330" width="9" bestFit="1" customWidth="1"/>
    <col min="1331" max="1331" width="14.6640625" bestFit="1" customWidth="1"/>
    <col min="1332" max="1332" width="9" bestFit="1" customWidth="1"/>
    <col min="1333" max="1333" width="14.6640625" bestFit="1" customWidth="1"/>
    <col min="1334" max="1334" width="9" bestFit="1" customWidth="1"/>
    <col min="1335" max="1335" width="14.6640625" bestFit="1" customWidth="1"/>
    <col min="1336" max="1336" width="9" bestFit="1" customWidth="1"/>
    <col min="1337" max="1337" width="14.6640625" bestFit="1" customWidth="1"/>
    <col min="1338" max="1339" width="9" bestFit="1" customWidth="1"/>
    <col min="1340" max="1340" width="14.6640625" bestFit="1" customWidth="1"/>
    <col min="1341" max="1341" width="9" bestFit="1" customWidth="1"/>
    <col min="1342" max="1342" width="14.6640625" bestFit="1" customWidth="1"/>
    <col min="1343" max="1343" width="9" bestFit="1" customWidth="1"/>
    <col min="1344" max="1344" width="14.6640625" bestFit="1" customWidth="1"/>
    <col min="1345" max="1345" width="9" bestFit="1" customWidth="1"/>
    <col min="1346" max="1346" width="14.6640625" bestFit="1" customWidth="1"/>
    <col min="1347" max="1347" width="9" bestFit="1" customWidth="1"/>
    <col min="1348" max="1348" width="14.6640625" bestFit="1" customWidth="1"/>
    <col min="1349" max="1349" width="9" bestFit="1" customWidth="1"/>
    <col min="1350" max="1350" width="14.6640625" bestFit="1" customWidth="1"/>
    <col min="1351" max="1351" width="9" bestFit="1" customWidth="1"/>
    <col min="1352" max="1352" width="14.6640625" bestFit="1" customWidth="1"/>
    <col min="1353" max="1353" width="9" bestFit="1" customWidth="1"/>
    <col min="1354" max="1354" width="14.6640625" bestFit="1" customWidth="1"/>
    <col min="1355" max="1355" width="9" bestFit="1" customWidth="1"/>
    <col min="1356" max="1356" width="14.6640625" bestFit="1" customWidth="1"/>
    <col min="1357" max="1357" width="9" bestFit="1" customWidth="1"/>
    <col min="1358" max="1358" width="14.6640625" bestFit="1" customWidth="1"/>
    <col min="1359" max="1359" width="9" bestFit="1" customWidth="1"/>
    <col min="1360" max="1360" width="14.6640625" bestFit="1" customWidth="1"/>
    <col min="1361" max="1361" width="9" bestFit="1" customWidth="1"/>
    <col min="1362" max="1362" width="14.6640625" bestFit="1" customWidth="1"/>
    <col min="1363" max="1363" width="9" bestFit="1" customWidth="1"/>
    <col min="1364" max="1364" width="14.6640625" bestFit="1" customWidth="1"/>
    <col min="1365" max="1365" width="9" bestFit="1" customWidth="1"/>
    <col min="1366" max="1366" width="14.6640625" bestFit="1" customWidth="1"/>
    <col min="1367" max="1367" width="9" bestFit="1" customWidth="1"/>
    <col min="1368" max="1368" width="14.6640625" bestFit="1" customWidth="1"/>
    <col min="1369" max="1369" width="9" bestFit="1" customWidth="1"/>
    <col min="1370" max="1370" width="14.6640625" bestFit="1" customWidth="1"/>
    <col min="1371" max="1371" width="9" bestFit="1" customWidth="1"/>
    <col min="1372" max="1372" width="14.6640625" bestFit="1" customWidth="1"/>
    <col min="1373" max="1373" width="9" bestFit="1" customWidth="1"/>
    <col min="1374" max="1374" width="14.6640625" bestFit="1" customWidth="1"/>
    <col min="1375" max="1375" width="9" bestFit="1" customWidth="1"/>
    <col min="1376" max="1376" width="14.6640625" bestFit="1" customWidth="1"/>
    <col min="1377" max="1377" width="9" bestFit="1" customWidth="1"/>
    <col min="1378" max="1378" width="14.6640625" bestFit="1" customWidth="1"/>
    <col min="1379" max="1379" width="9" bestFit="1" customWidth="1"/>
    <col min="1380" max="1380" width="14.6640625" bestFit="1" customWidth="1"/>
    <col min="1381" max="1382" width="9" bestFit="1" customWidth="1"/>
    <col min="1383" max="1383" width="14.6640625" bestFit="1" customWidth="1"/>
    <col min="1384" max="1384" width="9" bestFit="1" customWidth="1"/>
    <col min="1385" max="1385" width="14.6640625" bestFit="1" customWidth="1"/>
    <col min="1386" max="1386" width="9" bestFit="1" customWidth="1"/>
    <col min="1387" max="1387" width="14.6640625" bestFit="1" customWidth="1"/>
    <col min="1388" max="1389" width="9" bestFit="1" customWidth="1"/>
    <col min="1390" max="1390" width="14.6640625" bestFit="1" customWidth="1"/>
    <col min="1391" max="1391" width="9" bestFit="1" customWidth="1"/>
    <col min="1392" max="1392" width="14.6640625" bestFit="1" customWidth="1"/>
    <col min="1393" max="1393" width="9" bestFit="1" customWidth="1"/>
    <col min="1394" max="1394" width="14.6640625" bestFit="1" customWidth="1"/>
    <col min="1395" max="1395" width="9" bestFit="1" customWidth="1"/>
    <col min="1396" max="1396" width="14.6640625" bestFit="1" customWidth="1"/>
    <col min="1397" max="1397" width="9" bestFit="1" customWidth="1"/>
    <col min="1398" max="1398" width="14.6640625" bestFit="1" customWidth="1"/>
    <col min="1399" max="1399" width="9" bestFit="1" customWidth="1"/>
    <col min="1400" max="1400" width="14.6640625" bestFit="1" customWidth="1"/>
    <col min="1401" max="1401" width="9" bestFit="1" customWidth="1"/>
    <col min="1402" max="1402" width="14.6640625" bestFit="1" customWidth="1"/>
    <col min="1403" max="1403" width="9" bestFit="1" customWidth="1"/>
    <col min="1404" max="1404" width="14.6640625" bestFit="1" customWidth="1"/>
    <col min="1405" max="1405" width="9" bestFit="1" customWidth="1"/>
    <col min="1406" max="1406" width="14.6640625" bestFit="1" customWidth="1"/>
    <col min="1407" max="1407" width="9" bestFit="1" customWidth="1"/>
    <col min="1408" max="1408" width="14.6640625" bestFit="1" customWidth="1"/>
    <col min="1409" max="1409" width="9" bestFit="1" customWidth="1"/>
    <col min="1410" max="1410" width="14.6640625" bestFit="1" customWidth="1"/>
    <col min="1411" max="1411" width="9" bestFit="1" customWidth="1"/>
    <col min="1412" max="1412" width="14.6640625" bestFit="1" customWidth="1"/>
    <col min="1413" max="1413" width="9" bestFit="1" customWidth="1"/>
    <col min="1414" max="1414" width="14.6640625" bestFit="1" customWidth="1"/>
    <col min="1415" max="1415" width="9" bestFit="1" customWidth="1"/>
    <col min="1416" max="1416" width="14.6640625" bestFit="1" customWidth="1"/>
    <col min="1417" max="1417" width="9" bestFit="1" customWidth="1"/>
    <col min="1418" max="1418" width="14.6640625" bestFit="1" customWidth="1"/>
    <col min="1419" max="1419" width="9" bestFit="1" customWidth="1"/>
    <col min="1420" max="1420" width="14.6640625" bestFit="1" customWidth="1"/>
    <col min="1421" max="1421" width="9" bestFit="1" customWidth="1"/>
    <col min="1422" max="1422" width="14.6640625" bestFit="1" customWidth="1"/>
    <col min="1423" max="1423" width="9" bestFit="1" customWidth="1"/>
    <col min="1424" max="1424" width="14.6640625" bestFit="1" customWidth="1"/>
    <col min="1425" max="1425" width="9" bestFit="1" customWidth="1"/>
    <col min="1426" max="1426" width="14.6640625" bestFit="1" customWidth="1"/>
    <col min="1427" max="1427" width="9" bestFit="1" customWidth="1"/>
    <col min="1428" max="1428" width="14.6640625" bestFit="1" customWidth="1"/>
    <col min="1429" max="1429" width="9" bestFit="1" customWidth="1"/>
    <col min="1430" max="1430" width="14.6640625" bestFit="1" customWidth="1"/>
    <col min="1431" max="1431" width="9" bestFit="1" customWidth="1"/>
    <col min="1432" max="1432" width="14.6640625" bestFit="1" customWidth="1"/>
    <col min="1433" max="1433" width="9" bestFit="1" customWidth="1"/>
    <col min="1434" max="1434" width="14.6640625" bestFit="1" customWidth="1"/>
    <col min="1435" max="1435" width="12.1640625" bestFit="1" customWidth="1"/>
  </cols>
  <sheetData>
    <row r="1" spans="1:5" x14ac:dyDescent="0.2">
      <c r="A1" s="10" t="s">
        <v>6</v>
      </c>
      <c r="B1" t="s">
        <v>2044</v>
      </c>
    </row>
    <row r="2" spans="1:5" x14ac:dyDescent="0.2">
      <c r="A2" s="10" t="s">
        <v>4</v>
      </c>
      <c r="B2" t="s">
        <v>20</v>
      </c>
    </row>
    <row r="3" spans="1:5" x14ac:dyDescent="0.2">
      <c r="D3" s="40"/>
    </row>
    <row r="4" spans="1:5" x14ac:dyDescent="0.2">
      <c r="A4" s="10" t="s">
        <v>2034</v>
      </c>
      <c r="B4" t="s">
        <v>2115</v>
      </c>
      <c r="C4" t="s">
        <v>2116</v>
      </c>
      <c r="D4" s="47" t="s">
        <v>2135</v>
      </c>
    </row>
    <row r="5" spans="1:5" x14ac:dyDescent="0.2">
      <c r="A5" s="11" t="s">
        <v>2035</v>
      </c>
      <c r="B5" s="36">
        <v>2612400</v>
      </c>
      <c r="C5" s="36">
        <v>4644332</v>
      </c>
      <c r="D5" s="31">
        <f>GETPIVOTDATA("Sum of pledged",$A$4,"Primary Category","film &amp; video")/GETPIVOTDATA("Sum of goal",$A$4,"Primary Category","film &amp; video")</f>
        <v>1.7778027867095392</v>
      </c>
      <c r="E5" s="33"/>
    </row>
    <row r="6" spans="1:5" x14ac:dyDescent="0.2">
      <c r="A6" s="26" t="s">
        <v>2045</v>
      </c>
      <c r="B6" s="36">
        <v>627400</v>
      </c>
      <c r="C6" s="36">
        <v>1129340</v>
      </c>
      <c r="D6" s="28">
        <f>GETPIVOTDATA("Sum of pledged",$A$4,"Primary Category","film &amp; video","Sub-Category","animation")/GETPIVOTDATA("Sum of goal",$A$4,"Primary Category","film &amp; video","Sub-Category","animation")</f>
        <v>1.8000318775900541</v>
      </c>
    </row>
    <row r="7" spans="1:5" x14ac:dyDescent="0.2">
      <c r="A7" s="26" t="s">
        <v>2047</v>
      </c>
      <c r="B7" s="36">
        <v>778700</v>
      </c>
      <c r="C7" s="36">
        <v>1214792</v>
      </c>
      <c r="D7" s="28">
        <f>GETPIVOTDATA("Sum of pledged",$A$4,"Primary Category","film &amp; video","Sub-Category","documentary")/GETPIVOTDATA("Sum of goal",$A$4,"Primary Category","film &amp; video","Sub-Category","documentary")</f>
        <v>1.5600256838320277</v>
      </c>
    </row>
    <row r="8" spans="1:5" x14ac:dyDescent="0.2">
      <c r="A8" s="26" t="s">
        <v>2048</v>
      </c>
      <c r="B8" s="36">
        <v>558800</v>
      </c>
      <c r="C8" s="36">
        <v>932278</v>
      </c>
      <c r="D8" s="28">
        <f>GETPIVOTDATA("Sum of pledged",$A$4,"Primary Category","film &amp; video","Sub-Category","drama")/GETPIVOTDATA("Sum of goal",$A$4,"Primary Category","film &amp; video","Sub-Category","drama")</f>
        <v>1.6683571939871153</v>
      </c>
    </row>
    <row r="9" spans="1:5" x14ac:dyDescent="0.2">
      <c r="A9" s="26" t="s">
        <v>2061</v>
      </c>
      <c r="B9" s="36">
        <v>95400</v>
      </c>
      <c r="C9" s="36">
        <v>319779</v>
      </c>
      <c r="D9" s="28">
        <f>GETPIVOTDATA("Sum of pledged",$A$4,"Primary Category","film &amp; video","Sub-Category","science fiction")/GETPIVOTDATA("Sum of goal",$A$4,"Primary Category","film &amp; video","Sub-Category","science fiction")</f>
        <v>3.3519811320754718</v>
      </c>
    </row>
    <row r="10" spans="1:5" x14ac:dyDescent="0.2">
      <c r="A10" s="26" t="s">
        <v>2062</v>
      </c>
      <c r="B10" s="36">
        <v>152500</v>
      </c>
      <c r="C10" s="36">
        <v>450801</v>
      </c>
      <c r="D10" s="28">
        <f>GETPIVOTDATA("Sum of pledged",$A$4,"Primary Category","film &amp; video","Sub-Category","shorts")/GETPIVOTDATA("Sum of goal",$A$4,"Primary Category","film &amp; video","Sub-Category","shorts")</f>
        <v>2.9560721311475411</v>
      </c>
    </row>
    <row r="11" spans="1:5" x14ac:dyDescent="0.2">
      <c r="A11" s="26" t="s">
        <v>2063</v>
      </c>
      <c r="B11" s="36">
        <v>399600</v>
      </c>
      <c r="C11" s="36">
        <v>597342</v>
      </c>
      <c r="D11" s="28">
        <f>GETPIVOTDATA("Sum of pledged",$A$4,"Primary Category","film &amp; video","Sub-Category","television")/GETPIVOTDATA("Sum of goal",$A$4,"Primary Category","film &amp; video","Sub-Category","television")</f>
        <v>1.4948498498498499</v>
      </c>
    </row>
    <row r="12" spans="1:5" x14ac:dyDescent="0.2">
      <c r="A12" s="11" t="s">
        <v>2036</v>
      </c>
      <c r="B12" s="36">
        <v>399600</v>
      </c>
      <c r="C12" s="36">
        <v>921661</v>
      </c>
      <c r="D12" s="31">
        <f>GETPIVOTDATA("Sum of pledged",$A$4,"Primary Category","food")/GETPIVOTDATA("Sum of goal",$A$4,"Primary Category","food")</f>
        <v>2.306458958958959</v>
      </c>
    </row>
    <row r="13" spans="1:5" x14ac:dyDescent="0.2">
      <c r="A13" s="26" t="s">
        <v>2051</v>
      </c>
      <c r="B13" s="36">
        <v>399600</v>
      </c>
      <c r="C13" s="36">
        <v>921661</v>
      </c>
      <c r="D13" s="28">
        <f>GETPIVOTDATA("Sum of pledged",$A$4,"Primary Category","food","Sub-Category","food trucks")/GETPIVOTDATA("Sum of goal",$A$4,"Primary Category","food","Sub-Category","food trucks")</f>
        <v>2.306458958958959</v>
      </c>
    </row>
    <row r="14" spans="1:5" x14ac:dyDescent="0.2">
      <c r="A14" s="11" t="s">
        <v>2037</v>
      </c>
      <c r="B14" s="36">
        <v>373600</v>
      </c>
      <c r="C14" s="36">
        <v>791308</v>
      </c>
      <c r="D14" s="31">
        <f>GETPIVOTDATA("Sum of pledged",$A$4,"Primary Category","games")/GETPIVOTDATA("Sum of goal",$A$4,"Primary Category","games")</f>
        <v>2.1180620985010705</v>
      </c>
    </row>
    <row r="15" spans="1:5" x14ac:dyDescent="0.2">
      <c r="A15" s="26" t="s">
        <v>2055</v>
      </c>
      <c r="B15" s="36">
        <v>227800</v>
      </c>
      <c r="C15" s="36">
        <v>393924</v>
      </c>
      <c r="D15" s="28">
        <f>GETPIVOTDATA("Sum of pledged",$A$4,"Primary Category","games","Sub-Category","mobile games")/GETPIVOTDATA("Sum of goal",$A$4,"Primary Category","games","Sub-Category","mobile games")</f>
        <v>1.7292537313432836</v>
      </c>
    </row>
    <row r="16" spans="1:5" x14ac:dyDescent="0.2">
      <c r="A16" s="26" t="s">
        <v>2065</v>
      </c>
      <c r="B16" s="36">
        <v>145800</v>
      </c>
      <c r="C16" s="36">
        <v>397384</v>
      </c>
      <c r="D16" s="28">
        <f>GETPIVOTDATA("Sum of pledged",$A$4,"Primary Category","games","Sub-Category","video games")/GETPIVOTDATA("Sum of goal",$A$4,"Primary Category","games","Sub-Category","video games")</f>
        <v>2.7255418381344305</v>
      </c>
    </row>
    <row r="17" spans="1:4" x14ac:dyDescent="0.2">
      <c r="A17" s="34" t="s">
        <v>2038</v>
      </c>
      <c r="B17" s="37">
        <v>25700</v>
      </c>
      <c r="C17" s="37">
        <v>36176</v>
      </c>
      <c r="D17" s="29"/>
    </row>
    <row r="18" spans="1:4" x14ac:dyDescent="0.2">
      <c r="A18" s="35" t="s">
        <v>2046</v>
      </c>
      <c r="B18" s="37">
        <v>25700</v>
      </c>
      <c r="C18" s="37">
        <v>36176</v>
      </c>
      <c r="D18" s="29"/>
    </row>
    <row r="19" spans="1:4" x14ac:dyDescent="0.2">
      <c r="A19" s="11" t="s">
        <v>2039</v>
      </c>
      <c r="B19" s="36">
        <v>2798000</v>
      </c>
      <c r="C19" s="36">
        <v>5422017</v>
      </c>
      <c r="D19" s="31">
        <f>GETPIVOTDATA("Sum of pledged",$A$4,"Primary Category","music")/GETPIVOTDATA("Sum of goal",$A$4,"Primary Category","music")</f>
        <v>1.9378187991422444</v>
      </c>
    </row>
    <row r="20" spans="1:4" x14ac:dyDescent="0.2">
      <c r="A20" s="26" t="s">
        <v>2049</v>
      </c>
      <c r="B20" s="36">
        <v>260400</v>
      </c>
      <c r="C20" s="36">
        <v>522665</v>
      </c>
      <c r="D20" s="28">
        <f>GETPIVOTDATA("Sum of pledged",$A$4,"Primary Category","music","Sub-Category","electric music")/GETPIVOTDATA("Sum of goal",$A$4,"Primary Category","music","Sub-Category","electric music")</f>
        <v>2.007162058371736</v>
      </c>
    </row>
    <row r="21" spans="1:4" x14ac:dyDescent="0.2">
      <c r="A21" s="26" t="s">
        <v>2052</v>
      </c>
      <c r="B21" s="36">
        <v>890300</v>
      </c>
      <c r="C21" s="36">
        <v>1490135</v>
      </c>
      <c r="D21" s="28">
        <f>GETPIVOTDATA("Sum of pledged",$A$4,"Primary Category","music","Sub-Category","indie rock")/GETPIVOTDATA("Sum of goal",$A$4,"Primary Category","music","Sub-Category","indie rock")</f>
        <v>1.6737448051218691</v>
      </c>
    </row>
    <row r="22" spans="1:4" x14ac:dyDescent="0.2">
      <c r="A22" s="26" t="s">
        <v>2053</v>
      </c>
      <c r="B22" s="36">
        <v>108000</v>
      </c>
      <c r="C22" s="36">
        <v>376539</v>
      </c>
      <c r="D22" s="28">
        <f>GETPIVOTDATA("Sum of pledged",$A$4,"Primary Category","music","Sub-Category","jazz")/GETPIVOTDATA("Sum of goal",$A$4,"Primary Category","music","Sub-Category","jazz")</f>
        <v>3.4864722222222224</v>
      </c>
    </row>
    <row r="23" spans="1:4" x14ac:dyDescent="0.2">
      <c r="A23" s="26" t="s">
        <v>2054</v>
      </c>
      <c r="B23" s="36">
        <v>61800</v>
      </c>
      <c r="C23" s="36">
        <v>274695</v>
      </c>
      <c r="D23" s="28">
        <f>GETPIVOTDATA("Sum of pledged",$A$4,"Primary Category","music","Sub-Category","metal")/GETPIVOTDATA("Sum of goal",$A$4,"Primary Category","music","Sub-Category","metal")</f>
        <v>4.4449029126213588</v>
      </c>
    </row>
    <row r="24" spans="1:4" x14ac:dyDescent="0.2">
      <c r="A24" s="26" t="s">
        <v>2060</v>
      </c>
      <c r="B24" s="36">
        <v>1333200</v>
      </c>
      <c r="C24" s="36">
        <v>2532420</v>
      </c>
      <c r="D24" s="28">
        <f>GETPIVOTDATA("Sum of pledged",$A$4,"Primary Category","music","Sub-Category","rock")/GETPIVOTDATA("Sum of goal",$A$4,"Primary Category","music","Sub-Category","rock")</f>
        <v>1.8995049504950494</v>
      </c>
    </row>
    <row r="25" spans="1:4" x14ac:dyDescent="0.2">
      <c r="A25" s="35" t="s">
        <v>2068</v>
      </c>
      <c r="B25" s="37">
        <v>144300</v>
      </c>
      <c r="C25" s="37">
        <v>225563</v>
      </c>
      <c r="D25" s="29"/>
    </row>
    <row r="26" spans="1:4" x14ac:dyDescent="0.2">
      <c r="A26" s="11" t="s">
        <v>2040</v>
      </c>
      <c r="B26" s="36">
        <v>374800</v>
      </c>
      <c r="C26" s="36">
        <v>785656</v>
      </c>
      <c r="D26" s="31">
        <f>GETPIVOTDATA("Sum of pledged",$A$4,"Primary Category","photography")/GETPIVOTDATA("Sum of goal",$A$4,"Primary Category","photography")</f>
        <v>2.0962006403415154</v>
      </c>
    </row>
    <row r="27" spans="1:4" x14ac:dyDescent="0.2">
      <c r="A27" s="26" t="s">
        <v>2057</v>
      </c>
      <c r="B27" s="36">
        <v>374800</v>
      </c>
      <c r="C27" s="36">
        <v>785656</v>
      </c>
      <c r="D27" s="28">
        <f>GETPIVOTDATA("Sum of pledged",$A$4,"Primary Category","photography","Sub-Category","photography books")/GETPIVOTDATA("Sum of goal",$A$4,"Primary Category","photography","Sub-Category","photography books")</f>
        <v>2.0962006403415154</v>
      </c>
    </row>
    <row r="28" spans="1:4" x14ac:dyDescent="0.2">
      <c r="A28" s="11" t="s">
        <v>2041</v>
      </c>
      <c r="B28" s="36">
        <v>1074000</v>
      </c>
      <c r="C28" s="36">
        <v>2103687</v>
      </c>
      <c r="D28" s="31">
        <f>GETPIVOTDATA("Sum of pledged",$A$4,"Primary Category","publishing")/GETPIVOTDATA("Sum of goal",$A$4,"Primary Category","publishing")</f>
        <v>1.9587402234636873</v>
      </c>
    </row>
    <row r="29" spans="1:4" x14ac:dyDescent="0.2">
      <c r="A29" s="26" t="s">
        <v>2050</v>
      </c>
      <c r="B29" s="36">
        <v>261400</v>
      </c>
      <c r="C29" s="36">
        <v>493713</v>
      </c>
      <c r="D29" s="28">
        <f>GETPIVOTDATA("Sum of pledged",$A$4,"Primary Category","publishing","Sub-Category","fiction")/GETPIVOTDATA("Sum of goal",$A$4,"Primary Category","publishing","Sub-Category","fiction")</f>
        <v>1.8887260902830911</v>
      </c>
    </row>
    <row r="30" spans="1:4" x14ac:dyDescent="0.2">
      <c r="A30" s="26" t="s">
        <v>2056</v>
      </c>
      <c r="B30" s="36">
        <v>421900</v>
      </c>
      <c r="C30" s="36">
        <v>724818</v>
      </c>
      <c r="D30" s="28">
        <f>GETPIVOTDATA("Sum of pledged",$A$4,"Primary Category","publishing","Sub-Category","nonfiction")/GETPIVOTDATA("Sum of goal",$A$4,"Primary Category","publishing","Sub-Category","nonfiction")</f>
        <v>1.7179853045745437</v>
      </c>
    </row>
    <row r="31" spans="1:4" x14ac:dyDescent="0.2">
      <c r="A31" s="26" t="s">
        <v>2059</v>
      </c>
      <c r="B31" s="36">
        <v>162300</v>
      </c>
      <c r="C31" s="36">
        <v>261565</v>
      </c>
      <c r="D31" s="28">
        <f>GETPIVOTDATA("Sum of pledged",$A$4,"Primary Category","publishing","Sub-Category","radio &amp; podcasts")/GETPIVOTDATA("Sum of goal",$A$4,"Primary Category","publishing","Sub-Category","radio &amp; podcasts")</f>
        <v>1.6116142945163279</v>
      </c>
    </row>
    <row r="32" spans="1:4" x14ac:dyDescent="0.2">
      <c r="A32" s="26" t="s">
        <v>2064</v>
      </c>
      <c r="B32" s="36">
        <v>228400</v>
      </c>
      <c r="C32" s="36">
        <v>623591</v>
      </c>
      <c r="D32" s="28">
        <f>GETPIVOTDATA("Sum of pledged",$A$4,"Primary Category","publishing","Sub-Category","translations")/GETPIVOTDATA("Sum of goal",$A$4,"Primary Category","publishing","Sub-Category","translations")</f>
        <v>2.7302583187390543</v>
      </c>
    </row>
    <row r="33" spans="1:4" x14ac:dyDescent="0.2">
      <c r="A33" s="11" t="s">
        <v>2042</v>
      </c>
      <c r="B33" s="36">
        <v>1875300</v>
      </c>
      <c r="C33" s="36">
        <v>3202312</v>
      </c>
      <c r="D33" s="31">
        <f>GETPIVOTDATA("Sum of pledged",$A$4,"Primary Category","technology")/GETPIVOTDATA("Sum of goal",$A$4,"Primary Category","technology")</f>
        <v>1.7076265130912387</v>
      </c>
    </row>
    <row r="34" spans="1:4" x14ac:dyDescent="0.2">
      <c r="A34" s="26" t="s">
        <v>2066</v>
      </c>
      <c r="B34" s="36">
        <v>567500</v>
      </c>
      <c r="C34" s="36">
        <v>1283941</v>
      </c>
      <c r="D34" s="28">
        <f>GETPIVOTDATA("Sum of pledged",$A$4,"Primary Category","technology","Sub-Category","wearables")/GETPIVOTDATA("Sum of goal",$A$4,"Primary Category","technology","Sub-Category","wearables")</f>
        <v>2.2624511013215858</v>
      </c>
    </row>
    <row r="35" spans="1:4" x14ac:dyDescent="0.2">
      <c r="A35" s="26" t="s">
        <v>2067</v>
      </c>
      <c r="B35" s="36">
        <v>1307800</v>
      </c>
      <c r="C35" s="36">
        <v>1918371</v>
      </c>
      <c r="D35" s="28">
        <f>GETPIVOTDATA("Sum of pledged",$A$4,"Primary Category","technology","Sub-Category","web")/GETPIVOTDATA("Sum of goal",$A$4,"Primary Category","technology","Sub-Category","web")</f>
        <v>1.466868787276342</v>
      </c>
    </row>
    <row r="36" spans="1:4" x14ac:dyDescent="0.2">
      <c r="A36" s="11" t="s">
        <v>2043</v>
      </c>
      <c r="B36" s="36">
        <v>5385600</v>
      </c>
      <c r="C36" s="36">
        <v>10529190</v>
      </c>
      <c r="D36" s="31">
        <f>GETPIVOTDATA("Sum of pledged",$A$4,"Primary Category","theater")/GETPIVOTDATA("Sum of goal",$A$4,"Primary Category","theater")</f>
        <v>1.9550635026737968</v>
      </c>
    </row>
    <row r="37" spans="1:4" x14ac:dyDescent="0.2">
      <c r="A37" s="26" t="s">
        <v>2058</v>
      </c>
      <c r="B37" s="36">
        <v>5385600</v>
      </c>
      <c r="C37" s="36">
        <v>10529190</v>
      </c>
      <c r="D37" s="28">
        <f>GETPIVOTDATA("Sum of pledged",$A$4,"Primary Category","theater","Sub-Category","plays")/GETPIVOTDATA("Sum of goal",$A$4,"Primary Category","theater","Sub-Category","plays")</f>
        <v>1.9550635026737968</v>
      </c>
    </row>
    <row r="38" spans="1:4" x14ac:dyDescent="0.2">
      <c r="A38" s="11" t="s">
        <v>2033</v>
      </c>
      <c r="B38" s="36">
        <v>14919000</v>
      </c>
      <c r="C38" s="36">
        <v>28436339</v>
      </c>
      <c r="D38" s="47">
        <f>GETPIVOTDATA("Sum of pledged",$A$4)/GETPIVOTDATA("Sum of goal",$A$4)</f>
        <v>1.9060485957503854</v>
      </c>
    </row>
    <row r="40" spans="1:4" s="38" customFormat="1" x14ac:dyDescent="0.2">
      <c r="A40" s="44" t="s">
        <v>2117</v>
      </c>
      <c r="B40" s="45">
        <f>GETPIVOTDATA("Sum of goal",$A$4)-GETPIVOTDATA("Sum of goal",$A$4,"Primary Category","music","Sub-Category","world music")-GETPIVOTDATA("Sum of goal",$A$4,"Primary Category","journalism","Sub-Category","audio")</f>
        <v>14749000</v>
      </c>
      <c r="C40" s="45">
        <f>GETPIVOTDATA("Sum of pledged",$A$4)-GETPIVOTDATA("Sum of pledged",$A$4,"Primary Category","music","Sub-Category","world music")-GETPIVOTDATA("Sum of pledged",$A$4,"Primary Category","journalism","Sub-Category","audio")</f>
        <v>28174600</v>
      </c>
      <c r="D40" s="50">
        <f>C40/B40</f>
        <v>1.9102718828395144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G17"/>
  <sheetViews>
    <sheetView topLeftCell="B1" zoomScale="140" zoomScaleNormal="140"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6" max="6" width="10.83203125" style="27"/>
    <col min="7" max="7" width="15.83203125" customWidth="1"/>
  </cols>
  <sheetData>
    <row r="1" spans="1:7" x14ac:dyDescent="0.2">
      <c r="A1" s="10" t="s">
        <v>2083</v>
      </c>
      <c r="B1" t="s">
        <v>2044</v>
      </c>
    </row>
    <row r="3" spans="1:7" x14ac:dyDescent="0.2">
      <c r="A3" s="10" t="s">
        <v>2031</v>
      </c>
      <c r="B3" s="10" t="s">
        <v>2032</v>
      </c>
      <c r="F3" s="47"/>
      <c r="G3" s="47"/>
    </row>
    <row r="4" spans="1:7" x14ac:dyDescent="0.2">
      <c r="A4" s="10" t="s">
        <v>2034</v>
      </c>
      <c r="B4" t="s">
        <v>74</v>
      </c>
      <c r="C4" t="s">
        <v>14</v>
      </c>
      <c r="D4" t="s">
        <v>20</v>
      </c>
      <c r="E4" t="s">
        <v>2033</v>
      </c>
      <c r="F4" s="47" t="s">
        <v>2132</v>
      </c>
      <c r="G4" s="47" t="s">
        <v>2131</v>
      </c>
    </row>
    <row r="5" spans="1:7" x14ac:dyDescent="0.2">
      <c r="A5" s="15" t="s">
        <v>2071</v>
      </c>
      <c r="B5">
        <v>6</v>
      </c>
      <c r="C5">
        <v>36</v>
      </c>
      <c r="D5">
        <v>49</v>
      </c>
      <c r="E5">
        <v>91</v>
      </c>
      <c r="F5" s="51" t="s">
        <v>2071</v>
      </c>
      <c r="G5" s="43">
        <f>GETPIVOTDATA("outcome",$A$3,"outcome","successful","Date Created Conversion",1)/GETPIVOTDATA("outcome",$A$3,"Date Created Conversion",1)</f>
        <v>0.53846153846153844</v>
      </c>
    </row>
    <row r="6" spans="1:7" x14ac:dyDescent="0.2">
      <c r="A6" s="15" t="s">
        <v>2072</v>
      </c>
      <c r="B6">
        <v>7</v>
      </c>
      <c r="C6">
        <v>28</v>
      </c>
      <c r="D6">
        <v>44</v>
      </c>
      <c r="E6">
        <v>79</v>
      </c>
      <c r="F6" s="51" t="s">
        <v>2072</v>
      </c>
      <c r="G6" s="43">
        <f>GETPIVOTDATA("outcome",$A$3,"outcome","successful","Date Created Conversion",2)/GETPIVOTDATA("outcome",$A$3,"Date Created Conversion",2)</f>
        <v>0.55696202531645567</v>
      </c>
    </row>
    <row r="7" spans="1:7" x14ac:dyDescent="0.2">
      <c r="A7" s="15" t="s">
        <v>2073</v>
      </c>
      <c r="B7">
        <v>4</v>
      </c>
      <c r="C7">
        <v>33</v>
      </c>
      <c r="D7">
        <v>49</v>
      </c>
      <c r="E7">
        <v>86</v>
      </c>
      <c r="F7" s="51" t="s">
        <v>2073</v>
      </c>
      <c r="G7" s="43">
        <f>GETPIVOTDATA("outcome",$A$3,"outcome","successful","Date Created Conversion",3)/GETPIVOTDATA("outcome",$A$3,"Date Created Conversion",3)</f>
        <v>0.56976744186046513</v>
      </c>
    </row>
    <row r="8" spans="1:7" x14ac:dyDescent="0.2">
      <c r="A8" s="15" t="s">
        <v>2074</v>
      </c>
      <c r="B8">
        <v>1</v>
      </c>
      <c r="C8">
        <v>30</v>
      </c>
      <c r="D8">
        <v>46</v>
      </c>
      <c r="E8">
        <v>77</v>
      </c>
      <c r="F8" s="51" t="s">
        <v>2074</v>
      </c>
      <c r="G8" s="43">
        <f>GETPIVOTDATA("outcome",$A$3,"outcome","successful","Date Created Conversion",4)/GETPIVOTDATA("outcome",$A$3,"Date Created Conversion",4)</f>
        <v>0.59740259740259738</v>
      </c>
    </row>
    <row r="9" spans="1:7" x14ac:dyDescent="0.2">
      <c r="A9" s="15" t="s">
        <v>2075</v>
      </c>
      <c r="B9">
        <v>3</v>
      </c>
      <c r="C9">
        <v>35</v>
      </c>
      <c r="D9">
        <v>46</v>
      </c>
      <c r="E9">
        <v>84</v>
      </c>
      <c r="F9" s="51" t="s">
        <v>2075</v>
      </c>
      <c r="G9" s="43">
        <f>GETPIVOTDATA("outcome",$A$3,"outcome","successful","Date Created Conversion",5)/GETPIVOTDATA("outcome",$A$3,"Date Created Conversion",5)</f>
        <v>0.54761904761904767</v>
      </c>
    </row>
    <row r="10" spans="1:7" x14ac:dyDescent="0.2">
      <c r="A10" s="15" t="s">
        <v>2076</v>
      </c>
      <c r="B10">
        <v>3</v>
      </c>
      <c r="C10">
        <v>28</v>
      </c>
      <c r="D10">
        <v>55</v>
      </c>
      <c r="E10">
        <v>86</v>
      </c>
      <c r="F10" s="51" t="s">
        <v>2076</v>
      </c>
      <c r="G10" s="43">
        <f>GETPIVOTDATA("outcome",$A$3,"outcome","successful","Date Created Conversion",6)/GETPIVOTDATA("outcome",$A$3,"Date Created Conversion",6)</f>
        <v>0.63953488372093026</v>
      </c>
    </row>
    <row r="11" spans="1:7" x14ac:dyDescent="0.2">
      <c r="A11" s="15" t="s">
        <v>2077</v>
      </c>
      <c r="B11">
        <v>4</v>
      </c>
      <c r="C11">
        <v>31</v>
      </c>
      <c r="D11">
        <v>58</v>
      </c>
      <c r="E11">
        <v>93</v>
      </c>
      <c r="F11" s="51" t="s">
        <v>2077</v>
      </c>
      <c r="G11" s="43">
        <f>GETPIVOTDATA("outcome",$A$3,"outcome","successful","Date Created Conversion",7)/GETPIVOTDATA("outcome",$A$3,"Date Created Conversion",7)</f>
        <v>0.62365591397849462</v>
      </c>
    </row>
    <row r="12" spans="1:7" x14ac:dyDescent="0.2">
      <c r="A12" s="15" t="s">
        <v>2078</v>
      </c>
      <c r="B12">
        <v>8</v>
      </c>
      <c r="C12">
        <v>35</v>
      </c>
      <c r="D12">
        <v>41</v>
      </c>
      <c r="E12">
        <v>84</v>
      </c>
      <c r="F12" s="51" t="s">
        <v>2078</v>
      </c>
      <c r="G12" s="43">
        <f>GETPIVOTDATA("outcome",$A$3,"outcome","successful","Date Created Conversion",8)/GETPIVOTDATA("outcome",$A$3,"Date Created Conversion",8)</f>
        <v>0.48809523809523808</v>
      </c>
    </row>
    <row r="13" spans="1:7" x14ac:dyDescent="0.2">
      <c r="A13" s="15" t="s">
        <v>2079</v>
      </c>
      <c r="B13">
        <v>5</v>
      </c>
      <c r="C13">
        <v>23</v>
      </c>
      <c r="D13">
        <v>45</v>
      </c>
      <c r="E13">
        <v>73</v>
      </c>
      <c r="F13" s="51" t="s">
        <v>2079</v>
      </c>
      <c r="G13" s="43">
        <f>GETPIVOTDATA("outcome",$A$3,"outcome","successful","Date Created Conversion",9)/GETPIVOTDATA("outcome",$A$3,"Date Created Conversion",9)</f>
        <v>0.61643835616438358</v>
      </c>
    </row>
    <row r="14" spans="1:7" x14ac:dyDescent="0.2">
      <c r="A14" s="15" t="s">
        <v>2080</v>
      </c>
      <c r="B14">
        <v>6</v>
      </c>
      <c r="C14">
        <v>26</v>
      </c>
      <c r="D14">
        <v>45</v>
      </c>
      <c r="E14">
        <v>77</v>
      </c>
      <c r="F14" s="51" t="s">
        <v>2080</v>
      </c>
      <c r="G14" s="43">
        <f>GETPIVOTDATA("outcome",$A$3,"outcome","successful","Date Created Conversion",10)/GETPIVOTDATA("outcome",$A$3,"Date Created Conversion",10)</f>
        <v>0.58441558441558439</v>
      </c>
    </row>
    <row r="15" spans="1:7" x14ac:dyDescent="0.2">
      <c r="A15" s="15" t="s">
        <v>2081</v>
      </c>
      <c r="B15">
        <v>3</v>
      </c>
      <c r="C15">
        <v>27</v>
      </c>
      <c r="D15">
        <v>45</v>
      </c>
      <c r="E15">
        <v>75</v>
      </c>
      <c r="F15" s="51" t="s">
        <v>2081</v>
      </c>
      <c r="G15" s="43">
        <f>GETPIVOTDATA("outcome",$A$3,"outcome","successful","Date Created Conversion",11)/GETPIVOTDATA("outcome",$A$3,"Date Created Conversion",11)</f>
        <v>0.6</v>
      </c>
    </row>
    <row r="16" spans="1:7" x14ac:dyDescent="0.2">
      <c r="A16" s="15" t="s">
        <v>2082</v>
      </c>
      <c r="B16">
        <v>7</v>
      </c>
      <c r="C16">
        <v>32</v>
      </c>
      <c r="D16">
        <v>42</v>
      </c>
      <c r="E16">
        <v>81</v>
      </c>
      <c r="F16" s="51" t="s">
        <v>2082</v>
      </c>
      <c r="G16" s="43">
        <f>GETPIVOTDATA("outcome",$A$3,"outcome","successful","Date Created Conversion",12)/GETPIVOTDATA("outcome",$A$3,"Date Created Conversion",12)</f>
        <v>0.51851851851851849</v>
      </c>
    </row>
    <row r="17" spans="1:7" x14ac:dyDescent="0.2">
      <c r="A17" s="15" t="s">
        <v>2033</v>
      </c>
      <c r="B17">
        <v>57</v>
      </c>
      <c r="C17">
        <v>364</v>
      </c>
      <c r="D17">
        <v>565</v>
      </c>
      <c r="E17">
        <v>986</v>
      </c>
      <c r="F17" s="52"/>
      <c r="G17" s="46">
        <f>GETPIVOTDATA("outcome",$A$3,"outcome","successful")/GETPIVOTDATA("outcome",$A$3)</f>
        <v>0.57302231237322521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A304-41AD-1443-9D61-8204C4E2D4EB}">
  <dimension ref="A1:H10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  <col min="7" max="7" width="11.1640625" style="27" customWidth="1"/>
    <col min="8" max="8" width="19" style="27" customWidth="1"/>
  </cols>
  <sheetData>
    <row r="1" spans="1:8" x14ac:dyDescent="0.2">
      <c r="A1" s="10" t="s">
        <v>2031</v>
      </c>
      <c r="B1" s="10" t="s">
        <v>2032</v>
      </c>
      <c r="G1" s="47"/>
      <c r="H1" s="47"/>
    </row>
    <row r="2" spans="1:8" x14ac:dyDescent="0.2">
      <c r="A2" s="10" t="s">
        <v>2034</v>
      </c>
      <c r="B2" t="s">
        <v>74</v>
      </c>
      <c r="C2" t="s">
        <v>14</v>
      </c>
      <c r="D2" t="s">
        <v>47</v>
      </c>
      <c r="E2" t="s">
        <v>20</v>
      </c>
      <c r="F2" t="s">
        <v>2033</v>
      </c>
      <c r="G2" s="47" t="s">
        <v>2133</v>
      </c>
      <c r="H2" s="47" t="s">
        <v>2131</v>
      </c>
    </row>
    <row r="3" spans="1:8" x14ac:dyDescent="0.2">
      <c r="A3" s="11" t="s">
        <v>26</v>
      </c>
      <c r="B3">
        <v>2</v>
      </c>
      <c r="C3">
        <v>16</v>
      </c>
      <c r="D3">
        <v>1</v>
      </c>
      <c r="E3">
        <v>24</v>
      </c>
      <c r="F3">
        <v>43</v>
      </c>
      <c r="G3" s="27" t="s">
        <v>26</v>
      </c>
      <c r="H3" s="28">
        <f>GETPIVOTDATA("outcome",$A$1,"outcome","successful","country","AU")/GETPIVOTDATA("outcome",$A$1,"country","AU")</f>
        <v>0.55813953488372092</v>
      </c>
    </row>
    <row r="4" spans="1:8" x14ac:dyDescent="0.2">
      <c r="A4" s="11" t="s">
        <v>15</v>
      </c>
      <c r="B4">
        <v>2</v>
      </c>
      <c r="C4">
        <v>19</v>
      </c>
      <c r="D4">
        <v>1</v>
      </c>
      <c r="E4">
        <v>22</v>
      </c>
      <c r="F4">
        <v>44</v>
      </c>
      <c r="G4" s="27" t="s">
        <v>15</v>
      </c>
      <c r="H4" s="28">
        <f>GETPIVOTDATA("outcome",$A$1,"outcome","successful","country","CA")/GETPIVOTDATA("outcome",$A$1,"country","CA")</f>
        <v>0.5</v>
      </c>
    </row>
    <row r="5" spans="1:8" x14ac:dyDescent="0.2">
      <c r="A5" s="11" t="s">
        <v>98</v>
      </c>
      <c r="B5">
        <v>4</v>
      </c>
      <c r="C5">
        <v>6</v>
      </c>
      <c r="D5">
        <v>1</v>
      </c>
      <c r="E5">
        <v>12</v>
      </c>
      <c r="F5">
        <v>23</v>
      </c>
      <c r="G5" s="27" t="s">
        <v>98</v>
      </c>
      <c r="H5" s="28">
        <f>GETPIVOTDATA("outcome",$A$1,"outcome","successful","country","CH")/GETPIVOTDATA("outcome",$A$1,"country","CH")</f>
        <v>0.52173913043478259</v>
      </c>
    </row>
    <row r="6" spans="1:8" x14ac:dyDescent="0.2">
      <c r="A6" s="11" t="s">
        <v>36</v>
      </c>
      <c r="B6">
        <v>1</v>
      </c>
      <c r="C6">
        <v>12</v>
      </c>
      <c r="D6">
        <v>1</v>
      </c>
      <c r="E6">
        <v>17</v>
      </c>
      <c r="F6">
        <v>31</v>
      </c>
      <c r="G6" s="27" t="s">
        <v>36</v>
      </c>
      <c r="H6" s="28">
        <f>GETPIVOTDATA("outcome",$A$1,"outcome","successful","country","DK")/GETPIVOTDATA("outcome",$A$1,"country","DK")</f>
        <v>0.54838709677419351</v>
      </c>
    </row>
    <row r="7" spans="1:8" x14ac:dyDescent="0.2">
      <c r="A7" s="11" t="s">
        <v>40</v>
      </c>
      <c r="B7">
        <v>1</v>
      </c>
      <c r="C7">
        <v>18</v>
      </c>
      <c r="D7">
        <v>1</v>
      </c>
      <c r="E7">
        <v>28</v>
      </c>
      <c r="F7">
        <v>48</v>
      </c>
      <c r="G7" s="27" t="s">
        <v>40</v>
      </c>
      <c r="H7" s="28">
        <f>GETPIVOTDATA("outcome",$A$1,"outcome","successful","country","GB")/GETPIVOTDATA("outcome",$A$1,"country","GB")</f>
        <v>0.58333333333333337</v>
      </c>
    </row>
    <row r="8" spans="1:8" x14ac:dyDescent="0.2">
      <c r="A8" s="11" t="s">
        <v>107</v>
      </c>
      <c r="B8">
        <v>3</v>
      </c>
      <c r="C8">
        <v>19</v>
      </c>
      <c r="E8">
        <v>26</v>
      </c>
      <c r="F8">
        <v>48</v>
      </c>
      <c r="G8" s="27" t="s">
        <v>107</v>
      </c>
      <c r="H8" s="28">
        <f>GETPIVOTDATA("outcome",$A$1,"outcome","successful","country","IT")/GETPIVOTDATA("outcome",$A$1,"country","IT")</f>
        <v>0.54166666666666663</v>
      </c>
    </row>
    <row r="9" spans="1:8" x14ac:dyDescent="0.2">
      <c r="A9" s="11" t="s">
        <v>21</v>
      </c>
      <c r="B9">
        <v>44</v>
      </c>
      <c r="C9">
        <v>274</v>
      </c>
      <c r="D9">
        <v>9</v>
      </c>
      <c r="E9">
        <v>436</v>
      </c>
      <c r="F9">
        <v>763</v>
      </c>
      <c r="G9" s="27" t="s">
        <v>21</v>
      </c>
      <c r="H9" s="28">
        <f>GETPIVOTDATA("outcome",$A$1,"outcome","successful","country","US")/GETPIVOTDATA("outcome",$A$1,"country","US")</f>
        <v>0.5714285714285714</v>
      </c>
    </row>
    <row r="10" spans="1:8" x14ac:dyDescent="0.2">
      <c r="A10" s="11" t="s">
        <v>2033</v>
      </c>
      <c r="B10">
        <v>57</v>
      </c>
      <c r="C10">
        <v>364</v>
      </c>
      <c r="D10">
        <v>14</v>
      </c>
      <c r="E10">
        <v>565</v>
      </c>
      <c r="F10">
        <v>1000</v>
      </c>
      <c r="G10" s="47"/>
      <c r="H10" s="47">
        <f>GETPIVOTDATA("outcome",$A$1,"outcome","successful")/GETPIVOTDATA("outcome",$A$1)</f>
        <v>0.56499999999999995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H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  <col min="7" max="7" width="11.1640625" style="27" customWidth="1"/>
    <col min="8" max="8" width="19.33203125" style="27" customWidth="1"/>
  </cols>
  <sheetData>
    <row r="1" spans="1:8" x14ac:dyDescent="0.2">
      <c r="A1" s="10" t="s">
        <v>6</v>
      </c>
      <c r="B1" t="s">
        <v>2044</v>
      </c>
    </row>
    <row r="3" spans="1:8" x14ac:dyDescent="0.2">
      <c r="A3" s="10" t="s">
        <v>2031</v>
      </c>
      <c r="B3" s="10" t="s">
        <v>2032</v>
      </c>
      <c r="G3" s="47"/>
      <c r="H3" s="47"/>
    </row>
    <row r="4" spans="1:8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  <c r="G4" s="47" t="s">
        <v>2134</v>
      </c>
      <c r="H4" s="47" t="s">
        <v>2131</v>
      </c>
    </row>
    <row r="5" spans="1:8" x14ac:dyDescent="0.2">
      <c r="A5" s="11" t="s">
        <v>2118</v>
      </c>
      <c r="B5">
        <v>14</v>
      </c>
      <c r="C5">
        <v>35</v>
      </c>
      <c r="D5">
        <v>1</v>
      </c>
      <c r="E5">
        <v>58</v>
      </c>
      <c r="F5">
        <v>108</v>
      </c>
      <c r="G5" s="27" t="s">
        <v>2118</v>
      </c>
      <c r="H5" s="28">
        <f>GETPIVOTDATA("outcome",$A$3,"outcome","successful","Years",2010)/GETPIVOTDATA("outcome",$A$3,"Years",2010)</f>
        <v>0.53703703703703709</v>
      </c>
    </row>
    <row r="6" spans="1:8" x14ac:dyDescent="0.2">
      <c r="A6" s="11" t="s">
        <v>2119</v>
      </c>
      <c r="B6">
        <v>6</v>
      </c>
      <c r="C6">
        <v>40</v>
      </c>
      <c r="D6">
        <v>1</v>
      </c>
      <c r="E6">
        <v>56</v>
      </c>
      <c r="F6">
        <v>103</v>
      </c>
      <c r="G6" s="27" t="s">
        <v>2119</v>
      </c>
      <c r="H6" s="28">
        <f>GETPIVOTDATA("outcome",$A$3,"outcome","successful","Years",2011)/GETPIVOTDATA("outcome",$A$3,"Years",2011)</f>
        <v>0.5436893203883495</v>
      </c>
    </row>
    <row r="7" spans="1:8" x14ac:dyDescent="0.2">
      <c r="A7" s="11" t="s">
        <v>2120</v>
      </c>
      <c r="B7">
        <v>4</v>
      </c>
      <c r="C7">
        <v>32</v>
      </c>
      <c r="D7">
        <v>3</v>
      </c>
      <c r="E7">
        <v>45</v>
      </c>
      <c r="F7">
        <v>84</v>
      </c>
      <c r="G7" s="27" t="s">
        <v>2120</v>
      </c>
      <c r="H7" s="28">
        <f>GETPIVOTDATA("outcome",$A$3,"outcome","successful","Years",2012)/GETPIVOTDATA("outcome",$A$3,"Years",2012)</f>
        <v>0.5357142857142857</v>
      </c>
    </row>
    <row r="8" spans="1:8" x14ac:dyDescent="0.2">
      <c r="A8" s="11" t="s">
        <v>2121</v>
      </c>
      <c r="B8">
        <v>4</v>
      </c>
      <c r="C8">
        <v>35</v>
      </c>
      <c r="D8">
        <v>1</v>
      </c>
      <c r="E8">
        <v>48</v>
      </c>
      <c r="F8">
        <v>88</v>
      </c>
      <c r="G8" s="27" t="s">
        <v>2121</v>
      </c>
      <c r="H8" s="28">
        <f>GETPIVOTDATA("outcome",$A$3,"outcome","successful","Years",2013)/GETPIVOTDATA("outcome",$A$3,"Years",2013)</f>
        <v>0.54545454545454541</v>
      </c>
    </row>
    <row r="9" spans="1:8" x14ac:dyDescent="0.2">
      <c r="A9" s="11" t="s">
        <v>2122</v>
      </c>
      <c r="B9">
        <v>4</v>
      </c>
      <c r="C9">
        <v>37</v>
      </c>
      <c r="D9">
        <v>1</v>
      </c>
      <c r="E9">
        <v>60</v>
      </c>
      <c r="F9">
        <v>102</v>
      </c>
      <c r="G9" s="27" t="s">
        <v>2122</v>
      </c>
      <c r="H9" s="28">
        <f>GETPIVOTDATA("outcome",$A$3,"outcome","successful","Years",2014)/GETPIVOTDATA("outcome",$A$3,"Years",2014)</f>
        <v>0.58823529411764708</v>
      </c>
    </row>
    <row r="10" spans="1:8" x14ac:dyDescent="0.2">
      <c r="A10" s="11" t="s">
        <v>2123</v>
      </c>
      <c r="B10">
        <v>7</v>
      </c>
      <c r="C10">
        <v>42</v>
      </c>
      <c r="D10">
        <v>2</v>
      </c>
      <c r="E10">
        <v>54</v>
      </c>
      <c r="F10">
        <v>105</v>
      </c>
      <c r="G10" s="27" t="s">
        <v>2123</v>
      </c>
      <c r="H10" s="28">
        <f>GETPIVOTDATA("outcome",$A$3,"outcome","successful","Years",2015)/GETPIVOTDATA("outcome",$A$3,"Years",2015)</f>
        <v>0.51428571428571423</v>
      </c>
    </row>
    <row r="11" spans="1:8" x14ac:dyDescent="0.2">
      <c r="A11" s="11" t="s">
        <v>2124</v>
      </c>
      <c r="B11">
        <v>5</v>
      </c>
      <c r="C11">
        <v>42</v>
      </c>
      <c r="D11">
        <v>2</v>
      </c>
      <c r="E11">
        <v>49</v>
      </c>
      <c r="F11">
        <v>98</v>
      </c>
      <c r="G11" s="27" t="s">
        <v>2124</v>
      </c>
      <c r="H11" s="28">
        <f>GETPIVOTDATA("outcome",$A$3,"outcome","successful","Years",2016)/GETPIVOTDATA("outcome",$A$3,"Years",2016)</f>
        <v>0.5</v>
      </c>
    </row>
    <row r="12" spans="1:8" x14ac:dyDescent="0.2">
      <c r="A12" s="11" t="s">
        <v>2125</v>
      </c>
      <c r="B12">
        <v>5</v>
      </c>
      <c r="C12">
        <v>28</v>
      </c>
      <c r="D12">
        <v>1</v>
      </c>
      <c r="E12">
        <v>67</v>
      </c>
      <c r="F12">
        <v>101</v>
      </c>
      <c r="G12" s="27" t="s">
        <v>2125</v>
      </c>
      <c r="H12" s="28">
        <f>GETPIVOTDATA("outcome",$A$3,"outcome","successful","Years",2017)/GETPIVOTDATA("outcome",$A$3,"Years",2017)</f>
        <v>0.6633663366336634</v>
      </c>
    </row>
    <row r="13" spans="1:8" x14ac:dyDescent="0.2">
      <c r="A13" s="11" t="s">
        <v>2126</v>
      </c>
      <c r="B13">
        <v>4</v>
      </c>
      <c r="C13">
        <v>35</v>
      </c>
      <c r="D13">
        <v>2</v>
      </c>
      <c r="E13">
        <v>61</v>
      </c>
      <c r="F13">
        <v>102</v>
      </c>
      <c r="G13" s="27" t="s">
        <v>2126</v>
      </c>
      <c r="H13" s="28">
        <f>GETPIVOTDATA("outcome",$A$3,"outcome","successful","Years",2018)/GETPIVOTDATA("outcome",$A$3,"Years",2018)</f>
        <v>0.59803921568627449</v>
      </c>
    </row>
    <row r="14" spans="1:8" x14ac:dyDescent="0.2">
      <c r="A14" s="11" t="s">
        <v>2127</v>
      </c>
      <c r="B14">
        <v>4</v>
      </c>
      <c r="C14">
        <v>36</v>
      </c>
      <c r="E14">
        <v>67</v>
      </c>
      <c r="F14">
        <v>107</v>
      </c>
      <c r="G14" s="27" t="s">
        <v>2127</v>
      </c>
      <c r="H14" s="28">
        <f>GETPIVOTDATA("outcome",$A$3,"outcome","successful","Years",2019)/GETPIVOTDATA("outcome",$A$3,"Years",2019)</f>
        <v>0.62616822429906538</v>
      </c>
    </row>
    <row r="15" spans="1:8" x14ac:dyDescent="0.2">
      <c r="A15" s="11" t="s">
        <v>2128</v>
      </c>
      <c r="C15">
        <v>2</v>
      </c>
      <c r="F15">
        <v>2</v>
      </c>
      <c r="H15" s="28"/>
    </row>
    <row r="16" spans="1:8" x14ac:dyDescent="0.2">
      <c r="A16" s="11" t="s">
        <v>2033</v>
      </c>
      <c r="B16">
        <v>57</v>
      </c>
      <c r="C16">
        <v>364</v>
      </c>
      <c r="D16">
        <v>14</v>
      </c>
      <c r="E16">
        <v>565</v>
      </c>
      <c r="F16">
        <v>1000</v>
      </c>
      <c r="G16" s="47"/>
      <c r="H16" s="47">
        <f>GETPIVOTDATA("outcome",$A$3,"outcome","successful")/(GETPIVOTDATA("outcome",$A$3)-GETPIVOTDATA("outcome",$A$3,"Years",2020))</f>
        <v>0.56613226452905807</v>
      </c>
    </row>
  </sheetData>
  <pageMargins left="0.7" right="0.7" top="0.75" bottom="0.75" header="0.3" footer="0.3"/>
  <ignoredErrors>
    <ignoredError sqref="G5:G14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3" max="11" width="16.5" bestFit="1" customWidth="1"/>
  </cols>
  <sheetData>
    <row r="1" spans="1:3" x14ac:dyDescent="0.2">
      <c r="A1" s="10" t="s">
        <v>6</v>
      </c>
      <c r="B1" t="s">
        <v>2044</v>
      </c>
    </row>
    <row r="3" spans="1:3" x14ac:dyDescent="0.2">
      <c r="A3" s="10" t="s">
        <v>2034</v>
      </c>
      <c r="B3" t="s">
        <v>2129</v>
      </c>
      <c r="C3" t="s">
        <v>2130</v>
      </c>
    </row>
    <row r="4" spans="1:3" x14ac:dyDescent="0.2">
      <c r="A4" s="11" t="s">
        <v>74</v>
      </c>
      <c r="B4" s="48">
        <v>70557.059243016614</v>
      </c>
      <c r="C4" s="48">
        <v>35632.42106708623</v>
      </c>
    </row>
    <row r="5" spans="1:3" x14ac:dyDescent="0.2">
      <c r="A5" s="11" t="s">
        <v>14</v>
      </c>
      <c r="B5" s="48">
        <v>69884.438364358139</v>
      </c>
      <c r="C5" s="48">
        <v>45774.532020066261</v>
      </c>
    </row>
    <row r="6" spans="1:3" x14ac:dyDescent="0.2">
      <c r="A6" s="11" t="s">
        <v>47</v>
      </c>
      <c r="B6" s="48">
        <v>76831.207887775046</v>
      </c>
      <c r="C6" s="48">
        <v>52169.659492050392</v>
      </c>
    </row>
    <row r="7" spans="1:3" x14ac:dyDescent="0.2">
      <c r="A7" s="11" t="s">
        <v>20</v>
      </c>
      <c r="B7" s="48">
        <v>40734.339201666786</v>
      </c>
      <c r="C7" s="48">
        <v>64552.370461597573</v>
      </c>
    </row>
    <row r="8" spans="1:3" x14ac:dyDescent="0.2">
      <c r="A8" s="11" t="s">
        <v>2033</v>
      </c>
      <c r="B8" s="48">
        <v>58962.425594797423</v>
      </c>
      <c r="C8" s="48">
        <v>57415.481550550954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Crowdfunding</vt:lpstr>
      <vt:lpstr>Sub-Category by Outcomes</vt:lpstr>
      <vt:lpstr>Primary Category by Outcomes</vt:lpstr>
      <vt:lpstr>Months by Outcomes</vt:lpstr>
      <vt:lpstr>Crowdfunding Goal Analysis</vt:lpstr>
      <vt:lpstr>Statistical Analysis</vt:lpstr>
      <vt:lpstr>Both Cat. by % Success</vt:lpstr>
      <vt:lpstr>Both Cat. By % Funded</vt:lpstr>
      <vt:lpstr>Months by % Success</vt:lpstr>
      <vt:lpstr>Countries by % Success</vt:lpstr>
      <vt:lpstr>Years by % Success</vt:lpstr>
      <vt:lpstr>Outcome by StdDev Goal-Pledge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2023-08-10T12:22:27Z</dcterms:modified>
</cp:coreProperties>
</file>