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ubiktimer\docs\"/>
    </mc:Choice>
  </mc:AlternateContent>
  <bookViews>
    <workbookView xWindow="0" yWindow="0" windowWidth="21600" windowHeight="9630"/>
  </bookViews>
  <sheets>
    <sheet name="Flujo de caja" sheetId="1" r:id="rId1"/>
    <sheet name="Hoja1" sheetId="2" r:id="rId2"/>
  </sheets>
  <calcPr calcId="162913"/>
</workbook>
</file>

<file path=xl/calcChain.xml><?xml version="1.0" encoding="utf-8"?>
<calcChain xmlns="http://schemas.openxmlformats.org/spreadsheetml/2006/main">
  <c r="G11" i="1" l="1"/>
  <c r="H11" i="1"/>
  <c r="H18" i="1"/>
  <c r="I18" i="1"/>
  <c r="J18" i="1"/>
  <c r="K18" i="1"/>
  <c r="L18" i="1"/>
  <c r="M18" i="1"/>
  <c r="N18" i="1"/>
  <c r="O18" i="1"/>
  <c r="H19" i="1"/>
  <c r="I19" i="1"/>
  <c r="J19" i="1"/>
  <c r="K19" i="1"/>
  <c r="L19" i="1"/>
  <c r="M19" i="1"/>
  <c r="N19" i="1"/>
  <c r="O19" i="1"/>
  <c r="H20" i="1"/>
  <c r="I20" i="1"/>
  <c r="J20" i="1"/>
  <c r="K20" i="1"/>
  <c r="L20" i="1"/>
  <c r="M20" i="1"/>
  <c r="N20" i="1"/>
  <c r="O20" i="1"/>
  <c r="H21" i="1"/>
  <c r="I21" i="1"/>
  <c r="J21" i="1"/>
  <c r="K21" i="1"/>
  <c r="L21" i="1"/>
  <c r="M21" i="1"/>
  <c r="N21" i="1"/>
  <c r="O21" i="1"/>
  <c r="H22" i="1"/>
  <c r="I22" i="1"/>
  <c r="J22" i="1"/>
  <c r="K22" i="1"/>
  <c r="L22" i="1"/>
  <c r="M22" i="1"/>
  <c r="N22" i="1"/>
  <c r="O22" i="1"/>
  <c r="G22" i="1"/>
  <c r="G21" i="1"/>
  <c r="G20" i="1"/>
  <c r="G19" i="1"/>
  <c r="G18" i="1"/>
  <c r="D19" i="1"/>
  <c r="E19" i="1"/>
  <c r="F19" i="1"/>
  <c r="D20" i="1"/>
  <c r="E20" i="1"/>
  <c r="F20" i="1"/>
  <c r="D21" i="1"/>
  <c r="E21" i="1"/>
  <c r="F21" i="1"/>
  <c r="D22" i="1"/>
  <c r="E22" i="1"/>
  <c r="F22" i="1"/>
  <c r="C20" i="1"/>
  <c r="C21" i="1"/>
  <c r="C22" i="1"/>
  <c r="C19" i="1"/>
  <c r="C9" i="2"/>
  <c r="H17" i="1"/>
  <c r="I17" i="1"/>
  <c r="J17" i="1"/>
  <c r="K17" i="1"/>
  <c r="L17" i="1"/>
  <c r="M17" i="1"/>
  <c r="N17" i="1"/>
  <c r="G17" i="1"/>
  <c r="H16" i="1"/>
  <c r="I16" i="1"/>
  <c r="J16" i="1"/>
  <c r="K16" i="1"/>
  <c r="L16" i="1"/>
  <c r="M16" i="1"/>
  <c r="N16" i="1"/>
  <c r="G16" i="1"/>
  <c r="E18" i="1"/>
  <c r="F18" i="1"/>
  <c r="D18" i="1"/>
  <c r="C18" i="1"/>
  <c r="D17" i="1"/>
  <c r="E17" i="1"/>
  <c r="F17" i="1"/>
  <c r="C17" i="1"/>
  <c r="E2" i="2"/>
  <c r="D16" i="1"/>
  <c r="E16" i="1"/>
  <c r="F16" i="1"/>
  <c r="C16" i="1"/>
  <c r="O16" i="1" l="1"/>
  <c r="C11" i="1"/>
  <c r="D11" i="1"/>
  <c r="E11" i="1"/>
  <c r="F11" i="1"/>
  <c r="O35" i="1" l="1"/>
  <c r="O34" i="1"/>
  <c r="D36" i="1"/>
  <c r="E36" i="1"/>
  <c r="F36" i="1"/>
  <c r="G36" i="1"/>
  <c r="H36" i="1"/>
  <c r="I36" i="1"/>
  <c r="J36" i="1"/>
  <c r="K36" i="1"/>
  <c r="L36" i="1"/>
  <c r="M36" i="1"/>
  <c r="N36" i="1"/>
  <c r="C36" i="1"/>
  <c r="O14" i="1"/>
  <c r="O15" i="1"/>
  <c r="O17" i="1"/>
  <c r="O23" i="1"/>
  <c r="O24" i="1"/>
  <c r="O25" i="1"/>
  <c r="O26" i="1"/>
  <c r="O27" i="1"/>
  <c r="O28" i="1"/>
  <c r="D29" i="1"/>
  <c r="E29" i="1"/>
  <c r="F29" i="1"/>
  <c r="G29" i="1"/>
  <c r="H29" i="1"/>
  <c r="I29" i="1"/>
  <c r="J29" i="1"/>
  <c r="K29" i="1"/>
  <c r="L29" i="1"/>
  <c r="M29" i="1"/>
  <c r="N29" i="1"/>
  <c r="C29" i="1"/>
  <c r="O9" i="1"/>
  <c r="O10" i="1"/>
  <c r="O8" i="1"/>
  <c r="I11" i="1"/>
  <c r="J11" i="1"/>
  <c r="K11" i="1"/>
  <c r="L11" i="1"/>
  <c r="M11" i="1"/>
  <c r="N11" i="1"/>
  <c r="C31" i="1" l="1"/>
  <c r="C38" i="1" s="1"/>
  <c r="D5" i="1" s="1"/>
  <c r="D31" i="1" s="1"/>
  <c r="D38" i="1" s="1"/>
  <c r="E5" i="1" s="1"/>
  <c r="E31" i="1" s="1"/>
  <c r="E38" i="1" s="1"/>
  <c r="F5" i="1" s="1"/>
  <c r="F31" i="1" s="1"/>
  <c r="F38" i="1" s="1"/>
  <c r="G5" i="1" s="1"/>
  <c r="G31" i="1" s="1"/>
  <c r="G38" i="1" s="1"/>
  <c r="H5" i="1" s="1"/>
  <c r="H31" i="1" s="1"/>
  <c r="H38" i="1" s="1"/>
  <c r="I5" i="1" s="1"/>
  <c r="I31" i="1" s="1"/>
  <c r="I38" i="1" s="1"/>
  <c r="J5" i="1" s="1"/>
  <c r="J31" i="1" s="1"/>
  <c r="J38" i="1" s="1"/>
  <c r="K5" i="1" s="1"/>
  <c r="K31" i="1" s="1"/>
  <c r="K38" i="1" s="1"/>
  <c r="L5" i="1" s="1"/>
  <c r="L31" i="1" s="1"/>
  <c r="L38" i="1" s="1"/>
  <c r="M5" i="1" s="1"/>
  <c r="M31" i="1" s="1"/>
  <c r="M38" i="1" s="1"/>
  <c r="N5" i="1" s="1"/>
  <c r="N31" i="1" s="1"/>
  <c r="N38" i="1" s="1"/>
  <c r="O29" i="1"/>
  <c r="O11" i="1"/>
  <c r="O36" i="1"/>
</calcChain>
</file>

<file path=xl/sharedStrings.xml><?xml version="1.0" encoding="utf-8"?>
<sst xmlns="http://schemas.openxmlformats.org/spreadsheetml/2006/main" count="42" uniqueCount="42">
  <si>
    <t>Saldo inicial</t>
  </si>
  <si>
    <t>Ingresos</t>
  </si>
  <si>
    <t>Flujo de caja</t>
  </si>
  <si>
    <t>Total</t>
  </si>
  <si>
    <t>Egresos</t>
  </si>
  <si>
    <t>Flujo de caja económico</t>
  </si>
  <si>
    <t>Financiamiento</t>
  </si>
  <si>
    <t>Flujo de caja financiero</t>
  </si>
  <si>
    <t>Préstamo recibido</t>
  </si>
  <si>
    <t>Cobros de ventas a crédito</t>
  </si>
  <si>
    <t>Cobros por ventas de activo fijo</t>
  </si>
  <si>
    <t>Pago de alquiler</t>
  </si>
  <si>
    <t>Total Ingresos</t>
  </si>
  <si>
    <t>Pago de impuestos</t>
  </si>
  <si>
    <t>Pago proveedores</t>
  </si>
  <si>
    <t>Pago de servicios públicos</t>
  </si>
  <si>
    <t>Pago de mantenimiento</t>
  </si>
  <si>
    <t>Pago de publicidad</t>
  </si>
  <si>
    <t>Pago de préstamos</t>
  </si>
  <si>
    <t>Total Egresos</t>
  </si>
  <si>
    <t>Total Financiamiento</t>
  </si>
  <si>
    <t>Inyección de capital</t>
  </si>
  <si>
    <t>Compra de computador</t>
  </si>
  <si>
    <t>Pago de Seguridad social (Salud)</t>
  </si>
  <si>
    <t>Pago de Seguridad social (Pensión)</t>
  </si>
  <si>
    <t>Salario Minimo</t>
  </si>
  <si>
    <t>Porcentaje Salud</t>
  </si>
  <si>
    <t>Porcentaje Pension</t>
  </si>
  <si>
    <t>Porcentaje parafiscales (SENA)</t>
  </si>
  <si>
    <t>Porcentaje parafiscales (ICBF)</t>
  </si>
  <si>
    <t>Porcentaje parafiscales (Caja de compensación)</t>
  </si>
  <si>
    <t>Pago de parafiscales</t>
  </si>
  <si>
    <t>Pago de Salarios</t>
  </si>
  <si>
    <t>Vacaciones</t>
  </si>
  <si>
    <t>Provisión Cesantías</t>
  </si>
  <si>
    <t>Provisión Intereses de Cesantías</t>
  </si>
  <si>
    <t>Prima de servicios</t>
  </si>
  <si>
    <t>Porcentaje ARL</t>
  </si>
  <si>
    <t>Provision Cesantias</t>
  </si>
  <si>
    <t>Provision Intereses de cesantías</t>
  </si>
  <si>
    <t xml:space="preserve">Provision vacaciones </t>
  </si>
  <si>
    <t>Provision prima de 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</si>
</sst>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2" formatCode="_-&quot;$&quot;\ * #,##0_-;\-&quot;$&quot;\ * #,##0_-;_-&quot;$&quot;\ * &quot;-&quot;_-;_-@_-"/>
    <numFmt numFmtId="164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Franklin Gothic Medium"/>
      <family val="2"/>
    </font>
    <font>
      <sz val="16"/>
      <color theme="1"/>
      <name val="Franklin Gothic Medium"/>
      <family val="2"/>
    </font>
    <font>
      <sz val="28"/>
      <color theme="8" tint="-0.249977111117893"/>
      <name val="Franklin Gothic Demi Cond"/>
      <family val="2"/>
    </font>
    <font>
      <b/>
      <sz val="11"/>
      <color theme="1"/>
      <name val="Franklin Gothic Medium"/>
      <family val="2"/>
    </font>
    <font>
      <sz val="10"/>
      <color theme="1" tint="0.499984740745262"/>
      <name val="Franklin Gothic Medium"/>
      <family val="2"/>
    </font>
    <font>
      <sz val="10"/>
      <color theme="0" tint="-0.499984740745262"/>
      <name val="Franklin Gothic Medium"/>
      <family val="2"/>
    </font>
    <font>
      <sz val="11"/>
      <name val="Franklin Gothic Medium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6FAF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dotted">
        <color theme="1" tint="0.24994659260841701"/>
      </left>
      <right style="dotted">
        <color theme="1" tint="0.24994659260841701"/>
      </right>
      <top/>
      <bottom style="thick">
        <color theme="8"/>
      </bottom>
      <diagonal/>
    </border>
    <border>
      <left/>
      <right/>
      <top/>
      <bottom style="double">
        <color theme="1" tint="0.24994659260841701"/>
      </bottom>
      <diagonal/>
    </border>
    <border>
      <left/>
      <right/>
      <top/>
      <bottom style="medium">
        <color theme="8"/>
      </bottom>
      <diagonal/>
    </border>
    <border>
      <left/>
      <right/>
      <top/>
      <bottom style="medium">
        <color theme="6" tint="-0.499984740745262"/>
      </bottom>
      <diagonal/>
    </border>
  </borders>
  <cellStyleXfs count="3">
    <xf numFmtId="0" fontId="0" fillId="0" borderId="0"/>
    <xf numFmtId="42" fontId="9" fillId="0" borderId="0" applyFont="0" applyFill="0" applyBorder="0" applyAlignment="0" applyProtection="0"/>
    <xf numFmtId="9" fontId="9" fillId="0" borderId="0" applyFont="0" applyFill="0" applyBorder="0" applyAlignment="0" applyProtection="0"/>
  </cellStyleXfs>
  <cellXfs count="27">
    <xf numFmtId="0" fontId="0" fillId="0" borderId="0" xfId="0"/>
    <xf numFmtId="0" fontId="0" fillId="2" borderId="3" xfId="0" applyFill="1" applyBorder="1"/>
    <xf numFmtId="0" fontId="4" fillId="0" borderId="0" xfId="0" applyFont="1"/>
    <xf numFmtId="0" fontId="5" fillId="0" borderId="0" xfId="0" applyFont="1" applyAlignment="1">
      <alignment horizontal="left" indent="1"/>
    </xf>
    <xf numFmtId="0" fontId="1" fillId="2" borderId="3" xfId="0" applyFont="1" applyFill="1" applyBorder="1"/>
    <xf numFmtId="0" fontId="1" fillId="3" borderId="0" xfId="0" applyFont="1" applyFill="1"/>
    <xf numFmtId="0" fontId="0" fillId="3" borderId="0" xfId="0" applyFill="1"/>
    <xf numFmtId="0" fontId="2" fillId="0" borderId="1" xfId="0" applyFont="1" applyBorder="1" applyAlignment="1">
      <alignment horizontal="center"/>
    </xf>
    <xf numFmtId="0" fontId="6" fillId="0" borderId="0" xfId="0" applyFont="1" applyAlignment="1">
      <alignment horizontal="left" indent="1"/>
    </xf>
    <xf numFmtId="0" fontId="7" fillId="4" borderId="4" xfId="0" applyFont="1" applyFill="1" applyBorder="1"/>
    <xf numFmtId="0" fontId="8" fillId="4" borderId="4" xfId="0" applyFont="1" applyFill="1" applyBorder="1"/>
    <xf numFmtId="17" fontId="2" fillId="0" borderId="1" xfId="0" applyNumberFormat="1" applyFont="1" applyBorder="1" applyAlignment="1">
      <alignment horizontal="center"/>
    </xf>
    <xf numFmtId="42" fontId="10" fillId="0" borderId="0" xfId="1" applyFont="1"/>
    <xf numFmtId="42" fontId="0" fillId="0" borderId="0" xfId="1" applyFont="1"/>
    <xf numFmtId="0" fontId="0" fillId="0" borderId="0" xfId="0" applyNumberFormat="1"/>
    <xf numFmtId="0" fontId="10" fillId="0" borderId="0" xfId="0" applyNumberFormat="1" applyFont="1"/>
    <xf numFmtId="0" fontId="10" fillId="0" borderId="0" xfId="1" applyNumberFormat="1" applyFont="1"/>
    <xf numFmtId="0" fontId="0" fillId="0" borderId="0" xfId="1" applyNumberFormat="1" applyFont="1"/>
    <xf numFmtId="9" fontId="0" fillId="0" borderId="0" xfId="2" applyFont="1"/>
    <xf numFmtId="164" fontId="0" fillId="0" borderId="0" xfId="2" applyNumberFormat="1" applyFont="1"/>
    <xf numFmtId="10" fontId="0" fillId="0" borderId="0" xfId="2" applyNumberFormat="1" applyFont="1"/>
    <xf numFmtId="9" fontId="0" fillId="0" borderId="0" xfId="0" applyNumberFormat="1"/>
    <xf numFmtId="10" fontId="0" fillId="0" borderId="0" xfId="0" applyNumberFormat="1"/>
    <xf numFmtId="10" fontId="0" fillId="0" borderId="0" xfId="1" applyNumberFormat="1" applyFont="1"/>
    <xf numFmtId="0" fontId="6" fillId="5" borderId="0" xfId="0" applyFont="1" applyFill="1" applyAlignment="1">
      <alignment horizontal="left" indent="1"/>
    </xf>
    <xf numFmtId="0" fontId="0" fillId="5" borderId="0" xfId="0" applyFill="1"/>
    <xf numFmtId="0" fontId="3" fillId="0" borderId="2" xfId="0" applyFont="1" applyBorder="1" applyAlignment="1">
      <alignment horizontal="center"/>
    </xf>
  </cellXfs>
  <cellStyles count="3">
    <cellStyle name="Moneda [0]" xfId="1" builtinId="7"/>
    <cellStyle name="Normal" xfId="0" builtinId="0"/>
    <cellStyle name="Porcentaje" xfId="2" builtinId="5"/>
  </cellStyles>
  <dxfs count="62">
    <dxf>
      <fill>
        <patternFill patternType="solid">
          <fgColor indexed="64"/>
          <bgColor theme="8" tint="0.79998168889431442"/>
        </patternFill>
      </fill>
      <border diagonalUp="0" diagonalDown="0" outline="0">
        <left/>
        <right/>
        <top/>
        <bottom style="medium">
          <color theme="8"/>
        </bottom>
      </border>
    </dxf>
    <dxf>
      <fill>
        <patternFill patternType="solid">
          <fgColor indexed="64"/>
          <bgColor rgb="FFF6FAFC"/>
        </patternFill>
      </fill>
    </dxf>
    <dxf>
      <fill>
        <patternFill patternType="solid">
          <fgColor indexed="64"/>
          <bgColor theme="8" tint="0.79998168889431442"/>
        </patternFill>
      </fill>
      <border diagonalUp="0" diagonalDown="0" outline="0">
        <left/>
        <right/>
        <top/>
        <bottom style="medium">
          <color theme="8"/>
        </bottom>
      </border>
    </dxf>
    <dxf>
      <fill>
        <patternFill patternType="solid">
          <fgColor indexed="64"/>
          <bgColor rgb="FFF6FAFC"/>
        </patternFill>
      </fill>
    </dxf>
    <dxf>
      <fill>
        <patternFill patternType="solid">
          <fgColor indexed="64"/>
          <bgColor theme="8" tint="0.79998168889431442"/>
        </patternFill>
      </fill>
      <border diagonalUp="0" diagonalDown="0" outline="0">
        <left/>
        <right/>
        <top/>
        <bottom style="medium">
          <color theme="8"/>
        </bottom>
      </border>
    </dxf>
    <dxf>
      <fill>
        <patternFill patternType="solid">
          <fgColor indexed="64"/>
          <bgColor rgb="FFF6FAFC"/>
        </patternFill>
      </fill>
    </dxf>
    <dxf>
      <fill>
        <patternFill patternType="solid">
          <fgColor indexed="64"/>
          <bgColor theme="8" tint="0.79998168889431442"/>
        </patternFill>
      </fill>
      <border diagonalUp="0" diagonalDown="0" outline="0">
        <left/>
        <right/>
        <top/>
        <bottom style="medium">
          <color theme="8"/>
        </bottom>
      </border>
    </dxf>
    <dxf>
      <fill>
        <patternFill patternType="solid">
          <fgColor indexed="64"/>
          <bgColor rgb="FFF6FAFC"/>
        </patternFill>
      </fill>
    </dxf>
    <dxf>
      <fill>
        <patternFill patternType="solid">
          <fgColor indexed="64"/>
          <bgColor theme="8" tint="0.79998168889431442"/>
        </patternFill>
      </fill>
      <border diagonalUp="0" diagonalDown="0" outline="0">
        <left/>
        <right/>
        <top/>
        <bottom style="medium">
          <color theme="8"/>
        </bottom>
      </border>
    </dxf>
    <dxf>
      <fill>
        <patternFill patternType="solid">
          <fgColor indexed="64"/>
          <bgColor rgb="FFF6FAFC"/>
        </patternFill>
      </fill>
    </dxf>
    <dxf>
      <fill>
        <patternFill patternType="solid">
          <fgColor indexed="64"/>
          <bgColor theme="8" tint="0.79998168889431442"/>
        </patternFill>
      </fill>
      <border diagonalUp="0" diagonalDown="0" outline="0">
        <left/>
        <right/>
        <top/>
        <bottom style="medium">
          <color theme="8"/>
        </bottom>
      </border>
    </dxf>
    <dxf>
      <fill>
        <patternFill patternType="solid">
          <fgColor indexed="64"/>
          <bgColor rgb="FFF6FAFC"/>
        </patternFill>
      </fill>
    </dxf>
    <dxf>
      <fill>
        <patternFill patternType="solid">
          <fgColor indexed="64"/>
          <bgColor theme="8" tint="0.79998168889431442"/>
        </patternFill>
      </fill>
      <border diagonalUp="0" diagonalDown="0" outline="0">
        <left/>
        <right/>
        <top/>
        <bottom style="medium">
          <color theme="8"/>
        </bottom>
      </border>
    </dxf>
    <dxf>
      <fill>
        <patternFill patternType="solid">
          <fgColor indexed="64"/>
          <bgColor rgb="FFF6FAFC"/>
        </patternFill>
      </fill>
    </dxf>
    <dxf>
      <fill>
        <patternFill patternType="solid">
          <fgColor indexed="64"/>
          <bgColor theme="8" tint="0.79998168889431442"/>
        </patternFill>
      </fill>
      <border diagonalUp="0" diagonalDown="0" outline="0">
        <left/>
        <right/>
        <top/>
        <bottom style="medium">
          <color theme="8"/>
        </bottom>
      </border>
    </dxf>
    <dxf>
      <fill>
        <patternFill patternType="solid">
          <fgColor indexed="64"/>
          <bgColor rgb="FFF6FAFC"/>
        </patternFill>
      </fill>
    </dxf>
    <dxf>
      <fill>
        <patternFill patternType="solid">
          <fgColor indexed="64"/>
          <bgColor theme="8" tint="0.79998168889431442"/>
        </patternFill>
      </fill>
      <border diagonalUp="0" diagonalDown="0" outline="0">
        <left/>
        <right/>
        <top/>
        <bottom style="medium">
          <color theme="8"/>
        </bottom>
      </border>
    </dxf>
    <dxf>
      <fill>
        <patternFill patternType="solid">
          <fgColor indexed="64"/>
          <bgColor rgb="FFF6FAFC"/>
        </patternFill>
      </fill>
    </dxf>
    <dxf>
      <fill>
        <patternFill patternType="solid">
          <fgColor indexed="64"/>
          <bgColor theme="8" tint="0.79998168889431442"/>
        </patternFill>
      </fill>
      <border diagonalUp="0" diagonalDown="0" outline="0">
        <left/>
        <right/>
        <top/>
        <bottom style="medium">
          <color theme="8"/>
        </bottom>
      </border>
    </dxf>
    <dxf>
      <fill>
        <patternFill patternType="solid">
          <fgColor indexed="64"/>
          <bgColor rgb="FFF6FAFC"/>
        </patternFill>
      </fill>
    </dxf>
    <dxf>
      <fill>
        <patternFill patternType="solid">
          <fgColor indexed="64"/>
          <bgColor theme="8" tint="0.79998168889431442"/>
        </patternFill>
      </fill>
      <border diagonalUp="0" diagonalDown="0" outline="0">
        <left/>
        <right/>
        <top/>
        <bottom style="medium">
          <color theme="8"/>
        </bottom>
      </border>
    </dxf>
    <dxf>
      <fill>
        <patternFill patternType="solid">
          <fgColor indexed="64"/>
          <bgColor rgb="FFF6FAFC"/>
        </patternFill>
      </fill>
    </dxf>
    <dxf>
      <fill>
        <patternFill patternType="solid">
          <fgColor indexed="64"/>
          <bgColor theme="8" tint="0.79998168889431442"/>
        </patternFill>
      </fill>
      <border diagonalUp="0" diagonalDown="0" outline="0">
        <left/>
        <right/>
        <top/>
        <bottom style="medium">
          <color theme="8"/>
        </bottom>
      </border>
    </dxf>
    <dxf>
      <fill>
        <patternFill patternType="solid">
          <fgColor indexed="64"/>
          <bgColor rgb="FFF6FAFC"/>
        </patternFill>
      </fill>
    </dxf>
    <dxf>
      <fill>
        <patternFill patternType="solid">
          <fgColor indexed="64"/>
          <bgColor rgb="FFF6FAFC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/>
        <bottom style="medium">
          <color theme="8"/>
        </bottom>
      </border>
    </dxf>
    <dxf>
      <fill>
        <patternFill patternType="solid">
          <fgColor indexed="64"/>
          <bgColor rgb="FFF6FAFC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/>
        <bottom style="medium">
          <color theme="8"/>
        </bottom>
      </border>
    </dxf>
    <dxf>
      <fill>
        <patternFill patternType="solid">
          <fgColor indexed="64"/>
          <bgColor rgb="FFF6FAFC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/>
        <bottom style="medium">
          <color theme="8"/>
        </bottom>
      </border>
    </dxf>
    <dxf>
      <fill>
        <patternFill patternType="solid">
          <fgColor indexed="64"/>
          <bgColor rgb="FFF6FAFC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/>
        <bottom style="medium">
          <color theme="8"/>
        </bottom>
      </border>
    </dxf>
    <dxf>
      <fill>
        <patternFill patternType="solid">
          <fgColor indexed="64"/>
          <bgColor rgb="FFF6FAFC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/>
        <bottom style="medium">
          <color theme="8"/>
        </bottom>
      </border>
    </dxf>
    <dxf>
      <fill>
        <patternFill patternType="solid">
          <fgColor indexed="64"/>
          <bgColor rgb="FFF6FAFC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/>
        <bottom style="medium">
          <color theme="8"/>
        </bottom>
      </border>
    </dxf>
    <dxf>
      <fill>
        <patternFill patternType="solid">
          <fgColor indexed="64"/>
          <bgColor rgb="FFF6FAFC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/>
        <bottom style="medium">
          <color theme="8"/>
        </bottom>
      </border>
    </dxf>
    <dxf>
      <fill>
        <patternFill patternType="solid">
          <fgColor indexed="64"/>
          <bgColor rgb="FFF6FAFC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/>
        <bottom style="medium">
          <color theme="8"/>
        </bottom>
      </border>
    </dxf>
    <dxf>
      <fill>
        <patternFill patternType="solid">
          <fgColor indexed="64"/>
          <bgColor rgb="FFF6FAFC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/>
        <bottom style="medium">
          <color theme="8"/>
        </bottom>
      </border>
    </dxf>
    <dxf>
      <fill>
        <patternFill patternType="solid">
          <fgColor indexed="64"/>
          <bgColor rgb="FFF6FAFC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/>
        <bottom style="medium">
          <color theme="8"/>
        </bottom>
      </border>
    </dxf>
    <dxf>
      <fill>
        <patternFill patternType="solid">
          <fgColor indexed="64"/>
          <bgColor rgb="FFF6FAFC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/>
        <bottom style="medium">
          <color theme="8"/>
        </bottom>
      </border>
    </dxf>
    <dxf>
      <fill>
        <patternFill patternType="solid">
          <fgColor indexed="64"/>
          <bgColor rgb="FFF6FAFC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/>
        <bottom style="medium">
          <color theme="8"/>
        </bottom>
      </border>
    </dxf>
    <dxf>
      <fill>
        <patternFill patternType="solid">
          <fgColor indexed="64"/>
          <bgColor rgb="FFF6FAFC"/>
        </patternFill>
      </fill>
    </dxf>
    <dxf>
      <fill>
        <patternFill patternType="solid">
          <fgColor indexed="64"/>
          <bgColor rgb="FFF6FAFC"/>
        </patternFill>
      </fill>
    </dxf>
    <dxf>
      <fill>
        <patternFill patternType="solid">
          <fgColor indexed="64"/>
          <bgColor theme="8" tint="0.79998168889431442"/>
        </patternFill>
      </fill>
      <border diagonalUp="0" diagonalDown="0" outline="0">
        <left/>
        <right/>
        <top/>
        <bottom style="medium">
          <color theme="8"/>
        </bottom>
      </border>
    </dxf>
    <dxf>
      <fill>
        <patternFill patternType="solid">
          <fgColor indexed="64"/>
          <bgColor theme="8" tint="0.79998168889431442"/>
        </patternFill>
      </fill>
      <border diagonalUp="0" diagonalDown="0" outline="0">
        <left/>
        <right/>
        <top/>
        <bottom style="medium">
          <color theme="8"/>
        </bottom>
      </border>
    </dxf>
    <dxf>
      <fill>
        <patternFill patternType="solid">
          <fgColor indexed="64"/>
          <bgColor theme="8" tint="0.79998168889431442"/>
        </patternFill>
      </fill>
      <border diagonalUp="0" diagonalDown="0" outline="0">
        <left/>
        <right/>
        <top/>
        <bottom style="medium">
          <color theme="8"/>
        </bottom>
      </border>
    </dxf>
    <dxf>
      <fill>
        <patternFill patternType="solid">
          <fgColor indexed="64"/>
          <bgColor theme="8" tint="0.79998168889431442"/>
        </patternFill>
      </fill>
      <border diagonalUp="0" diagonalDown="0" outline="0">
        <left/>
        <right/>
        <top/>
        <bottom style="medium">
          <color theme="8"/>
        </bottom>
      </border>
    </dxf>
    <dxf>
      <fill>
        <patternFill patternType="solid">
          <fgColor indexed="64"/>
          <bgColor theme="8" tint="0.79998168889431442"/>
        </patternFill>
      </fill>
      <border diagonalUp="0" diagonalDown="0" outline="0">
        <left/>
        <right/>
        <top/>
        <bottom style="medium">
          <color theme="8"/>
        </bottom>
      </border>
    </dxf>
    <dxf>
      <fill>
        <patternFill patternType="solid">
          <fgColor indexed="64"/>
          <bgColor theme="8" tint="0.79998168889431442"/>
        </patternFill>
      </fill>
      <border diagonalUp="0" diagonalDown="0" outline="0">
        <left/>
        <right/>
        <top/>
        <bottom style="medium">
          <color theme="8"/>
        </bottom>
      </border>
    </dxf>
    <dxf>
      <fill>
        <patternFill patternType="solid">
          <fgColor indexed="64"/>
          <bgColor theme="8" tint="0.79998168889431442"/>
        </patternFill>
      </fill>
      <border diagonalUp="0" diagonalDown="0" outline="0">
        <left/>
        <right/>
        <top/>
        <bottom style="medium">
          <color theme="8"/>
        </bottom>
      </border>
    </dxf>
    <dxf>
      <fill>
        <patternFill patternType="solid">
          <fgColor indexed="64"/>
          <bgColor theme="8" tint="0.79998168889431442"/>
        </patternFill>
      </fill>
      <border diagonalUp="0" diagonalDown="0" outline="0">
        <left/>
        <right/>
        <top/>
        <bottom style="medium">
          <color theme="8"/>
        </bottom>
      </border>
    </dxf>
    <dxf>
      <fill>
        <patternFill patternType="solid">
          <fgColor indexed="64"/>
          <bgColor theme="8" tint="0.79998168889431442"/>
        </patternFill>
      </fill>
      <border diagonalUp="0" diagonalDown="0" outline="0">
        <left/>
        <right/>
        <top/>
        <bottom style="medium">
          <color theme="8"/>
        </bottom>
      </border>
    </dxf>
    <dxf>
      <fill>
        <patternFill patternType="solid">
          <fgColor indexed="64"/>
          <bgColor theme="8" tint="0.79998168889431442"/>
        </patternFill>
      </fill>
      <border diagonalUp="0" diagonalDown="0" outline="0">
        <left/>
        <right/>
        <top/>
        <bottom style="medium">
          <color theme="8"/>
        </bottom>
      </border>
    </dxf>
    <dxf>
      <fill>
        <patternFill patternType="solid">
          <fgColor indexed="64"/>
          <bgColor theme="8" tint="0.79998168889431442"/>
        </patternFill>
      </fill>
      <border diagonalUp="0" diagonalDown="0" outline="0">
        <left/>
        <right/>
        <top/>
        <bottom style="medium">
          <color theme="8"/>
        </bottom>
      </border>
    </dxf>
    <dxf>
      <fill>
        <patternFill patternType="solid">
          <fgColor indexed="64"/>
          <bgColor theme="8" tint="0.79998168889431442"/>
        </patternFill>
      </fill>
      <border diagonalUp="0" diagonalDown="0" outline="0">
        <left/>
        <right/>
        <top/>
        <bottom style="medium">
          <color theme="8"/>
        </bottom>
      </border>
    </dxf>
  </dxfs>
  <tableStyles count="0" defaultTableStyle="TableStyleMedium2" defaultPivotStyle="PivotStyleLight16"/>
  <colors>
    <mruColors>
      <color rgb="FFF6FAFC"/>
      <color rgb="FFF3F9FB"/>
      <color rgb="FFEBF6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Ingresos" displayName="Ingresos" ref="C8:N11" headerRowCount="0" totalsRowCount="1">
  <tableColumns count="12">
    <tableColumn id="1" name="Columna1" totalsRowFunction="custom" totalsRowDxfId="61">
      <totalsRowFormula>SUM(Ingresos[Columna1])</totalsRowFormula>
    </tableColumn>
    <tableColumn id="2" name="Columna2" totalsRowFunction="custom" totalsRowDxfId="60">
      <totalsRowFormula>SUM(Ingresos[Columna2])</totalsRowFormula>
    </tableColumn>
    <tableColumn id="3" name="Columna3" totalsRowFunction="custom" totalsRowDxfId="59">
      <totalsRowFormula>SUM(Ingresos[Columna3])</totalsRowFormula>
    </tableColumn>
    <tableColumn id="4" name="Columna4" totalsRowFunction="custom" totalsRowDxfId="58">
      <totalsRowFormula>SUM(Ingresos[Columna4])</totalsRowFormula>
    </tableColumn>
    <tableColumn id="5" name="Columna5" totalsRowFunction="custom" totalsRowDxfId="57">
      <totalsRowFormula>SUM(Ingresos[Columna5])</totalsRowFormula>
    </tableColumn>
    <tableColumn id="6" name="Columna6" totalsRowFunction="custom" totalsRowDxfId="56">
      <totalsRowFormula>SUM(Ingresos[Columna6])</totalsRowFormula>
    </tableColumn>
    <tableColumn id="7" name="Columna7" totalsRowFunction="custom" totalsRowDxfId="55">
      <totalsRowFormula>SUM(Ingresos[Columna7])</totalsRowFormula>
    </tableColumn>
    <tableColumn id="8" name="Columna8" totalsRowFunction="custom" totalsRowDxfId="54">
      <totalsRowFormula>SUM(Ingresos[Columna8])</totalsRowFormula>
    </tableColumn>
    <tableColumn id="9" name="Columna9" totalsRowFunction="custom" totalsRowDxfId="53">
      <totalsRowFormula>SUM(Ingresos[Columna9])</totalsRowFormula>
    </tableColumn>
    <tableColumn id="10" name="Columna10" totalsRowFunction="custom" totalsRowDxfId="52">
      <totalsRowFormula>SUM(Ingresos[Columna10])</totalsRowFormula>
    </tableColumn>
    <tableColumn id="11" name="Columna11" totalsRowFunction="custom" totalsRowDxfId="51">
      <totalsRowFormula>SUM(Ingresos[Columna11])</totalsRowFormula>
    </tableColumn>
    <tableColumn id="12" name="Columna12" totalsRowFunction="custom" totalsRowDxfId="50">
      <totalsRowFormula>SUM(Ingresos[Columna12])</totalsRow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3" name="Egresos" displayName="Egresos" ref="C14:N29" headerRowCount="0" totalsRowCount="1" headerRowDxfId="49">
  <tableColumns count="12">
    <tableColumn id="1" name="Columna1" totalsRowFunction="custom" headerRowDxfId="48" totalsRowDxfId="47">
      <totalsRowFormula>SUM(Egresos[Columna1])</totalsRowFormula>
    </tableColumn>
    <tableColumn id="2" name="Columna2" totalsRowFunction="custom" headerRowDxfId="46" totalsRowDxfId="45">
      <totalsRowFormula>SUM(Egresos[Columna2])</totalsRowFormula>
    </tableColumn>
    <tableColumn id="3" name="Columna3" totalsRowFunction="custom" headerRowDxfId="44" totalsRowDxfId="43">
      <totalsRowFormula>SUM(Egresos[Columna3])</totalsRowFormula>
    </tableColumn>
    <tableColumn id="4" name="Columna4" totalsRowFunction="custom" headerRowDxfId="42" totalsRowDxfId="41">
      <totalsRowFormula>SUM(Egresos[Columna4])</totalsRowFormula>
    </tableColumn>
    <tableColumn id="5" name="Columna5" totalsRowFunction="custom" headerRowDxfId="40" totalsRowDxfId="39">
      <totalsRowFormula>SUM(Egresos[Columna5])</totalsRowFormula>
    </tableColumn>
    <tableColumn id="6" name="Columna6" totalsRowFunction="custom" headerRowDxfId="38" totalsRowDxfId="37">
      <totalsRowFormula>SUM(Egresos[Columna6])</totalsRowFormula>
    </tableColumn>
    <tableColumn id="7" name="Columna7" totalsRowFunction="custom" headerRowDxfId="36" totalsRowDxfId="35">
      <totalsRowFormula>SUM(Egresos[Columna7])</totalsRowFormula>
    </tableColumn>
    <tableColumn id="8" name="Columna8" totalsRowFunction="custom" headerRowDxfId="34" totalsRowDxfId="33">
      <totalsRowFormula>SUM(Egresos[Columna8])</totalsRowFormula>
    </tableColumn>
    <tableColumn id="9" name="Columna9" totalsRowFunction="custom" headerRowDxfId="32" totalsRowDxfId="31">
      <totalsRowFormula>SUM(Egresos[Columna9])</totalsRowFormula>
    </tableColumn>
    <tableColumn id="10" name="Columna10" totalsRowFunction="custom" headerRowDxfId="30" totalsRowDxfId="29">
      <totalsRowFormula>SUM(Egresos[Columna10])</totalsRowFormula>
    </tableColumn>
    <tableColumn id="11" name="Columna11" totalsRowFunction="custom" headerRowDxfId="28" totalsRowDxfId="27">
      <totalsRowFormula>SUM(Egresos[Columna11])</totalsRowFormula>
    </tableColumn>
    <tableColumn id="12" name="Columna12" totalsRowFunction="custom" headerRowDxfId="26" totalsRowDxfId="25">
      <totalsRowFormula>SUM(Egresos[Columna12])</totalsRow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6" name="Financiamiento" displayName="Financiamiento" ref="C34:N36" headerRowCount="0" totalsRowCount="1" headerRowDxfId="24">
  <tableColumns count="12">
    <tableColumn id="1" name="Columna1" totalsRowFunction="custom" headerRowDxfId="23" totalsRowDxfId="22">
      <totalsRowFormula>SUM(Financiamiento[Columna1])</totalsRowFormula>
    </tableColumn>
    <tableColumn id="2" name="Columna2" totalsRowFunction="custom" headerRowDxfId="21" totalsRowDxfId="20">
      <totalsRowFormula>SUM(Financiamiento[Columna2])</totalsRowFormula>
    </tableColumn>
    <tableColumn id="3" name="Columna3" totalsRowFunction="custom" headerRowDxfId="19" totalsRowDxfId="18">
      <totalsRowFormula>SUM(Financiamiento[Columna3])</totalsRowFormula>
    </tableColumn>
    <tableColumn id="4" name="Columna4" totalsRowFunction="custom" headerRowDxfId="17" totalsRowDxfId="16">
      <totalsRowFormula>SUM(Financiamiento[Columna4])</totalsRowFormula>
    </tableColumn>
    <tableColumn id="5" name="Columna5" totalsRowFunction="custom" headerRowDxfId="15" totalsRowDxfId="14">
      <totalsRowFormula>SUM(Financiamiento[Columna5])</totalsRowFormula>
    </tableColumn>
    <tableColumn id="6" name="Columna6" totalsRowFunction="custom" headerRowDxfId="13" totalsRowDxfId="12">
      <totalsRowFormula>SUM(Financiamiento[Columna6])</totalsRowFormula>
    </tableColumn>
    <tableColumn id="7" name="Columna7" totalsRowFunction="custom" headerRowDxfId="11" totalsRowDxfId="10">
      <totalsRowFormula>SUM(Financiamiento[Columna7])</totalsRowFormula>
    </tableColumn>
    <tableColumn id="8" name="Columna8" totalsRowFunction="custom" headerRowDxfId="9" totalsRowDxfId="8">
      <totalsRowFormula>SUM(Financiamiento[Columna8])</totalsRowFormula>
    </tableColumn>
    <tableColumn id="9" name="Columna9" totalsRowFunction="custom" headerRowDxfId="7" totalsRowDxfId="6">
      <totalsRowFormula>SUM(Financiamiento[Columna9])</totalsRowFormula>
    </tableColumn>
    <tableColumn id="10" name="Columna10" totalsRowFunction="custom" headerRowDxfId="5" totalsRowDxfId="4">
      <totalsRowFormula>SUM(Financiamiento[Columna10])</totalsRowFormula>
    </tableColumn>
    <tableColumn id="11" name="Columna11" totalsRowFunction="custom" headerRowDxfId="3" totalsRowDxfId="2">
      <totalsRowFormula>SUM(Financiamiento[Columna11])</totalsRowFormula>
    </tableColumn>
    <tableColumn id="12" name="Columna12" totalsRowFunction="custom" headerRowDxfId="1" totalsRowDxfId="0">
      <totalsRowFormula>SUM(Financiamiento[Columna12])</totalsRow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8"/>
  <sheetViews>
    <sheetView showGridLines="0" tabSelected="1" zoomScaleNormal="100" workbookViewId="0">
      <pane ySplit="3" topLeftCell="A4" activePane="bottomLeft" state="frozen"/>
      <selection pane="bottomLeft" activeCell="C8" sqref="C8"/>
    </sheetView>
  </sheetViews>
  <sheetFormatPr baseColWidth="10" defaultRowHeight="15.75" x14ac:dyDescent="0.3"/>
  <cols>
    <col min="1" max="1" width="3.7109375" customWidth="1"/>
    <col min="2" max="2" width="30.7109375" style="2" bestFit="1" customWidth="1"/>
    <col min="3" max="3" width="10" bestFit="1" customWidth="1"/>
    <col min="4" max="4" width="9.42578125" bestFit="1" customWidth="1"/>
    <col min="5" max="5" width="9.85546875" bestFit="1" customWidth="1"/>
    <col min="6" max="6" width="9.140625" bestFit="1" customWidth="1"/>
    <col min="7" max="7" width="10.140625" bestFit="1" customWidth="1"/>
    <col min="8" max="8" width="9.5703125" bestFit="1" customWidth="1"/>
    <col min="9" max="9" width="10.5703125" bestFit="1" customWidth="1"/>
    <col min="10" max="10" width="9.5703125" bestFit="1" customWidth="1"/>
    <col min="11" max="11" width="10.85546875" bestFit="1" customWidth="1"/>
    <col min="12" max="12" width="9.28515625" bestFit="1" customWidth="1"/>
    <col min="13" max="13" width="12" bestFit="1" customWidth="1"/>
    <col min="14" max="14" width="10.140625" bestFit="1" customWidth="1"/>
    <col min="15" max="15" width="8.7109375" customWidth="1"/>
  </cols>
  <sheetData>
    <row r="1" spans="2:15" ht="35.25" thickBot="1" x14ac:dyDescent="0.5">
      <c r="B1" s="26" t="s">
        <v>2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</row>
    <row r="2" spans="2:15" ht="16.5" thickTop="1" x14ac:dyDescent="0.3"/>
    <row r="3" spans="2:15" ht="21.75" thickBot="1" x14ac:dyDescent="0.4">
      <c r="C3" s="11">
        <v>43344</v>
      </c>
      <c r="D3" s="11">
        <v>43374</v>
      </c>
      <c r="E3" s="11">
        <v>43405</v>
      </c>
      <c r="F3" s="11">
        <v>43435</v>
      </c>
      <c r="G3" s="11">
        <v>43466</v>
      </c>
      <c r="H3" s="11">
        <v>43497</v>
      </c>
      <c r="I3" s="11">
        <v>43525</v>
      </c>
      <c r="J3" s="11">
        <v>43556</v>
      </c>
      <c r="K3" s="11">
        <v>43586</v>
      </c>
      <c r="L3" s="11">
        <v>43617</v>
      </c>
      <c r="M3" s="11">
        <v>43647</v>
      </c>
      <c r="N3" s="11">
        <v>43678</v>
      </c>
      <c r="O3" s="7" t="s">
        <v>3</v>
      </c>
    </row>
    <row r="4" spans="2:15" ht="16.5" thickTop="1" x14ac:dyDescent="0.3"/>
    <row r="5" spans="2:15" ht="16.5" thickBot="1" x14ac:dyDescent="0.35">
      <c r="B5" s="4" t="s">
        <v>0</v>
      </c>
      <c r="C5" s="1"/>
      <c r="D5" s="1">
        <f>C38</f>
        <v>6280237</v>
      </c>
      <c r="E5" s="1">
        <f>D38</f>
        <v>5448343.3899999997</v>
      </c>
      <c r="F5" s="1">
        <f t="shared" ref="F5:N5" si="0">E38</f>
        <v>3800974.3899999997</v>
      </c>
      <c r="G5" s="1">
        <f t="shared" si="0"/>
        <v>2812084.78</v>
      </c>
      <c r="H5" s="1">
        <f t="shared" si="0"/>
        <v>11018518.779999999</v>
      </c>
      <c r="I5" s="1">
        <f t="shared" si="0"/>
        <v>8907159.7799999993</v>
      </c>
      <c r="J5" s="1">
        <f t="shared" si="0"/>
        <v>7194391.7799999993</v>
      </c>
      <c r="K5" s="1">
        <f t="shared" si="0"/>
        <v>5481623.7799999993</v>
      </c>
      <c r="L5" s="1">
        <f t="shared" si="0"/>
        <v>13768855.779999999</v>
      </c>
      <c r="M5" s="1">
        <f t="shared" si="0"/>
        <v>12056087.779999999</v>
      </c>
      <c r="N5" s="1">
        <f t="shared" si="0"/>
        <v>10343319.779999999</v>
      </c>
      <c r="O5" s="1"/>
    </row>
    <row r="7" spans="2:15" x14ac:dyDescent="0.3">
      <c r="B7" s="5" t="s">
        <v>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15" x14ac:dyDescent="0.25">
      <c r="B8" s="8" t="s">
        <v>21</v>
      </c>
      <c r="C8">
        <v>10000000</v>
      </c>
      <c r="D8">
        <v>0</v>
      </c>
      <c r="E8">
        <v>0</v>
      </c>
      <c r="F8">
        <v>0</v>
      </c>
      <c r="G8">
        <v>10000000</v>
      </c>
      <c r="H8">
        <v>0</v>
      </c>
      <c r="I8">
        <v>0</v>
      </c>
      <c r="J8">
        <v>0</v>
      </c>
      <c r="K8">
        <v>10000000</v>
      </c>
      <c r="L8">
        <v>0</v>
      </c>
      <c r="M8">
        <v>0</v>
      </c>
      <c r="N8">
        <v>0</v>
      </c>
      <c r="O8">
        <f>SUM(Ingresos[[#This Row],[Columna1]:[Columna12]])</f>
        <v>30000000</v>
      </c>
    </row>
    <row r="9" spans="2:15" ht="15" x14ac:dyDescent="0.25">
      <c r="B9" s="8" t="s">
        <v>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f>SUM(Ingresos[[#This Row],[Columna1]:[Columna12]])</f>
        <v>0</v>
      </c>
    </row>
    <row r="10" spans="2:15" ht="15" x14ac:dyDescent="0.25">
      <c r="B10" s="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f>SUM(Ingresos[[#This Row],[Columna1]:[Columna12]])</f>
        <v>0</v>
      </c>
    </row>
    <row r="11" spans="2:15" ht="16.5" thickBot="1" x14ac:dyDescent="0.35">
      <c r="B11" s="4" t="s">
        <v>12</v>
      </c>
      <c r="C11" s="1">
        <f>SUM(Ingresos[Columna1])</f>
        <v>10000000</v>
      </c>
      <c r="D11" s="1">
        <f>SUM(Ingresos[Columna2])</f>
        <v>0</v>
      </c>
      <c r="E11" s="1">
        <f>SUM(Ingresos[Columna3])</f>
        <v>0</v>
      </c>
      <c r="F11" s="1">
        <f>SUM(Ingresos[Columna4])</f>
        <v>0</v>
      </c>
      <c r="G11" s="1">
        <f>SUM(Ingresos[Columna5])</f>
        <v>10000000</v>
      </c>
      <c r="H11" s="1">
        <f>SUM(Ingresos[Columna6])</f>
        <v>0</v>
      </c>
      <c r="I11" s="1">
        <f>SUM(Ingresos[Columna7])</f>
        <v>0</v>
      </c>
      <c r="J11" s="1">
        <f>SUM(Ingresos[Columna8])</f>
        <v>0</v>
      </c>
      <c r="K11" s="1">
        <f>SUM(Ingresos[Columna9])</f>
        <v>10000000</v>
      </c>
      <c r="L11" s="1">
        <f>SUM(Ingresos[Columna10])</f>
        <v>0</v>
      </c>
      <c r="M11" s="1">
        <f>SUM(Ingresos[Columna11])</f>
        <v>0</v>
      </c>
      <c r="N11" s="1">
        <f>SUM(Ingresos[Columna12])</f>
        <v>0</v>
      </c>
      <c r="O11" s="1">
        <f>SUM(Ingresos[#Totals])</f>
        <v>30000000</v>
      </c>
    </row>
    <row r="13" spans="2:15" x14ac:dyDescent="0.3">
      <c r="B13" s="5" t="s">
        <v>4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2:15" ht="15" x14ac:dyDescent="0.25">
      <c r="B14" s="8" t="s">
        <v>22</v>
      </c>
      <c r="C14">
        <v>1800000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f>SUM(Egresos[[#This Row],[Columna1]:[Columna12]])</f>
        <v>1800000</v>
      </c>
    </row>
    <row r="15" spans="2:15" ht="15" x14ac:dyDescent="0.25">
      <c r="B15" s="24" t="s">
        <v>32</v>
      </c>
      <c r="C15" s="25">
        <v>1110000</v>
      </c>
      <c r="D15" s="25">
        <v>330000</v>
      </c>
      <c r="E15" s="25">
        <v>930000</v>
      </c>
      <c r="F15" s="25">
        <v>450000</v>
      </c>
      <c r="G15" s="25">
        <v>1020000</v>
      </c>
      <c r="H15" s="25">
        <v>1230000</v>
      </c>
      <c r="I15" s="25">
        <v>960000</v>
      </c>
      <c r="J15" s="25">
        <v>960000</v>
      </c>
      <c r="K15" s="25">
        <v>960000</v>
      </c>
      <c r="L15" s="25">
        <v>960000</v>
      </c>
      <c r="M15" s="25">
        <v>960000</v>
      </c>
      <c r="N15" s="25">
        <v>960000</v>
      </c>
      <c r="O15" s="25">
        <f>SUM(Egresos[[#This Row],[Columna1]:[Columna12]])</f>
        <v>10830000</v>
      </c>
    </row>
    <row r="16" spans="2:15" ht="15" x14ac:dyDescent="0.25">
      <c r="B16" s="24" t="s">
        <v>23</v>
      </c>
      <c r="C16" s="25">
        <f>IF(C15&lt;Hoja1!$B$2,Hoja1!$B$2*Hoja1!$B$3,'Flujo de caja'!C15*Hoja1!$B$3)</f>
        <v>94350</v>
      </c>
      <c r="D16" s="25">
        <f>IF(D15&lt;Hoja1!$B$2,Hoja1!$B$2*Hoja1!$B$3,'Flujo de caja'!D15*Hoja1!$B$3)</f>
        <v>66405.570000000007</v>
      </c>
      <c r="E16" s="25">
        <f>IF(E15&lt;Hoja1!$B$2,Hoja1!$B$2*Hoja1!$B$3,'Flujo de caja'!E15*Hoja1!$B$3)</f>
        <v>79050</v>
      </c>
      <c r="F16" s="25">
        <f>IF(F15&lt;Hoja1!$B$2,Hoja1!$B$2*Hoja1!$B$3,'Flujo de caja'!F15*Hoja1!$B$3)</f>
        <v>66405.570000000007</v>
      </c>
      <c r="G16" s="25">
        <f>IF(G15&lt;Hoja1!$C$2,Hoja1!$C$2*Hoja1!$C$3,'Flujo de caja'!G15*Hoja1!$C$3)</f>
        <v>86700</v>
      </c>
      <c r="H16" s="25">
        <f>IF(H15&lt;Hoja1!$C$2,Hoja1!$C$2*Hoja1!$C$3,'Flujo de caja'!H15*Hoja1!$C$3)</f>
        <v>104550.00000000001</v>
      </c>
      <c r="I16" s="25">
        <f>IF(I15&lt;Hoja1!$C$2,Hoja1!$C$2*Hoja1!$C$3,'Flujo de caja'!I15*Hoja1!$C$3)</f>
        <v>81600</v>
      </c>
      <c r="J16" s="25">
        <f>IF(J15&lt;Hoja1!$C$2,Hoja1!$C$2*Hoja1!$C$3,'Flujo de caja'!J15*Hoja1!$C$3)</f>
        <v>81600</v>
      </c>
      <c r="K16" s="25">
        <f>IF(K15&lt;Hoja1!$C$2,Hoja1!$C$2*Hoja1!$C$3,'Flujo de caja'!K15*Hoja1!$C$3)</f>
        <v>81600</v>
      </c>
      <c r="L16" s="25">
        <f>IF(L15&lt;Hoja1!$C$2,Hoja1!$C$2*Hoja1!$C$3,'Flujo de caja'!L15*Hoja1!$C$3)</f>
        <v>81600</v>
      </c>
      <c r="M16" s="25">
        <f>IF(M15&lt;Hoja1!$C$2,Hoja1!$C$2*Hoja1!$C$3,'Flujo de caja'!M15*Hoja1!$C$3)</f>
        <v>81600</v>
      </c>
      <c r="N16" s="25">
        <f>IF(N15&lt;Hoja1!$C$2,Hoja1!$C$2*Hoja1!$C$3,'Flujo de caja'!N15*Hoja1!$C$3)</f>
        <v>81600</v>
      </c>
      <c r="O16" s="25">
        <f>SUM(Egresos[[#This Row],[Columna1]:[Columna12]])</f>
        <v>987061.14</v>
      </c>
    </row>
    <row r="17" spans="2:15" ht="15" x14ac:dyDescent="0.25">
      <c r="B17" s="24" t="s">
        <v>24</v>
      </c>
      <c r="C17" s="25">
        <f>IF(C15&lt;Hoja1!$B$2,Hoja1!$B$2*Hoja1!$B$4,'Flujo de caja'!C15*Hoja1!$B$4)</f>
        <v>133200</v>
      </c>
      <c r="D17" s="25">
        <f>IF(D15&lt;Hoja1!$B$2,Hoja1!$B$2*Hoja1!$B$4,'Flujo de caja'!D15*Hoja1!$B$4)</f>
        <v>93749.04</v>
      </c>
      <c r="E17" s="25">
        <f>IF(E15&lt;Hoja1!$B$2,Hoja1!$B$2*Hoja1!$B$4,'Flujo de caja'!E15*Hoja1!$B$4)</f>
        <v>111600</v>
      </c>
      <c r="F17" s="25">
        <f>IF(F15&lt;Hoja1!$B$2,Hoja1!$B$2*Hoja1!$B$4,'Flujo de caja'!F15*Hoja1!$B$4)</f>
        <v>93749.04</v>
      </c>
      <c r="G17" s="25">
        <f>IF(G15&lt;Hoja1!$C$2,Hoja1!$C$2*Hoja1!$C$4,'Flujo de caja'!G15*Hoja1!$C$4)</f>
        <v>122400</v>
      </c>
      <c r="H17" s="25">
        <f>IF(H15&lt;Hoja1!$C$2,Hoja1!$C$2*Hoja1!$C$4,'Flujo de caja'!H15*Hoja1!$C$4)</f>
        <v>147600</v>
      </c>
      <c r="I17" s="25">
        <f>IF(I15&lt;Hoja1!$C$2,Hoja1!$C$2*Hoja1!$C$4,'Flujo de caja'!I15*Hoja1!$C$4)</f>
        <v>115200</v>
      </c>
      <c r="J17" s="25">
        <f>IF(J15&lt;Hoja1!$C$2,Hoja1!$C$2*Hoja1!$C$4,'Flujo de caja'!J15*Hoja1!$C$4)</f>
        <v>115200</v>
      </c>
      <c r="K17" s="25">
        <f>IF(K15&lt;Hoja1!$C$2,Hoja1!$C$2*Hoja1!$C$4,'Flujo de caja'!K15*Hoja1!$C$4)</f>
        <v>115200</v>
      </c>
      <c r="L17" s="25">
        <f>IF(L15&lt;Hoja1!$C$2,Hoja1!$C$2*Hoja1!$C$4,'Flujo de caja'!L15*Hoja1!$C$4)</f>
        <v>115200</v>
      </c>
      <c r="M17" s="25">
        <f>IF(M15&lt;Hoja1!$C$2,Hoja1!$C$2*Hoja1!$C$4,'Flujo de caja'!M15*Hoja1!$C$4)</f>
        <v>115200</v>
      </c>
      <c r="N17" s="25">
        <f>IF(N15&lt;Hoja1!$C$2,Hoja1!$C$2*Hoja1!$C$4,'Flujo de caja'!N15*Hoja1!$C$4)</f>
        <v>115200</v>
      </c>
      <c r="O17" s="25">
        <f>SUM(Egresos[[#This Row],[Columna1]:[Columna12]])</f>
        <v>1393498.08</v>
      </c>
    </row>
    <row r="18" spans="2:15" ht="15" x14ac:dyDescent="0.25">
      <c r="B18" s="24" t="s">
        <v>31</v>
      </c>
      <c r="C18" s="25">
        <f>C15*SUM(Hoja1!$B$5:$B$7)</f>
        <v>99900</v>
      </c>
      <c r="D18" s="25">
        <f>D15*SUM(Hoja1!$B$5:$B$7)</f>
        <v>29700</v>
      </c>
      <c r="E18" s="25">
        <f>E15*SUM(Hoja1!$B$5:$B$7)</f>
        <v>83700</v>
      </c>
      <c r="F18" s="25">
        <f>F15*SUM(Hoja1!$B$5:$B$7)</f>
        <v>40500</v>
      </c>
      <c r="G18" s="25">
        <f>G15*SUM(Hoja1!$C$5:$C$7)</f>
        <v>91800</v>
      </c>
      <c r="H18" s="25">
        <f>H15*SUM(Hoja1!$C$5:$C$7)</f>
        <v>110700</v>
      </c>
      <c r="I18" s="25">
        <f>I15*SUM(Hoja1!$C$5:$C$7)</f>
        <v>86400</v>
      </c>
      <c r="J18" s="25">
        <f>J15*SUM(Hoja1!$C$5:$C$7)</f>
        <v>86400</v>
      </c>
      <c r="K18" s="25">
        <f>K15*SUM(Hoja1!$C$5:$C$7)</f>
        <v>86400</v>
      </c>
      <c r="L18" s="25">
        <f>L15*SUM(Hoja1!$C$5:$C$7)</f>
        <v>86400</v>
      </c>
      <c r="M18" s="25">
        <f>M15*SUM(Hoja1!$C$5:$C$7)</f>
        <v>86400</v>
      </c>
      <c r="N18" s="25">
        <f>N15*SUM(Hoja1!$C$5:$C$7)</f>
        <v>86400</v>
      </c>
      <c r="O18" s="25">
        <f>O15*SUM(Hoja1!$C$5:$C$7)</f>
        <v>974700</v>
      </c>
    </row>
    <row r="19" spans="2:15" ht="15" x14ac:dyDescent="0.25">
      <c r="B19" s="24" t="s">
        <v>34</v>
      </c>
      <c r="C19" s="25">
        <f>C$15*Hoja1!$B8</f>
        <v>92463</v>
      </c>
      <c r="D19" s="25">
        <f>D$15*Hoja1!$B8</f>
        <v>27489</v>
      </c>
      <c r="E19" s="25">
        <f>E$15*Hoja1!$B8</f>
        <v>77469</v>
      </c>
      <c r="F19" s="25">
        <f>F$15*Hoja1!$B8</f>
        <v>37485</v>
      </c>
      <c r="G19" s="25">
        <f>G$15*Hoja1!$C8</f>
        <v>84966</v>
      </c>
      <c r="H19" s="25">
        <f>H$15*Hoja1!$C8</f>
        <v>102459</v>
      </c>
      <c r="I19" s="25">
        <f>I$15*Hoja1!$C8</f>
        <v>79968</v>
      </c>
      <c r="J19" s="25">
        <f>J$15*Hoja1!$C8</f>
        <v>79968</v>
      </c>
      <c r="K19" s="25">
        <f>K$15*Hoja1!$C8</f>
        <v>79968</v>
      </c>
      <c r="L19" s="25">
        <f>L$15*Hoja1!$C8</f>
        <v>79968</v>
      </c>
      <c r="M19" s="25">
        <f>M$15*Hoja1!$C8</f>
        <v>79968</v>
      </c>
      <c r="N19" s="25">
        <f>N$15*Hoja1!$C8</f>
        <v>79968</v>
      </c>
      <c r="O19" s="25">
        <f>O$15*Hoja1!$C8</f>
        <v>902139</v>
      </c>
    </row>
    <row r="20" spans="2:15" ht="15" x14ac:dyDescent="0.25">
      <c r="B20" s="24" t="s">
        <v>35</v>
      </c>
      <c r="C20" s="25">
        <f>C$15*Hoja1!$B9</f>
        <v>11100</v>
      </c>
      <c r="D20" s="25">
        <f>D$15*Hoja1!$B9</f>
        <v>3300</v>
      </c>
      <c r="E20" s="25">
        <f>E$15*Hoja1!$B9</f>
        <v>9300</v>
      </c>
      <c r="F20" s="25">
        <f>F$15*Hoja1!$B9</f>
        <v>4500</v>
      </c>
      <c r="G20" s="25">
        <f>G$15*Hoja1!$C9</f>
        <v>10200</v>
      </c>
      <c r="H20" s="25">
        <f>H$15*Hoja1!$C9</f>
        <v>12300</v>
      </c>
      <c r="I20" s="25">
        <f>I$15*Hoja1!$C9</f>
        <v>9600</v>
      </c>
      <c r="J20" s="25">
        <f>J$15*Hoja1!$C9</f>
        <v>9600</v>
      </c>
      <c r="K20" s="25">
        <f>K$15*Hoja1!$C9</f>
        <v>9600</v>
      </c>
      <c r="L20" s="25">
        <f>L$15*Hoja1!$C9</f>
        <v>9600</v>
      </c>
      <c r="M20" s="25">
        <f>M$15*Hoja1!$C9</f>
        <v>9600</v>
      </c>
      <c r="N20" s="25">
        <f>N$15*Hoja1!$C9</f>
        <v>9600</v>
      </c>
      <c r="O20" s="25">
        <f>O$15*Hoja1!$C9</f>
        <v>108300</v>
      </c>
    </row>
    <row r="21" spans="2:15" ht="15" x14ac:dyDescent="0.25">
      <c r="B21" s="24" t="s">
        <v>36</v>
      </c>
      <c r="C21" s="25">
        <f>C$15*Hoja1!$B10</f>
        <v>92463</v>
      </c>
      <c r="D21" s="25">
        <f>D$15*Hoja1!$B10</f>
        <v>27489</v>
      </c>
      <c r="E21" s="25">
        <f>E$15*Hoja1!$B10</f>
        <v>77469</v>
      </c>
      <c r="F21" s="25">
        <f>F$15*Hoja1!$B10</f>
        <v>37485</v>
      </c>
      <c r="G21" s="25">
        <f>G$15*Hoja1!$C10</f>
        <v>84966</v>
      </c>
      <c r="H21" s="25">
        <f>H$15*Hoja1!$C10</f>
        <v>102459</v>
      </c>
      <c r="I21" s="25">
        <f>I$15*Hoja1!$C10</f>
        <v>79968</v>
      </c>
      <c r="J21" s="25">
        <f>J$15*Hoja1!$C10</f>
        <v>79968</v>
      </c>
      <c r="K21" s="25">
        <f>K$15*Hoja1!$C10</f>
        <v>79968</v>
      </c>
      <c r="L21" s="25">
        <f>L$15*Hoja1!$C10</f>
        <v>79968</v>
      </c>
      <c r="M21" s="25">
        <f>M$15*Hoja1!$C10</f>
        <v>79968</v>
      </c>
      <c r="N21" s="25">
        <f>N$15*Hoja1!$C10</f>
        <v>79968</v>
      </c>
      <c r="O21" s="25">
        <f>O$15*Hoja1!$C10</f>
        <v>902139</v>
      </c>
    </row>
    <row r="22" spans="2:15" ht="15" x14ac:dyDescent="0.25">
      <c r="B22" s="24" t="s">
        <v>33</v>
      </c>
      <c r="C22" s="25">
        <f>C$15*Hoja1!$B11</f>
        <v>46287</v>
      </c>
      <c r="D22" s="25">
        <f>D$15*Hoja1!$B11</f>
        <v>13761</v>
      </c>
      <c r="E22" s="25">
        <f>E$15*Hoja1!$B11</f>
        <v>38781</v>
      </c>
      <c r="F22" s="25">
        <f>F$15*Hoja1!$B11</f>
        <v>18765</v>
      </c>
      <c r="G22" s="25">
        <f>G$15*Hoja1!$C11</f>
        <v>42534</v>
      </c>
      <c r="H22" s="25">
        <f>H$15*Hoja1!$C11</f>
        <v>51291</v>
      </c>
      <c r="I22" s="25">
        <f>I$15*Hoja1!$C11</f>
        <v>40032</v>
      </c>
      <c r="J22" s="25">
        <f>J$15*Hoja1!$C11</f>
        <v>40032</v>
      </c>
      <c r="K22" s="25">
        <f>K$15*Hoja1!$C11</f>
        <v>40032</v>
      </c>
      <c r="L22" s="25">
        <f>L$15*Hoja1!$C11</f>
        <v>40032</v>
      </c>
      <c r="M22" s="25">
        <f>M$15*Hoja1!$C11</f>
        <v>40032</v>
      </c>
      <c r="N22" s="25">
        <f>N$15*Hoja1!$C11</f>
        <v>40032</v>
      </c>
      <c r="O22" s="25">
        <f>O$15*Hoja1!$C11</f>
        <v>451611</v>
      </c>
    </row>
    <row r="23" spans="2:15" ht="15" x14ac:dyDescent="0.25">
      <c r="B23" s="8" t="s">
        <v>14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f>SUM(Egresos[[#This Row],[Columna1]:[Columna12]])</f>
        <v>0</v>
      </c>
    </row>
    <row r="24" spans="2:15" ht="15" x14ac:dyDescent="0.25">
      <c r="B24" s="8" t="s">
        <v>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f>SUM(Egresos[[#This Row],[Columna1]:[Columna12]])</f>
        <v>0</v>
      </c>
    </row>
    <row r="25" spans="2:15" ht="15" x14ac:dyDescent="0.25">
      <c r="B25" s="8" t="s">
        <v>15</v>
      </c>
      <c r="C25">
        <v>140000</v>
      </c>
      <c r="D25">
        <v>140000</v>
      </c>
      <c r="E25">
        <v>140000</v>
      </c>
      <c r="F25">
        <v>140000</v>
      </c>
      <c r="G25">
        <v>140000</v>
      </c>
      <c r="H25">
        <v>140000</v>
      </c>
      <c r="I25">
        <v>150000</v>
      </c>
      <c r="J25">
        <v>150000</v>
      </c>
      <c r="K25">
        <v>150000</v>
      </c>
      <c r="L25">
        <v>150000</v>
      </c>
      <c r="M25">
        <v>150000</v>
      </c>
      <c r="N25">
        <v>150000</v>
      </c>
      <c r="O25">
        <f>SUM(Egresos[[#This Row],[Columna1]:[Columna12]])</f>
        <v>1740000</v>
      </c>
    </row>
    <row r="26" spans="2:15" ht="15" x14ac:dyDescent="0.25">
      <c r="B26" s="8" t="s">
        <v>11</v>
      </c>
      <c r="C26">
        <v>100000</v>
      </c>
      <c r="D26">
        <v>100000</v>
      </c>
      <c r="E26">
        <v>100000</v>
      </c>
      <c r="F26">
        <v>100000</v>
      </c>
      <c r="G26">
        <v>110000</v>
      </c>
      <c r="H26">
        <v>110000</v>
      </c>
      <c r="I26">
        <v>110000</v>
      </c>
      <c r="J26">
        <v>110000</v>
      </c>
      <c r="K26">
        <v>110000</v>
      </c>
      <c r="L26">
        <v>110000</v>
      </c>
      <c r="M26">
        <v>110000</v>
      </c>
      <c r="N26">
        <v>110000</v>
      </c>
      <c r="O26">
        <f>SUM(Egresos[[#This Row],[Columna1]:[Columna12]])</f>
        <v>1280000</v>
      </c>
    </row>
    <row r="27" spans="2:15" ht="15" x14ac:dyDescent="0.25">
      <c r="B27" s="8" t="s">
        <v>16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f>SUM(Egresos[[#This Row],[Columna1]:[Columna12]])</f>
        <v>0</v>
      </c>
    </row>
    <row r="28" spans="2:15" ht="15" x14ac:dyDescent="0.25">
      <c r="B28" s="8" t="s">
        <v>17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f>SUM(Egresos[[#This Row],[Columna1]:[Columna12]])</f>
        <v>0</v>
      </c>
    </row>
    <row r="29" spans="2:15" ht="16.5" thickBot="1" x14ac:dyDescent="0.35">
      <c r="B29" s="4" t="s">
        <v>19</v>
      </c>
      <c r="C29" s="1">
        <f>SUM(Egresos[Columna1])</f>
        <v>3719763</v>
      </c>
      <c r="D29" s="1">
        <f>SUM(Egresos[Columna2])</f>
        <v>831893.61</v>
      </c>
      <c r="E29" s="1">
        <f>SUM(Egresos[Columna3])</f>
        <v>1647369</v>
      </c>
      <c r="F29" s="1">
        <f>SUM(Egresos[Columna4])</f>
        <v>988889.61</v>
      </c>
      <c r="G29" s="1">
        <f>SUM(Egresos[Columna5])</f>
        <v>1793566</v>
      </c>
      <c r="H29" s="1">
        <f>SUM(Egresos[Columna6])</f>
        <v>2111359</v>
      </c>
      <c r="I29" s="1">
        <f>SUM(Egresos[Columna7])</f>
        <v>1712768</v>
      </c>
      <c r="J29" s="1">
        <f>SUM(Egresos[Columna8])</f>
        <v>1712768</v>
      </c>
      <c r="K29" s="1">
        <f>SUM(Egresos[Columna9])</f>
        <v>1712768</v>
      </c>
      <c r="L29" s="1">
        <f>SUM(Egresos[Columna10])</f>
        <v>1712768</v>
      </c>
      <c r="M29" s="1">
        <f>SUM(Egresos[Columna11])</f>
        <v>1712768</v>
      </c>
      <c r="N29" s="1">
        <f>SUM(Egresos[Columna12])</f>
        <v>1712768</v>
      </c>
      <c r="O29" s="1">
        <f>SUM(Egresos[#Totals])</f>
        <v>21369448.219999999</v>
      </c>
    </row>
    <row r="30" spans="2:15" ht="15" x14ac:dyDescent="0.25">
      <c r="B30" s="3"/>
    </row>
    <row r="31" spans="2:15" ht="16.5" thickBot="1" x14ac:dyDescent="0.35">
      <c r="B31" s="9" t="s">
        <v>5</v>
      </c>
      <c r="C31" s="10">
        <f>C5+Ingresos[[#Totals],[Columna1]]-Egresos[[#Totals],[Columna1]]</f>
        <v>6280237</v>
      </c>
      <c r="D31" s="10">
        <f>D5+Ingresos[[#Totals],[Columna2]]-Egresos[[#Totals],[Columna2]]</f>
        <v>5448343.3899999997</v>
      </c>
      <c r="E31" s="10">
        <f>E5+Ingresos[[#Totals],[Columna3]]-Egresos[[#Totals],[Columna3]]</f>
        <v>3800974.3899999997</v>
      </c>
      <c r="F31" s="10">
        <f>F5+Ingresos[[#Totals],[Columna4]]-Egresos[[#Totals],[Columna4]]</f>
        <v>2812084.78</v>
      </c>
      <c r="G31" s="10">
        <f>G5+Ingresos[[#Totals],[Columna5]]-Egresos[[#Totals],[Columna5]]</f>
        <v>11018518.779999999</v>
      </c>
      <c r="H31" s="10">
        <f>H5+Ingresos[[#Totals],[Columna6]]-Egresos[[#Totals],[Columna6]]</f>
        <v>8907159.7799999993</v>
      </c>
      <c r="I31" s="10">
        <f>I5+Ingresos[[#Totals],[Columna7]]-Egresos[[#Totals],[Columna7]]</f>
        <v>7194391.7799999993</v>
      </c>
      <c r="J31" s="10">
        <f>J5+Ingresos[[#Totals],[Columna8]]-Egresos[[#Totals],[Columna8]]</f>
        <v>5481623.7799999993</v>
      </c>
      <c r="K31" s="10">
        <f>K5+Ingresos[[#Totals],[Columna9]]-Egresos[[#Totals],[Columna9]]</f>
        <v>13768855.779999999</v>
      </c>
      <c r="L31" s="10">
        <f>L5+Ingresos[[#Totals],[Columna10]]-Egresos[[#Totals],[Columna10]]</f>
        <v>12056087.779999999</v>
      </c>
      <c r="M31" s="10">
        <f>M5+Ingresos[[#Totals],[Columna11]]-Egresos[[#Totals],[Columna11]]</f>
        <v>10343319.779999999</v>
      </c>
      <c r="N31" s="10">
        <f>N5+Ingresos[[#Totals],[Columna12]]-Egresos[[#Totals],[Columna12]]</f>
        <v>8630551.7799999993</v>
      </c>
      <c r="O31" s="10"/>
    </row>
    <row r="33" spans="2:15" x14ac:dyDescent="0.3">
      <c r="B33" s="5" t="s">
        <v>6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2:15" ht="15" x14ac:dyDescent="0.25">
      <c r="B34" s="8" t="s">
        <v>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f>SUM(Financiamiento[[#This Row],[Columna1]:[Columna12]])</f>
        <v>0</v>
      </c>
    </row>
    <row r="35" spans="2:15" ht="15" x14ac:dyDescent="0.25">
      <c r="B35" s="8" t="s">
        <v>18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f>SUM(Financiamiento[[#This Row],[Columna1]:[Columna12]])</f>
        <v>0</v>
      </c>
    </row>
    <row r="36" spans="2:15" ht="16.5" thickBot="1" x14ac:dyDescent="0.35">
      <c r="B36" s="4" t="s">
        <v>20</v>
      </c>
      <c r="C36" s="1">
        <f>SUM(Financiamiento[Columna1])</f>
        <v>0</v>
      </c>
      <c r="D36" s="1">
        <f>SUM(Financiamiento[Columna2])</f>
        <v>0</v>
      </c>
      <c r="E36" s="1">
        <f>SUM(Financiamiento[Columna3])</f>
        <v>0</v>
      </c>
      <c r="F36" s="1">
        <f>SUM(Financiamiento[Columna4])</f>
        <v>0</v>
      </c>
      <c r="G36" s="1">
        <f>SUM(Financiamiento[Columna5])</f>
        <v>0</v>
      </c>
      <c r="H36" s="1">
        <f>SUM(Financiamiento[Columna6])</f>
        <v>0</v>
      </c>
      <c r="I36" s="1">
        <f>SUM(Financiamiento[Columna7])</f>
        <v>0</v>
      </c>
      <c r="J36" s="1">
        <f>SUM(Financiamiento[Columna8])</f>
        <v>0</v>
      </c>
      <c r="K36" s="1">
        <f>SUM(Financiamiento[Columna9])</f>
        <v>0</v>
      </c>
      <c r="L36" s="1">
        <f>SUM(Financiamiento[Columna10])</f>
        <v>0</v>
      </c>
      <c r="M36" s="1">
        <f>SUM(Financiamiento[Columna11])</f>
        <v>0</v>
      </c>
      <c r="N36" s="1">
        <f>SUM(Financiamiento[Columna12])</f>
        <v>0</v>
      </c>
      <c r="O36" s="1">
        <f>SUM(Financiamiento[#Totals])</f>
        <v>0</v>
      </c>
    </row>
    <row r="38" spans="2:15" ht="16.5" thickBot="1" x14ac:dyDescent="0.35">
      <c r="B38" s="9" t="s">
        <v>7</v>
      </c>
      <c r="C38" s="10">
        <f>C31-Financiamiento[[#Totals],[Columna1]]</f>
        <v>6280237</v>
      </c>
      <c r="D38" s="10">
        <f>D31-Financiamiento[[#Totals],[Columna2]]</f>
        <v>5448343.3899999997</v>
      </c>
      <c r="E38" s="10">
        <f>E31-Financiamiento[[#Totals],[Columna3]]</f>
        <v>3800974.3899999997</v>
      </c>
      <c r="F38" s="10">
        <f>F31-Financiamiento[[#Totals],[Columna4]]</f>
        <v>2812084.78</v>
      </c>
      <c r="G38" s="10">
        <f>G31-Financiamiento[[#Totals],[Columna5]]</f>
        <v>11018518.779999999</v>
      </c>
      <c r="H38" s="10">
        <f>H31-Financiamiento[[#Totals],[Columna6]]</f>
        <v>8907159.7799999993</v>
      </c>
      <c r="I38" s="10">
        <f>I31-Financiamiento[[#Totals],[Columna7]]</f>
        <v>7194391.7799999993</v>
      </c>
      <c r="J38" s="10">
        <f>J31-Financiamiento[[#Totals],[Columna8]]</f>
        <v>5481623.7799999993</v>
      </c>
      <c r="K38" s="10">
        <f>K31-Financiamiento[[#Totals],[Columna9]]</f>
        <v>13768855.779999999</v>
      </c>
      <c r="L38" s="10">
        <f>L31-Financiamiento[[#Totals],[Columna10]]</f>
        <v>12056087.779999999</v>
      </c>
      <c r="M38" s="10">
        <f>M31-Financiamiento[[#Totals],[Columna11]]</f>
        <v>10343319.779999999</v>
      </c>
      <c r="N38" s="10">
        <f>N31-Financiamiento[[#Totals],[Columna12]]</f>
        <v>8630551.7799999993</v>
      </c>
      <c r="O38" s="10"/>
    </row>
  </sheetData>
  <mergeCells count="1">
    <mergeCell ref="B1:O1"/>
  </mergeCells>
  <pageMargins left="0.7" right="0.7" top="0.75" bottom="0.75" header="0.3" footer="0.3"/>
  <pageSetup orientation="portrait" r:id="rId1"/>
  <tableParts count="3">
    <tablePart r:id="rId2"/>
    <tablePart r:id="rId3"/>
    <tablePart r:id="rId4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'Flujo de caja'!C17:N17</xm:f>
              <xm:sqref>P17</xm:sqref>
            </x14:sparkline>
            <x14:sparkline>
              <xm:f>'Flujo de caja'!C18:N18</xm:f>
              <xm:sqref>P18</xm:sqref>
            </x14:sparkline>
            <x14:sparkline>
              <xm:f>'Flujo de caja'!C19:N19</xm:f>
              <xm:sqref>P19</xm:sqref>
            </x14:sparkline>
            <x14:sparkline>
              <xm:f>'Flujo de caja'!C20:N20</xm:f>
              <xm:sqref>P20</xm:sqref>
            </x14:sparkline>
            <x14:sparkline>
              <xm:f>'Flujo de caja'!C21:N21</xm:f>
              <xm:sqref>P21</xm:sqref>
            </x14:sparkline>
            <x14:sparkline>
              <xm:f>'Flujo de caja'!C22:N22</xm:f>
              <xm:sqref>P22</xm:sqref>
            </x14:sparkline>
          </x14:sparklines>
        </x14:sparklineGroup>
        <x14:sparklineGroup displayEmptyCellsAs="gap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'Flujo de caja'!C23:N23</xm:f>
              <xm:sqref>P23</xm:sqref>
            </x14:sparkline>
          </x14:sparklines>
        </x14:sparklineGroup>
        <x14:sparklineGroup displayEmptyCellsAs="gap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'Flujo de caja'!C24:N24</xm:f>
              <xm:sqref>P24</xm:sqref>
            </x14:sparkline>
          </x14:sparklines>
        </x14:sparklineGroup>
        <x14:sparklineGroup displayEmptyCellsAs="gap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'Flujo de caja'!C25:N25</xm:f>
              <xm:sqref>P25</xm:sqref>
            </x14:sparkline>
          </x14:sparklines>
        </x14:sparklineGroup>
        <x14:sparklineGroup displayEmptyCellsAs="gap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'Flujo de caja'!C26:N26</xm:f>
              <xm:sqref>P26</xm:sqref>
            </x14:sparkline>
          </x14:sparklines>
        </x14:sparklineGroup>
        <x14:sparklineGroup displayEmptyCellsAs="gap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'Flujo de caja'!C27:N27</xm:f>
              <xm:sqref>P27</xm:sqref>
            </x14:sparkline>
          </x14:sparklines>
        </x14:sparklineGroup>
        <x14:sparklineGroup displayEmptyCellsAs="gap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'Flujo de caja'!C28:N28</xm:f>
              <xm:sqref>P28</xm:sqref>
            </x14:sparkline>
          </x14:sparklines>
        </x14:sparklineGroup>
        <x14:sparklineGroup displayEmptyCellsAs="gap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'Flujo de caja'!C29:N29</xm:f>
              <xm:sqref>P29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'Flujo de caja'!C31:N31</xm:f>
              <xm:sqref>P31</xm:sqref>
            </x14:sparkline>
          </x14:sparklines>
        </x14:sparklineGroup>
        <x14:sparklineGroup displayEmptyCellsAs="gap">
          <x14:colorSeries theme="9" tint="-0.249977111117893"/>
          <x14:colorNegative theme="4"/>
          <x14:colorAxis rgb="FF000000"/>
          <x14:colorMarkers theme="4" tint="-0.249977111117893"/>
          <x14:colorFirst theme="4" tint="-0.249977111117893"/>
          <x14:colorLast theme="4" tint="-0.249977111117893"/>
          <x14:colorHigh theme="4" tint="-0.249977111117893"/>
          <x14:colorLow theme="4" tint="-0.249977111117893"/>
          <x14:sparklines>
            <x14:sparkline>
              <xm:f>'Flujo de caja'!C34:N34</xm:f>
              <xm:sqref>P34</xm:sqref>
            </x14:sparkline>
          </x14:sparklines>
        </x14:sparklineGroup>
        <x14:sparklineGroup displayEmptyCellsAs="gap">
          <x14:colorSeries theme="9" tint="-0.249977111117893"/>
          <x14:colorNegative theme="4"/>
          <x14:colorAxis rgb="FF000000"/>
          <x14:colorMarkers theme="4" tint="-0.249977111117893"/>
          <x14:colorFirst theme="4" tint="-0.249977111117893"/>
          <x14:colorLast theme="4" tint="-0.249977111117893"/>
          <x14:colorHigh theme="4" tint="-0.249977111117893"/>
          <x14:colorLow theme="4" tint="-0.249977111117893"/>
          <x14:sparklines>
            <x14:sparkline>
              <xm:f>'Flujo de caja'!C35:N35</xm:f>
              <xm:sqref>P35</xm:sqref>
            </x14:sparkline>
          </x14:sparklines>
        </x14:sparklineGroup>
        <x14:sparklineGroup displayEmptyCellsAs="gap">
          <x14:colorSeries theme="9" tint="-0.249977111117893"/>
          <x14:colorNegative theme="4"/>
          <x14:colorAxis rgb="FF000000"/>
          <x14:colorMarkers theme="4" tint="-0.249977111117893"/>
          <x14:colorFirst theme="4" tint="-0.249977111117893"/>
          <x14:colorLast theme="4" tint="-0.249977111117893"/>
          <x14:colorHigh theme="4" tint="-0.249977111117893"/>
          <x14:colorLow theme="4" tint="-0.249977111117893"/>
          <x14:sparklines>
            <x14:sparkline>
              <xm:f>'Flujo de caja'!C36:N36</xm:f>
              <xm:sqref>P36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'Flujo de caja'!C38:N38</xm:f>
              <xm:sqref>P38</xm:sqref>
            </x14:sparkline>
          </x14:sparklines>
        </x14:sparklineGroup>
        <x14:sparklineGroup displayEmptyCellsAs="gap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'Flujo de caja'!C15:N15</xm:f>
              <xm:sqref>P15</xm:sqref>
            </x14:sparkline>
          </x14:sparklines>
        </x14:sparklineGroup>
        <x14:sparklineGroup displayEmptyCellsAs="gap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'Flujo de caja'!C14:N14</xm:f>
              <xm:sqref>P14</xm:sqref>
            </x14:sparkline>
          </x14:sparklines>
        </x14:sparklineGroup>
        <x14:sparklineGroup displayEmptyCellsAs="gap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'Flujo de caja'!C11:N11</xm:f>
              <xm:sqref>P11</xm:sqref>
            </x14:sparkline>
          </x14:sparklines>
        </x14:sparklineGroup>
        <x14:sparklineGroup displayEmptyCellsAs="gap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'Flujo de caja'!C10:N10</xm:f>
              <xm:sqref>P10</xm:sqref>
            </x14:sparkline>
          </x14:sparklines>
        </x14:sparklineGroup>
        <x14:sparklineGroup displayEmptyCellsAs="gap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'Flujo de caja'!C9:N9</xm:f>
              <xm:sqref>P9</xm:sqref>
            </x14:sparkline>
          </x14:sparklines>
        </x14:sparklineGroup>
        <x14:sparklineGroup displayEmptyCellsAs="gap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'Flujo de caja'!C8:N8</xm:f>
              <xm:sqref>P8</xm:sqref>
            </x14:sparkline>
          </x14:sparklines>
        </x14:sparklineGroup>
        <x14:sparklineGroup displayEmptyCellsAs="gap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'Flujo de caja'!C16:N16</xm:f>
              <xm:sqref>P16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14" sqref="D14"/>
    </sheetView>
  </sheetViews>
  <sheetFormatPr baseColWidth="10" defaultRowHeight="15" x14ac:dyDescent="0.25"/>
  <cols>
    <col min="1" max="1" width="43.7109375" style="14" bestFit="1" customWidth="1"/>
    <col min="2" max="2" width="11.42578125" style="14"/>
    <col min="3" max="3" width="11.42578125" style="17"/>
    <col min="4" max="4" width="11.42578125" style="14"/>
    <col min="5" max="5" width="10.5703125" style="14" bestFit="1" customWidth="1"/>
    <col min="6" max="16384" width="11.42578125" style="14"/>
  </cols>
  <sheetData>
    <row r="1" spans="1:5" x14ac:dyDescent="0.25">
      <c r="B1" s="15">
        <v>2018</v>
      </c>
      <c r="C1" s="16">
        <v>2019</v>
      </c>
      <c r="D1" s="15"/>
      <c r="E1" s="15"/>
    </row>
    <row r="2" spans="1:5" s="13" customFormat="1" x14ac:dyDescent="0.25">
      <c r="A2" s="12" t="s">
        <v>25</v>
      </c>
      <c r="B2" s="13">
        <v>781242</v>
      </c>
      <c r="C2" s="13">
        <v>828116</v>
      </c>
      <c r="E2" s="13">
        <f>B2*B3</f>
        <v>66405.570000000007</v>
      </c>
    </row>
    <row r="3" spans="1:5" x14ac:dyDescent="0.25">
      <c r="A3" s="15" t="s">
        <v>26</v>
      </c>
      <c r="B3" s="19">
        <v>8.5000000000000006E-2</v>
      </c>
      <c r="C3" s="19">
        <v>8.5000000000000006E-2</v>
      </c>
    </row>
    <row r="4" spans="1:5" x14ac:dyDescent="0.25">
      <c r="A4" s="15" t="s">
        <v>27</v>
      </c>
      <c r="B4" s="18">
        <v>0.12</v>
      </c>
      <c r="C4" s="18">
        <v>0.12</v>
      </c>
    </row>
    <row r="5" spans="1:5" x14ac:dyDescent="0.25">
      <c r="A5" s="15" t="s">
        <v>28</v>
      </c>
      <c r="B5" s="21">
        <v>0.02</v>
      </c>
      <c r="C5" s="21">
        <v>0.02</v>
      </c>
    </row>
    <row r="6" spans="1:5" x14ac:dyDescent="0.25">
      <c r="A6" s="15" t="s">
        <v>29</v>
      </c>
      <c r="B6" s="21">
        <v>0.03</v>
      </c>
      <c r="C6" s="21">
        <v>0.03</v>
      </c>
    </row>
    <row r="7" spans="1:5" x14ac:dyDescent="0.25">
      <c r="A7" s="15" t="s">
        <v>30</v>
      </c>
      <c r="B7" s="21">
        <v>0.04</v>
      </c>
      <c r="C7" s="21">
        <v>0.04</v>
      </c>
    </row>
    <row r="8" spans="1:5" x14ac:dyDescent="0.25">
      <c r="A8" s="15" t="s">
        <v>38</v>
      </c>
      <c r="B8" s="20">
        <v>8.3299999999999999E-2</v>
      </c>
      <c r="C8" s="20">
        <v>8.3299999999999999E-2</v>
      </c>
    </row>
    <row r="9" spans="1:5" x14ac:dyDescent="0.25">
      <c r="A9" s="15" t="s">
        <v>39</v>
      </c>
      <c r="B9" s="21">
        <v>0.01</v>
      </c>
      <c r="C9" s="18">
        <f>1%</f>
        <v>0.01</v>
      </c>
    </row>
    <row r="10" spans="1:5" x14ac:dyDescent="0.25">
      <c r="A10" s="15" t="s">
        <v>41</v>
      </c>
      <c r="B10" s="20">
        <v>8.3299999999999999E-2</v>
      </c>
      <c r="C10" s="20">
        <v>8.3299999999999999E-2</v>
      </c>
    </row>
    <row r="11" spans="1:5" x14ac:dyDescent="0.25">
      <c r="A11" s="15" t="s">
        <v>40</v>
      </c>
      <c r="B11" s="22">
        <v>4.1700000000000001E-2</v>
      </c>
      <c r="C11" s="23">
        <v>4.1700000000000001E-2</v>
      </c>
    </row>
    <row r="12" spans="1:5" x14ac:dyDescent="0.25">
      <c r="A12" s="15" t="s">
        <v>37</v>
      </c>
      <c r="B12" s="22">
        <v>5.2199999999999998E-3</v>
      </c>
      <c r="C12" s="22">
        <v>5.2199999999999998E-3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Flujo de caja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</dc:creator>
  <cp:lastModifiedBy>NELSON JAVIER ARIZA SANTAMARIA</cp:lastModifiedBy>
  <dcterms:created xsi:type="dcterms:W3CDTF">2014-04-13T22:02:47Z</dcterms:created>
  <dcterms:modified xsi:type="dcterms:W3CDTF">2019-04-05T18:43:12Z</dcterms:modified>
</cp:coreProperties>
</file>