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0" yWindow="0" windowWidth="19200" windowHeight="7380" activeTab="3"/>
  </bookViews>
  <sheets>
    <sheet name="Data_base_case" sheetId="79" r:id="rId1"/>
    <sheet name="Selected_units" sheetId="82" r:id="rId2"/>
    <sheet name="Scenarios_definition" sheetId="80" r:id="rId3"/>
    <sheet name="ScenariosToRun" sheetId="100" r:id="rId4"/>
    <sheet name="Sources" sheetId="101" r:id="rId5"/>
  </sheets>
  <externalReferences>
    <externalReference r:id="rId6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79" l="1"/>
  <c r="H10" i="79"/>
  <c r="H8" i="79"/>
  <c r="N9" i="79"/>
  <c r="N10" i="79"/>
  <c r="D5" i="80"/>
  <c r="E16" i="79" l="1"/>
  <c r="E17" i="79"/>
  <c r="E18" i="79"/>
  <c r="E19" i="79"/>
  <c r="E20" i="79"/>
  <c r="E21" i="79"/>
  <c r="I28" i="100" l="1"/>
  <c r="I27" i="100"/>
  <c r="I26" i="100"/>
  <c r="A26" i="100"/>
  <c r="A27" i="100"/>
  <c r="A28" i="100"/>
  <c r="I25" i="100"/>
  <c r="I24" i="100"/>
  <c r="I23" i="100"/>
  <c r="A23" i="100"/>
  <c r="A24" i="100"/>
  <c r="A25" i="100"/>
  <c r="A20" i="100"/>
  <c r="A21" i="100"/>
  <c r="A22" i="100"/>
  <c r="I22" i="100"/>
  <c r="I21" i="100"/>
  <c r="I20" i="100"/>
  <c r="A11" i="101" l="1"/>
  <c r="A7" i="101"/>
  <c r="A6" i="101"/>
  <c r="A5" i="101"/>
  <c r="A4" i="101"/>
  <c r="U42" i="79" l="1"/>
  <c r="U23" i="79"/>
  <c r="U14" i="79"/>
  <c r="U13" i="79"/>
  <c r="U12" i="79"/>
  <c r="U10" i="79"/>
  <c r="U9" i="79"/>
  <c r="U8" i="79"/>
  <c r="E12" i="79"/>
  <c r="Y14" i="79"/>
  <c r="Y13" i="79"/>
  <c r="Y10" i="79"/>
  <c r="Y9" i="79"/>
  <c r="Y5" i="79"/>
  <c r="Y4" i="79"/>
  <c r="X5" i="79"/>
  <c r="X4" i="79"/>
  <c r="W5" i="79"/>
  <c r="W4" i="79"/>
  <c r="V5" i="79"/>
  <c r="V4" i="79"/>
  <c r="U5" i="79"/>
  <c r="U4" i="79"/>
  <c r="S5" i="79"/>
  <c r="S4" i="79"/>
  <c r="R5" i="79"/>
  <c r="R4" i="79"/>
  <c r="Q5" i="79"/>
  <c r="Q4" i="79"/>
  <c r="P5" i="79"/>
  <c r="P4" i="79"/>
  <c r="O5" i="79"/>
  <c r="O4" i="79"/>
  <c r="N14" i="79"/>
  <c r="N13" i="79"/>
  <c r="N5" i="79"/>
  <c r="N4" i="79"/>
  <c r="K41" i="82" l="1"/>
  <c r="J41" i="82"/>
  <c r="I41" i="82"/>
  <c r="H41" i="82"/>
  <c r="G41" i="82"/>
  <c r="F41" i="82"/>
  <c r="E41" i="82"/>
  <c r="D41" i="82"/>
  <c r="C41" i="82"/>
  <c r="K40" i="82"/>
  <c r="J40" i="82"/>
  <c r="I40" i="82"/>
  <c r="H40" i="82"/>
  <c r="G40" i="82"/>
  <c r="F40" i="82"/>
  <c r="E40" i="82"/>
  <c r="D40" i="82"/>
  <c r="C40" i="82"/>
  <c r="K22" i="82"/>
  <c r="J22" i="82"/>
  <c r="I22" i="82"/>
  <c r="D22" i="82"/>
  <c r="C22" i="82"/>
  <c r="K21" i="82"/>
  <c r="J21" i="82"/>
  <c r="I21" i="82"/>
  <c r="D21" i="82"/>
  <c r="C21" i="82"/>
  <c r="K17" i="82"/>
  <c r="J17" i="82"/>
  <c r="I17" i="82"/>
  <c r="H17" i="82"/>
  <c r="G17" i="82"/>
  <c r="F17" i="82"/>
  <c r="E17" i="82"/>
  <c r="D17" i="82"/>
  <c r="C17" i="82"/>
  <c r="K16" i="82"/>
  <c r="J16" i="82"/>
  <c r="I16" i="82"/>
  <c r="H16" i="82"/>
  <c r="G16" i="82"/>
  <c r="F16" i="82"/>
  <c r="E16" i="82"/>
  <c r="D16" i="82"/>
  <c r="C16" i="82"/>
  <c r="K15" i="82"/>
  <c r="J15" i="82"/>
  <c r="I15" i="82"/>
  <c r="H15" i="82"/>
  <c r="G15" i="82"/>
  <c r="F15" i="82"/>
  <c r="E15" i="82"/>
  <c r="D15" i="82"/>
  <c r="C15" i="82"/>
  <c r="K14" i="82"/>
  <c r="J14" i="82"/>
  <c r="I14" i="82"/>
  <c r="H14" i="82"/>
  <c r="G14" i="82"/>
  <c r="F14" i="82"/>
  <c r="E14" i="82"/>
  <c r="D14" i="82"/>
  <c r="C14" i="82"/>
  <c r="K13" i="82"/>
  <c r="J13" i="82"/>
  <c r="I13" i="82"/>
  <c r="H13" i="82"/>
  <c r="G13" i="82"/>
  <c r="F13" i="82"/>
  <c r="E13" i="82"/>
  <c r="D13" i="82"/>
  <c r="C13" i="82"/>
  <c r="K11" i="82"/>
  <c r="J11" i="82"/>
  <c r="I11" i="82"/>
  <c r="H11" i="82"/>
  <c r="G11" i="82"/>
  <c r="F11" i="82"/>
  <c r="E11" i="82"/>
  <c r="D11" i="82"/>
  <c r="C11" i="82"/>
  <c r="K10" i="82"/>
  <c r="J10" i="82"/>
  <c r="I10" i="82"/>
  <c r="H10" i="82"/>
  <c r="G10" i="82"/>
  <c r="F10" i="82"/>
  <c r="E10" i="82"/>
  <c r="D10" i="82"/>
  <c r="C10" i="82"/>
  <c r="K9" i="82"/>
  <c r="J9" i="82"/>
  <c r="I9" i="82"/>
  <c r="H9" i="82"/>
  <c r="G9" i="82"/>
  <c r="F9" i="82"/>
  <c r="E9" i="82"/>
  <c r="D9" i="82"/>
  <c r="C9" i="82"/>
  <c r="K8" i="82"/>
  <c r="J8" i="82"/>
  <c r="I8" i="82"/>
  <c r="H8" i="82"/>
  <c r="G8" i="82"/>
  <c r="F8" i="82"/>
  <c r="E8" i="82"/>
  <c r="D8" i="82"/>
  <c r="C8" i="82"/>
  <c r="K7" i="82"/>
  <c r="J7" i="82"/>
  <c r="I7" i="82"/>
  <c r="H7" i="82"/>
  <c r="G7" i="82"/>
  <c r="F7" i="82"/>
  <c r="E7" i="82"/>
  <c r="D7" i="82"/>
  <c r="C7" i="82"/>
  <c r="K6" i="82"/>
  <c r="J6" i="82"/>
  <c r="I6" i="82"/>
  <c r="H6" i="82"/>
  <c r="G6" i="82"/>
  <c r="F6" i="82"/>
  <c r="E6" i="82"/>
  <c r="D6" i="82"/>
  <c r="C6" i="82"/>
  <c r="J4" i="79"/>
  <c r="K4" i="79"/>
  <c r="L4" i="79"/>
  <c r="M4" i="79"/>
  <c r="I19" i="100"/>
  <c r="A19" i="100"/>
  <c r="I18" i="100"/>
  <c r="A18" i="100"/>
  <c r="I17" i="100"/>
  <c r="A17" i="100"/>
  <c r="I16" i="100"/>
  <c r="A16" i="100"/>
  <c r="I15" i="100"/>
  <c r="A15" i="100"/>
  <c r="I14" i="100"/>
  <c r="A14" i="100"/>
  <c r="I13" i="100"/>
  <c r="A13" i="100"/>
  <c r="I12" i="100"/>
  <c r="A12" i="100"/>
  <c r="I11" i="100"/>
  <c r="A11" i="100"/>
  <c r="E37" i="79"/>
  <c r="I10" i="100"/>
  <c r="A10" i="100"/>
  <c r="I9" i="100"/>
  <c r="A9" i="100"/>
  <c r="I8" i="100"/>
  <c r="A8" i="100"/>
  <c r="I10" i="79"/>
  <c r="I14" i="79"/>
  <c r="H11" i="79"/>
  <c r="A17" i="82"/>
  <c r="B17" i="82"/>
  <c r="I5" i="82"/>
  <c r="J5" i="82"/>
  <c r="K5" i="82"/>
  <c r="B11" i="82"/>
  <c r="A11" i="82"/>
  <c r="E11" i="79"/>
  <c r="B38" i="82"/>
  <c r="B39" i="82"/>
  <c r="B40" i="82"/>
  <c r="B41" i="82"/>
  <c r="B42" i="82"/>
  <c r="A7" i="82"/>
  <c r="A8" i="82"/>
  <c r="A9" i="82"/>
  <c r="A10" i="82"/>
  <c r="A12" i="82"/>
  <c r="A13" i="82"/>
  <c r="A14" i="82"/>
  <c r="A15" i="82"/>
  <c r="A16" i="82"/>
  <c r="A18" i="82"/>
  <c r="A19" i="82"/>
  <c r="A20" i="82"/>
  <c r="A21" i="82"/>
  <c r="A22" i="82"/>
  <c r="A23" i="82"/>
  <c r="A24" i="82"/>
  <c r="A25" i="82"/>
  <c r="A26" i="82"/>
  <c r="A27" i="82"/>
  <c r="A28" i="82"/>
  <c r="A29" i="82"/>
  <c r="A30" i="82"/>
  <c r="A31" i="82"/>
  <c r="A32" i="82"/>
  <c r="A33" i="82"/>
  <c r="A34" i="82"/>
  <c r="A35" i="82"/>
  <c r="A36" i="82"/>
  <c r="A37" i="82"/>
  <c r="A38" i="82"/>
  <c r="A39" i="82"/>
  <c r="A40" i="82"/>
  <c r="A41" i="82"/>
  <c r="A42" i="82"/>
  <c r="A6" i="82"/>
  <c r="E10" i="79"/>
  <c r="B7" i="82"/>
  <c r="B8" i="82"/>
  <c r="B9" i="82"/>
  <c r="B10" i="82"/>
  <c r="B12" i="82"/>
  <c r="B13" i="82"/>
  <c r="B14" i="82"/>
  <c r="B15" i="82"/>
  <c r="B16" i="82"/>
  <c r="B18" i="82"/>
  <c r="B19" i="82"/>
  <c r="B20" i="82"/>
  <c r="B21" i="82"/>
  <c r="B22" i="82"/>
  <c r="B23" i="82"/>
  <c r="B24" i="82"/>
  <c r="B25" i="82"/>
  <c r="B26" i="82"/>
  <c r="B27" i="82"/>
  <c r="B28" i="82"/>
  <c r="B29" i="82"/>
  <c r="B30" i="82"/>
  <c r="B31" i="82"/>
  <c r="B32" i="82"/>
  <c r="B33" i="82"/>
  <c r="B34" i="82"/>
  <c r="B35" i="82"/>
  <c r="B36" i="82"/>
  <c r="B37" i="82"/>
  <c r="D14" i="80"/>
  <c r="D13" i="80"/>
  <c r="H13" i="80" s="1"/>
  <c r="A6" i="80"/>
  <c r="D7" i="80"/>
  <c r="D6" i="80"/>
  <c r="H4" i="79"/>
  <c r="I4" i="79"/>
  <c r="F4" i="79"/>
  <c r="M25" i="79"/>
  <c r="P4" i="80"/>
  <c r="Q4" i="80"/>
  <c r="R4" i="80"/>
  <c r="S4" i="80"/>
  <c r="T4" i="80"/>
  <c r="DS4" i="80"/>
  <c r="DT4" i="80"/>
  <c r="DU4" i="80"/>
  <c r="DV4" i="80"/>
  <c r="DW4" i="80"/>
  <c r="DX4" i="80"/>
  <c r="DY4" i="80"/>
  <c r="DZ4" i="80"/>
  <c r="EA4" i="80"/>
  <c r="EB4" i="80"/>
  <c r="EC4" i="80"/>
  <c r="ED4" i="80"/>
  <c r="EE4" i="80"/>
  <c r="EF4" i="80"/>
  <c r="EG4" i="80"/>
  <c r="EH4" i="80"/>
  <c r="EI4" i="80"/>
  <c r="EJ4" i="80"/>
  <c r="N4" i="80"/>
  <c r="DO4" i="80"/>
  <c r="DI4" i="80"/>
  <c r="DC4" i="80"/>
  <c r="CW4" i="80"/>
  <c r="CQ4" i="80"/>
  <c r="CK4" i="80"/>
  <c r="CE4" i="80"/>
  <c r="BY4" i="80"/>
  <c r="BS4" i="80"/>
  <c r="BM4" i="80"/>
  <c r="BG4" i="80"/>
  <c r="BA4" i="80"/>
  <c r="AU4" i="80"/>
  <c r="AO4" i="80"/>
  <c r="AI4" i="80"/>
  <c r="AC4" i="80"/>
  <c r="W4" i="80"/>
  <c r="DM4" i="80"/>
  <c r="DG4" i="80"/>
  <c r="DA4" i="80"/>
  <c r="CU4" i="80"/>
  <c r="CO4" i="80"/>
  <c r="CI4" i="80"/>
  <c r="CC4" i="80"/>
  <c r="BW4" i="80"/>
  <c r="BQ4" i="80"/>
  <c r="BK4" i="80"/>
  <c r="BE4" i="80"/>
  <c r="AY4" i="80"/>
  <c r="AS4" i="80"/>
  <c r="AM4" i="80"/>
  <c r="AG4" i="80"/>
  <c r="AA4" i="80"/>
  <c r="U4" i="80"/>
  <c r="DH4" i="80"/>
  <c r="DJ4" i="80"/>
  <c r="DL4" i="80"/>
  <c r="DK4" i="80"/>
  <c r="D10" i="80"/>
  <c r="D9" i="80"/>
  <c r="H9" i="80" s="1"/>
  <c r="E42" i="79"/>
  <c r="M41" i="79"/>
  <c r="E41" i="79"/>
  <c r="M40" i="79"/>
  <c r="E40" i="79"/>
  <c r="E39" i="79"/>
  <c r="M38" i="79"/>
  <c r="E38" i="79"/>
  <c r="M37" i="79"/>
  <c r="B37" i="79"/>
  <c r="M36" i="79"/>
  <c r="E36" i="79"/>
  <c r="B36" i="79"/>
  <c r="M35" i="79"/>
  <c r="E35" i="79"/>
  <c r="B35" i="79"/>
  <c r="M34" i="79"/>
  <c r="E34" i="79"/>
  <c r="B34" i="79"/>
  <c r="M33" i="79"/>
  <c r="E33" i="79"/>
  <c r="B33" i="79"/>
  <c r="M32" i="79"/>
  <c r="E32" i="79"/>
  <c r="B32" i="79"/>
  <c r="M31" i="79"/>
  <c r="E31" i="79"/>
  <c r="B31" i="79"/>
  <c r="M30" i="79"/>
  <c r="E30" i="79"/>
  <c r="B30" i="79"/>
  <c r="M29" i="79"/>
  <c r="E29" i="79"/>
  <c r="B29" i="79"/>
  <c r="M28" i="79"/>
  <c r="E28" i="79"/>
  <c r="B28" i="79"/>
  <c r="M27" i="79"/>
  <c r="E27" i="79"/>
  <c r="B27" i="79"/>
  <c r="M26" i="79"/>
  <c r="E26" i="79"/>
  <c r="B26" i="79"/>
  <c r="E25" i="79"/>
  <c r="E24" i="79"/>
  <c r="E23" i="79"/>
  <c r="E22" i="79"/>
  <c r="M20" i="79"/>
  <c r="I20" i="79"/>
  <c r="M19" i="79"/>
  <c r="M18" i="79"/>
  <c r="M16" i="79"/>
  <c r="M15" i="79"/>
  <c r="E15" i="79"/>
  <c r="M14" i="79"/>
  <c r="E14" i="79"/>
  <c r="I13" i="79"/>
  <c r="E13" i="79"/>
  <c r="M10" i="79"/>
  <c r="M11" i="79" s="1"/>
  <c r="I9" i="79"/>
  <c r="E9" i="79"/>
  <c r="I8" i="79"/>
  <c r="E8" i="79"/>
  <c r="M7" i="79"/>
  <c r="I7" i="79"/>
  <c r="E7" i="79"/>
  <c r="I6" i="79"/>
  <c r="E6" i="79"/>
  <c r="L5" i="79"/>
  <c r="M5" i="79"/>
  <c r="K5" i="79"/>
  <c r="J5" i="79"/>
  <c r="I5" i="79"/>
  <c r="H5" i="79"/>
  <c r="G5" i="79"/>
  <c r="F5" i="79"/>
  <c r="AX4" i="80"/>
  <c r="AW4" i="80"/>
  <c r="AV4" i="80"/>
  <c r="AT4" i="80"/>
  <c r="G2" i="79"/>
  <c r="O4" i="80" s="1"/>
  <c r="DD4" i="80"/>
  <c r="Y4" i="80"/>
  <c r="AK4" i="80"/>
  <c r="BI4" i="80"/>
  <c r="BU4" i="80"/>
  <c r="CG4" i="80"/>
  <c r="CS4" i="80"/>
  <c r="DE4" i="80"/>
  <c r="X4" i="80"/>
  <c r="BH4" i="80"/>
  <c r="BV4" i="80"/>
  <c r="AB4" i="80"/>
  <c r="AN4" i="80"/>
  <c r="AZ4" i="80"/>
  <c r="BL4" i="80"/>
  <c r="BX4" i="80"/>
  <c r="CJ4" i="80"/>
  <c r="CV4" i="80"/>
  <c r="DN4" i="80"/>
  <c r="AJ4" i="80"/>
  <c r="CR4" i="80"/>
  <c r="Z4" i="80"/>
  <c r="CH4" i="80"/>
  <c r="BB4" i="80"/>
  <c r="CF4" i="80"/>
  <c r="CT4" i="80"/>
  <c r="AP4" i="80"/>
  <c r="CL4" i="80"/>
  <c r="AE4" i="80"/>
  <c r="AQ4" i="80"/>
  <c r="BC4" i="80"/>
  <c r="BO4" i="80"/>
  <c r="CA4" i="80"/>
  <c r="CM4" i="80"/>
  <c r="CY4" i="80"/>
  <c r="DQ4" i="80"/>
  <c r="BT4" i="80"/>
  <c r="BJ4" i="80"/>
  <c r="AD4" i="80"/>
  <c r="BN4" i="80"/>
  <c r="DP4" i="80"/>
  <c r="AF4" i="80"/>
  <c r="BP4" i="80"/>
  <c r="CZ4" i="80"/>
  <c r="AL4" i="80"/>
  <c r="DF4" i="80"/>
  <c r="BZ4" i="80"/>
  <c r="CX4" i="80"/>
  <c r="AR4" i="80"/>
  <c r="BD4" i="80"/>
  <c r="CB4" i="80"/>
  <c r="CN4" i="80"/>
  <c r="DR4" i="80"/>
  <c r="V4" i="80"/>
  <c r="AH4" i="80"/>
  <c r="BF4" i="80"/>
  <c r="BR4" i="80"/>
  <c r="CD4" i="80"/>
  <c r="CP4" i="80"/>
  <c r="DB4" i="80"/>
  <c r="C8" i="80"/>
  <c r="D12" i="80"/>
  <c r="D11" i="80"/>
  <c r="B6" i="82"/>
  <c r="D8" i="80"/>
  <c r="C5" i="82"/>
  <c r="D5" i="82"/>
  <c r="E5" i="82"/>
  <c r="F5" i="82"/>
  <c r="G5" i="82"/>
  <c r="H5" i="82"/>
  <c r="H11" i="80" l="1"/>
  <c r="H14" i="80"/>
  <c r="H12" i="80"/>
  <c r="H10" i="80"/>
  <c r="H6" i="80"/>
  <c r="H7" i="80"/>
  <c r="H8" i="80"/>
  <c r="H5" i="80"/>
  <c r="M17" i="79"/>
  <c r="G4" i="79"/>
  <c r="H21" i="82" l="1"/>
  <c r="H22" i="82"/>
  <c r="E21" i="82" l="1"/>
  <c r="E22" i="82"/>
  <c r="G21" i="82"/>
  <c r="G22" i="82"/>
  <c r="F22" i="82"/>
  <c r="F21" i="82"/>
</calcChain>
</file>

<file path=xl/comments1.xml><?xml version="1.0" encoding="utf-8"?>
<comments xmlns="http://schemas.openxmlformats.org/spreadsheetml/2006/main">
  <authors>
    <author>Author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
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 for a small scale methanol plant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S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S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T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U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U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stoechiometric (9 kg of water consumed per kg of hydrogen).</t>
        </r>
      </text>
    </comment>
    <comment ref="S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U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S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T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U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V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S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S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P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T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high logistics and ground work costs</t>
        </r>
      </text>
    </comment>
    <comment ref="U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</commentList>
</comments>
</file>

<file path=xl/sharedStrings.xml><?xml version="1.0" encoding="utf-8"?>
<sst xmlns="http://schemas.openxmlformats.org/spreadsheetml/2006/main" count="603" uniqueCount="267">
  <si>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</si>
  <si>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</si>
  <si>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</si>
  <si>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</si>
  <si>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</si>
  <si>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</si>
  <si>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</si>
  <si>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</si>
  <si>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</si>
  <si>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</si>
  <si>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</si>
  <si>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Non-electrical</t>
  </si>
  <si>
    <t>-</t>
  </si>
  <si>
    <t>O2</t>
  </si>
  <si>
    <t>Stor_in</t>
  </si>
  <si>
    <t>Stor_out</t>
  </si>
  <si>
    <t>Tank</t>
  </si>
  <si>
    <t>Electrical</t>
  </si>
  <si>
    <t>H2_pipeline_to_NH3_plant</t>
  </si>
  <si>
    <t>Heat_import</t>
  </si>
  <si>
    <t>Heat_export</t>
  </si>
  <si>
    <t>Power_from_the_grid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</si>
  <si>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</si>
  <si>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</si>
  <si>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</si>
  <si>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</si>
  <si>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</si>
  <si>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</si>
  <si>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Grid_buy</t>
  </si>
  <si>
    <t>H2 pipeline to NH3 plant</t>
  </si>
  <si>
    <t>Heat from district heating</t>
  </si>
  <si>
    <t>Heat sent to district heating</t>
  </si>
  <si>
    <t>Sale of oxygen</t>
  </si>
  <si>
    <t>Electricity from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</si>
  <si>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</si>
  <si>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</si>
  <si>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</si>
  <si>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</si>
  <si>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</si>
  <si>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</si>
  <si>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</si>
  <si>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</si>
  <si>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</si>
  <si>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</si>
  <si>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</si>
  <si>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</si>
  <si>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</si>
  <si>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</si>
  <si>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</si>
  <si>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</si>
  <si>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</si>
  <si>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</si>
  <si>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</si>
  <si>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</si>
  <si>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</si>
  <si>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</si>
  <si>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</si>
  <si>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</si>
  <si>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</si>
  <si>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</si>
  <si>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</si>
  <si>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</si>
  <si>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</si>
  <si>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</si>
  <si>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</si>
  <si>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H2 pipeline to MeOH CCU plant</t>
  </si>
  <si>
    <t>H2_pipeline_to_MeOHCCU_plant</t>
  </si>
  <si>
    <t>CO2 capture DAC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</si>
  <si>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</si>
  <si>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</si>
  <si>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</si>
  <si>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</si>
  <si>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</si>
  <si>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</si>
  <si>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</si>
  <si>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Annuity factor</t>
  </si>
  <si>
    <t>AEC</t>
  </si>
  <si>
    <t>CO2 DAC</t>
  </si>
  <si>
    <t>CO2 PS</t>
  </si>
  <si>
    <t>NH3-AEC</t>
  </si>
  <si>
    <t>NH3-SOEC</t>
  </si>
  <si>
    <t>H2_from_AEC</t>
  </si>
  <si>
    <t>DAC</t>
  </si>
  <si>
    <t>CO2 capture PS</t>
  </si>
  <si>
    <t>Parameter changed</t>
  </si>
  <si>
    <t>Year</t>
  </si>
  <si>
    <t>New value</t>
  </si>
  <si>
    <t>Old value</t>
  </si>
  <si>
    <t>Year--&gt;</t>
  </si>
  <si>
    <t>MeOH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</si>
  <si>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</si>
  <si>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</si>
  <si>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</si>
  <si>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</si>
  <si>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</si>
  <si>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</si>
  <si>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</si>
  <si>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capacity</t>
  </si>
  <si>
    <t>Ramping</t>
  </si>
  <si>
    <t>No negative elec price</t>
  </si>
  <si>
    <t>Flows</t>
  </si>
  <si>
    <t>NH3</t>
  </si>
  <si>
    <t>CO2 capture</t>
  </si>
  <si>
    <t>None</t>
  </si>
  <si>
    <t>Carbon capture</t>
  </si>
  <si>
    <t>PS</t>
  </si>
  <si>
    <t>Configuration</t>
  </si>
  <si>
    <t>Fixed heat sale</t>
  </si>
  <si>
    <t>Fixed oxygen sale</t>
  </si>
  <si>
    <t>Used (1 or 0)</t>
  </si>
  <si>
    <t>All</t>
  </si>
  <si>
    <t>Product/Reactant1</t>
  </si>
  <si>
    <t>Product</t>
  </si>
  <si>
    <t>Reactant2</t>
  </si>
  <si>
    <t>Reactant6</t>
  </si>
  <si>
    <t>Reactant7</t>
  </si>
  <si>
    <t>Product/Reactant3</t>
  </si>
  <si>
    <t>Year old value</t>
  </si>
  <si>
    <t>Year new value</t>
  </si>
  <si>
    <t>Type of units for change</t>
  </si>
  <si>
    <t>Scenario name definition</t>
  </si>
  <si>
    <t>Unit tag</t>
  </si>
  <si>
    <t>Options available</t>
  </si>
  <si>
    <t>Any name</t>
  </si>
  <si>
    <t>Results to write</t>
  </si>
  <si>
    <t>Islanded</t>
  </si>
  <si>
    <t>Fuel energy content LHV (MJ/kg fuel)</t>
  </si>
  <si>
    <t>SI_nonflex</t>
  </si>
  <si>
    <t>Scenario</t>
  </si>
  <si>
    <t>Scenario name</t>
  </si>
  <si>
    <t>Name of the scenario in the output csv file</t>
  </si>
  <si>
    <t>H2_to_pipe</t>
  </si>
  <si>
    <t>H2_from_pipe</t>
  </si>
  <si>
    <t>H2_stored_pipe</t>
  </si>
  <si>
    <t>ON_SP198-HH100</t>
  </si>
  <si>
    <t>OFF_SP450-HH150</t>
  </si>
  <si>
    <t>Fuel produced</t>
  </si>
  <si>
    <t>Min_demand_MainFuel</t>
  </si>
  <si>
    <t>Is_nonflex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</si>
  <si>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</si>
  <si>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</si>
  <si>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</si>
  <si>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</si>
  <si>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</si>
  <si>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</si>
  <si>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</si>
  <si>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</si>
  <si>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</si>
  <si>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</si>
  <si>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</si>
  <si>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Document type</t>
  </si>
  <si>
    <t>Title</t>
  </si>
  <si>
    <t>Reliability</t>
  </si>
  <si>
    <t xml:space="preserve">https://ens.dk/en/our-services/projections-and-models/technology-data/technology-data-generation-electricity-and </t>
  </si>
  <si>
    <t>https://doi.org/10.1038/s41560-020-00771-9</t>
  </si>
  <si>
    <t>https://www.iea.org/reports/world-energy-outlook-2020</t>
  </si>
  <si>
    <t>https://doi.org/10.1016/j.egypro.2017.03.1111</t>
  </si>
  <si>
    <t xml:space="preserve">https://www.nrel.gov/docs/fy04osti/35404.pdf </t>
  </si>
  <si>
    <t>https://www.nature.com/articles/s41558-021-01032-7</t>
  </si>
  <si>
    <t xml:space="preserve">https://www.cei.washington.edu/education/science-of-solar/battery-technology/ </t>
  </si>
  <si>
    <t xml:space="preserve">https://www.iea.org/reports/net-zero-by-2050 </t>
  </si>
  <si>
    <t xml:space="preserve">https://www.hydrogen.energy.gov/pdfs/progress13/xi_5_elgowainy_2013.pdf </t>
  </si>
  <si>
    <t xml:space="preserve">https://ens.dk/en/our-services/projections-and-models/technology-data/technology-data-industrial-process-heat-and </t>
  </si>
  <si>
    <t xml:space="preserve">https://www.sciencedirect.com/science/article/pii/B9781782423645000075 </t>
  </si>
  <si>
    <t xml:space="preserve">https://www.sciencedirect.com/science/article/pii/S0360319921030834 </t>
  </si>
  <si>
    <t xml:space="preserve">https://ens.dk/en/our-services/projections-and-models/technology-data/technology-data-renewable-fuels </t>
  </si>
  <si>
    <t xml:space="preserve">https://op.europa.eu/en/publication-detail/-/publication/1f55ca82-3451-11e6-969e-01aa75ed71a1/language-en </t>
  </si>
  <si>
    <t xml:space="preserve">https://www.nordicenergy.org/project/np2x/ </t>
  </si>
  <si>
    <t>Any data sheet name</t>
  </si>
  <si>
    <t>Link (doi is preferred)</t>
  </si>
  <si>
    <t xml:space="preserve">http://dx.doi.org/10.2139/ssrn.4154006 </t>
  </si>
  <si>
    <t>Main author</t>
  </si>
  <si>
    <t>https://ens.dk/en/our-services/projections-and-models/technology-data/technology-data-carbon-capture-transport-and</t>
  </si>
  <si>
    <t>https://orbit.dtu.dk/en/projects/electro-fuels-for-long-range-maritime-transport</t>
  </si>
  <si>
    <t xml:space="preserve">https://www.danskfjernvarme.dk/groen-energi/analyser/210512-power-to-x-og-fjernvarme </t>
  </si>
  <si>
    <t>Semi-islanded</t>
  </si>
  <si>
    <t>Semi-islandedflex</t>
  </si>
  <si>
    <t>Is_flex</t>
  </si>
  <si>
    <t>Grid_out</t>
  </si>
  <si>
    <t>Location</t>
  </si>
  <si>
    <t>Data_base_case</t>
  </si>
  <si>
    <t>H2O sea</t>
  </si>
  <si>
    <t>Electrolysers AEC</t>
  </si>
  <si>
    <t>Mix</t>
  </si>
  <si>
    <t>All_locations</t>
  </si>
  <si>
    <t>Arica</t>
  </si>
  <si>
    <t>Electrolysers SOEC heat integrated</t>
  </si>
  <si>
    <t>H2_from_SOEC_HI</t>
  </si>
  <si>
    <t>H2</t>
  </si>
  <si>
    <t>Reactant8</t>
  </si>
  <si>
    <t>H2-client</t>
  </si>
  <si>
    <t>H2_pipeline_to_client</t>
  </si>
  <si>
    <t>Esbjerg</t>
  </si>
  <si>
    <t>Ceduna</t>
  </si>
  <si>
    <t>NoSubset</t>
  </si>
  <si>
    <t>Curtailment</t>
  </si>
  <si>
    <t>Communication with Mærsk Mc-Kinney Møller Center for Zero Carbon Shipping</t>
  </si>
  <si>
    <t>MMZCS2023</t>
  </si>
  <si>
    <t>Communication with different industry partners. Final value is an "aggregate" of different values from the industry</t>
  </si>
  <si>
    <t>Comment</t>
  </si>
  <si>
    <t>BhmWP12023</t>
  </si>
  <si>
    <t>Assessment of resources available in Bornholm</t>
  </si>
  <si>
    <t>WP1</t>
  </si>
  <si>
    <t>Report</t>
  </si>
  <si>
    <t>Database</t>
  </si>
  <si>
    <t>Reference tag in the comments and mendeley</t>
  </si>
  <si>
    <t>Onboard Type IV Compressed Hydrogen Storage System - Cost and Performance Status (19008)</t>
  </si>
  <si>
    <t>Adams</t>
  </si>
  <si>
    <t>Record 19008 NREL</t>
  </si>
  <si>
    <t xml:space="preserve">https://www.hydrogen.energy.gov/program_records.html?print </t>
  </si>
  <si>
    <t>Bulk storage of hydrogen</t>
  </si>
  <si>
    <t>Papadias</t>
  </si>
  <si>
    <t>Article</t>
  </si>
  <si>
    <t>Flexible production of green hydrogen and ammonia from variable solar and wind energy:Case study of Chile and Argentina</t>
  </si>
  <si>
    <t>Armijo</t>
  </si>
  <si>
    <t>https://doi.org/10.1016/j.ijhydene.2019.11.028</t>
  </si>
  <si>
    <t>IEA The future of hydrogen 2019</t>
  </si>
  <si>
    <t>IEA</t>
  </si>
  <si>
    <t>IEA Report</t>
  </si>
  <si>
    <t xml:space="preserve">https://webstore.iea.org/the-future-of-hydrogen </t>
  </si>
  <si>
    <t>Campion2023</t>
  </si>
  <si>
    <t>Techno-economic assessment of green ammonia production with different wind and solar potentials</t>
  </si>
  <si>
    <t>Campion</t>
  </si>
  <si>
    <t xml:space="preserve">https://doi.org/10.1016/j.rser.2022.113057 </t>
  </si>
  <si>
    <t>Induspart2023</t>
  </si>
  <si>
    <t>Communication with industrial partners</t>
  </si>
  <si>
    <t>Induspart</t>
  </si>
  <si>
    <t>https://atb.nrel.gov/transportation/2020/hydrogen</t>
  </si>
  <si>
    <t>Webpage</t>
  </si>
  <si>
    <t>NREL</t>
  </si>
  <si>
    <t>Annual technlogy baseline for hydrogen</t>
  </si>
  <si>
    <t>NREL2020</t>
  </si>
  <si>
    <t>Data validated by industrial partners</t>
  </si>
  <si>
    <t>Power-to-ammonia in future North European 100 % renewable power and heat system</t>
  </si>
  <si>
    <t>Ikäheimo</t>
  </si>
  <si>
    <t>Paper</t>
  </si>
  <si>
    <t xml:space="preserve">https://www.sciencedirect.com/science/article/pii/S0360319918319931 </t>
  </si>
  <si>
    <t>Technology data for energy storage</t>
  </si>
  <si>
    <t>DEA</t>
  </si>
  <si>
    <t>Report/Catalogue</t>
  </si>
  <si>
    <t xml:space="preserve">https://ens.dk/en/our-services/projections-and-models/technology-data/technology-data-energy-storage </t>
  </si>
  <si>
    <t>DEAstor2020</t>
  </si>
  <si>
    <t>Campion2021</t>
  </si>
  <si>
    <t>MarE-fuel: LCOE and optimal electricity supply strategies for P2X plants</t>
  </si>
  <si>
    <t>https://backend.orbit.dtu.dk/ws/portalfiles/portal/264043718/MarE_Fuel_LCOE_and_optimal_electricity_supply_strategies_for_P2X_plants.pdf</t>
  </si>
  <si>
    <t>Investment (EUR/Capacity installed)2025 bench</t>
  </si>
  <si>
    <t>Water supply (desalination plant)</t>
  </si>
  <si>
    <t>H2 storage compressor</t>
  </si>
  <si>
    <t>H2 storage valve</t>
  </si>
  <si>
    <t>H2 storage (buried pipes)</t>
  </si>
  <si>
    <t>NH3 plant + ASU with AEC</t>
  </si>
  <si>
    <t>NH3 plant + ASU with SOEC</t>
  </si>
  <si>
    <t>Mærsk center</t>
  </si>
  <si>
    <t>Behind-the-meter</t>
  </si>
  <si>
    <t>Bhm-nonflexible</t>
  </si>
  <si>
    <t>Semi-islanded_nonflex</t>
  </si>
  <si>
    <t>MeOH plant CCU with AEC</t>
  </si>
  <si>
    <t>Bhm-superflexible</t>
  </si>
  <si>
    <t>Base_case</t>
  </si>
  <si>
    <t>Results_base_case</t>
  </si>
  <si>
    <t>Results_sensitivities</t>
  </si>
  <si>
    <t>Change are made compared to the reference scenario. "Chains" of reference scenarios doesn't work.</t>
  </si>
  <si>
    <t>O2_sell</t>
  </si>
  <si>
    <t>Heat_sell</t>
  </si>
  <si>
    <t>H2 end-user</t>
  </si>
  <si>
    <t>H2 pipeline to end-user</t>
  </si>
  <si>
    <t>See Scenarios_definition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</si>
</sst>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6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59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0" borderId="0" xfId="2" applyNumberFormat="1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9" fontId="3" fillId="0" borderId="0" xfId="2" applyFont="1"/>
    <xf numFmtId="0" fontId="5" fillId="0" borderId="0" xfId="0" applyFont="1"/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0" fillId="0" borderId="1" xfId="0" applyBorder="1"/>
    <xf numFmtId="0" fontId="10" fillId="3" borderId="0" xfId="0" applyFont="1" applyFill="1" applyAlignment="1">
      <alignment horizontal="center" vertical="center" wrapText="1"/>
    </xf>
    <xf numFmtId="0" fontId="10" fillId="3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/>
    <xf numFmtId="0" fontId="11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5" fillId="0" borderId="1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8" fillId="2" borderId="0" xfId="0" applyFont="1" applyFill="1"/>
    <xf numFmtId="0" fontId="4" fillId="0" borderId="0" xfId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4" fillId="0" borderId="0" xfId="1"/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right"/>
    </xf>
    <xf numFmtId="0" fontId="5" fillId="0" borderId="1" xfId="0" applyFont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right"/>
    </xf>
    <xf numFmtId="0" fontId="7" fillId="0" borderId="0" xfId="1" applyFont="1"/>
    <xf numFmtId="0" fontId="0" fillId="5" borderId="0" xfId="0" applyFill="1"/>
    <xf numFmtId="0" fontId="3" fillId="0" borderId="0" xfId="2" applyNumberFormat="1" applyFont="1" applyFill="1"/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2" borderId="0" xfId="0" applyFont="1" applyFill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4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0" fillId="0" borderId="0" xfId="0" applyFill="1"/>
    <xf numFmtId="0" fontId="6" fillId="6" borderId="0" xfId="0" applyFont="1" applyFill="1"/>
    <xf numFmtId="0" fontId="7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9" fontId="3" fillId="6" borderId="0" xfId="2" applyFont="1" applyFill="1"/>
    <xf numFmtId="0" fontId="3" fillId="6" borderId="0" xfId="2" applyNumberFormat="1" applyFont="1" applyFill="1"/>
    <xf numFmtId="0" fontId="6" fillId="7" borderId="0" xfId="0" applyFont="1" applyFill="1"/>
    <xf numFmtId="0" fontId="7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right"/>
    </xf>
    <xf numFmtId="9" fontId="3" fillId="7" borderId="0" xfId="2" applyFont="1" applyFill="1"/>
    <xf numFmtId="0" fontId="3" fillId="7" borderId="0" xfId="2" applyNumberFormat="1" applyFont="1" applyFill="1"/>
    <xf numFmtId="0" fontId="7" fillId="7" borderId="0" xfId="2" applyNumberFormat="1" applyFont="1" applyFill="1"/>
    <xf numFmtId="0" fontId="6" fillId="7" borderId="0" xfId="0" applyFont="1" applyFill="1" applyAlignment="1">
      <alignment horizontal="center"/>
    </xf>
    <xf numFmtId="0" fontId="6" fillId="8" borderId="0" xfId="0" applyFont="1" applyFill="1"/>
    <xf numFmtId="0" fontId="6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right"/>
    </xf>
    <xf numFmtId="0" fontId="0" fillId="8" borderId="0" xfId="0" applyFill="1"/>
    <xf numFmtId="9" fontId="3" fillId="8" borderId="0" xfId="2" applyFont="1" applyFill="1"/>
    <xf numFmtId="0" fontId="6" fillId="9" borderId="0" xfId="0" applyFont="1" applyFill="1"/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right"/>
    </xf>
    <xf numFmtId="9" fontId="3" fillId="9" borderId="0" xfId="2" applyFont="1" applyFill="1"/>
    <xf numFmtId="0" fontId="6" fillId="5" borderId="0" xfId="0" applyFont="1" applyFill="1"/>
    <xf numFmtId="0" fontId="7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right"/>
    </xf>
    <xf numFmtId="9" fontId="3" fillId="5" borderId="0" xfId="2" applyFont="1" applyFill="1"/>
    <xf numFmtId="165" fontId="0" fillId="8" borderId="0" xfId="0" applyNumberFormat="1" applyFill="1"/>
    <xf numFmtId="0" fontId="6" fillId="10" borderId="0" xfId="0" applyFont="1" applyFill="1"/>
    <xf numFmtId="0" fontId="7" fillId="10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right"/>
    </xf>
    <xf numFmtId="9" fontId="3" fillId="10" borderId="0" xfId="2" applyFont="1" applyFill="1"/>
    <xf numFmtId="165" fontId="0" fillId="10" borderId="0" xfId="0" applyNumberFormat="1" applyFill="1"/>
    <xf numFmtId="0" fontId="6" fillId="11" borderId="0" xfId="0" applyFont="1" applyFill="1"/>
    <xf numFmtId="0" fontId="7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0" fillId="11" borderId="0" xfId="0" applyFill="1" applyAlignment="1">
      <alignment horizontal="right"/>
    </xf>
    <xf numFmtId="9" fontId="3" fillId="11" borderId="0" xfId="2" applyFont="1" applyFill="1"/>
    <xf numFmtId="0" fontId="7" fillId="11" borderId="0" xfId="0" applyFont="1" applyFill="1"/>
    <xf numFmtId="165" fontId="0" fillId="11" borderId="0" xfId="0" applyNumberFormat="1" applyFill="1"/>
    <xf numFmtId="0" fontId="6" fillId="9" borderId="0" xfId="0" applyFont="1" applyFill="1" applyAlignment="1">
      <alignment horizontal="center"/>
    </xf>
    <xf numFmtId="0" fontId="3" fillId="5" borderId="0" xfId="2" applyNumberFormat="1" applyFont="1" applyFill="1"/>
    <xf numFmtId="0" fontId="3" fillId="5" borderId="0" xfId="2" quotePrefix="1" applyNumberFormat="1" applyFont="1" applyFill="1"/>
    <xf numFmtId="0" fontId="0" fillId="2" borderId="4" xfId="0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6" fillId="6" borderId="4" xfId="0" applyFont="1" applyFill="1" applyBorder="1"/>
    <xf numFmtId="0" fontId="7" fillId="6" borderId="4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4" xfId="0" applyFill="1" applyBorder="1"/>
    <xf numFmtId="9" fontId="3" fillId="6" borderId="4" xfId="2" applyFont="1" applyFill="1" applyBorder="1"/>
    <xf numFmtId="2" fontId="0" fillId="8" borderId="0" xfId="0" applyNumberFormat="1" applyFill="1"/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9" fontId="3" fillId="0" borderId="0" xfId="2" applyFont="1" applyFill="1"/>
    <xf numFmtId="0" fontId="8" fillId="0" borderId="2" xfId="0" applyFont="1" applyBorder="1" applyAlignment="1">
      <alignment horizontal="right"/>
    </xf>
    <xf numFmtId="0" fontId="10" fillId="3" borderId="0" xfId="0" applyFont="1" applyFill="1" applyAlignment="1">
      <alignment horizontal="right"/>
    </xf>
    <xf numFmtId="0" fontId="9" fillId="0" borderId="0" xfId="0" applyFont="1" applyAlignment="1">
      <alignment horizontal="right" vertical="center" wrapText="1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6" borderId="4" xfId="0" applyFill="1" applyBorder="1" applyAlignment="1">
      <alignment horizontal="right"/>
    </xf>
    <xf numFmtId="0" fontId="6" fillId="5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15" fillId="0" borderId="0" xfId="0" applyFont="1" applyAlignment="1">
      <alignment horizontal="center" vertical="center" textRotation="90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1" fontId="5" fillId="12" borderId="0" xfId="0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70"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rgb="FF9C0006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3">
          <cell r="C3">
            <v>0.89293686936333605</v>
          </cell>
        </row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progress13/xi_5_elgowainy_2013.pdf" TargetMode="External"/><Relationship Id="rId13" Type="http://schemas.openxmlformats.org/officeDocument/2006/relationships/hyperlink" Target="https://ens.dk/en/our-services/projections-and-models/technology-data/technology-data-renewable-fuels" TargetMode="External"/><Relationship Id="rId18" Type="http://schemas.openxmlformats.org/officeDocument/2006/relationships/hyperlink" Target="https://www.hydrogen.energy.gov/program_records.html?print" TargetMode="External"/><Relationship Id="rId3" Type="http://schemas.openxmlformats.org/officeDocument/2006/relationships/hyperlink" Target="https://doi.org/10.1016/j.egypro.2017.03.1111" TargetMode="External"/><Relationship Id="rId21" Type="http://schemas.openxmlformats.org/officeDocument/2006/relationships/hyperlink" Target="https://webstore.iea.org/the-future-of-hydrogen" TargetMode="External"/><Relationship Id="rId7" Type="http://schemas.openxmlformats.org/officeDocument/2006/relationships/hyperlink" Target="https://www.nrel.gov/docs/fy04osti/35404.pdf" TargetMode="External"/><Relationship Id="rId12" Type="http://schemas.openxmlformats.org/officeDocument/2006/relationships/hyperlink" Target="https://ens.dk/en/our-services/projections-and-models/technology-data/technology-data-generation-electricity-and" TargetMode="External"/><Relationship Id="rId17" Type="http://schemas.openxmlformats.org/officeDocument/2006/relationships/hyperlink" Target="https://www.danskfjernvarme.dk/groen-energi/analyser/210512-power-to-x-og-fjernvarme" TargetMode="External"/><Relationship Id="rId25" Type="http://schemas.openxmlformats.org/officeDocument/2006/relationships/hyperlink" Target="https://atb.nrel.gov/transportation/2020/hydrogen" TargetMode="External"/><Relationship Id="rId2" Type="http://schemas.openxmlformats.org/officeDocument/2006/relationships/hyperlink" Target="https://www.iea.org/reports/world-energy-outlook-2020" TargetMode="External"/><Relationship Id="rId16" Type="http://schemas.openxmlformats.org/officeDocument/2006/relationships/hyperlink" Target="http://dx.doi.org/10.2139/ssrn.4154006" TargetMode="External"/><Relationship Id="rId20" Type="http://schemas.openxmlformats.org/officeDocument/2006/relationships/hyperlink" Target="https://doi.org/10.1016/j.ijhydene.2019.11.028" TargetMode="External"/><Relationship Id="rId1" Type="http://schemas.openxmlformats.org/officeDocument/2006/relationships/hyperlink" Target="https://doi.org/10.1038/s41560-020-00771-9" TargetMode="External"/><Relationship Id="rId6" Type="http://schemas.openxmlformats.org/officeDocument/2006/relationships/hyperlink" Target="https://www.iea.org/reports/net-zero-by-2050" TargetMode="External"/><Relationship Id="rId11" Type="http://schemas.openxmlformats.org/officeDocument/2006/relationships/hyperlink" Target="https://www.sciencedirect.com/science/article/pii/S0360319921030834" TargetMode="External"/><Relationship Id="rId24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cei.washington.edu/education/science-of-solar/battery-technology/" TargetMode="External"/><Relationship Id="rId15" Type="http://schemas.openxmlformats.org/officeDocument/2006/relationships/hyperlink" Target="https://www.nordicenergy.org/project/np2x/" TargetMode="External"/><Relationship Id="rId23" Type="http://schemas.openxmlformats.org/officeDocument/2006/relationships/hyperlink" Target="https://www.sciencedirect.com/science/article/pii/S0360319918319931" TargetMode="External"/><Relationship Id="rId10" Type="http://schemas.openxmlformats.org/officeDocument/2006/relationships/hyperlink" Target="https://www.sciencedirect.com/science/article/pii/B9781782423645000075" TargetMode="External"/><Relationship Id="rId19" Type="http://schemas.openxmlformats.org/officeDocument/2006/relationships/hyperlink" Target="https://www.sciencedirect.com/science/article/pii/S0360319921030834" TargetMode="External"/><Relationship Id="rId4" Type="http://schemas.openxmlformats.org/officeDocument/2006/relationships/hyperlink" Target="https://www.nature.com/articles/s41558-021-01032-7" TargetMode="External"/><Relationship Id="rId9" Type="http://schemas.openxmlformats.org/officeDocument/2006/relationships/hyperlink" Target="https://ens.dk/en/our-services/projections-and-models/technology-data/technology-data-industrial-process-heat-and" TargetMode="External"/><Relationship Id="rId14" Type="http://schemas.openxmlformats.org/officeDocument/2006/relationships/hyperlink" Target="https://op.europa.eu/en/publication-detail/-/publication/1f55ca82-3451-11e6-969e-01aa75ed71a1/language-en" TargetMode="External"/><Relationship Id="rId22" Type="http://schemas.openxmlformats.org/officeDocument/2006/relationships/hyperlink" Target="https://doi.org/10.1016/j.rser.2022.113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42"/>
  <sheetViews>
    <sheetView workbookViewId="0">
      <pane xSplit="5" ySplit="5" topLeftCell="P6" activePane="bottomRight" state="frozen"/>
      <selection pane="topRight" activeCell="F1" sqref="F1"/>
      <selection pane="bottomLeft" activeCell="A12" sqref="A12"/>
      <selection pane="bottomRight" activeCell="Q8" sqref="Q8"/>
    </sheetView>
  </sheetViews>
  <sheetFormatPr defaultColWidth="8.7265625" defaultRowHeight="14.5" x14ac:dyDescent="0.35"/>
  <cols>
    <col min="1" max="1" width="3.36328125" bestFit="1" customWidth="1"/>
    <col min="2" max="2" width="20.6328125" style="4" bestFit="1" customWidth="1"/>
    <col min="3" max="3" width="20.90625" style="5" bestFit="1" customWidth="1"/>
    <col min="4" max="4" width="30.08984375" style="3" bestFit="1" customWidth="1"/>
    <col min="5" max="5" width="16.54296875" style="9" bestFit="1" customWidth="1"/>
    <col min="6" max="6" width="11.453125" style="3" bestFit="1" customWidth="1"/>
    <col min="7" max="7" width="28.90625" style="3" bestFit="1" customWidth="1"/>
    <col min="8" max="8" width="20.7265625" bestFit="1" customWidth="1"/>
    <col min="9" max="9" width="16.453125" style="145" bestFit="1" customWidth="1"/>
    <col min="10" max="10" width="9.36328125" bestFit="1" customWidth="1"/>
    <col min="11" max="11" width="11.7265625" bestFit="1" customWidth="1"/>
    <col min="12" max="12" width="10" bestFit="1" customWidth="1"/>
    <col min="13" max="13" width="12" bestFit="1" customWidth="1"/>
    <col min="14" max="14" width="36" bestFit="1" customWidth="1"/>
    <col min="15" max="15" width="26.453125" bestFit="1" customWidth="1"/>
    <col min="16" max="16" width="25.453125" bestFit="1" customWidth="1"/>
    <col min="17" max="17" width="23.54296875" bestFit="1" customWidth="1"/>
    <col min="18" max="18" width="26.1796875" bestFit="1" customWidth="1"/>
    <col min="19" max="19" width="32.453125" bestFit="1" customWidth="1"/>
    <col min="20" max="20" width="31.36328125" bestFit="1" customWidth="1"/>
    <col min="21" max="21" width="31.81640625" bestFit="1" customWidth="1"/>
    <col min="22" max="22" width="23.90625" bestFit="1" customWidth="1"/>
    <col min="23" max="23" width="26.54296875" bestFit="1" customWidth="1"/>
    <col min="24" max="24" width="26.90625" bestFit="1" customWidth="1"/>
    <col min="25" max="25" width="12.90625" bestFit="1" customWidth="1"/>
  </cols>
  <sheetData>
    <row r="1" spans="1:25" ht="16" customHeight="1" x14ac:dyDescent="0.35">
      <c r="A1" s="150" t="s">
        <v>0</v>
      </c>
      <c r="B1" s="150"/>
      <c r="C1" s="150"/>
      <c r="D1" s="150"/>
      <c r="E1" s="151"/>
      <c r="F1" s="51" t="s">
        <v>109</v>
      </c>
      <c r="G1" s="51" t="s">
        <v>121</v>
      </c>
      <c r="H1" s="52" t="s">
        <v>68</v>
      </c>
      <c r="I1" s="141" t="s">
        <v>2</v>
      </c>
      <c r="J1" s="52" t="s">
        <v>4</v>
      </c>
      <c r="K1" s="52" t="s">
        <v>5</v>
      </c>
      <c r="L1" s="53" t="s">
        <v>3</v>
      </c>
      <c r="M1" s="52" t="s">
        <v>6</v>
      </c>
      <c r="N1" s="54" t="s">
        <v>69</v>
      </c>
      <c r="O1" s="54" t="s">
        <v>70</v>
      </c>
      <c r="P1" s="54" t="s">
        <v>71</v>
      </c>
      <c r="Q1" s="54" t="s">
        <v>72</v>
      </c>
      <c r="R1" s="54" t="s">
        <v>73</v>
      </c>
      <c r="S1" s="54" t="s">
        <v>74</v>
      </c>
      <c r="T1" s="54" t="s">
        <v>143</v>
      </c>
      <c r="U1" s="54" t="s">
        <v>144</v>
      </c>
      <c r="V1" s="54" t="s">
        <v>145</v>
      </c>
      <c r="W1" s="54" t="s">
        <v>146</v>
      </c>
      <c r="X1" s="54" t="s">
        <v>147</v>
      </c>
      <c r="Y1" s="57" t="s">
        <v>75</v>
      </c>
    </row>
    <row r="2" spans="1:25" s="6" customFormat="1" ht="15" customHeight="1" x14ac:dyDescent="0.35">
      <c r="A2" s="33"/>
      <c r="B2" s="153" t="s">
        <v>7</v>
      </c>
      <c r="C2" s="154" t="s">
        <v>8</v>
      </c>
      <c r="D2" s="153" t="s">
        <v>9</v>
      </c>
      <c r="E2" s="38" t="s">
        <v>1</v>
      </c>
      <c r="F2" s="18" t="s">
        <v>109</v>
      </c>
      <c r="G2" s="18" t="str">
        <f>G1</f>
        <v>Unit tag</v>
      </c>
      <c r="H2" s="19" t="s">
        <v>68</v>
      </c>
      <c r="I2" s="142" t="s">
        <v>2</v>
      </c>
      <c r="J2" s="19" t="s">
        <v>4</v>
      </c>
      <c r="K2" s="19" t="s">
        <v>5</v>
      </c>
      <c r="L2" s="19" t="s">
        <v>3</v>
      </c>
      <c r="M2" s="19" t="s">
        <v>6</v>
      </c>
      <c r="N2" s="19" t="s">
        <v>69</v>
      </c>
      <c r="O2" s="19" t="s">
        <v>70</v>
      </c>
      <c r="P2" s="19" t="s">
        <v>71</v>
      </c>
      <c r="Q2" s="19" t="s">
        <v>72</v>
      </c>
      <c r="R2" s="19" t="s">
        <v>73</v>
      </c>
      <c r="S2" s="19" t="s">
        <v>74</v>
      </c>
      <c r="T2" s="19" t="s">
        <v>143</v>
      </c>
      <c r="U2" s="19" t="s">
        <v>144</v>
      </c>
      <c r="V2" s="19" t="s">
        <v>145</v>
      </c>
      <c r="W2" s="19" t="s">
        <v>146</v>
      </c>
      <c r="X2" s="19" t="s">
        <v>147</v>
      </c>
      <c r="Y2" s="19" t="s">
        <v>75</v>
      </c>
    </row>
    <row r="3" spans="1:25" s="6" customFormat="1" ht="14" customHeight="1" x14ac:dyDescent="0.35">
      <c r="A3" s="37"/>
      <c r="B3" s="153"/>
      <c r="C3" s="154"/>
      <c r="D3" s="153"/>
      <c r="E3" s="38" t="s">
        <v>88</v>
      </c>
      <c r="F3" s="15" t="s">
        <v>110</v>
      </c>
      <c r="G3" s="15" t="s">
        <v>110</v>
      </c>
      <c r="H3" s="15" t="s">
        <v>110</v>
      </c>
      <c r="I3" s="143" t="s">
        <v>110</v>
      </c>
      <c r="J3" s="15" t="s">
        <v>110</v>
      </c>
      <c r="K3" s="15" t="s">
        <v>110</v>
      </c>
      <c r="L3" s="14" t="s">
        <v>110</v>
      </c>
      <c r="M3" s="15" t="s">
        <v>110</v>
      </c>
      <c r="N3" s="55">
        <v>2025</v>
      </c>
      <c r="O3" s="55">
        <v>2025</v>
      </c>
      <c r="P3" s="55">
        <v>2025</v>
      </c>
      <c r="Q3" s="55">
        <v>2025</v>
      </c>
      <c r="R3" s="55">
        <v>2025</v>
      </c>
      <c r="S3" s="55">
        <v>2025</v>
      </c>
      <c r="T3" s="55">
        <v>2025</v>
      </c>
      <c r="U3" s="55">
        <v>2025</v>
      </c>
      <c r="V3" s="55">
        <v>2025</v>
      </c>
      <c r="W3" s="55">
        <v>2025</v>
      </c>
      <c r="X3" s="55">
        <v>2025</v>
      </c>
      <c r="Y3" s="55">
        <v>2025</v>
      </c>
    </row>
    <row r="4" spans="1:25" s="6" customFormat="1" ht="5.5" customHeight="1" x14ac:dyDescent="0.35">
      <c r="A4" s="37"/>
      <c r="B4" s="153"/>
      <c r="C4" s="154"/>
      <c r="D4" s="153"/>
      <c r="E4" s="38"/>
      <c r="F4" s="15" t="str">
        <f>F2&amp;F3</f>
        <v>Used (1 or 0)All</v>
      </c>
      <c r="G4" s="15" t="str">
        <f>G2&amp;G3</f>
        <v>Unit tagAll</v>
      </c>
      <c r="H4" s="15" t="str">
        <f t="shared" ref="H4:M4" si="0">H2&amp;H3</f>
        <v>Yearly demand (kg fuel)All</v>
      </c>
      <c r="I4" s="143" t="str">
        <f t="shared" si="0"/>
        <v>Produced fromAll</v>
      </c>
      <c r="J4" s="15" t="str">
        <f t="shared" si="0"/>
        <v>El balanceAll</v>
      </c>
      <c r="K4" s="15" t="str">
        <f t="shared" si="0"/>
        <v>Heat balanceAll</v>
      </c>
      <c r="L4" s="15" t="str">
        <f t="shared" si="0"/>
        <v>H2 balanceAll</v>
      </c>
      <c r="M4" s="15" t="str">
        <f t="shared" si="0"/>
        <v>Max CapacityAll</v>
      </c>
      <c r="N4" s="15" t="str">
        <f t="shared" ref="N4:S4" si="1">N2&amp;N3</f>
        <v>Fuel production rate (kg output/kg input)2025</v>
      </c>
      <c r="O4" s="15" t="str">
        <f t="shared" si="1"/>
        <v>Heat generated (kWh/output)2025</v>
      </c>
      <c r="P4" s="15" t="str">
        <f t="shared" si="1"/>
        <v>Load min (% of max capacity)2025</v>
      </c>
      <c r="Q4" s="15" t="str">
        <f t="shared" si="1"/>
        <v>Ramp up (% of capacity /h)2025</v>
      </c>
      <c r="R4" s="15" t="str">
        <f t="shared" si="1"/>
        <v>Ramp down (% of capacity /h)2025</v>
      </c>
      <c r="S4" s="15" t="str">
        <f t="shared" si="1"/>
        <v>Electrical consumption (kWh/output)2025</v>
      </c>
      <c r="T4" s="15" t="s">
        <v>245</v>
      </c>
      <c r="U4" s="15" t="str">
        <f t="shared" ref="U4:Y4" si="2">U2&amp;U3</f>
        <v>Fixed cost (EUR/Capacity installed/y)2025</v>
      </c>
      <c r="V4" s="15" t="str">
        <f t="shared" si="2"/>
        <v>Variable cost (EUR/Output)2025</v>
      </c>
      <c r="W4" s="15" t="str">
        <f t="shared" si="2"/>
        <v>Fuel selling price (EUR/output)2025</v>
      </c>
      <c r="X4" s="15" t="str">
        <f t="shared" si="2"/>
        <v>Fuel buying price (EUR/output)2025</v>
      </c>
      <c r="Y4" s="15" t="str">
        <f t="shared" si="2"/>
        <v>Annuity factor2025</v>
      </c>
    </row>
    <row r="5" spans="1:25" s="8" customFormat="1" ht="16" customHeight="1" x14ac:dyDescent="0.35">
      <c r="B5" s="153"/>
      <c r="C5" s="154"/>
      <c r="D5" s="153"/>
      <c r="E5" s="56" t="s">
        <v>10</v>
      </c>
      <c r="F5" s="8">
        <f t="shared" ref="F5:M5" si="3">COLUMN(F2)-COLUMN($E$5)</f>
        <v>1</v>
      </c>
      <c r="G5" s="8">
        <f t="shared" si="3"/>
        <v>2</v>
      </c>
      <c r="H5" s="8">
        <f t="shared" si="3"/>
        <v>3</v>
      </c>
      <c r="I5" s="144">
        <f t="shared" si="3"/>
        <v>4</v>
      </c>
      <c r="J5" s="8">
        <f t="shared" si="3"/>
        <v>5</v>
      </c>
      <c r="K5" s="8">
        <f t="shared" si="3"/>
        <v>6</v>
      </c>
      <c r="L5" s="8">
        <f>COLUMN(L2)-COLUMN($E$5)</f>
        <v>7</v>
      </c>
      <c r="M5" s="8">
        <f t="shared" si="3"/>
        <v>8</v>
      </c>
      <c r="N5" s="8">
        <f t="shared" ref="N5:S5" si="4">COLUMN(N2)-COLUMN($E$5)</f>
        <v>9</v>
      </c>
      <c r="O5" s="8">
        <f t="shared" si="4"/>
        <v>10</v>
      </c>
      <c r="P5" s="8">
        <f t="shared" si="4"/>
        <v>11</v>
      </c>
      <c r="Q5" s="8">
        <f t="shared" si="4"/>
        <v>12</v>
      </c>
      <c r="R5" s="8">
        <f t="shared" si="4"/>
        <v>13</v>
      </c>
      <c r="S5" s="8">
        <f t="shared" si="4"/>
        <v>14</v>
      </c>
      <c r="T5" s="8">
        <v>17</v>
      </c>
      <c r="U5" s="8">
        <f t="shared" ref="U5:Y5" si="5">COLUMN(U2)-COLUMN($E$5)</f>
        <v>16</v>
      </c>
      <c r="V5" s="8">
        <f t="shared" si="5"/>
        <v>17</v>
      </c>
      <c r="W5" s="8">
        <f t="shared" si="5"/>
        <v>18</v>
      </c>
      <c r="X5" s="8">
        <f t="shared" si="5"/>
        <v>19</v>
      </c>
      <c r="Y5" s="8">
        <f t="shared" si="5"/>
        <v>20</v>
      </c>
    </row>
    <row r="6" spans="1:25" s="82" customFormat="1" ht="14.5" customHeight="1" x14ac:dyDescent="0.35">
      <c r="A6" s="152" t="s">
        <v>11</v>
      </c>
      <c r="B6" s="78" t="s">
        <v>112</v>
      </c>
      <c r="C6" s="79" t="s">
        <v>194</v>
      </c>
      <c r="D6" s="80" t="s">
        <v>67</v>
      </c>
      <c r="E6" s="9">
        <f t="shared" ref="E6:E42" si="6">ROW(D6)-ROW($E$5)</f>
        <v>1</v>
      </c>
      <c r="F6" s="81">
        <v>1</v>
      </c>
      <c r="G6" s="81" t="s">
        <v>77</v>
      </c>
      <c r="H6" s="82">
        <v>0</v>
      </c>
      <c r="I6" s="83" t="str">
        <f>B8</f>
        <v>Product/Reactant1</v>
      </c>
      <c r="J6" s="82">
        <v>0</v>
      </c>
      <c r="K6" s="82">
        <v>0</v>
      </c>
      <c r="L6" s="82">
        <v>0</v>
      </c>
      <c r="M6" s="82">
        <v>40000</v>
      </c>
      <c r="N6" s="82">
        <v>1.37</v>
      </c>
      <c r="O6" s="82">
        <v>0</v>
      </c>
      <c r="P6" s="84">
        <v>0</v>
      </c>
      <c r="Q6" s="84">
        <v>1</v>
      </c>
      <c r="R6" s="84">
        <v>1</v>
      </c>
      <c r="S6" s="85">
        <v>0.5</v>
      </c>
      <c r="T6" s="82">
        <v>7000</v>
      </c>
      <c r="U6" s="82">
        <v>350</v>
      </c>
      <c r="V6" s="82">
        <v>0</v>
      </c>
      <c r="W6" s="82">
        <v>0</v>
      </c>
      <c r="X6" s="82">
        <v>0</v>
      </c>
      <c r="Y6" s="82">
        <v>0.10185220882315059</v>
      </c>
    </row>
    <row r="7" spans="1:25" s="82" customFormat="1" x14ac:dyDescent="0.35">
      <c r="A7" s="152"/>
      <c r="B7" s="78" t="s">
        <v>112</v>
      </c>
      <c r="C7" s="79" t="s">
        <v>194</v>
      </c>
      <c r="D7" s="80" t="s">
        <v>83</v>
      </c>
      <c r="E7" s="9">
        <f t="shared" si="6"/>
        <v>2</v>
      </c>
      <c r="F7" s="81">
        <v>1</v>
      </c>
      <c r="G7" s="81" t="s">
        <v>78</v>
      </c>
      <c r="H7" s="82">
        <v>0</v>
      </c>
      <c r="I7" s="83" t="str">
        <f>B8</f>
        <v>Product/Reactant1</v>
      </c>
      <c r="J7" s="82">
        <v>0</v>
      </c>
      <c r="K7" s="82">
        <v>0</v>
      </c>
      <c r="L7" s="82">
        <v>0</v>
      </c>
      <c r="M7" s="82">
        <f>M6</f>
        <v>40000</v>
      </c>
      <c r="N7" s="82">
        <v>1.37</v>
      </c>
      <c r="O7" s="82">
        <v>0</v>
      </c>
      <c r="P7" s="84">
        <v>0</v>
      </c>
      <c r="Q7" s="84">
        <v>1</v>
      </c>
      <c r="R7" s="84">
        <v>1</v>
      </c>
      <c r="S7" s="86">
        <v>0</v>
      </c>
      <c r="T7" s="86">
        <v>0</v>
      </c>
      <c r="U7" s="86">
        <v>0</v>
      </c>
      <c r="V7" s="86">
        <v>0</v>
      </c>
      <c r="W7" s="82">
        <v>0</v>
      </c>
      <c r="X7" s="82">
        <v>0.154</v>
      </c>
      <c r="Y7" s="82">
        <v>0</v>
      </c>
    </row>
    <row r="8" spans="1:25" s="82" customFormat="1" x14ac:dyDescent="0.35">
      <c r="A8" s="152"/>
      <c r="B8" s="78" t="s">
        <v>111</v>
      </c>
      <c r="C8" s="87" t="s">
        <v>137</v>
      </c>
      <c r="D8" s="80" t="s">
        <v>256</v>
      </c>
      <c r="E8" s="9">
        <f t="shared" si="6"/>
        <v>3</v>
      </c>
      <c r="F8" s="81">
        <v>1</v>
      </c>
      <c r="G8" s="81" t="s">
        <v>89</v>
      </c>
      <c r="H8" s="158">
        <f>(2.2/(19.9/3.6))*10^9</f>
        <v>397989949.74874377</v>
      </c>
      <c r="I8" s="83" t="str">
        <f>B15</f>
        <v>Reactant2</v>
      </c>
      <c r="J8" s="82">
        <v>0</v>
      </c>
      <c r="K8" s="82">
        <v>1</v>
      </c>
      <c r="L8" s="82">
        <v>0</v>
      </c>
      <c r="M8" s="82">
        <v>20000</v>
      </c>
      <c r="N8" s="82">
        <v>5.26</v>
      </c>
      <c r="O8" s="82">
        <v>0.68</v>
      </c>
      <c r="P8" s="84">
        <v>0.4</v>
      </c>
      <c r="Q8" s="84">
        <v>0.2</v>
      </c>
      <c r="R8" s="84">
        <v>0.2</v>
      </c>
      <c r="S8" s="85">
        <v>1.7</v>
      </c>
      <c r="T8" s="82">
        <v>23668.2</v>
      </c>
      <c r="U8" s="82">
        <f>T8*4%</f>
        <v>946.72800000000007</v>
      </c>
      <c r="V8" s="86">
        <v>0</v>
      </c>
      <c r="W8" s="82">
        <v>0</v>
      </c>
      <c r="X8" s="82">
        <v>0</v>
      </c>
      <c r="Y8" s="82">
        <v>8.8495575221238937E-2</v>
      </c>
    </row>
    <row r="9" spans="1:25" s="93" customFormat="1" x14ac:dyDescent="0.35">
      <c r="A9" s="152"/>
      <c r="B9" s="88" t="s">
        <v>112</v>
      </c>
      <c r="C9" s="89" t="s">
        <v>137</v>
      </c>
      <c r="D9" s="90" t="s">
        <v>250</v>
      </c>
      <c r="E9" s="9">
        <f t="shared" si="6"/>
        <v>4</v>
      </c>
      <c r="F9" s="91">
        <v>1</v>
      </c>
      <c r="G9" s="91" t="s">
        <v>79</v>
      </c>
      <c r="H9" s="158">
        <f>(2.2/(18.6/3.6))*10^9</f>
        <v>425806451.61290324</v>
      </c>
      <c r="I9" s="92" t="str">
        <f>B16</f>
        <v>Reactant6</v>
      </c>
      <c r="J9" s="93">
        <v>0</v>
      </c>
      <c r="K9" s="93">
        <v>1</v>
      </c>
      <c r="L9" s="93">
        <v>0</v>
      </c>
      <c r="M9" s="93">
        <v>20000</v>
      </c>
      <c r="N9" s="136">
        <f>1/0.18</f>
        <v>5.5555555555555554</v>
      </c>
      <c r="O9" s="93">
        <v>0</v>
      </c>
      <c r="P9" s="94">
        <v>0.4</v>
      </c>
      <c r="Q9" s="94">
        <v>0.2</v>
      </c>
      <c r="R9" s="94">
        <v>0.2</v>
      </c>
      <c r="S9" s="93">
        <v>0.47</v>
      </c>
      <c r="T9" s="93">
        <v>18057.96</v>
      </c>
      <c r="U9" s="93">
        <f>T9*4%</f>
        <v>722.3184</v>
      </c>
      <c r="V9" s="93">
        <v>0</v>
      </c>
      <c r="W9" s="93">
        <v>0</v>
      </c>
      <c r="X9" s="93">
        <v>0</v>
      </c>
      <c r="Y9" s="107">
        <f t="shared" ref="Y9:Y10" si="7">1/11.3</f>
        <v>8.8495575221238937E-2</v>
      </c>
    </row>
    <row r="10" spans="1:25" s="93" customFormat="1" x14ac:dyDescent="0.35">
      <c r="A10" s="152"/>
      <c r="B10" s="88" t="s">
        <v>112</v>
      </c>
      <c r="C10" s="89" t="s">
        <v>137</v>
      </c>
      <c r="D10" s="90" t="s">
        <v>251</v>
      </c>
      <c r="E10" s="9">
        <f>ROW(D10)-ROW($E$5)</f>
        <v>5</v>
      </c>
      <c r="F10" s="91">
        <v>1</v>
      </c>
      <c r="G10" s="91" t="s">
        <v>80</v>
      </c>
      <c r="H10" s="158">
        <f>(2.2/(18.6/3.6))*10^9</f>
        <v>425806451.61290324</v>
      </c>
      <c r="I10" s="92" t="str">
        <f>B16</f>
        <v>Reactant6</v>
      </c>
      <c r="J10" s="93">
        <v>0</v>
      </c>
      <c r="K10" s="93">
        <v>1</v>
      </c>
      <c r="L10" s="93">
        <v>0</v>
      </c>
      <c r="M10" s="93">
        <f>M9</f>
        <v>20000</v>
      </c>
      <c r="N10" s="136">
        <f>1/0.18</f>
        <v>5.5555555555555554</v>
      </c>
      <c r="O10" s="93">
        <v>0</v>
      </c>
      <c r="P10" s="94">
        <v>0.4</v>
      </c>
      <c r="Q10" s="94">
        <v>0.2</v>
      </c>
      <c r="R10" s="94">
        <v>0.2</v>
      </c>
      <c r="S10" s="93">
        <v>0.61</v>
      </c>
      <c r="T10" s="93">
        <v>18057.96</v>
      </c>
      <c r="U10" s="93">
        <f>T10*4%</f>
        <v>722.3184</v>
      </c>
      <c r="V10" s="93">
        <v>0</v>
      </c>
      <c r="W10" s="93">
        <v>0</v>
      </c>
      <c r="X10" s="93">
        <v>0</v>
      </c>
      <c r="Y10" s="107">
        <f t="shared" si="7"/>
        <v>8.8495575221238937E-2</v>
      </c>
    </row>
    <row r="11" spans="1:25" s="98" customFormat="1" x14ac:dyDescent="0.35">
      <c r="A11" s="152"/>
      <c r="B11" s="95" t="s">
        <v>112</v>
      </c>
      <c r="C11" s="125" t="s">
        <v>137</v>
      </c>
      <c r="D11" s="96" t="s">
        <v>264</v>
      </c>
      <c r="E11" s="9">
        <f>ROW(D11)-ROW($E$5)</f>
        <v>6</v>
      </c>
      <c r="F11" s="97">
        <v>1</v>
      </c>
      <c r="G11" s="97" t="s">
        <v>190</v>
      </c>
      <c r="H11" s="158">
        <f>(2.2/(120/3.6))*10^9</f>
        <v>66000000</v>
      </c>
      <c r="I11" s="99" t="s">
        <v>115</v>
      </c>
      <c r="J11" s="98">
        <v>0</v>
      </c>
      <c r="K11" s="98">
        <v>1</v>
      </c>
      <c r="L11" s="98">
        <v>0</v>
      </c>
      <c r="M11" s="98">
        <f>M10</f>
        <v>20000</v>
      </c>
      <c r="N11" s="98">
        <v>1</v>
      </c>
      <c r="O11" s="98">
        <v>0</v>
      </c>
      <c r="P11" s="100">
        <v>0</v>
      </c>
      <c r="Q11" s="100">
        <v>1</v>
      </c>
      <c r="R11" s="100">
        <v>1</v>
      </c>
      <c r="S11" s="98">
        <v>0</v>
      </c>
      <c r="T11" s="98">
        <v>0</v>
      </c>
      <c r="U11" s="98">
        <v>0</v>
      </c>
      <c r="V11" s="98">
        <v>0</v>
      </c>
      <c r="W11" s="98">
        <v>0</v>
      </c>
      <c r="X11" s="98">
        <v>0</v>
      </c>
      <c r="Y11" s="98">
        <v>0</v>
      </c>
    </row>
    <row r="12" spans="1:25" x14ac:dyDescent="0.35">
      <c r="A12" s="152"/>
      <c r="B12" s="20" t="s">
        <v>189</v>
      </c>
      <c r="C12" s="11" t="s">
        <v>194</v>
      </c>
      <c r="D12" s="69" t="s">
        <v>246</v>
      </c>
      <c r="E12" s="9">
        <f t="shared" si="6"/>
        <v>7</v>
      </c>
      <c r="F12" s="2">
        <v>1</v>
      </c>
      <c r="G12" s="2" t="s">
        <v>181</v>
      </c>
      <c r="H12">
        <v>0</v>
      </c>
      <c r="I12" s="145" t="s">
        <v>12</v>
      </c>
      <c r="J12">
        <v>0</v>
      </c>
      <c r="K12">
        <v>0</v>
      </c>
      <c r="L12">
        <v>0</v>
      </c>
      <c r="M12">
        <v>400000</v>
      </c>
      <c r="N12">
        <v>0</v>
      </c>
      <c r="O12">
        <v>0</v>
      </c>
      <c r="P12" s="13">
        <v>0</v>
      </c>
      <c r="Q12" s="13">
        <v>1</v>
      </c>
      <c r="R12" s="13">
        <v>1</v>
      </c>
      <c r="S12">
        <v>6.7499999999999991E-3</v>
      </c>
      <c r="T12">
        <v>147.87739999999999</v>
      </c>
      <c r="U12">
        <f>T12*0.03</f>
        <v>4.4363219999999997</v>
      </c>
      <c r="V12">
        <v>0</v>
      </c>
      <c r="W12">
        <v>0</v>
      </c>
      <c r="X12">
        <v>0</v>
      </c>
      <c r="Y12">
        <v>0.11682954493601999</v>
      </c>
    </row>
    <row r="13" spans="1:25" s="112" customFormat="1" x14ac:dyDescent="0.35">
      <c r="A13" s="152"/>
      <c r="B13" s="108" t="s">
        <v>116</v>
      </c>
      <c r="C13" s="109" t="s">
        <v>194</v>
      </c>
      <c r="D13" s="110" t="s">
        <v>182</v>
      </c>
      <c r="E13" s="9">
        <f t="shared" si="6"/>
        <v>8</v>
      </c>
      <c r="F13" s="111">
        <v>1</v>
      </c>
      <c r="G13" s="111" t="s">
        <v>81</v>
      </c>
      <c r="H13" s="112">
        <v>0</v>
      </c>
      <c r="I13" s="113" t="str">
        <f>B12</f>
        <v>Reactant8</v>
      </c>
      <c r="J13" s="112">
        <v>0</v>
      </c>
      <c r="K13" s="112">
        <v>1</v>
      </c>
      <c r="L13" s="112">
        <v>1</v>
      </c>
      <c r="M13" s="112">
        <v>20000</v>
      </c>
      <c r="N13" s="112">
        <f t="shared" ref="N13:N14" si="8">(1/9)*0.8</f>
        <v>8.8888888888888892E-2</v>
      </c>
      <c r="O13" s="112">
        <v>7.07</v>
      </c>
      <c r="P13" s="114">
        <v>0</v>
      </c>
      <c r="Q13" s="114">
        <v>1</v>
      </c>
      <c r="R13" s="114">
        <v>1</v>
      </c>
      <c r="S13" s="112">
        <v>51.5</v>
      </c>
      <c r="T13" s="112">
        <v>55000</v>
      </c>
      <c r="U13" s="112">
        <f>10%*T13</f>
        <v>5500</v>
      </c>
      <c r="V13" s="112">
        <v>0</v>
      </c>
      <c r="W13" s="112">
        <v>0</v>
      </c>
      <c r="X13" s="112">
        <v>0</v>
      </c>
      <c r="Y13" s="115">
        <f t="shared" ref="Y13:Y14" si="9">1/11.3</f>
        <v>8.8495575221238937E-2</v>
      </c>
    </row>
    <row r="14" spans="1:25" s="120" customFormat="1" x14ac:dyDescent="0.35">
      <c r="A14" s="152"/>
      <c r="B14" s="116" t="s">
        <v>116</v>
      </c>
      <c r="C14" s="117" t="s">
        <v>194</v>
      </c>
      <c r="D14" s="118" t="s">
        <v>186</v>
      </c>
      <c r="E14" s="9">
        <f t="shared" si="6"/>
        <v>9</v>
      </c>
      <c r="F14" s="119">
        <v>1</v>
      </c>
      <c r="G14" s="119" t="s">
        <v>187</v>
      </c>
      <c r="H14" s="120">
        <v>0</v>
      </c>
      <c r="I14" s="121" t="str">
        <f>B12</f>
        <v>Reactant8</v>
      </c>
      <c r="J14" s="120">
        <v>0</v>
      </c>
      <c r="K14" s="120">
        <v>1</v>
      </c>
      <c r="L14" s="120">
        <v>1</v>
      </c>
      <c r="M14" s="120">
        <f>M13</f>
        <v>20000</v>
      </c>
      <c r="N14" s="120">
        <f t="shared" si="8"/>
        <v>8.8888888888888892E-2</v>
      </c>
      <c r="O14" s="120">
        <v>0</v>
      </c>
      <c r="P14" s="122">
        <v>0</v>
      </c>
      <c r="Q14" s="122">
        <v>1</v>
      </c>
      <c r="R14" s="122">
        <v>1</v>
      </c>
      <c r="S14" s="123">
        <v>37.9</v>
      </c>
      <c r="T14" s="123">
        <v>105260</v>
      </c>
      <c r="U14" s="123">
        <f>8.55%*T14</f>
        <v>8999.7300000000014</v>
      </c>
      <c r="V14" s="120">
        <v>0</v>
      </c>
      <c r="W14" s="120">
        <v>0</v>
      </c>
      <c r="X14" s="120">
        <v>0</v>
      </c>
      <c r="Y14" s="124">
        <f t="shared" si="9"/>
        <v>8.8495575221238937E-2</v>
      </c>
    </row>
    <row r="15" spans="1:25" x14ac:dyDescent="0.35">
      <c r="A15" s="152"/>
      <c r="B15" s="20" t="s">
        <v>113</v>
      </c>
      <c r="C15" s="11" t="s">
        <v>194</v>
      </c>
      <c r="D15" s="69" t="s">
        <v>65</v>
      </c>
      <c r="E15" s="9">
        <f t="shared" si="6"/>
        <v>10</v>
      </c>
      <c r="F15" s="2">
        <v>1</v>
      </c>
      <c r="G15" s="2" t="s">
        <v>66</v>
      </c>
      <c r="H15" s="10">
        <v>0</v>
      </c>
      <c r="I15" s="145" t="s">
        <v>12</v>
      </c>
      <c r="J15">
        <v>0</v>
      </c>
      <c r="K15">
        <v>0</v>
      </c>
      <c r="L15">
        <v>-1</v>
      </c>
      <c r="M15">
        <f>M13</f>
        <v>20000</v>
      </c>
      <c r="N15" s="10">
        <v>0</v>
      </c>
      <c r="O15">
        <v>0</v>
      </c>
      <c r="P15" s="13">
        <v>0</v>
      </c>
      <c r="Q15" s="13">
        <v>1</v>
      </c>
      <c r="R15" s="13">
        <v>1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</row>
    <row r="16" spans="1:25" s="71" customFormat="1" x14ac:dyDescent="0.35">
      <c r="A16" s="152"/>
      <c r="B16" s="137" t="s">
        <v>114</v>
      </c>
      <c r="C16" s="138" t="s">
        <v>194</v>
      </c>
      <c r="D16" s="69" t="s">
        <v>29</v>
      </c>
      <c r="E16" s="9">
        <f t="shared" si="6"/>
        <v>11</v>
      </c>
      <c r="F16" s="139">
        <v>1</v>
      </c>
      <c r="G16" s="139" t="s">
        <v>18</v>
      </c>
      <c r="H16" s="50">
        <v>0</v>
      </c>
      <c r="I16" s="146" t="s">
        <v>12</v>
      </c>
      <c r="J16" s="71">
        <v>0</v>
      </c>
      <c r="K16" s="71">
        <v>0</v>
      </c>
      <c r="L16" s="71">
        <v>-1</v>
      </c>
      <c r="M16" s="71">
        <f>M13</f>
        <v>20000</v>
      </c>
      <c r="N16" s="50">
        <v>0</v>
      </c>
      <c r="O16" s="71">
        <v>0</v>
      </c>
      <c r="P16" s="140">
        <v>0</v>
      </c>
      <c r="Q16" s="140">
        <v>1</v>
      </c>
      <c r="R16" s="140">
        <v>1</v>
      </c>
      <c r="S16" s="50">
        <v>0</v>
      </c>
      <c r="T16" s="50">
        <v>0</v>
      </c>
      <c r="U16" s="50">
        <v>0</v>
      </c>
      <c r="V16" s="50">
        <v>0</v>
      </c>
      <c r="W16" s="50">
        <v>0</v>
      </c>
      <c r="X16" s="50">
        <v>0</v>
      </c>
      <c r="Y16" s="50">
        <v>0</v>
      </c>
    </row>
    <row r="17" spans="1:25" s="71" customFormat="1" x14ac:dyDescent="0.35">
      <c r="A17" s="152"/>
      <c r="B17" s="137" t="s">
        <v>115</v>
      </c>
      <c r="C17" s="138" t="s">
        <v>194</v>
      </c>
      <c r="D17" s="69" t="s">
        <v>265</v>
      </c>
      <c r="E17" s="9">
        <f t="shared" si="6"/>
        <v>12</v>
      </c>
      <c r="F17" s="139">
        <v>1</v>
      </c>
      <c r="G17" s="139" t="s">
        <v>191</v>
      </c>
      <c r="H17" s="50">
        <v>0</v>
      </c>
      <c r="I17" s="146" t="s">
        <v>12</v>
      </c>
      <c r="J17" s="71">
        <v>0</v>
      </c>
      <c r="K17" s="71">
        <v>0</v>
      </c>
      <c r="L17" s="71">
        <v>-1</v>
      </c>
      <c r="M17" s="71">
        <f>M14</f>
        <v>20000</v>
      </c>
      <c r="N17" s="50">
        <v>0</v>
      </c>
      <c r="O17" s="71">
        <v>0</v>
      </c>
      <c r="P17" s="140">
        <v>0</v>
      </c>
      <c r="Q17" s="140">
        <v>1</v>
      </c>
      <c r="R17" s="140">
        <v>1</v>
      </c>
      <c r="S17" s="50">
        <v>0</v>
      </c>
      <c r="T17" s="50">
        <v>0</v>
      </c>
      <c r="U17" s="50">
        <v>0</v>
      </c>
      <c r="V17" s="50">
        <v>0</v>
      </c>
      <c r="W17" s="50">
        <v>0</v>
      </c>
      <c r="X17" s="50">
        <v>0</v>
      </c>
      <c r="Y17" s="50">
        <v>0</v>
      </c>
    </row>
    <row r="18" spans="1:25" s="49" customFormat="1" x14ac:dyDescent="0.35">
      <c r="A18" s="152"/>
      <c r="B18" s="101" t="s">
        <v>26</v>
      </c>
      <c r="C18" s="102" t="s">
        <v>194</v>
      </c>
      <c r="D18" s="103" t="s">
        <v>30</v>
      </c>
      <c r="E18" s="9">
        <f t="shared" si="6"/>
        <v>13</v>
      </c>
      <c r="F18" s="104">
        <v>1</v>
      </c>
      <c r="G18" s="104" t="s">
        <v>19</v>
      </c>
      <c r="H18" s="126">
        <v>0</v>
      </c>
      <c r="I18" s="105" t="s">
        <v>12</v>
      </c>
      <c r="J18" s="49">
        <v>0</v>
      </c>
      <c r="K18" s="49">
        <v>1</v>
      </c>
      <c r="L18" s="49">
        <v>0</v>
      </c>
      <c r="M18" s="49">
        <f>M24</f>
        <v>2000000</v>
      </c>
      <c r="N18" s="126">
        <v>0</v>
      </c>
      <c r="O18" s="49">
        <v>0</v>
      </c>
      <c r="P18" s="106">
        <v>0</v>
      </c>
      <c r="Q18" s="106">
        <v>1</v>
      </c>
      <c r="R18" s="106">
        <v>1</v>
      </c>
      <c r="S18" s="126">
        <v>0</v>
      </c>
      <c r="T18" s="126">
        <v>0</v>
      </c>
      <c r="U18" s="126">
        <v>0</v>
      </c>
      <c r="V18" s="126">
        <v>0</v>
      </c>
      <c r="W18" s="126">
        <v>0</v>
      </c>
      <c r="X18" s="126">
        <v>0</v>
      </c>
      <c r="Y18" s="126">
        <v>0</v>
      </c>
    </row>
    <row r="19" spans="1:25" s="49" customFormat="1" x14ac:dyDescent="0.35">
      <c r="A19" s="152"/>
      <c r="B19" s="101" t="s">
        <v>27</v>
      </c>
      <c r="C19" s="149" t="s">
        <v>263</v>
      </c>
      <c r="D19" s="103" t="s">
        <v>31</v>
      </c>
      <c r="E19" s="9">
        <f t="shared" si="6"/>
        <v>14</v>
      </c>
      <c r="F19" s="104">
        <v>1</v>
      </c>
      <c r="G19" s="104" t="s">
        <v>20</v>
      </c>
      <c r="H19" s="126">
        <v>0</v>
      </c>
      <c r="I19" s="105" t="s">
        <v>12</v>
      </c>
      <c r="J19" s="126">
        <v>0</v>
      </c>
      <c r="K19" s="49">
        <v>-1</v>
      </c>
      <c r="L19" s="126">
        <v>0</v>
      </c>
      <c r="M19" s="49">
        <f>M24</f>
        <v>2000000</v>
      </c>
      <c r="N19" s="126">
        <v>0</v>
      </c>
      <c r="O19" s="49">
        <v>1</v>
      </c>
      <c r="P19" s="106">
        <v>0</v>
      </c>
      <c r="Q19" s="106">
        <v>1</v>
      </c>
      <c r="R19" s="106">
        <v>1</v>
      </c>
      <c r="S19" s="126">
        <v>0</v>
      </c>
      <c r="T19" s="126">
        <v>0</v>
      </c>
      <c r="U19" s="126">
        <v>0</v>
      </c>
      <c r="V19" s="126">
        <v>0</v>
      </c>
      <c r="W19" s="127">
        <v>2.3E-2</v>
      </c>
      <c r="X19" s="126">
        <v>0</v>
      </c>
      <c r="Y19" s="126">
        <v>0</v>
      </c>
    </row>
    <row r="20" spans="1:25" s="49" customFormat="1" x14ac:dyDescent="0.35">
      <c r="A20" s="152"/>
      <c r="B20" s="101" t="s">
        <v>112</v>
      </c>
      <c r="C20" s="149" t="s">
        <v>262</v>
      </c>
      <c r="D20" s="103" t="s">
        <v>32</v>
      </c>
      <c r="E20" s="9">
        <f t="shared" si="6"/>
        <v>15</v>
      </c>
      <c r="F20" s="104">
        <v>1</v>
      </c>
      <c r="G20" s="104" t="s">
        <v>13</v>
      </c>
      <c r="H20" s="49">
        <v>0</v>
      </c>
      <c r="I20" s="105" t="str">
        <f>B13</f>
        <v>Product/Reactant3</v>
      </c>
      <c r="J20" s="49">
        <v>0</v>
      </c>
      <c r="K20" s="49">
        <v>0</v>
      </c>
      <c r="L20" s="49">
        <v>0</v>
      </c>
      <c r="M20" s="49">
        <f>9*M13</f>
        <v>180000</v>
      </c>
      <c r="N20" s="49">
        <v>8</v>
      </c>
      <c r="O20" s="49">
        <v>0</v>
      </c>
      <c r="P20" s="106">
        <v>0</v>
      </c>
      <c r="Q20" s="106">
        <v>1</v>
      </c>
      <c r="R20" s="106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0.05</v>
      </c>
      <c r="X20" s="49">
        <v>0</v>
      </c>
      <c r="Y20" s="49">
        <v>0</v>
      </c>
    </row>
    <row r="21" spans="1:25" s="75" customFormat="1" x14ac:dyDescent="0.35">
      <c r="A21" s="152"/>
      <c r="B21" s="72" t="s">
        <v>14</v>
      </c>
      <c r="C21" s="73" t="s">
        <v>194</v>
      </c>
      <c r="D21" s="129" t="s">
        <v>247</v>
      </c>
      <c r="E21" s="9">
        <f t="shared" si="6"/>
        <v>16</v>
      </c>
      <c r="F21" s="74">
        <v>1</v>
      </c>
      <c r="G21" s="74" t="s">
        <v>131</v>
      </c>
      <c r="H21" s="75">
        <v>0</v>
      </c>
      <c r="I21" s="147" t="s">
        <v>12</v>
      </c>
      <c r="J21" s="75">
        <v>0</v>
      </c>
      <c r="K21" s="75">
        <v>0</v>
      </c>
      <c r="L21" s="75">
        <v>-1</v>
      </c>
      <c r="M21" s="75">
        <v>20000</v>
      </c>
      <c r="N21" s="77">
        <v>0</v>
      </c>
      <c r="O21" s="75">
        <v>0</v>
      </c>
      <c r="P21" s="76">
        <v>0</v>
      </c>
      <c r="Q21" s="76">
        <v>1</v>
      </c>
      <c r="R21" s="76">
        <v>1</v>
      </c>
      <c r="S21" s="75">
        <v>0.94</v>
      </c>
      <c r="T21" s="75">
        <v>0</v>
      </c>
      <c r="U21" s="75">
        <v>0</v>
      </c>
      <c r="V21" s="75">
        <v>0</v>
      </c>
      <c r="W21" s="75">
        <v>0</v>
      </c>
      <c r="X21" s="75">
        <v>0</v>
      </c>
      <c r="Y21" s="75">
        <v>9.3678779051968114E-2</v>
      </c>
    </row>
    <row r="22" spans="1:25" s="75" customFormat="1" x14ac:dyDescent="0.35">
      <c r="A22" s="152"/>
      <c r="B22" s="72" t="s">
        <v>15</v>
      </c>
      <c r="C22" s="73" t="s">
        <v>194</v>
      </c>
      <c r="D22" s="129" t="s">
        <v>248</v>
      </c>
      <c r="E22" s="9">
        <f t="shared" si="6"/>
        <v>17</v>
      </c>
      <c r="F22" s="74">
        <v>1</v>
      </c>
      <c r="G22" s="74" t="s">
        <v>132</v>
      </c>
      <c r="H22" s="75">
        <v>0</v>
      </c>
      <c r="I22" s="147" t="s">
        <v>12</v>
      </c>
      <c r="J22" s="75">
        <v>0</v>
      </c>
      <c r="K22" s="75">
        <v>0</v>
      </c>
      <c r="L22" s="75">
        <v>1</v>
      </c>
      <c r="M22" s="75">
        <v>20000</v>
      </c>
      <c r="N22" s="77">
        <v>0</v>
      </c>
      <c r="O22" s="75">
        <v>0</v>
      </c>
      <c r="P22" s="76">
        <v>0</v>
      </c>
      <c r="Q22" s="76">
        <v>1</v>
      </c>
      <c r="R22" s="76">
        <v>1</v>
      </c>
      <c r="S22" s="75">
        <v>0</v>
      </c>
      <c r="T22" s="75">
        <v>0</v>
      </c>
      <c r="U22" s="75">
        <v>0</v>
      </c>
      <c r="V22" s="75">
        <v>0</v>
      </c>
      <c r="W22" s="75">
        <v>0</v>
      </c>
      <c r="X22" s="75">
        <v>0</v>
      </c>
      <c r="Y22" s="75">
        <v>0</v>
      </c>
    </row>
    <row r="23" spans="1:25" s="134" customFormat="1" x14ac:dyDescent="0.35">
      <c r="A23" s="152"/>
      <c r="B23" s="130" t="s">
        <v>16</v>
      </c>
      <c r="C23" s="131" t="s">
        <v>194</v>
      </c>
      <c r="D23" s="132" t="s">
        <v>249</v>
      </c>
      <c r="E23" s="128">
        <f t="shared" si="6"/>
        <v>18</v>
      </c>
      <c r="F23" s="133">
        <v>1</v>
      </c>
      <c r="G23" s="133" t="s">
        <v>133</v>
      </c>
      <c r="H23" s="134">
        <v>0</v>
      </c>
      <c r="I23" s="148" t="s">
        <v>12</v>
      </c>
      <c r="J23" s="134">
        <v>0</v>
      </c>
      <c r="K23" s="134">
        <v>0</v>
      </c>
      <c r="L23" s="134">
        <v>0</v>
      </c>
      <c r="M23" s="134">
        <v>20000000</v>
      </c>
      <c r="N23" s="134">
        <v>0</v>
      </c>
      <c r="O23" s="134">
        <v>0</v>
      </c>
      <c r="P23" s="135">
        <v>0.09</v>
      </c>
      <c r="Q23" s="135">
        <v>1</v>
      </c>
      <c r="R23" s="135">
        <v>1</v>
      </c>
      <c r="S23" s="134">
        <v>0</v>
      </c>
      <c r="T23" s="134">
        <v>250</v>
      </c>
      <c r="U23" s="134">
        <f>0.03*T23</f>
        <v>7.5</v>
      </c>
      <c r="V23" s="134">
        <v>0</v>
      </c>
      <c r="W23" s="134">
        <v>0</v>
      </c>
      <c r="X23" s="134">
        <v>0</v>
      </c>
      <c r="Y23" s="134">
        <v>8.174285816161557E-2</v>
      </c>
    </row>
    <row r="24" spans="1:25" ht="14.5" customHeight="1" x14ac:dyDescent="0.35">
      <c r="A24" s="152" t="s">
        <v>17</v>
      </c>
      <c r="B24" s="12" t="s">
        <v>42</v>
      </c>
      <c r="C24" s="11" t="s">
        <v>194</v>
      </c>
      <c r="D24" s="7" t="s">
        <v>37</v>
      </c>
      <c r="E24" s="9">
        <f t="shared" si="6"/>
        <v>19</v>
      </c>
      <c r="F24" s="2">
        <v>1</v>
      </c>
      <c r="G24" s="2" t="s">
        <v>38</v>
      </c>
      <c r="H24">
        <v>0</v>
      </c>
      <c r="I24" s="145" t="s">
        <v>12</v>
      </c>
      <c r="J24">
        <v>1</v>
      </c>
      <c r="K24">
        <v>0</v>
      </c>
      <c r="L24">
        <v>0</v>
      </c>
      <c r="M24">
        <v>2000000</v>
      </c>
      <c r="N24" s="10">
        <v>0</v>
      </c>
      <c r="O24">
        <v>0</v>
      </c>
      <c r="P24" s="13">
        <v>0</v>
      </c>
      <c r="Q24" s="13">
        <v>1</v>
      </c>
      <c r="R24" s="13">
        <v>1</v>
      </c>
      <c r="S24">
        <v>0</v>
      </c>
      <c r="T24">
        <v>552.67870000000005</v>
      </c>
      <c r="U24">
        <v>9.1244125000000018</v>
      </c>
      <c r="V24">
        <v>0</v>
      </c>
      <c r="W24">
        <v>0</v>
      </c>
      <c r="X24">
        <v>0</v>
      </c>
      <c r="Y24">
        <v>8.5803264560679798E-2</v>
      </c>
    </row>
    <row r="25" spans="1:25" ht="14.5" customHeight="1" x14ac:dyDescent="0.35">
      <c r="A25" s="152"/>
      <c r="B25" s="12" t="s">
        <v>41</v>
      </c>
      <c r="C25" s="11" t="s">
        <v>194</v>
      </c>
      <c r="D25" s="7" t="s">
        <v>39</v>
      </c>
      <c r="E25" s="9">
        <f>ROW(D25)-ROW($E$5)</f>
        <v>20</v>
      </c>
      <c r="F25" s="2">
        <v>1</v>
      </c>
      <c r="G25" s="2" t="s">
        <v>40</v>
      </c>
      <c r="H25">
        <v>0</v>
      </c>
      <c r="I25" s="145" t="s">
        <v>12</v>
      </c>
      <c r="J25">
        <v>1</v>
      </c>
      <c r="K25">
        <v>0</v>
      </c>
      <c r="L25">
        <v>0</v>
      </c>
      <c r="M25">
        <f t="shared" ref="M25:M38" si="10">$M$24</f>
        <v>2000000</v>
      </c>
      <c r="N25" s="10">
        <v>0</v>
      </c>
      <c r="O25">
        <v>0</v>
      </c>
      <c r="P25" s="13">
        <v>0</v>
      </c>
      <c r="Q25" s="13">
        <v>1</v>
      </c>
      <c r="R25" s="13">
        <v>1</v>
      </c>
      <c r="S25">
        <v>0</v>
      </c>
      <c r="T25">
        <v>646.52980000000002</v>
      </c>
      <c r="U25">
        <v>11.157853000000001</v>
      </c>
      <c r="V25">
        <v>0</v>
      </c>
      <c r="W25">
        <v>0</v>
      </c>
      <c r="X25">
        <v>0</v>
      </c>
      <c r="Y25">
        <v>8.5803264560679798E-2</v>
      </c>
    </row>
    <row r="26" spans="1:25" x14ac:dyDescent="0.35">
      <c r="A26" s="152"/>
      <c r="B26" s="12" t="str">
        <f>CONCATENATE("RPU_"&amp;D26)</f>
        <v>RPU_ON_SP198-HH100</v>
      </c>
      <c r="C26" s="11" t="s">
        <v>194</v>
      </c>
      <c r="D26" s="3" t="s">
        <v>134</v>
      </c>
      <c r="E26" s="9">
        <f t="shared" si="6"/>
        <v>21</v>
      </c>
      <c r="F26" s="2">
        <v>1</v>
      </c>
      <c r="G26" s="2" t="s">
        <v>43</v>
      </c>
      <c r="H26">
        <v>0</v>
      </c>
      <c r="I26" s="145" t="s">
        <v>12</v>
      </c>
      <c r="J26">
        <v>1</v>
      </c>
      <c r="K26">
        <v>0</v>
      </c>
      <c r="L26">
        <v>0</v>
      </c>
      <c r="M26">
        <f t="shared" si="10"/>
        <v>2000000</v>
      </c>
      <c r="N26" s="10">
        <v>0</v>
      </c>
      <c r="O26">
        <v>0</v>
      </c>
      <c r="P26" s="13">
        <v>0</v>
      </c>
      <c r="Q26" s="13">
        <v>1</v>
      </c>
      <c r="R26" s="13">
        <v>1</v>
      </c>
      <c r="S26">
        <v>0</v>
      </c>
      <c r="T26">
        <v>1758.6807528485745</v>
      </c>
      <c r="U26">
        <v>14.599060000000001</v>
      </c>
      <c r="V26">
        <v>1.5641850000000001E-3</v>
      </c>
      <c r="W26">
        <v>0</v>
      </c>
      <c r="X26">
        <v>0</v>
      </c>
      <c r="Y26">
        <v>9.1448096207564403E-2</v>
      </c>
    </row>
    <row r="27" spans="1:25" x14ac:dyDescent="0.35">
      <c r="A27" s="152"/>
      <c r="B27" s="12" t="str">
        <f t="shared" ref="B27:B37" si="11">CONCATENATE("RPU_"&amp;D27)</f>
        <v>RPU_ON_SP198-HH150</v>
      </c>
      <c r="C27" s="11" t="s">
        <v>194</v>
      </c>
      <c r="D27" s="3" t="s">
        <v>44</v>
      </c>
      <c r="E27" s="9">
        <f t="shared" si="6"/>
        <v>22</v>
      </c>
      <c r="F27" s="2">
        <v>1</v>
      </c>
      <c r="G27" s="2" t="s">
        <v>45</v>
      </c>
      <c r="H27">
        <v>0</v>
      </c>
      <c r="I27" s="145" t="s">
        <v>12</v>
      </c>
      <c r="J27">
        <v>1</v>
      </c>
      <c r="K27">
        <v>0</v>
      </c>
      <c r="L27">
        <v>0</v>
      </c>
      <c r="M27">
        <f t="shared" si="10"/>
        <v>2000000</v>
      </c>
      <c r="N27" s="10">
        <v>0</v>
      </c>
      <c r="O27">
        <v>0</v>
      </c>
      <c r="P27" s="13">
        <v>0</v>
      </c>
      <c r="Q27" s="13">
        <v>1</v>
      </c>
      <c r="R27" s="13">
        <v>1</v>
      </c>
      <c r="S27">
        <v>0</v>
      </c>
      <c r="T27">
        <v>2188.7934195531479</v>
      </c>
      <c r="U27">
        <v>14.599060000000001</v>
      </c>
      <c r="V27">
        <v>1.5641850000000001E-3</v>
      </c>
      <c r="W27">
        <v>0</v>
      </c>
      <c r="X27">
        <v>0</v>
      </c>
      <c r="Y27">
        <v>9.1448096207564403E-2</v>
      </c>
    </row>
    <row r="28" spans="1:25" x14ac:dyDescent="0.35">
      <c r="A28" s="152"/>
      <c r="B28" s="12" t="str">
        <f t="shared" si="11"/>
        <v>RPU_ON_SP237-HH100</v>
      </c>
      <c r="C28" s="11" t="s">
        <v>194</v>
      </c>
      <c r="D28" s="3" t="s">
        <v>46</v>
      </c>
      <c r="E28" s="9">
        <f t="shared" si="6"/>
        <v>23</v>
      </c>
      <c r="F28" s="2">
        <v>1</v>
      </c>
      <c r="G28" s="2" t="s">
        <v>47</v>
      </c>
      <c r="H28">
        <v>0</v>
      </c>
      <c r="I28" s="145" t="s">
        <v>12</v>
      </c>
      <c r="J28">
        <v>1</v>
      </c>
      <c r="K28">
        <v>0</v>
      </c>
      <c r="L28">
        <v>0</v>
      </c>
      <c r="M28">
        <f t="shared" si="10"/>
        <v>2000000</v>
      </c>
      <c r="N28" s="10">
        <v>0</v>
      </c>
      <c r="O28">
        <v>0</v>
      </c>
      <c r="P28" s="13">
        <v>0</v>
      </c>
      <c r="Q28" s="13">
        <v>1</v>
      </c>
      <c r="R28" s="13">
        <v>1</v>
      </c>
      <c r="S28">
        <v>0</v>
      </c>
      <c r="T28">
        <v>1554.7627916706663</v>
      </c>
      <c r="U28">
        <v>14.599060000000001</v>
      </c>
      <c r="V28">
        <v>1.5641850000000001E-3</v>
      </c>
      <c r="W28">
        <v>0</v>
      </c>
      <c r="X28">
        <v>0</v>
      </c>
      <c r="Y28">
        <v>9.1448096207564403E-2</v>
      </c>
    </row>
    <row r="29" spans="1:25" x14ac:dyDescent="0.35">
      <c r="A29" s="152"/>
      <c r="B29" s="12" t="str">
        <f t="shared" si="11"/>
        <v>RPU_ON_SP237-HH150</v>
      </c>
      <c r="C29" s="11" t="s">
        <v>194</v>
      </c>
      <c r="D29" s="3" t="s">
        <v>48</v>
      </c>
      <c r="E29" s="9">
        <f t="shared" si="6"/>
        <v>24</v>
      </c>
      <c r="F29" s="2">
        <v>1</v>
      </c>
      <c r="G29" s="2" t="s">
        <v>49</v>
      </c>
      <c r="H29">
        <v>0</v>
      </c>
      <c r="I29" s="145" t="s">
        <v>12</v>
      </c>
      <c r="J29">
        <v>1</v>
      </c>
      <c r="K29">
        <v>0</v>
      </c>
      <c r="L29">
        <v>0</v>
      </c>
      <c r="M29">
        <f t="shared" si="10"/>
        <v>2000000</v>
      </c>
      <c r="N29" s="10">
        <v>0</v>
      </c>
      <c r="O29">
        <v>0</v>
      </c>
      <c r="P29" s="13">
        <v>0</v>
      </c>
      <c r="Q29" s="13">
        <v>1</v>
      </c>
      <c r="R29" s="13">
        <v>1</v>
      </c>
      <c r="S29">
        <v>0</v>
      </c>
      <c r="T29">
        <v>1947.4738868244795</v>
      </c>
      <c r="U29">
        <v>14.599060000000001</v>
      </c>
      <c r="V29">
        <v>1.5641850000000001E-3</v>
      </c>
      <c r="W29">
        <v>0</v>
      </c>
      <c r="X29">
        <v>0</v>
      </c>
      <c r="Y29">
        <v>9.1448096207564403E-2</v>
      </c>
    </row>
    <row r="30" spans="1:25" x14ac:dyDescent="0.35">
      <c r="A30" s="152"/>
      <c r="B30" s="12" t="str">
        <f t="shared" si="11"/>
        <v>RPU_ON_SP277-HH100</v>
      </c>
      <c r="C30" s="11" t="s">
        <v>194</v>
      </c>
      <c r="D30" s="3" t="s">
        <v>50</v>
      </c>
      <c r="E30" s="9">
        <f t="shared" si="6"/>
        <v>25</v>
      </c>
      <c r="F30" s="2">
        <v>1</v>
      </c>
      <c r="G30" s="2" t="s">
        <v>51</v>
      </c>
      <c r="H30">
        <v>0</v>
      </c>
      <c r="I30" s="145" t="s">
        <v>12</v>
      </c>
      <c r="J30">
        <v>1</v>
      </c>
      <c r="K30">
        <v>0</v>
      </c>
      <c r="L30">
        <v>0</v>
      </c>
      <c r="M30">
        <f t="shared" si="10"/>
        <v>2000000</v>
      </c>
      <c r="N30" s="10">
        <v>0</v>
      </c>
      <c r="O30">
        <v>0</v>
      </c>
      <c r="P30" s="13">
        <v>0</v>
      </c>
      <c r="Q30" s="13">
        <v>1</v>
      </c>
      <c r="R30" s="13">
        <v>1</v>
      </c>
      <c r="S30">
        <v>0</v>
      </c>
      <c r="T30">
        <v>1414.9828559823698</v>
      </c>
      <c r="U30">
        <v>14.599060000000001</v>
      </c>
      <c r="V30">
        <v>1.5641850000000001E-3</v>
      </c>
      <c r="W30">
        <v>0</v>
      </c>
      <c r="X30">
        <v>0</v>
      </c>
      <c r="Y30">
        <v>9.1448096207564403E-2</v>
      </c>
    </row>
    <row r="31" spans="1:25" x14ac:dyDescent="0.35">
      <c r="A31" s="152"/>
      <c r="B31" s="12" t="str">
        <f t="shared" si="11"/>
        <v>RPU_ON_SP277-HH150</v>
      </c>
      <c r="C31" s="11" t="s">
        <v>194</v>
      </c>
      <c r="D31" s="3" t="s">
        <v>52</v>
      </c>
      <c r="E31" s="9">
        <f t="shared" si="6"/>
        <v>26</v>
      </c>
      <c r="F31" s="2">
        <v>1</v>
      </c>
      <c r="G31" s="2" t="s">
        <v>53</v>
      </c>
      <c r="H31">
        <v>0</v>
      </c>
      <c r="I31" s="145" t="s">
        <v>12</v>
      </c>
      <c r="J31">
        <v>1</v>
      </c>
      <c r="K31">
        <v>0</v>
      </c>
      <c r="L31">
        <v>0</v>
      </c>
      <c r="M31">
        <f t="shared" si="10"/>
        <v>2000000</v>
      </c>
      <c r="N31" s="10">
        <v>0</v>
      </c>
      <c r="O31">
        <v>0</v>
      </c>
      <c r="P31" s="13">
        <v>0</v>
      </c>
      <c r="Q31" s="13">
        <v>1</v>
      </c>
      <c r="R31" s="13">
        <v>1</v>
      </c>
      <c r="S31">
        <v>0</v>
      </c>
      <c r="T31">
        <v>1807.6939511361822</v>
      </c>
      <c r="U31">
        <v>14.599060000000001</v>
      </c>
      <c r="V31">
        <v>1.5641850000000001E-3</v>
      </c>
      <c r="W31">
        <v>0</v>
      </c>
      <c r="X31">
        <v>0</v>
      </c>
      <c r="Y31">
        <v>9.1448096207564403E-2</v>
      </c>
    </row>
    <row r="32" spans="1:25" x14ac:dyDescent="0.35">
      <c r="A32" s="152"/>
      <c r="B32" s="12" t="str">
        <f t="shared" si="11"/>
        <v>RPU_ON_SP321-HH100</v>
      </c>
      <c r="C32" s="11" t="s">
        <v>194</v>
      </c>
      <c r="D32" s="3" t="s">
        <v>54</v>
      </c>
      <c r="E32" s="9">
        <f t="shared" si="6"/>
        <v>27</v>
      </c>
      <c r="F32" s="2">
        <v>1</v>
      </c>
      <c r="G32" s="2" t="s">
        <v>55</v>
      </c>
      <c r="H32">
        <v>0</v>
      </c>
      <c r="I32" s="145" t="s">
        <v>12</v>
      </c>
      <c r="J32">
        <v>1</v>
      </c>
      <c r="K32">
        <v>0</v>
      </c>
      <c r="L32">
        <v>0</v>
      </c>
      <c r="M32">
        <f t="shared" si="10"/>
        <v>2000000</v>
      </c>
      <c r="N32" s="10">
        <v>0</v>
      </c>
      <c r="O32">
        <v>0</v>
      </c>
      <c r="P32" s="13">
        <v>0</v>
      </c>
      <c r="Q32" s="13">
        <v>1</v>
      </c>
      <c r="R32" s="13">
        <v>1</v>
      </c>
      <c r="S32">
        <v>0</v>
      </c>
      <c r="T32">
        <v>1301.2947800734096</v>
      </c>
      <c r="U32">
        <v>14.599060000000001</v>
      </c>
      <c r="V32">
        <v>1.5641850000000001E-3</v>
      </c>
      <c r="W32">
        <v>0</v>
      </c>
      <c r="X32">
        <v>0</v>
      </c>
      <c r="Y32">
        <v>9.1448096207564403E-2</v>
      </c>
    </row>
    <row r="33" spans="1:25" x14ac:dyDescent="0.35">
      <c r="A33" s="152"/>
      <c r="B33" s="12" t="str">
        <f t="shared" si="11"/>
        <v>RPU_ON_SP321-HH150</v>
      </c>
      <c r="C33" s="11" t="s">
        <v>194</v>
      </c>
      <c r="D33" s="3" t="s">
        <v>56</v>
      </c>
      <c r="E33" s="9">
        <f t="shared" si="6"/>
        <v>28</v>
      </c>
      <c r="F33" s="2">
        <v>1</v>
      </c>
      <c r="G33" s="2" t="s">
        <v>57</v>
      </c>
      <c r="H33">
        <v>0</v>
      </c>
      <c r="I33" s="145" t="s">
        <v>12</v>
      </c>
      <c r="J33">
        <v>1</v>
      </c>
      <c r="K33">
        <v>0</v>
      </c>
      <c r="L33">
        <v>0</v>
      </c>
      <c r="M33">
        <f t="shared" si="10"/>
        <v>2000000</v>
      </c>
      <c r="N33" s="10">
        <v>0</v>
      </c>
      <c r="O33">
        <v>0</v>
      </c>
      <c r="P33" s="13">
        <v>0</v>
      </c>
      <c r="Q33" s="13">
        <v>1</v>
      </c>
      <c r="R33" s="13">
        <v>1</v>
      </c>
      <c r="S33">
        <v>0</v>
      </c>
      <c r="T33">
        <v>1694.0063453254108</v>
      </c>
      <c r="U33">
        <v>14.599060000000001</v>
      </c>
      <c r="V33">
        <v>1.5641850000000001E-3</v>
      </c>
      <c r="W33">
        <v>0</v>
      </c>
      <c r="X33">
        <v>0</v>
      </c>
      <c r="Y33">
        <v>9.1448096207564403E-2</v>
      </c>
    </row>
    <row r="34" spans="1:25" x14ac:dyDescent="0.35">
      <c r="A34" s="152"/>
      <c r="B34" s="12" t="str">
        <f t="shared" si="11"/>
        <v>RPU_OFF_SP379-HH100</v>
      </c>
      <c r="C34" s="11" t="s">
        <v>194</v>
      </c>
      <c r="D34" s="3" t="s">
        <v>58</v>
      </c>
      <c r="E34" s="9">
        <f t="shared" si="6"/>
        <v>29</v>
      </c>
      <c r="F34" s="2">
        <v>1</v>
      </c>
      <c r="G34" s="2" t="s">
        <v>59</v>
      </c>
      <c r="H34">
        <v>0</v>
      </c>
      <c r="I34" s="145" t="s">
        <v>12</v>
      </c>
      <c r="J34">
        <v>1</v>
      </c>
      <c r="K34">
        <v>0</v>
      </c>
      <c r="L34">
        <v>0</v>
      </c>
      <c r="M34">
        <f t="shared" si="10"/>
        <v>2000000</v>
      </c>
      <c r="N34" s="10">
        <v>0</v>
      </c>
      <c r="O34">
        <v>0</v>
      </c>
      <c r="P34" s="13">
        <v>0</v>
      </c>
      <c r="Q34" s="13">
        <v>1</v>
      </c>
      <c r="R34" s="13">
        <v>1</v>
      </c>
      <c r="S34">
        <v>0</v>
      </c>
      <c r="T34">
        <v>2205.1904479084506</v>
      </c>
      <c r="U34">
        <v>41.773124610000004</v>
      </c>
      <c r="V34">
        <v>3.1283700000000001E-3</v>
      </c>
      <c r="W34">
        <v>0</v>
      </c>
      <c r="X34">
        <v>0</v>
      </c>
      <c r="Y34">
        <v>9.1448096207564403E-2</v>
      </c>
    </row>
    <row r="35" spans="1:25" x14ac:dyDescent="0.35">
      <c r="A35" s="152"/>
      <c r="B35" s="12" t="str">
        <f t="shared" si="11"/>
        <v>RPU_OFF_SP379-HH150</v>
      </c>
      <c r="C35" s="11" t="s">
        <v>194</v>
      </c>
      <c r="D35" s="3" t="s">
        <v>60</v>
      </c>
      <c r="E35" s="9">
        <f t="shared" si="6"/>
        <v>30</v>
      </c>
      <c r="F35" s="2">
        <v>1</v>
      </c>
      <c r="G35" s="2" t="s">
        <v>61</v>
      </c>
      <c r="H35">
        <v>0</v>
      </c>
      <c r="I35" s="145" t="s">
        <v>12</v>
      </c>
      <c r="J35">
        <v>1</v>
      </c>
      <c r="K35">
        <v>0</v>
      </c>
      <c r="L35">
        <v>0</v>
      </c>
      <c r="M35">
        <f t="shared" si="10"/>
        <v>2000000</v>
      </c>
      <c r="N35" s="10">
        <v>0</v>
      </c>
      <c r="O35">
        <v>0</v>
      </c>
      <c r="P35" s="13">
        <v>0</v>
      </c>
      <c r="Q35" s="13">
        <v>1</v>
      </c>
      <c r="R35" s="13">
        <v>1</v>
      </c>
      <c r="S35">
        <v>0</v>
      </c>
      <c r="T35">
        <v>2534.6071744804217</v>
      </c>
      <c r="U35">
        <v>41.773124610000004</v>
      </c>
      <c r="V35">
        <v>3.1283700000000001E-3</v>
      </c>
      <c r="W35">
        <v>0</v>
      </c>
      <c r="X35">
        <v>0</v>
      </c>
      <c r="Y35">
        <v>9.1448096207564403E-2</v>
      </c>
    </row>
    <row r="36" spans="1:25" x14ac:dyDescent="0.35">
      <c r="A36" s="152"/>
      <c r="B36" s="12" t="str">
        <f t="shared" si="11"/>
        <v>RPU_OFF_SP450-HH100</v>
      </c>
      <c r="C36" s="11" t="s">
        <v>194</v>
      </c>
      <c r="D36" s="3" t="s">
        <v>62</v>
      </c>
      <c r="E36" s="9">
        <f t="shared" si="6"/>
        <v>31</v>
      </c>
      <c r="F36" s="2">
        <v>1</v>
      </c>
      <c r="G36" s="2" t="s">
        <v>63</v>
      </c>
      <c r="H36">
        <v>0</v>
      </c>
      <c r="I36" s="145" t="s">
        <v>12</v>
      </c>
      <c r="J36">
        <v>1</v>
      </c>
      <c r="K36">
        <v>0</v>
      </c>
      <c r="L36">
        <v>0</v>
      </c>
      <c r="M36">
        <f t="shared" si="10"/>
        <v>2000000</v>
      </c>
      <c r="N36" s="10">
        <v>0</v>
      </c>
      <c r="O36">
        <v>0</v>
      </c>
      <c r="P36" s="13">
        <v>0</v>
      </c>
      <c r="Q36" s="13">
        <v>1</v>
      </c>
      <c r="R36" s="13">
        <v>1</v>
      </c>
      <c r="S36">
        <v>0</v>
      </c>
      <c r="T36">
        <v>1988.1234836201065</v>
      </c>
      <c r="U36">
        <v>41.773124610000004</v>
      </c>
      <c r="V36">
        <v>3.1283700000000001E-3</v>
      </c>
      <c r="W36">
        <v>0</v>
      </c>
      <c r="X36">
        <v>0</v>
      </c>
      <c r="Y36">
        <v>9.1448096207564403E-2</v>
      </c>
    </row>
    <row r="37" spans="1:25" x14ac:dyDescent="0.35">
      <c r="A37" s="152"/>
      <c r="B37" s="12" t="str">
        <f t="shared" si="11"/>
        <v>RPU_OFF_SP450-HH150</v>
      </c>
      <c r="C37" s="11" t="s">
        <v>194</v>
      </c>
      <c r="D37" s="3" t="s">
        <v>135</v>
      </c>
      <c r="E37" s="9">
        <f t="shared" si="6"/>
        <v>32</v>
      </c>
      <c r="F37" s="2">
        <v>1</v>
      </c>
      <c r="G37" s="2" t="s">
        <v>64</v>
      </c>
      <c r="H37">
        <v>0</v>
      </c>
      <c r="I37" s="145" t="s">
        <v>12</v>
      </c>
      <c r="J37">
        <v>1</v>
      </c>
      <c r="K37">
        <v>0</v>
      </c>
      <c r="L37">
        <v>0</v>
      </c>
      <c r="M37">
        <f t="shared" si="10"/>
        <v>2000000</v>
      </c>
      <c r="N37" s="10">
        <v>0</v>
      </c>
      <c r="O37">
        <v>0</v>
      </c>
      <c r="P37" s="13">
        <v>0</v>
      </c>
      <c r="Q37" s="13">
        <v>1</v>
      </c>
      <c r="R37" s="13">
        <v>1</v>
      </c>
      <c r="S37">
        <v>0</v>
      </c>
      <c r="T37">
        <v>2265.5270428386079</v>
      </c>
      <c r="U37">
        <v>41.773124610000004</v>
      </c>
      <c r="V37">
        <v>3.1283700000000001E-3</v>
      </c>
      <c r="W37">
        <v>0</v>
      </c>
      <c r="X37">
        <v>0</v>
      </c>
      <c r="Y37">
        <v>9.1448096207564403E-2</v>
      </c>
    </row>
    <row r="38" spans="1:25" x14ac:dyDescent="0.35">
      <c r="A38" s="152"/>
      <c r="B38" s="12" t="s">
        <v>25</v>
      </c>
      <c r="C38" s="5" t="s">
        <v>28</v>
      </c>
      <c r="D38" s="7" t="s">
        <v>33</v>
      </c>
      <c r="E38" s="9">
        <f t="shared" si="6"/>
        <v>33</v>
      </c>
      <c r="F38" s="2">
        <v>1</v>
      </c>
      <c r="G38" s="2" t="s">
        <v>21</v>
      </c>
      <c r="H38">
        <v>0</v>
      </c>
      <c r="I38" s="145" t="s">
        <v>12</v>
      </c>
      <c r="J38">
        <v>1</v>
      </c>
      <c r="K38">
        <v>0</v>
      </c>
      <c r="L38">
        <v>0</v>
      </c>
      <c r="M38">
        <f t="shared" si="10"/>
        <v>2000000</v>
      </c>
      <c r="N38" s="10">
        <v>0</v>
      </c>
      <c r="O38">
        <v>0</v>
      </c>
      <c r="P38" s="13">
        <v>0</v>
      </c>
      <c r="Q38" s="13">
        <v>1</v>
      </c>
      <c r="R38" s="13">
        <v>1</v>
      </c>
      <c r="S38">
        <v>0</v>
      </c>
      <c r="T38">
        <v>180</v>
      </c>
      <c r="U38">
        <v>0</v>
      </c>
      <c r="V38">
        <v>0</v>
      </c>
      <c r="W38">
        <v>0</v>
      </c>
      <c r="X38">
        <v>1.6649999999999998E-2</v>
      </c>
      <c r="Y38" s="28">
        <v>8.8827433387272267E-2</v>
      </c>
    </row>
    <row r="39" spans="1:25" x14ac:dyDescent="0.35">
      <c r="A39" s="152"/>
      <c r="B39" s="12" t="s">
        <v>178</v>
      </c>
      <c r="C39" s="11" t="s">
        <v>194</v>
      </c>
      <c r="D39" s="7" t="s">
        <v>195</v>
      </c>
      <c r="E39" s="9">
        <f t="shared" si="6"/>
        <v>34</v>
      </c>
      <c r="F39" s="2">
        <v>1</v>
      </c>
      <c r="G39" s="2" t="s">
        <v>195</v>
      </c>
      <c r="H39">
        <v>0</v>
      </c>
      <c r="I39" s="145" t="s">
        <v>12</v>
      </c>
      <c r="J39">
        <v>-1</v>
      </c>
      <c r="K39">
        <v>0</v>
      </c>
      <c r="L39">
        <v>0</v>
      </c>
      <c r="M39">
        <v>24000</v>
      </c>
      <c r="N39">
        <v>0</v>
      </c>
      <c r="O39">
        <v>0</v>
      </c>
      <c r="P39" s="13">
        <v>0</v>
      </c>
      <c r="Q39" s="13">
        <v>1</v>
      </c>
      <c r="R39" s="13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52"/>
      <c r="B40" s="12" t="s">
        <v>14</v>
      </c>
      <c r="C40" s="11" t="s">
        <v>194</v>
      </c>
      <c r="D40" s="7" t="s">
        <v>34</v>
      </c>
      <c r="E40" s="9">
        <f t="shared" si="6"/>
        <v>35</v>
      </c>
      <c r="F40" s="2">
        <v>1</v>
      </c>
      <c r="G40" s="2" t="s">
        <v>22</v>
      </c>
      <c r="H40">
        <v>0</v>
      </c>
      <c r="I40" s="145" t="s">
        <v>12</v>
      </c>
      <c r="J40">
        <v>-1</v>
      </c>
      <c r="K40">
        <v>0</v>
      </c>
      <c r="L40">
        <v>0</v>
      </c>
      <c r="M40">
        <f>M42/2</f>
        <v>10000000</v>
      </c>
      <c r="N40" s="10">
        <v>0</v>
      </c>
      <c r="O40">
        <v>0</v>
      </c>
      <c r="P40" s="13">
        <v>0</v>
      </c>
      <c r="Q40" s="13">
        <v>1</v>
      </c>
      <c r="R40" s="13">
        <v>1</v>
      </c>
      <c r="S40">
        <v>0.06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52"/>
      <c r="B41" s="12" t="s">
        <v>15</v>
      </c>
      <c r="C41" s="11" t="s">
        <v>194</v>
      </c>
      <c r="D41" s="7" t="s">
        <v>35</v>
      </c>
      <c r="E41" s="9">
        <f t="shared" si="6"/>
        <v>36</v>
      </c>
      <c r="F41" s="2">
        <v>1</v>
      </c>
      <c r="G41" s="2" t="s">
        <v>23</v>
      </c>
      <c r="H41">
        <v>0</v>
      </c>
      <c r="I41" s="145" t="s">
        <v>12</v>
      </c>
      <c r="J41">
        <v>1</v>
      </c>
      <c r="K41">
        <v>0</v>
      </c>
      <c r="L41">
        <v>0</v>
      </c>
      <c r="M41">
        <f>3*M42</f>
        <v>60000000</v>
      </c>
      <c r="N41" s="10">
        <v>0</v>
      </c>
      <c r="O41">
        <v>0</v>
      </c>
      <c r="P41" s="13">
        <v>0</v>
      </c>
      <c r="Q41" s="13">
        <v>1</v>
      </c>
      <c r="R41" s="13">
        <v>1</v>
      </c>
      <c r="S41">
        <v>0.06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52"/>
      <c r="B42" s="12" t="s">
        <v>16</v>
      </c>
      <c r="C42" s="11" t="s">
        <v>194</v>
      </c>
      <c r="D42" s="3" t="s">
        <v>36</v>
      </c>
      <c r="E42" s="9">
        <f t="shared" si="6"/>
        <v>37</v>
      </c>
      <c r="F42" s="2">
        <v>1</v>
      </c>
      <c r="G42" s="2" t="s">
        <v>24</v>
      </c>
      <c r="H42">
        <v>0</v>
      </c>
      <c r="I42" s="145" t="s">
        <v>12</v>
      </c>
      <c r="J42">
        <v>0</v>
      </c>
      <c r="K42">
        <v>0</v>
      </c>
      <c r="L42">
        <v>0</v>
      </c>
      <c r="M42">
        <v>20000000</v>
      </c>
      <c r="N42" s="10">
        <v>0</v>
      </c>
      <c r="O42">
        <v>0</v>
      </c>
      <c r="P42" s="13">
        <v>0.1</v>
      </c>
      <c r="Q42" s="13">
        <v>1</v>
      </c>
      <c r="R42" s="13">
        <v>1</v>
      </c>
      <c r="S42">
        <v>0</v>
      </c>
      <c r="T42">
        <v>550</v>
      </c>
      <c r="U42">
        <f>T42*0.015</f>
        <v>8.25</v>
      </c>
      <c r="V42">
        <v>0</v>
      </c>
      <c r="W42">
        <v>0</v>
      </c>
      <c r="X42">
        <v>0</v>
      </c>
      <c r="Y42">
        <v>0.11682954493601999</v>
      </c>
    </row>
  </sheetData>
  <mergeCells count="6">
    <mergeCell ref="A1:E1"/>
    <mergeCell ref="A24:A42"/>
    <mergeCell ref="A6:A23"/>
    <mergeCell ref="D2:D5"/>
    <mergeCell ref="B2:B5"/>
    <mergeCell ref="C2:C5"/>
  </mergeCells>
  <pageMargins left="0.7" right="0.7" top="0.75" bottom="0.75" header="0.3" footer="0.3"/>
  <pageSetup paperSize="9" orientation="portrait" horizontalDpi="429496729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2"/>
  <sheetViews>
    <sheetView workbookViewId="0">
      <pane xSplit="1" topLeftCell="B1" activePane="topRight" state="frozen"/>
      <selection pane="topRight" activeCell="B24" sqref="B24"/>
    </sheetView>
  </sheetViews>
  <sheetFormatPr defaultRowHeight="14.5" x14ac:dyDescent="0.35"/>
  <cols>
    <col min="1" max="1" width="2.81640625" bestFit="1" customWidth="1"/>
    <col min="2" max="2" width="32" bestFit="1" customWidth="1"/>
    <col min="3" max="3" width="14.1796875" bestFit="1" customWidth="1"/>
    <col min="4" max="4" width="15.26953125" bestFit="1" customWidth="1"/>
    <col min="5" max="5" width="15.08984375" bestFit="1" customWidth="1"/>
    <col min="6" max="6" width="16.1796875" bestFit="1" customWidth="1"/>
    <col min="7" max="7" width="13.453125" bestFit="1" customWidth="1"/>
    <col min="8" max="8" width="14.54296875" bestFit="1" customWidth="1"/>
    <col min="9" max="9" width="12.90625" bestFit="1" customWidth="1"/>
    <col min="10" max="10" width="14" bestFit="1" customWidth="1"/>
    <col min="11" max="11" width="12.6328125" bestFit="1" customWidth="1"/>
  </cols>
  <sheetData>
    <row r="1" spans="1:11" x14ac:dyDescent="0.35">
      <c r="A1" s="70"/>
      <c r="B1" s="6" t="s">
        <v>136</v>
      </c>
      <c r="C1" t="s">
        <v>101</v>
      </c>
      <c r="D1" t="s">
        <v>101</v>
      </c>
      <c r="E1" t="s">
        <v>89</v>
      </c>
      <c r="F1" t="s">
        <v>89</v>
      </c>
      <c r="G1" t="s">
        <v>89</v>
      </c>
      <c r="H1" t="s">
        <v>89</v>
      </c>
      <c r="I1" t="s">
        <v>188</v>
      </c>
      <c r="J1" t="s">
        <v>188</v>
      </c>
      <c r="K1" t="s">
        <v>188</v>
      </c>
    </row>
    <row r="2" spans="1:11" x14ac:dyDescent="0.35">
      <c r="A2" s="71"/>
      <c r="B2" s="6" t="s">
        <v>126</v>
      </c>
      <c r="C2" s="29">
        <v>18.600000000000001</v>
      </c>
      <c r="D2" s="29">
        <v>18.600000000000001</v>
      </c>
      <c r="E2" s="29">
        <v>19.899999999999999</v>
      </c>
      <c r="F2" s="29">
        <v>19.899999999999999</v>
      </c>
      <c r="G2" s="29">
        <v>19.899999999999999</v>
      </c>
      <c r="H2" s="29">
        <v>19.899999999999999</v>
      </c>
      <c r="I2" s="29">
        <v>120</v>
      </c>
      <c r="J2" s="29">
        <v>120</v>
      </c>
      <c r="K2" s="29">
        <v>120</v>
      </c>
    </row>
    <row r="3" spans="1:11" x14ac:dyDescent="0.35">
      <c r="A3" s="70"/>
      <c r="B3" t="s">
        <v>93</v>
      </c>
      <c r="C3" t="s">
        <v>76</v>
      </c>
      <c r="D3" t="s">
        <v>90</v>
      </c>
      <c r="E3" t="s">
        <v>76</v>
      </c>
      <c r="F3" t="s">
        <v>90</v>
      </c>
      <c r="G3" t="s">
        <v>76</v>
      </c>
      <c r="H3" t="s">
        <v>90</v>
      </c>
      <c r="I3" t="s">
        <v>76</v>
      </c>
      <c r="J3" t="s">
        <v>90</v>
      </c>
      <c r="K3" t="s">
        <v>183</v>
      </c>
    </row>
    <row r="4" spans="1:11" x14ac:dyDescent="0.35">
      <c r="A4" s="71"/>
      <c r="B4" t="s">
        <v>104</v>
      </c>
      <c r="C4" t="s">
        <v>103</v>
      </c>
      <c r="D4" t="s">
        <v>103</v>
      </c>
      <c r="E4" t="s">
        <v>82</v>
      </c>
      <c r="F4" t="s">
        <v>82</v>
      </c>
      <c r="G4" t="s">
        <v>105</v>
      </c>
      <c r="H4" t="s">
        <v>105</v>
      </c>
      <c r="I4" t="s">
        <v>103</v>
      </c>
      <c r="J4" t="s">
        <v>103</v>
      </c>
      <c r="K4" t="s">
        <v>103</v>
      </c>
    </row>
    <row r="5" spans="1:11" x14ac:dyDescent="0.35">
      <c r="A5" s="4"/>
      <c r="B5" s="6" t="s">
        <v>106</v>
      </c>
      <c r="C5" t="str">
        <f t="shared" ref="C5:H5" si="0">C1&amp;"_"&amp;C3&amp;"_"&amp;C4</f>
        <v>NH3_AEC_None</v>
      </c>
      <c r="D5" t="str">
        <f t="shared" si="0"/>
        <v>NH3_SOEC_None</v>
      </c>
      <c r="E5" t="str">
        <f t="shared" si="0"/>
        <v>MeOH_AEC_DAC</v>
      </c>
      <c r="F5" t="str">
        <f t="shared" si="0"/>
        <v>MeOH_SOEC_DAC</v>
      </c>
      <c r="G5" t="str">
        <f t="shared" si="0"/>
        <v>MeOH_AEC_PS</v>
      </c>
      <c r="H5" t="str">
        <f t="shared" si="0"/>
        <v>MeOH_SOEC_PS</v>
      </c>
      <c r="I5" t="str">
        <f>I1&amp;"_"&amp;I3&amp;"_"&amp;I4</f>
        <v>H2_AEC_None</v>
      </c>
      <c r="J5" t="str">
        <f>J1&amp;"_"&amp;J3&amp;"_"&amp;J4</f>
        <v>H2_SOEC_None</v>
      </c>
      <c r="K5" t="str">
        <f>K1&amp;"_"&amp;K3&amp;"_"&amp;K4</f>
        <v>H2_Mix_None</v>
      </c>
    </row>
    <row r="6" spans="1:11" x14ac:dyDescent="0.35">
      <c r="A6" s="3">
        <f>ROW(B6)-ROW($A$5)</f>
        <v>1</v>
      </c>
      <c r="B6" s="3" t="str">
        <f>Data_base_case!D6</f>
        <v>CO2 capture DAC</v>
      </c>
      <c r="C6" s="3">
        <f t="shared" ref="C6:K6" si="1">IF(AND(C1="MeOH",C4="DAC"),1,0)</f>
        <v>0</v>
      </c>
      <c r="D6" s="3">
        <f t="shared" si="1"/>
        <v>0</v>
      </c>
      <c r="E6" s="3">
        <f t="shared" si="1"/>
        <v>1</v>
      </c>
      <c r="F6" s="3">
        <f t="shared" si="1"/>
        <v>1</v>
      </c>
      <c r="G6" s="3">
        <f t="shared" si="1"/>
        <v>0</v>
      </c>
      <c r="H6" s="3">
        <f t="shared" si="1"/>
        <v>0</v>
      </c>
      <c r="I6" s="3">
        <f t="shared" si="1"/>
        <v>0</v>
      </c>
      <c r="J6" s="3">
        <f t="shared" si="1"/>
        <v>0</v>
      </c>
      <c r="K6" s="3">
        <f t="shared" si="1"/>
        <v>0</v>
      </c>
    </row>
    <row r="7" spans="1:11" x14ac:dyDescent="0.35">
      <c r="A7" s="3">
        <f t="shared" ref="A7:A42" si="2">ROW(B7)-ROW($A$5)</f>
        <v>2</v>
      </c>
      <c r="B7" s="3" t="str">
        <f>Data_base_case!D7</f>
        <v>CO2 capture PS</v>
      </c>
      <c r="C7" s="3">
        <f t="shared" ref="C7:K7" si="3">IF(AND(C1="MeOH",C4="PS"),1,0)</f>
        <v>0</v>
      </c>
      <c r="D7" s="3">
        <f t="shared" si="3"/>
        <v>0</v>
      </c>
      <c r="E7" s="3">
        <f t="shared" si="3"/>
        <v>0</v>
      </c>
      <c r="F7" s="3">
        <f t="shared" si="3"/>
        <v>0</v>
      </c>
      <c r="G7" s="3">
        <f t="shared" si="3"/>
        <v>1</v>
      </c>
      <c r="H7" s="3">
        <f t="shared" si="3"/>
        <v>1</v>
      </c>
      <c r="I7" s="3">
        <f t="shared" si="3"/>
        <v>0</v>
      </c>
      <c r="J7" s="3">
        <f t="shared" si="3"/>
        <v>0</v>
      </c>
      <c r="K7" s="3">
        <f t="shared" si="3"/>
        <v>0</v>
      </c>
    </row>
    <row r="8" spans="1:11" x14ac:dyDescent="0.35">
      <c r="A8" s="3">
        <f t="shared" si="2"/>
        <v>3</v>
      </c>
      <c r="B8" s="3" t="str">
        <f>Data_base_case!D8</f>
        <v>MeOH plant CCU with AEC</v>
      </c>
      <c r="C8" s="3">
        <f t="shared" ref="C8:K8" si="4">IF(AND(C1="MeOH"),1,0)</f>
        <v>0</v>
      </c>
      <c r="D8" s="3">
        <f t="shared" si="4"/>
        <v>0</v>
      </c>
      <c r="E8" s="3">
        <f t="shared" si="4"/>
        <v>1</v>
      </c>
      <c r="F8" s="3">
        <f t="shared" si="4"/>
        <v>1</v>
      </c>
      <c r="G8" s="3">
        <f t="shared" si="4"/>
        <v>1</v>
      </c>
      <c r="H8" s="3">
        <f t="shared" si="4"/>
        <v>1</v>
      </c>
      <c r="I8" s="3">
        <f t="shared" si="4"/>
        <v>0</v>
      </c>
      <c r="J8" s="3">
        <f t="shared" si="4"/>
        <v>0</v>
      </c>
      <c r="K8" s="3">
        <f t="shared" si="4"/>
        <v>0</v>
      </c>
    </row>
    <row r="9" spans="1:11" x14ac:dyDescent="0.35">
      <c r="A9" s="3">
        <f t="shared" si="2"/>
        <v>4</v>
      </c>
      <c r="B9" s="3" t="str">
        <f>Data_base_case!D9</f>
        <v>NH3 plant + ASU with AEC</v>
      </c>
      <c r="C9" s="3">
        <f t="shared" ref="C9:K9" si="5">IF(AND(C1="NH3",C3="AEC"),1,0)</f>
        <v>1</v>
      </c>
      <c r="D9" s="3">
        <f t="shared" si="5"/>
        <v>0</v>
      </c>
      <c r="E9" s="3">
        <f t="shared" si="5"/>
        <v>0</v>
      </c>
      <c r="F9" s="3">
        <f t="shared" si="5"/>
        <v>0</v>
      </c>
      <c r="G9" s="3">
        <f t="shared" si="5"/>
        <v>0</v>
      </c>
      <c r="H9" s="3">
        <f t="shared" si="5"/>
        <v>0</v>
      </c>
      <c r="I9" s="3">
        <f t="shared" si="5"/>
        <v>0</v>
      </c>
      <c r="J9" s="3">
        <f t="shared" si="5"/>
        <v>0</v>
      </c>
      <c r="K9" s="3">
        <f t="shared" si="5"/>
        <v>0</v>
      </c>
    </row>
    <row r="10" spans="1:11" x14ac:dyDescent="0.35">
      <c r="A10" s="3">
        <f t="shared" si="2"/>
        <v>5</v>
      </c>
      <c r="B10" s="3" t="str">
        <f>Data_base_case!D10</f>
        <v>NH3 plant + ASU with SOEC</v>
      </c>
      <c r="C10" s="3">
        <f t="shared" ref="C10:K10" si="6">IF(AND(C1="NH3",C3&lt;&gt;"AEC"),1,0)</f>
        <v>0</v>
      </c>
      <c r="D10" s="3">
        <f t="shared" si="6"/>
        <v>1</v>
      </c>
      <c r="E10" s="3">
        <f t="shared" si="6"/>
        <v>0</v>
      </c>
      <c r="F10" s="3">
        <f t="shared" si="6"/>
        <v>0</v>
      </c>
      <c r="G10" s="3">
        <f t="shared" si="6"/>
        <v>0</v>
      </c>
      <c r="H10" s="3">
        <f t="shared" si="6"/>
        <v>0</v>
      </c>
      <c r="I10" s="3">
        <f t="shared" si="6"/>
        <v>0</v>
      </c>
      <c r="J10" s="3">
        <f t="shared" si="6"/>
        <v>0</v>
      </c>
      <c r="K10" s="3">
        <f t="shared" si="6"/>
        <v>0</v>
      </c>
    </row>
    <row r="11" spans="1:11" x14ac:dyDescent="0.35">
      <c r="A11" s="3">
        <f t="shared" si="2"/>
        <v>6</v>
      </c>
      <c r="B11" s="3" t="str">
        <f>Data_base_case!D11</f>
        <v>H2 end-user</v>
      </c>
      <c r="C11" s="3">
        <f t="shared" ref="C11:K11" si="7">IF(C1&lt;&gt;"H2",0,1)</f>
        <v>0</v>
      </c>
      <c r="D11" s="3">
        <f t="shared" si="7"/>
        <v>0</v>
      </c>
      <c r="E11" s="3">
        <f t="shared" si="7"/>
        <v>0</v>
      </c>
      <c r="F11" s="3">
        <f t="shared" si="7"/>
        <v>0</v>
      </c>
      <c r="G11" s="3">
        <f t="shared" si="7"/>
        <v>0</v>
      </c>
      <c r="H11" s="3">
        <f t="shared" si="7"/>
        <v>0</v>
      </c>
      <c r="I11" s="3">
        <f t="shared" si="7"/>
        <v>1</v>
      </c>
      <c r="J11" s="3">
        <f t="shared" si="7"/>
        <v>1</v>
      </c>
      <c r="K11" s="3">
        <f t="shared" si="7"/>
        <v>1</v>
      </c>
    </row>
    <row r="12" spans="1:11" x14ac:dyDescent="0.35">
      <c r="A12" s="3">
        <f t="shared" si="2"/>
        <v>7</v>
      </c>
      <c r="B12" s="3" t="str">
        <f>Data_base_case!D12</f>
        <v>Water supply (desalination plant)</v>
      </c>
      <c r="C12" s="55">
        <v>1</v>
      </c>
      <c r="D12" s="55">
        <v>1</v>
      </c>
      <c r="E12" s="55">
        <v>1</v>
      </c>
      <c r="F12" s="55">
        <v>1</v>
      </c>
      <c r="G12" s="55">
        <v>1</v>
      </c>
      <c r="H12" s="55">
        <v>1</v>
      </c>
      <c r="I12" s="55">
        <v>1</v>
      </c>
      <c r="J12" s="55">
        <v>1</v>
      </c>
      <c r="K12" s="55">
        <v>1</v>
      </c>
    </row>
    <row r="13" spans="1:11" x14ac:dyDescent="0.35">
      <c r="A13" s="3">
        <f t="shared" si="2"/>
        <v>8</v>
      </c>
      <c r="B13" s="3" t="str">
        <f>Data_base_case!D13</f>
        <v>Electrolysers AEC</v>
      </c>
      <c r="C13" s="3">
        <f t="shared" ref="C13:K13" si="8">IF(C3="AEC",1,0)</f>
        <v>1</v>
      </c>
      <c r="D13" s="3">
        <f t="shared" si="8"/>
        <v>0</v>
      </c>
      <c r="E13" s="3">
        <f t="shared" si="8"/>
        <v>1</v>
      </c>
      <c r="F13" s="3">
        <f t="shared" si="8"/>
        <v>0</v>
      </c>
      <c r="G13" s="3">
        <f t="shared" si="8"/>
        <v>1</v>
      </c>
      <c r="H13" s="3">
        <f t="shared" si="8"/>
        <v>0</v>
      </c>
      <c r="I13" s="3">
        <f t="shared" si="8"/>
        <v>1</v>
      </c>
      <c r="J13" s="3">
        <f t="shared" si="8"/>
        <v>0</v>
      </c>
      <c r="K13" s="3">
        <f t="shared" si="8"/>
        <v>0</v>
      </c>
    </row>
    <row r="14" spans="1:11" x14ac:dyDescent="0.35">
      <c r="A14" s="3">
        <f t="shared" si="2"/>
        <v>9</v>
      </c>
      <c r="B14" s="3" t="str">
        <f>Data_base_case!D14</f>
        <v>Electrolysers SOEC heat integrated</v>
      </c>
      <c r="C14" s="3">
        <f t="shared" ref="C14:K14" si="9">IF(AND(C3="SOEC",OR(C1="Bio-eMeOH",C1="NH3")),1,0)</f>
        <v>0</v>
      </c>
      <c r="D14" s="3">
        <f t="shared" si="9"/>
        <v>1</v>
      </c>
      <c r="E14" s="3">
        <f t="shared" si="9"/>
        <v>0</v>
      </c>
      <c r="F14" s="3">
        <f t="shared" si="9"/>
        <v>0</v>
      </c>
      <c r="G14" s="3">
        <f t="shared" si="9"/>
        <v>0</v>
      </c>
      <c r="H14" s="3">
        <f t="shared" si="9"/>
        <v>0</v>
      </c>
      <c r="I14" s="3">
        <f t="shared" si="9"/>
        <v>0</v>
      </c>
      <c r="J14" s="3">
        <f t="shared" si="9"/>
        <v>0</v>
      </c>
      <c r="K14" s="3">
        <f t="shared" si="9"/>
        <v>0</v>
      </c>
    </row>
    <row r="15" spans="1:11" x14ac:dyDescent="0.35">
      <c r="A15" s="3">
        <f t="shared" si="2"/>
        <v>10</v>
      </c>
      <c r="B15" s="3" t="str">
        <f>Data_base_case!D15</f>
        <v>H2 pipeline to MeOH CCU plant</v>
      </c>
      <c r="C15" s="3">
        <f t="shared" ref="C15:K15" si="10">IF(C1="MeOH",1,0)</f>
        <v>0</v>
      </c>
      <c r="D15" s="3">
        <f t="shared" si="10"/>
        <v>0</v>
      </c>
      <c r="E15" s="3">
        <f t="shared" si="10"/>
        <v>1</v>
      </c>
      <c r="F15" s="3">
        <f t="shared" si="10"/>
        <v>1</v>
      </c>
      <c r="G15" s="3">
        <f t="shared" si="10"/>
        <v>1</v>
      </c>
      <c r="H15" s="3">
        <f t="shared" si="10"/>
        <v>1</v>
      </c>
      <c r="I15" s="3">
        <f t="shared" si="10"/>
        <v>0</v>
      </c>
      <c r="J15" s="3">
        <f t="shared" si="10"/>
        <v>0</v>
      </c>
      <c r="K15" s="3">
        <f t="shared" si="10"/>
        <v>0</v>
      </c>
    </row>
    <row r="16" spans="1:11" x14ac:dyDescent="0.35">
      <c r="A16" s="3">
        <f t="shared" si="2"/>
        <v>11</v>
      </c>
      <c r="B16" s="3" t="str">
        <f>Data_base_case!D16</f>
        <v>H2 pipeline to NH3 plant</v>
      </c>
      <c r="C16" s="3">
        <f t="shared" ref="C16:K16" si="11">IF(C1 = "NH3",1,0)</f>
        <v>1</v>
      </c>
      <c r="D16" s="3">
        <f t="shared" si="11"/>
        <v>1</v>
      </c>
      <c r="E16" s="3">
        <f t="shared" si="11"/>
        <v>0</v>
      </c>
      <c r="F16" s="3">
        <f t="shared" si="11"/>
        <v>0</v>
      </c>
      <c r="G16" s="3">
        <f t="shared" si="11"/>
        <v>0</v>
      </c>
      <c r="H16" s="3">
        <f t="shared" si="11"/>
        <v>0</v>
      </c>
      <c r="I16" s="3">
        <f t="shared" si="11"/>
        <v>0</v>
      </c>
      <c r="J16" s="3">
        <f t="shared" si="11"/>
        <v>0</v>
      </c>
      <c r="K16" s="3">
        <f t="shared" si="11"/>
        <v>0</v>
      </c>
    </row>
    <row r="17" spans="1:11" x14ac:dyDescent="0.35">
      <c r="A17" s="3">
        <f t="shared" si="2"/>
        <v>12</v>
      </c>
      <c r="B17" s="3" t="str">
        <f>Data_base_case!D17</f>
        <v>H2 pipeline to end-user</v>
      </c>
      <c r="C17" s="3">
        <f t="shared" ref="C17:K17" si="12">IF(C1 = "H2",1,0)</f>
        <v>0</v>
      </c>
      <c r="D17" s="3">
        <f t="shared" si="12"/>
        <v>0</v>
      </c>
      <c r="E17" s="3">
        <f t="shared" si="12"/>
        <v>0</v>
      </c>
      <c r="F17" s="3">
        <f t="shared" si="12"/>
        <v>0</v>
      </c>
      <c r="G17" s="3">
        <f t="shared" si="12"/>
        <v>0</v>
      </c>
      <c r="H17" s="3">
        <f t="shared" si="12"/>
        <v>0</v>
      </c>
      <c r="I17" s="3">
        <f t="shared" si="12"/>
        <v>1</v>
      </c>
      <c r="J17" s="3">
        <f t="shared" si="12"/>
        <v>1</v>
      </c>
      <c r="K17" s="3">
        <f t="shared" si="12"/>
        <v>1</v>
      </c>
    </row>
    <row r="18" spans="1:11" x14ac:dyDescent="0.35">
      <c r="A18" s="3">
        <f t="shared" si="2"/>
        <v>13</v>
      </c>
      <c r="B18" s="3" t="str">
        <f>Data_base_case!D18</f>
        <v>Heat from district heating</v>
      </c>
      <c r="C18" s="3">
        <v>1</v>
      </c>
      <c r="D18" s="3">
        <v>1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</row>
    <row r="19" spans="1:11" x14ac:dyDescent="0.35">
      <c r="A19" s="3">
        <f t="shared" si="2"/>
        <v>14</v>
      </c>
      <c r="B19" s="3" t="str">
        <f>Data_base_case!D19</f>
        <v>Heat sent to district heating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</row>
    <row r="20" spans="1:11" x14ac:dyDescent="0.35">
      <c r="A20" s="3">
        <f t="shared" si="2"/>
        <v>15</v>
      </c>
      <c r="B20" s="3" t="str">
        <f>Data_base_case!D20</f>
        <v>Sale of oxygen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</row>
    <row r="21" spans="1:11" x14ac:dyDescent="0.35">
      <c r="A21" s="3">
        <f t="shared" si="2"/>
        <v>16</v>
      </c>
      <c r="B21" s="3" t="str">
        <f>Data_base_case!D21</f>
        <v>H2 storage compressor</v>
      </c>
      <c r="C21" s="3">
        <f t="shared" ref="C21:H21" si="13">C23</f>
        <v>1</v>
      </c>
      <c r="D21" s="3">
        <f t="shared" si="13"/>
        <v>1</v>
      </c>
      <c r="E21" s="3">
        <f t="shared" si="13"/>
        <v>1</v>
      </c>
      <c r="F21" s="3">
        <f t="shared" si="13"/>
        <v>1</v>
      </c>
      <c r="G21" s="3">
        <f t="shared" si="13"/>
        <v>1</v>
      </c>
      <c r="H21" s="3">
        <f t="shared" si="13"/>
        <v>1</v>
      </c>
      <c r="I21" s="3">
        <f>I23</f>
        <v>1</v>
      </c>
      <c r="J21" s="3">
        <f>J23</f>
        <v>1</v>
      </c>
      <c r="K21" s="3">
        <f>K23</f>
        <v>1</v>
      </c>
    </row>
    <row r="22" spans="1:11" x14ac:dyDescent="0.35">
      <c r="A22" s="3">
        <f t="shared" si="2"/>
        <v>17</v>
      </c>
      <c r="B22" s="3" t="str">
        <f>Data_base_case!D22</f>
        <v>H2 storage valve</v>
      </c>
      <c r="C22" s="3">
        <f t="shared" ref="C22:H22" si="14">C23</f>
        <v>1</v>
      </c>
      <c r="D22" s="3">
        <f t="shared" si="14"/>
        <v>1</v>
      </c>
      <c r="E22" s="3">
        <f>E23</f>
        <v>1</v>
      </c>
      <c r="F22" s="3">
        <f t="shared" si="14"/>
        <v>1</v>
      </c>
      <c r="G22" s="3">
        <f t="shared" si="14"/>
        <v>1</v>
      </c>
      <c r="H22" s="3">
        <f t="shared" si="14"/>
        <v>1</v>
      </c>
      <c r="I22" s="3">
        <f>I23</f>
        <v>1</v>
      </c>
      <c r="J22" s="3">
        <f>J23</f>
        <v>1</v>
      </c>
      <c r="K22" s="3">
        <f>K23</f>
        <v>1</v>
      </c>
    </row>
    <row r="23" spans="1:11" x14ac:dyDescent="0.35">
      <c r="A23" s="3">
        <f t="shared" si="2"/>
        <v>18</v>
      </c>
      <c r="B23" s="3" t="str">
        <f>Data_base_case!D23</f>
        <v>H2 storage (buried pipes)</v>
      </c>
      <c r="C23" s="55">
        <v>1</v>
      </c>
      <c r="D23" s="55">
        <v>1</v>
      </c>
      <c r="E23" s="55">
        <v>1</v>
      </c>
      <c r="F23" s="55">
        <v>1</v>
      </c>
      <c r="G23" s="55">
        <v>1</v>
      </c>
      <c r="H23" s="55">
        <v>1</v>
      </c>
      <c r="I23" s="55">
        <v>1</v>
      </c>
      <c r="J23" s="55">
        <v>1</v>
      </c>
      <c r="K23" s="55">
        <v>1</v>
      </c>
    </row>
    <row r="24" spans="1:11" x14ac:dyDescent="0.35">
      <c r="A24" s="3">
        <f t="shared" si="2"/>
        <v>19</v>
      </c>
      <c r="B24" s="3" t="str">
        <f>Data_base_case!D24</f>
        <v>Solar fixed</v>
      </c>
      <c r="C24" s="55">
        <v>1</v>
      </c>
      <c r="D24" s="55">
        <v>1</v>
      </c>
      <c r="E24" s="55">
        <v>1</v>
      </c>
      <c r="F24" s="55">
        <v>1</v>
      </c>
      <c r="G24" s="55">
        <v>1</v>
      </c>
      <c r="H24" s="55">
        <v>1</v>
      </c>
      <c r="I24" s="55">
        <v>1</v>
      </c>
      <c r="J24" s="55">
        <v>1</v>
      </c>
      <c r="K24" s="55">
        <v>1</v>
      </c>
    </row>
    <row r="25" spans="1:11" x14ac:dyDescent="0.35">
      <c r="A25" s="3">
        <f>ROW(B25)-ROW($A$5)</f>
        <v>20</v>
      </c>
      <c r="B25" s="3" t="str">
        <f>Data_base_case!D25</f>
        <v>Solar tracking</v>
      </c>
      <c r="C25" s="55">
        <v>1</v>
      </c>
      <c r="D25" s="55">
        <v>1</v>
      </c>
      <c r="E25" s="55">
        <v>1</v>
      </c>
      <c r="F25" s="55">
        <v>1</v>
      </c>
      <c r="G25" s="55">
        <v>1</v>
      </c>
      <c r="H25" s="55">
        <v>1</v>
      </c>
      <c r="I25" s="55">
        <v>1</v>
      </c>
      <c r="J25" s="55">
        <v>1</v>
      </c>
      <c r="K25" s="55">
        <v>1</v>
      </c>
    </row>
    <row r="26" spans="1:11" x14ac:dyDescent="0.35">
      <c r="A26" s="3">
        <f t="shared" si="2"/>
        <v>21</v>
      </c>
      <c r="B26" s="3" t="str">
        <f>Data_base_case!D26</f>
        <v>ON_SP198-HH100</v>
      </c>
      <c r="C26" s="55">
        <v>1</v>
      </c>
      <c r="D26" s="55">
        <v>1</v>
      </c>
      <c r="E26" s="55">
        <v>1</v>
      </c>
      <c r="F26" s="55">
        <v>1</v>
      </c>
      <c r="G26" s="55">
        <v>1</v>
      </c>
      <c r="H26" s="55">
        <v>1</v>
      </c>
      <c r="I26" s="55">
        <v>1</v>
      </c>
      <c r="J26" s="55">
        <v>1</v>
      </c>
      <c r="K26" s="55">
        <v>1</v>
      </c>
    </row>
    <row r="27" spans="1:11" x14ac:dyDescent="0.35">
      <c r="A27" s="3">
        <f t="shared" si="2"/>
        <v>22</v>
      </c>
      <c r="B27" s="3" t="str">
        <f>Data_base_case!D27</f>
        <v>ON_SP198-HH150</v>
      </c>
      <c r="C27" s="55">
        <v>1</v>
      </c>
      <c r="D27" s="55">
        <v>1</v>
      </c>
      <c r="E27" s="55">
        <v>1</v>
      </c>
      <c r="F27" s="55">
        <v>1</v>
      </c>
      <c r="G27" s="55">
        <v>1</v>
      </c>
      <c r="H27" s="55">
        <v>1</v>
      </c>
      <c r="I27" s="55">
        <v>1</v>
      </c>
      <c r="J27" s="55">
        <v>1</v>
      </c>
      <c r="K27" s="55">
        <v>1</v>
      </c>
    </row>
    <row r="28" spans="1:11" x14ac:dyDescent="0.35">
      <c r="A28" s="3">
        <f t="shared" si="2"/>
        <v>23</v>
      </c>
      <c r="B28" s="3" t="str">
        <f>Data_base_case!D28</f>
        <v>ON_SP237-HH100</v>
      </c>
      <c r="C28" s="55">
        <v>1</v>
      </c>
      <c r="D28" s="55">
        <v>1</v>
      </c>
      <c r="E28" s="55">
        <v>1</v>
      </c>
      <c r="F28" s="55">
        <v>1</v>
      </c>
      <c r="G28" s="55">
        <v>1</v>
      </c>
      <c r="H28" s="55">
        <v>1</v>
      </c>
      <c r="I28" s="55">
        <v>1</v>
      </c>
      <c r="J28" s="55">
        <v>1</v>
      </c>
      <c r="K28" s="55">
        <v>1</v>
      </c>
    </row>
    <row r="29" spans="1:11" x14ac:dyDescent="0.35">
      <c r="A29" s="3">
        <f t="shared" si="2"/>
        <v>24</v>
      </c>
      <c r="B29" s="3" t="str">
        <f>Data_base_case!D29</f>
        <v>ON_SP237-HH150</v>
      </c>
      <c r="C29" s="55">
        <v>1</v>
      </c>
      <c r="D29" s="55">
        <v>1</v>
      </c>
      <c r="E29" s="55">
        <v>1</v>
      </c>
      <c r="F29" s="55">
        <v>1</v>
      </c>
      <c r="G29" s="55">
        <v>1</v>
      </c>
      <c r="H29" s="55">
        <v>1</v>
      </c>
      <c r="I29" s="55">
        <v>1</v>
      </c>
      <c r="J29" s="55">
        <v>1</v>
      </c>
      <c r="K29" s="55">
        <v>1</v>
      </c>
    </row>
    <row r="30" spans="1:11" x14ac:dyDescent="0.35">
      <c r="A30" s="3">
        <f t="shared" si="2"/>
        <v>25</v>
      </c>
      <c r="B30" s="3" t="str">
        <f>Data_base_case!D30</f>
        <v>ON_SP277-HH100</v>
      </c>
      <c r="C30" s="55">
        <v>1</v>
      </c>
      <c r="D30" s="55">
        <v>1</v>
      </c>
      <c r="E30" s="55">
        <v>1</v>
      </c>
      <c r="F30" s="55">
        <v>1</v>
      </c>
      <c r="G30" s="55">
        <v>1</v>
      </c>
      <c r="H30" s="55">
        <v>1</v>
      </c>
      <c r="I30" s="55">
        <v>1</v>
      </c>
      <c r="J30" s="55">
        <v>1</v>
      </c>
      <c r="K30" s="55">
        <v>1</v>
      </c>
    </row>
    <row r="31" spans="1:11" x14ac:dyDescent="0.35">
      <c r="A31" s="3">
        <f t="shared" si="2"/>
        <v>26</v>
      </c>
      <c r="B31" s="3" t="str">
        <f>Data_base_case!D31</f>
        <v>ON_SP277-HH150</v>
      </c>
      <c r="C31" s="55">
        <v>1</v>
      </c>
      <c r="D31" s="55">
        <v>1</v>
      </c>
      <c r="E31" s="55">
        <v>1</v>
      </c>
      <c r="F31" s="55">
        <v>1</v>
      </c>
      <c r="G31" s="55">
        <v>1</v>
      </c>
      <c r="H31" s="55">
        <v>1</v>
      </c>
      <c r="I31" s="55">
        <v>1</v>
      </c>
      <c r="J31" s="55">
        <v>1</v>
      </c>
      <c r="K31" s="55">
        <v>1</v>
      </c>
    </row>
    <row r="32" spans="1:11" x14ac:dyDescent="0.35">
      <c r="A32" s="3">
        <f t="shared" si="2"/>
        <v>27</v>
      </c>
      <c r="B32" s="3" t="str">
        <f>Data_base_case!D32</f>
        <v>ON_SP321-HH100</v>
      </c>
      <c r="C32" s="55">
        <v>1</v>
      </c>
      <c r="D32" s="55">
        <v>1</v>
      </c>
      <c r="E32" s="55">
        <v>1</v>
      </c>
      <c r="F32" s="55">
        <v>1</v>
      </c>
      <c r="G32" s="55">
        <v>1</v>
      </c>
      <c r="H32" s="55">
        <v>1</v>
      </c>
      <c r="I32" s="55">
        <v>1</v>
      </c>
      <c r="J32" s="55">
        <v>1</v>
      </c>
      <c r="K32" s="55">
        <v>1</v>
      </c>
    </row>
    <row r="33" spans="1:11" x14ac:dyDescent="0.35">
      <c r="A33" s="3">
        <f t="shared" si="2"/>
        <v>28</v>
      </c>
      <c r="B33" s="3" t="str">
        <f>Data_base_case!D33</f>
        <v>ON_SP321-HH150</v>
      </c>
      <c r="C33" s="55">
        <v>1</v>
      </c>
      <c r="D33" s="55">
        <v>1</v>
      </c>
      <c r="E33" s="55">
        <v>1</v>
      </c>
      <c r="F33" s="55">
        <v>1</v>
      </c>
      <c r="G33" s="55">
        <v>1</v>
      </c>
      <c r="H33" s="55">
        <v>1</v>
      </c>
      <c r="I33" s="55">
        <v>1</v>
      </c>
      <c r="J33" s="55">
        <v>1</v>
      </c>
      <c r="K33" s="55">
        <v>1</v>
      </c>
    </row>
    <row r="34" spans="1:11" x14ac:dyDescent="0.35">
      <c r="A34" s="3">
        <f t="shared" si="2"/>
        <v>29</v>
      </c>
      <c r="B34" s="3" t="str">
        <f>Data_base_case!D34</f>
        <v>OFF_SP379-HH100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</row>
    <row r="35" spans="1:11" x14ac:dyDescent="0.35">
      <c r="A35" s="3">
        <f t="shared" si="2"/>
        <v>30</v>
      </c>
      <c r="B35" s="3" t="str">
        <f>Data_base_case!D35</f>
        <v>OFF_SP379-HH150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</row>
    <row r="36" spans="1:11" x14ac:dyDescent="0.35">
      <c r="A36" s="3">
        <f t="shared" si="2"/>
        <v>31</v>
      </c>
      <c r="B36" s="3" t="str">
        <f>Data_base_case!D36</f>
        <v>OFF_SP450-HH100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</row>
    <row r="37" spans="1:11" x14ac:dyDescent="0.35">
      <c r="A37" s="3">
        <f t="shared" si="2"/>
        <v>32</v>
      </c>
      <c r="B37" s="3" t="str">
        <f>Data_base_case!D37</f>
        <v>OFF_SP450-HH150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</row>
    <row r="38" spans="1:11" x14ac:dyDescent="0.35">
      <c r="A38" s="3">
        <f t="shared" si="2"/>
        <v>33</v>
      </c>
      <c r="B38" s="3" t="str">
        <f>Data_base_case!D38</f>
        <v>Electricity from the grid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</row>
    <row r="39" spans="1:11" x14ac:dyDescent="0.35">
      <c r="A39" s="3">
        <f t="shared" si="2"/>
        <v>34</v>
      </c>
      <c r="B39" s="3" t="str">
        <f>Data_base_case!D39</f>
        <v>Curtailment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</row>
    <row r="40" spans="1:11" x14ac:dyDescent="0.35">
      <c r="A40" s="3">
        <f t="shared" si="2"/>
        <v>35</v>
      </c>
      <c r="B40" s="3" t="str">
        <f>Data_base_case!D40</f>
        <v>Charge batteries</v>
      </c>
      <c r="C40" s="3">
        <f>C42</f>
        <v>1</v>
      </c>
      <c r="D40" s="3">
        <f>D42</f>
        <v>1</v>
      </c>
      <c r="E40" s="3">
        <f t="shared" ref="E40:K40" si="15">E42</f>
        <v>1</v>
      </c>
      <c r="F40" s="3">
        <f t="shared" si="15"/>
        <v>1</v>
      </c>
      <c r="G40" s="3">
        <f t="shared" si="15"/>
        <v>1</v>
      </c>
      <c r="H40" s="3">
        <f t="shared" si="15"/>
        <v>1</v>
      </c>
      <c r="I40" s="3">
        <f t="shared" si="15"/>
        <v>1</v>
      </c>
      <c r="J40" s="3">
        <f t="shared" si="15"/>
        <v>1</v>
      </c>
      <c r="K40" s="3">
        <f t="shared" si="15"/>
        <v>1</v>
      </c>
    </row>
    <row r="41" spans="1:11" x14ac:dyDescent="0.35">
      <c r="A41" s="3">
        <f t="shared" si="2"/>
        <v>36</v>
      </c>
      <c r="B41" s="3" t="str">
        <f>Data_base_case!D41</f>
        <v>Discharge batteries</v>
      </c>
      <c r="C41" s="3">
        <f t="shared" ref="C41:K41" si="16">C42</f>
        <v>1</v>
      </c>
      <c r="D41" s="3">
        <f t="shared" si="16"/>
        <v>1</v>
      </c>
      <c r="E41" s="3">
        <f t="shared" si="16"/>
        <v>1</v>
      </c>
      <c r="F41" s="3">
        <f t="shared" si="16"/>
        <v>1</v>
      </c>
      <c r="G41" s="3">
        <f t="shared" si="16"/>
        <v>1</v>
      </c>
      <c r="H41" s="3">
        <f t="shared" si="16"/>
        <v>1</v>
      </c>
      <c r="I41" s="3">
        <f t="shared" si="16"/>
        <v>1</v>
      </c>
      <c r="J41" s="3">
        <f t="shared" si="16"/>
        <v>1</v>
      </c>
      <c r="K41" s="3">
        <f t="shared" si="16"/>
        <v>1</v>
      </c>
    </row>
    <row r="42" spans="1:11" x14ac:dyDescent="0.35">
      <c r="A42" s="3">
        <f t="shared" si="2"/>
        <v>37</v>
      </c>
      <c r="B42" s="3" t="str">
        <f>Data_base_case!D42</f>
        <v>Batteries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</row>
  </sheetData>
  <conditionalFormatting sqref="C6:K42">
    <cfRule type="cellIs" dxfId="69" priority="1" operator="equal">
      <formula>1</formula>
    </cfRule>
    <cfRule type="cellIs" dxfId="68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J14"/>
  <sheetViews>
    <sheetView workbookViewId="0">
      <selection activeCell="D17" sqref="D17"/>
    </sheetView>
  </sheetViews>
  <sheetFormatPr defaultRowHeight="14.5" x14ac:dyDescent="0.35"/>
  <cols>
    <col min="1" max="1" width="20.36328125" style="1" customWidth="1"/>
    <col min="2" max="2" width="22.08984375" style="1" customWidth="1"/>
    <col min="3" max="3" width="22.6328125" style="1" customWidth="1"/>
    <col min="4" max="4" width="24.7265625" style="1" customWidth="1"/>
    <col min="5" max="5" width="13.6328125" style="1" customWidth="1"/>
    <col min="6" max="6" width="9.81640625" style="1" customWidth="1"/>
    <col min="7" max="7" width="13.453125" style="1" customWidth="1"/>
    <col min="8" max="8" width="12.7265625" style="1" customWidth="1"/>
    <col min="9" max="12" width="9.54296875" style="1" customWidth="1"/>
    <col min="13" max="14" width="8.7265625" style="1"/>
    <col min="15" max="15" width="0" style="1" hidden="1" customWidth="1"/>
    <col min="16" max="16384" width="8.7265625" style="1"/>
  </cols>
  <sheetData>
    <row r="1" spans="1:140" x14ac:dyDescent="0.35">
      <c r="A1" s="1" t="s">
        <v>149</v>
      </c>
    </row>
    <row r="2" spans="1:140" x14ac:dyDescent="0.35">
      <c r="A2" s="1" t="s">
        <v>261</v>
      </c>
    </row>
    <row r="4" spans="1:140" s="16" customFormat="1" x14ac:dyDescent="0.35">
      <c r="A4" s="33" t="s">
        <v>148</v>
      </c>
      <c r="B4" s="6" t="s">
        <v>120</v>
      </c>
      <c r="C4" s="6" t="s">
        <v>119</v>
      </c>
      <c r="D4" s="6" t="s">
        <v>84</v>
      </c>
      <c r="E4" s="6" t="s">
        <v>118</v>
      </c>
      <c r="F4" s="6" t="s">
        <v>86</v>
      </c>
      <c r="G4" s="16" t="s">
        <v>117</v>
      </c>
      <c r="H4" s="16" t="s">
        <v>87</v>
      </c>
      <c r="N4" s="16" t="str">
        <f>Data_base_case!F2&amp;Data_base_case!F3</f>
        <v>Used (1 or 0)All</v>
      </c>
      <c r="O4" s="16" t="str">
        <f>Data_base_case!G2&amp;Data_base_case!G3</f>
        <v>Unit tagAll</v>
      </c>
      <c r="P4" s="16" t="str">
        <f>Data_base_case!H2&amp;Data_base_case!H3</f>
        <v>Yearly demand (kg fuel)All</v>
      </c>
      <c r="Q4" s="16" t="str">
        <f>Data_base_case!I2&amp;Data_base_case!I3</f>
        <v>Produced fromAll</v>
      </c>
      <c r="R4" s="16" t="str">
        <f>Data_base_case!J2&amp;Data_base_case!J3</f>
        <v>El balanceAll</v>
      </c>
      <c r="S4" s="16" t="str">
        <f>Data_base_case!K2&amp;Data_base_case!K3</f>
        <v>Heat balanceAll</v>
      </c>
      <c r="T4" s="16" t="str">
        <f>Data_base_case!M2&amp;Data_base_case!M3</f>
        <v>Max CapacityAll</v>
      </c>
      <c r="U4" s="16" t="str">
        <f>Data_base_case!L2&amp;Data_base_case!L3</f>
        <v>H2 balanceAll</v>
      </c>
      <c r="V4" s="16" t="e">
        <f>Data_base_case!#REF!&amp;Data_base_case!#REF!</f>
        <v>#REF!</v>
      </c>
      <c r="W4" s="16" t="e">
        <f>Data_base_case!#REF!&amp;Data_base_case!#REF!</f>
        <v>#REF!</v>
      </c>
      <c r="X4" s="16" t="e">
        <f>Data_base_case!#REF!&amp;Data_base_case!#REF!</f>
        <v>#REF!</v>
      </c>
      <c r="Y4" s="16" t="e">
        <f>Data_base_case!#REF!&amp;Data_base_case!#REF!</f>
        <v>#REF!</v>
      </c>
      <c r="Z4" s="16" t="e">
        <f>Data_base_case!#REF!&amp;Data_base_case!#REF!</f>
        <v>#REF!</v>
      </c>
      <c r="AA4" s="16" t="str">
        <f>Data_base_case!N2&amp;Data_base_case!N3</f>
        <v>Fuel production rate (kg output/kg input)2025</v>
      </c>
      <c r="AB4" s="16" t="e">
        <f>Data_base_case!#REF!&amp;Data_base_case!#REF!</f>
        <v>#REF!</v>
      </c>
      <c r="AC4" s="16" t="e">
        <f>Data_base_case!#REF!&amp;Data_base_case!#REF!</f>
        <v>#REF!</v>
      </c>
      <c r="AD4" s="16" t="e">
        <f>Data_base_case!#REF!&amp;Data_base_case!#REF!</f>
        <v>#REF!</v>
      </c>
      <c r="AE4" s="16" t="e">
        <f>Data_base_case!#REF!&amp;Data_base_case!#REF!</f>
        <v>#REF!</v>
      </c>
      <c r="AF4" s="16" t="e">
        <f>Data_base_case!#REF!&amp;Data_base_case!#REF!</f>
        <v>#REF!</v>
      </c>
      <c r="AG4" s="16" t="str">
        <f>Data_base_case!O2&amp;Data_base_case!O3</f>
        <v>Heat generated (kWh/output)2025</v>
      </c>
      <c r="AH4" s="16" t="e">
        <f>Data_base_case!#REF!&amp;Data_base_case!#REF!</f>
        <v>#REF!</v>
      </c>
      <c r="AI4" s="16" t="e">
        <f>Data_base_case!#REF!&amp;Data_base_case!#REF!</f>
        <v>#REF!</v>
      </c>
      <c r="AJ4" s="16" t="e">
        <f>Data_base_case!#REF!&amp;Data_base_case!#REF!</f>
        <v>#REF!</v>
      </c>
      <c r="AK4" s="16" t="e">
        <f>Data_base_case!#REF!&amp;Data_base_case!#REF!</f>
        <v>#REF!</v>
      </c>
      <c r="AL4" s="16" t="e">
        <f>Data_base_case!#REF!&amp;Data_base_case!#REF!</f>
        <v>#REF!</v>
      </c>
      <c r="AM4" s="16" t="str">
        <f>Data_base_case!P2&amp;Data_base_case!P3</f>
        <v>Load min (% of max capacity)2025</v>
      </c>
      <c r="AN4" s="16" t="e">
        <f>Data_base_case!#REF!&amp;Data_base_case!#REF!</f>
        <v>#REF!</v>
      </c>
      <c r="AO4" s="16" t="e">
        <f>Data_base_case!#REF!&amp;Data_base_case!#REF!</f>
        <v>#REF!</v>
      </c>
      <c r="AP4" s="16" t="e">
        <f>Data_base_case!#REF!&amp;Data_base_case!#REF!</f>
        <v>#REF!</v>
      </c>
      <c r="AQ4" s="16" t="e">
        <f>Data_base_case!#REF!&amp;Data_base_case!#REF!</f>
        <v>#REF!</v>
      </c>
      <c r="AR4" s="16" t="e">
        <f>Data_base_case!#REF!&amp;Data_base_case!#REF!</f>
        <v>#REF!</v>
      </c>
      <c r="AS4" s="16" t="e">
        <f>Data_base_case!#REF!&amp;Data_base_case!#REF!</f>
        <v>#REF!</v>
      </c>
      <c r="AT4" s="16" t="e">
        <f>Data_base_case!#REF!&amp;Data_base_case!#REF!</f>
        <v>#REF!</v>
      </c>
      <c r="AU4" s="16" t="e">
        <f>Data_base_case!#REF!&amp;Data_base_case!#REF!</f>
        <v>#REF!</v>
      </c>
      <c r="AV4" s="16" t="e">
        <f>Data_base_case!#REF!&amp;Data_base_case!#REF!</f>
        <v>#REF!</v>
      </c>
      <c r="AW4" s="16" t="e">
        <f>Data_base_case!#REF!&amp;Data_base_case!#REF!</f>
        <v>#REF!</v>
      </c>
      <c r="AX4" s="16" t="e">
        <f>Data_base_case!#REF!&amp;Data_base_case!#REF!</f>
        <v>#REF!</v>
      </c>
      <c r="AY4" s="16" t="str">
        <f>Data_base_case!Q2&amp;Data_base_case!Q3</f>
        <v>Ramp up (% of capacity /h)2025</v>
      </c>
      <c r="AZ4" s="16" t="e">
        <f>Data_base_case!#REF!&amp;Data_base_case!#REF!</f>
        <v>#REF!</v>
      </c>
      <c r="BA4" s="16" t="e">
        <f>Data_base_case!#REF!&amp;Data_base_case!#REF!</f>
        <v>#REF!</v>
      </c>
      <c r="BB4" s="16" t="e">
        <f>Data_base_case!#REF!&amp;Data_base_case!#REF!</f>
        <v>#REF!</v>
      </c>
      <c r="BC4" s="16" t="e">
        <f>Data_base_case!#REF!&amp;Data_base_case!#REF!</f>
        <v>#REF!</v>
      </c>
      <c r="BD4" s="16" t="e">
        <f>Data_base_case!#REF!&amp;Data_base_case!#REF!</f>
        <v>#REF!</v>
      </c>
      <c r="BE4" s="16" t="str">
        <f>Data_base_case!R2&amp;Data_base_case!R3</f>
        <v>Ramp down (% of capacity /h)2025</v>
      </c>
      <c r="BF4" s="16" t="e">
        <f>Data_base_case!#REF!&amp;Data_base_case!#REF!</f>
        <v>#REF!</v>
      </c>
      <c r="BG4" s="16" t="e">
        <f>Data_base_case!#REF!&amp;Data_base_case!#REF!</f>
        <v>#REF!</v>
      </c>
      <c r="BH4" s="16" t="e">
        <f>Data_base_case!#REF!&amp;Data_base_case!#REF!</f>
        <v>#REF!</v>
      </c>
      <c r="BI4" s="16" t="e">
        <f>Data_base_case!#REF!&amp;Data_base_case!#REF!</f>
        <v>#REF!</v>
      </c>
      <c r="BJ4" s="16" t="e">
        <f>Data_base_case!#REF!&amp;Data_base_case!#REF!</f>
        <v>#REF!</v>
      </c>
      <c r="BK4" s="16" t="str">
        <f>Data_base_case!S2&amp;Data_base_case!S3</f>
        <v>Electrical consumption (kWh/output)2025</v>
      </c>
      <c r="BL4" s="16" t="e">
        <f>Data_base_case!#REF!&amp;Data_base_case!#REF!</f>
        <v>#REF!</v>
      </c>
      <c r="BM4" s="16" t="e">
        <f>Data_base_case!#REF!&amp;Data_base_case!#REF!</f>
        <v>#REF!</v>
      </c>
      <c r="BN4" s="16" t="e">
        <f>Data_base_case!#REF!&amp;Data_base_case!#REF!</f>
        <v>#REF!</v>
      </c>
      <c r="BO4" s="16" t="e">
        <f>Data_base_case!#REF!&amp;Data_base_case!#REF!</f>
        <v>#REF!</v>
      </c>
      <c r="BP4" s="16" t="e">
        <f>Data_base_case!#REF!&amp;Data_base_case!#REF!</f>
        <v>#REF!</v>
      </c>
      <c r="BQ4" s="16" t="str">
        <f>Data_base_case!T2&amp;Data_base_case!T3</f>
        <v>Investment (EUR/Capacity installed)2025</v>
      </c>
      <c r="BR4" s="16" t="e">
        <f>Data_base_case!#REF!&amp;Data_base_case!#REF!</f>
        <v>#REF!</v>
      </c>
      <c r="BS4" s="16" t="e">
        <f>Data_base_case!#REF!&amp;Data_base_case!#REF!</f>
        <v>#REF!</v>
      </c>
      <c r="BT4" s="16" t="e">
        <f>Data_base_case!#REF!&amp;Data_base_case!#REF!</f>
        <v>#REF!</v>
      </c>
      <c r="BU4" s="16" t="e">
        <f>Data_base_case!#REF!&amp;Data_base_case!#REF!</f>
        <v>#REF!</v>
      </c>
      <c r="BV4" s="16" t="e">
        <f>Data_base_case!#REF!&amp;Data_base_case!#REF!</f>
        <v>#REF!</v>
      </c>
      <c r="BW4" s="16" t="str">
        <f>Data_base_case!U2&amp;Data_base_case!U3</f>
        <v>Fixed cost (EUR/Capacity installed/y)2025</v>
      </c>
      <c r="BX4" s="16" t="e">
        <f>Data_base_case!#REF!&amp;Data_base_case!#REF!</f>
        <v>#REF!</v>
      </c>
      <c r="BY4" s="16" t="e">
        <f>Data_base_case!#REF!&amp;Data_base_case!#REF!</f>
        <v>#REF!</v>
      </c>
      <c r="BZ4" s="16" t="e">
        <f>Data_base_case!#REF!&amp;Data_base_case!#REF!</f>
        <v>#REF!</v>
      </c>
      <c r="CA4" s="16" t="e">
        <f>Data_base_case!#REF!&amp;Data_base_case!#REF!</f>
        <v>#REF!</v>
      </c>
      <c r="CB4" s="16" t="e">
        <f>Data_base_case!#REF!&amp;Data_base_case!#REF!</f>
        <v>#REF!</v>
      </c>
      <c r="CC4" s="16" t="str">
        <f>Data_base_case!V2&amp;Data_base_case!V3</f>
        <v>Variable cost (EUR/Output)2025</v>
      </c>
      <c r="CD4" s="16" t="e">
        <f>Data_base_case!#REF!&amp;Data_base_case!#REF!</f>
        <v>#REF!</v>
      </c>
      <c r="CE4" s="16" t="e">
        <f>Data_base_case!#REF!&amp;Data_base_case!#REF!</f>
        <v>#REF!</v>
      </c>
      <c r="CF4" s="16" t="e">
        <f>Data_base_case!#REF!&amp;Data_base_case!#REF!</f>
        <v>#REF!</v>
      </c>
      <c r="CG4" s="16" t="e">
        <f>Data_base_case!#REF!&amp;Data_base_case!#REF!</f>
        <v>#REF!</v>
      </c>
      <c r="CH4" s="16" t="e">
        <f>Data_base_case!#REF!&amp;Data_base_case!#REF!</f>
        <v>#REF!</v>
      </c>
      <c r="CI4" s="16" t="str">
        <f>Data_base_case!W2&amp;Data_base_case!W3</f>
        <v>Fuel selling price (EUR/output)2025</v>
      </c>
      <c r="CJ4" s="16" t="e">
        <f>Data_base_case!#REF!&amp;Data_base_case!#REF!</f>
        <v>#REF!</v>
      </c>
      <c r="CK4" s="16" t="e">
        <f>Data_base_case!#REF!&amp;Data_base_case!#REF!</f>
        <v>#REF!</v>
      </c>
      <c r="CL4" s="16" t="e">
        <f>Data_base_case!#REF!&amp;Data_base_case!#REF!</f>
        <v>#REF!</v>
      </c>
      <c r="CM4" s="16" t="e">
        <f>Data_base_case!#REF!&amp;Data_base_case!#REF!</f>
        <v>#REF!</v>
      </c>
      <c r="CN4" s="16" t="e">
        <f>Data_base_case!#REF!&amp;Data_base_case!#REF!</f>
        <v>#REF!</v>
      </c>
      <c r="CO4" s="16" t="str">
        <f>Data_base_case!X2&amp;Data_base_case!X3</f>
        <v>Fuel buying price (EUR/output)2025</v>
      </c>
      <c r="CP4" s="16" t="e">
        <f>Data_base_case!#REF!&amp;Data_base_case!#REF!</f>
        <v>#REF!</v>
      </c>
      <c r="CQ4" s="16" t="e">
        <f>Data_base_case!#REF!&amp;Data_base_case!#REF!</f>
        <v>#REF!</v>
      </c>
      <c r="CR4" s="16" t="e">
        <f>Data_base_case!#REF!&amp;Data_base_case!#REF!</f>
        <v>#REF!</v>
      </c>
      <c r="CS4" s="16" t="e">
        <f>Data_base_case!#REF!&amp;Data_base_case!#REF!</f>
        <v>#REF!</v>
      </c>
      <c r="CT4" s="16" t="e">
        <f>Data_base_case!#REF!&amp;Data_base_case!#REF!</f>
        <v>#REF!</v>
      </c>
      <c r="CU4" s="16" t="e">
        <f>Data_base_case!#REF!&amp;Data_base_case!#REF!</f>
        <v>#REF!</v>
      </c>
      <c r="CV4" s="16" t="e">
        <f>Data_base_case!#REF!&amp;Data_base_case!#REF!</f>
        <v>#REF!</v>
      </c>
      <c r="CW4" s="16" t="e">
        <f>Data_base_case!#REF!&amp;Data_base_case!#REF!</f>
        <v>#REF!</v>
      </c>
      <c r="CX4" s="16" t="e">
        <f>Data_base_case!#REF!&amp;Data_base_case!#REF!</f>
        <v>#REF!</v>
      </c>
      <c r="CY4" s="16" t="e">
        <f>Data_base_case!#REF!&amp;Data_base_case!#REF!</f>
        <v>#REF!</v>
      </c>
      <c r="CZ4" s="16" t="e">
        <f>Data_base_case!#REF!&amp;Data_base_case!#REF!</f>
        <v>#REF!</v>
      </c>
      <c r="DA4" s="16" t="e">
        <f>Data_base_case!#REF!&amp;Data_base_case!#REF!</f>
        <v>#REF!</v>
      </c>
      <c r="DB4" s="16" t="e">
        <f>Data_base_case!#REF!&amp;Data_base_case!#REF!</f>
        <v>#REF!</v>
      </c>
      <c r="DC4" s="16" t="e">
        <f>Data_base_case!#REF!&amp;Data_base_case!#REF!</f>
        <v>#REF!</v>
      </c>
      <c r="DD4" s="16" t="e">
        <f>Data_base_case!#REF!&amp;Data_base_case!#REF!</f>
        <v>#REF!</v>
      </c>
      <c r="DE4" s="16" t="e">
        <f>Data_base_case!#REF!&amp;Data_base_case!#REF!</f>
        <v>#REF!</v>
      </c>
      <c r="DF4" s="16" t="e">
        <f>Data_base_case!#REF!&amp;Data_base_case!#REF!</f>
        <v>#REF!</v>
      </c>
      <c r="DG4" s="16" t="e">
        <f>Data_base_case!#REF!&amp;Data_base_case!#REF!</f>
        <v>#REF!</v>
      </c>
      <c r="DH4" s="16" t="e">
        <f>Data_base_case!#REF!&amp;Data_base_case!#REF!</f>
        <v>#REF!</v>
      </c>
      <c r="DI4" s="16" t="e">
        <f>Data_base_case!#REF!&amp;Data_base_case!#REF!</f>
        <v>#REF!</v>
      </c>
      <c r="DJ4" s="16" t="e">
        <f>Data_base_case!#REF!&amp;Data_base_case!#REF!</f>
        <v>#REF!</v>
      </c>
      <c r="DK4" s="16" t="e">
        <f>Data_base_case!#REF!&amp;Data_base_case!#REF!</f>
        <v>#REF!</v>
      </c>
      <c r="DL4" s="16" t="e">
        <f>Data_base_case!#REF!&amp;Data_base_case!#REF!</f>
        <v>#REF!</v>
      </c>
      <c r="DM4" s="16" t="str">
        <f>Data_base_case!Y2&amp;Data_base_case!Y3</f>
        <v>Annuity factor2025</v>
      </c>
      <c r="DN4" s="16" t="e">
        <f>Data_base_case!#REF!&amp;Data_base_case!#REF!</f>
        <v>#REF!</v>
      </c>
      <c r="DO4" s="16" t="e">
        <f>Data_base_case!#REF!&amp;Data_base_case!#REF!</f>
        <v>#REF!</v>
      </c>
      <c r="DP4" s="16" t="e">
        <f>Data_base_case!#REF!&amp;Data_base_case!#REF!</f>
        <v>#REF!</v>
      </c>
      <c r="DQ4" s="16" t="e">
        <f>Data_base_case!#REF!&amp;Data_base_case!#REF!</f>
        <v>#REF!</v>
      </c>
      <c r="DR4" s="16" t="e">
        <f>Data_base_case!#REF!&amp;Data_base_case!#REF!</f>
        <v>#REF!</v>
      </c>
      <c r="DS4" s="16" t="e">
        <f>Data_base_case!#REF!&amp;Data_base_case!#REF!</f>
        <v>#REF!</v>
      </c>
      <c r="DT4" s="16" t="e">
        <f>Data_base_case!#REF!&amp;Data_base_case!#REF!</f>
        <v>#REF!</v>
      </c>
      <c r="DU4" s="16" t="e">
        <f>Data_base_case!#REF!&amp;Data_base_case!#REF!</f>
        <v>#REF!</v>
      </c>
      <c r="DV4" s="16" t="e">
        <f>Data_base_case!#REF!&amp;Data_base_case!#REF!</f>
        <v>#REF!</v>
      </c>
      <c r="DW4" s="16" t="e">
        <f>Data_base_case!#REF!&amp;Data_base_case!#REF!</f>
        <v>#REF!</v>
      </c>
      <c r="DX4" s="16" t="e">
        <f>Data_base_case!#REF!&amp;Data_base_case!#REF!</f>
        <v>#REF!</v>
      </c>
      <c r="DY4" s="16" t="e">
        <f>Data_base_case!#REF!&amp;Data_base_case!#REF!</f>
        <v>#REF!</v>
      </c>
      <c r="DZ4" s="16" t="e">
        <f>Data_base_case!#REF!&amp;Data_base_case!#REF!</f>
        <v>#REF!</v>
      </c>
      <c r="EA4" s="16" t="e">
        <f>Data_base_case!#REF!&amp;Data_base_case!#REF!</f>
        <v>#REF!</v>
      </c>
      <c r="EB4" s="16" t="e">
        <f>Data_base_case!#REF!&amp;Data_base_case!#REF!</f>
        <v>#REF!</v>
      </c>
      <c r="EC4" s="16" t="e">
        <f>Data_base_case!#REF!&amp;Data_base_case!#REF!</f>
        <v>#REF!</v>
      </c>
      <c r="ED4" s="16" t="e">
        <f>Data_base_case!#REF!&amp;Data_base_case!#REF!</f>
        <v>#REF!</v>
      </c>
      <c r="EE4" s="16" t="e">
        <f>Data_base_case!#REF!&amp;Data_base_case!#REF!</f>
        <v>#REF!</v>
      </c>
      <c r="EF4" s="16" t="e">
        <f>Data_base_case!#REF!&amp;Data_base_case!#REF!</f>
        <v>#REF!</v>
      </c>
      <c r="EG4" s="16" t="e">
        <f>Data_base_case!#REF!&amp;Data_base_case!#REF!</f>
        <v>#REF!</v>
      </c>
      <c r="EH4" s="16" t="e">
        <f>Data_base_case!#REF!&amp;Data_base_case!#REF!</f>
        <v>#REF!</v>
      </c>
      <c r="EI4" s="16" t="e">
        <f>Data_base_case!#REF!&amp;Data_base_case!#REF!</f>
        <v>#REF!</v>
      </c>
      <c r="EJ4" s="16" t="e">
        <f>Data_base_case!#REF!&amp;Data_base_case!#REF!</f>
        <v>#REF!</v>
      </c>
    </row>
    <row r="5" spans="1:140" s="16" customFormat="1" ht="14.5" customHeight="1" x14ac:dyDescent="0.35">
      <c r="A5" s="41"/>
      <c r="B5" s="16" t="s">
        <v>175</v>
      </c>
      <c r="C5" s="16" t="s">
        <v>33</v>
      </c>
      <c r="D5" s="16" t="str">
        <f>Data_base_case!$F$1</f>
        <v>Used (1 or 0)</v>
      </c>
      <c r="E5" s="16" t="s">
        <v>110</v>
      </c>
      <c r="F5" s="16">
        <v>1</v>
      </c>
      <c r="G5" s="42" t="s">
        <v>110</v>
      </c>
      <c r="H5" s="16">
        <f>INDEX(Data_base_case!$D$5:$Y$88,MATCH(Scenarios_definition!C5,Data_base_case!$D$5:$D$88,0),MATCH(Scenarios_definition!D5&amp;Scenarios_definition!G5,Data_base_case!$D$4:$Y$4,0))</f>
        <v>1</v>
      </c>
    </row>
    <row r="6" spans="1:140" s="16" customFormat="1" ht="14.5" customHeight="1" x14ac:dyDescent="0.35">
      <c r="A6" s="41" t="str">
        <f>B5</f>
        <v>Semi-islanded</v>
      </c>
      <c r="B6" s="44" t="s">
        <v>176</v>
      </c>
      <c r="C6" s="44" t="s">
        <v>256</v>
      </c>
      <c r="D6" s="44" t="str">
        <f>Data_base_case!$P$1</f>
        <v>Load min (% of max capacity)</v>
      </c>
      <c r="E6" s="44" t="s">
        <v>110</v>
      </c>
      <c r="F6" s="44">
        <v>0</v>
      </c>
      <c r="G6" s="45">
        <v>2025</v>
      </c>
      <c r="H6" s="44">
        <f>INDEX(Data_base_case!$D$5:$Y$42,MATCH(Scenarios_definition!C6,Data_base_case!$D$5:$D$42,0),MATCH(Scenarios_definition!D6&amp;Scenarios_definition!G6,Data_base_case!$D$4:$Y$4,0))</f>
        <v>0.4</v>
      </c>
    </row>
    <row r="7" spans="1:140" s="16" customFormat="1" ht="14.5" customHeight="1" x14ac:dyDescent="0.35">
      <c r="A7" s="41"/>
      <c r="B7" s="44" t="s">
        <v>176</v>
      </c>
      <c r="C7" s="44" t="s">
        <v>250</v>
      </c>
      <c r="D7" s="44" t="str">
        <f>Data_base_case!$P$1</f>
        <v>Load min (% of max capacity)</v>
      </c>
      <c r="E7" s="44" t="s">
        <v>110</v>
      </c>
      <c r="F7" s="44">
        <v>0</v>
      </c>
      <c r="G7" s="45">
        <v>2025</v>
      </c>
      <c r="H7" s="44">
        <f>INDEX(Data_base_case!$D$5:$Y$88,MATCH(Scenarios_definition!C7,Data_base_case!$D$5:$D$88,0),MATCH(Scenarios_definition!D7&amp;Scenarios_definition!G7,Data_base_case!$D$4:$Y$4,0))</f>
        <v>0.4</v>
      </c>
    </row>
    <row r="8" spans="1:140" ht="14.5" customHeight="1" x14ac:dyDescent="0.35">
      <c r="A8" s="22"/>
      <c r="B8" s="1" t="s">
        <v>125</v>
      </c>
      <c r="C8" s="1" t="str">
        <f>Data_base_case!D38</f>
        <v>Electricity from the grid</v>
      </c>
      <c r="D8" s="1" t="str">
        <f>Data_base_case!$F$1</f>
        <v>Used (1 or 0)</v>
      </c>
      <c r="E8" s="1" t="s">
        <v>110</v>
      </c>
      <c r="F8" s="1">
        <v>0</v>
      </c>
      <c r="G8" s="21" t="s">
        <v>110</v>
      </c>
      <c r="H8" s="1">
        <f>INDEX(Data_base_case!$D$5:$Y$88,MATCH(Scenarios_definition!C8,Data_base_case!$D$5:$D$88,0),MATCH(Scenarios_definition!D8&amp;Scenarios_definition!G8,Data_base_case!$D$4:$Y$4,0))</f>
        <v>1</v>
      </c>
    </row>
    <row r="9" spans="1:140" s="31" customFormat="1" ht="14.5" customHeight="1" x14ac:dyDescent="0.35">
      <c r="A9" s="22" t="s">
        <v>125</v>
      </c>
      <c r="B9" s="31" t="s">
        <v>138</v>
      </c>
      <c r="C9" s="31" t="s">
        <v>256</v>
      </c>
      <c r="D9" s="31" t="str">
        <f>Data_base_case!$P$1</f>
        <v>Load min (% of max capacity)</v>
      </c>
      <c r="E9" s="31" t="s">
        <v>110</v>
      </c>
      <c r="F9" s="31">
        <v>1</v>
      </c>
      <c r="G9" s="32">
        <v>2025</v>
      </c>
      <c r="H9" s="1">
        <f>INDEX(Data_base_case!$D$5:$Y$88,MATCH(Scenarios_definition!C9,Data_base_case!$D$5:$D$88,0),MATCH(Scenarios_definition!D9&amp;Scenarios_definition!G9,Data_base_case!$D$4:$Y$4,0))</f>
        <v>0.4</v>
      </c>
    </row>
    <row r="10" spans="1:140" s="31" customFormat="1" ht="14.5" customHeight="1" x14ac:dyDescent="0.35">
      <c r="A10" s="22"/>
      <c r="B10" s="31" t="s">
        <v>138</v>
      </c>
      <c r="C10" s="31" t="s">
        <v>250</v>
      </c>
      <c r="D10" s="31" t="str">
        <f>Data_base_case!$P$1</f>
        <v>Load min (% of max capacity)</v>
      </c>
      <c r="E10" s="31" t="s">
        <v>110</v>
      </c>
      <c r="F10" s="31">
        <v>1</v>
      </c>
      <c r="G10" s="32">
        <v>2025</v>
      </c>
      <c r="H10" s="1">
        <f>INDEX(Data_base_case!$D$5:$Y$88,MATCH(Scenarios_definition!C10,Data_base_case!$D$5:$D$88,0),MATCH(Scenarios_definition!D10&amp;Scenarios_definition!G10,Data_base_case!$D$4:$Y$4,0))</f>
        <v>0.4</v>
      </c>
    </row>
    <row r="11" spans="1:140" s="31" customFormat="1" ht="14.5" customHeight="1" x14ac:dyDescent="0.35">
      <c r="B11" s="24" t="s">
        <v>127</v>
      </c>
      <c r="C11" s="24" t="s">
        <v>256</v>
      </c>
      <c r="D11" s="24" t="str">
        <f>Data_base_case!$P$1</f>
        <v>Load min (% of max capacity)</v>
      </c>
      <c r="E11" s="24" t="s">
        <v>110</v>
      </c>
      <c r="F11" s="24">
        <v>1</v>
      </c>
      <c r="G11" s="25">
        <v>2025</v>
      </c>
      <c r="H11" s="1">
        <f>INDEX(Data_base_case!$D$5:$Y$88,MATCH(Scenarios_definition!C11,Data_base_case!$D$5:$D$88,0),MATCH(Scenarios_definition!D11&amp;Scenarios_definition!G11,Data_base_case!$D$4:$Y$4,0))</f>
        <v>0.4</v>
      </c>
    </row>
    <row r="12" spans="1:140" s="24" customFormat="1" x14ac:dyDescent="0.35">
      <c r="A12" s="23"/>
      <c r="B12" s="24" t="s">
        <v>127</v>
      </c>
      <c r="C12" s="24" t="s">
        <v>250</v>
      </c>
      <c r="D12" s="24" t="str">
        <f>Data_base_case!$P$1</f>
        <v>Load min (% of max capacity)</v>
      </c>
      <c r="E12" s="24" t="s">
        <v>110</v>
      </c>
      <c r="F12" s="24">
        <v>1</v>
      </c>
      <c r="G12" s="25">
        <v>2025</v>
      </c>
      <c r="H12" s="1">
        <f>INDEX(Data_base_case!$D$5:$Y$88,MATCH(Scenarios_definition!C12,Data_base_case!$D$5:$D$88,0),MATCH(Scenarios_definition!D12&amp;Scenarios_definition!G12,Data_base_case!$D$4:$Y$4,0))</f>
        <v>0.4</v>
      </c>
    </row>
    <row r="13" spans="1:140" s="46" customFormat="1" x14ac:dyDescent="0.35">
      <c r="A13" s="1" t="s">
        <v>125</v>
      </c>
      <c r="B13" s="46" t="s">
        <v>177</v>
      </c>
      <c r="C13" s="46" t="s">
        <v>256</v>
      </c>
      <c r="D13" s="46" t="str">
        <f>Data_base_case!$P$1</f>
        <v>Load min (% of max capacity)</v>
      </c>
      <c r="E13" s="46" t="s">
        <v>110</v>
      </c>
      <c r="F13" s="46">
        <v>0</v>
      </c>
      <c r="G13" s="47">
        <v>2025</v>
      </c>
      <c r="H13" s="46">
        <f>INDEX(Data_base_case!$D$5:$Y$88,MATCH(Scenarios_definition!C13,Data_base_case!$D$5:$D$88,0),MATCH(Scenarios_definition!D13&amp;Scenarios_definition!G13,Data_base_case!$D$4:$Y$4,0))</f>
        <v>0.4</v>
      </c>
    </row>
    <row r="14" spans="1:140" s="46" customFormat="1" x14ac:dyDescent="0.35">
      <c r="B14" s="46" t="s">
        <v>177</v>
      </c>
      <c r="C14" s="46" t="s">
        <v>250</v>
      </c>
      <c r="D14" s="46" t="str">
        <f>Data_base_case!$P$1</f>
        <v>Load min (% of max capacity)</v>
      </c>
      <c r="E14" s="46" t="s">
        <v>110</v>
      </c>
      <c r="F14" s="46">
        <v>0</v>
      </c>
      <c r="G14" s="47">
        <v>2025</v>
      </c>
      <c r="H14" s="46">
        <f>INDEX(Data_base_case!$D$5:$Y$88,MATCH(Scenarios_definition!C14,Data_base_case!$D$5:$D$88,0),MATCH(Scenarios_definition!D14&amp;Scenarios_definition!G14,Data_base_case!$D$4:$Y$4,0))</f>
        <v>0.4</v>
      </c>
    </row>
  </sheetData>
  <pageMargins left="0.7" right="0.7" top="0.75" bottom="0.75" header="0.3" footer="0.3"/>
  <pageSetup paperSize="9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28"/>
  <sheetViews>
    <sheetView tabSelected="1" workbookViewId="0">
      <selection activeCell="E6" sqref="E6"/>
    </sheetView>
  </sheetViews>
  <sheetFormatPr defaultRowHeight="14.5" x14ac:dyDescent="0.35"/>
  <cols>
    <col min="1" max="1" width="15.08984375" bestFit="1" customWidth="1"/>
    <col min="2" max="2" width="36.36328125" bestFit="1" customWidth="1"/>
    <col min="3" max="3" width="21.36328125" style="14" bestFit="1" customWidth="1"/>
    <col min="4" max="4" width="7.90625" style="14" bestFit="1" customWidth="1"/>
    <col min="5" max="5" width="6.1796875" style="14" bestFit="1" customWidth="1"/>
    <col min="6" max="6" width="11.1796875" style="14" bestFit="1" customWidth="1"/>
    <col min="7" max="7" width="8.81640625" style="14" bestFit="1" customWidth="1"/>
    <col min="8" max="8" width="17.26953125" style="14" customWidth="1"/>
    <col min="9" max="9" width="11.6328125" style="14" customWidth="1"/>
    <col min="10" max="10" width="10.54296875" style="14" bestFit="1" customWidth="1"/>
    <col min="11" max="11" width="18.54296875" bestFit="1" customWidth="1"/>
    <col min="12" max="12" width="17.453125" style="17" bestFit="1" customWidth="1"/>
    <col min="13" max="13" width="11.7265625" bestFit="1" customWidth="1"/>
    <col min="14" max="14" width="8.08984375" bestFit="1" customWidth="1"/>
    <col min="15" max="15" width="19.1796875" bestFit="1" customWidth="1"/>
    <col min="16" max="16" width="13.26953125" bestFit="1" customWidth="1"/>
    <col min="17" max="17" width="15.36328125" style="17" bestFit="1" customWidth="1"/>
    <col min="18" max="18" width="14" bestFit="1" customWidth="1"/>
  </cols>
  <sheetData>
    <row r="1" spans="1:18" x14ac:dyDescent="0.35">
      <c r="B1" s="155" t="s">
        <v>122</v>
      </c>
      <c r="C1" s="155"/>
      <c r="D1" s="155"/>
      <c r="E1" s="155"/>
      <c r="F1" s="155"/>
      <c r="G1" s="155"/>
      <c r="H1" s="155"/>
      <c r="I1" s="155"/>
      <c r="J1" s="155"/>
      <c r="K1" s="155"/>
      <c r="L1" s="156"/>
    </row>
    <row r="2" spans="1:18" ht="16.5" customHeight="1" x14ac:dyDescent="0.35">
      <c r="B2" s="157" t="s">
        <v>130</v>
      </c>
      <c r="C2" s="157" t="s">
        <v>266</v>
      </c>
      <c r="D2" s="2" t="s">
        <v>192</v>
      </c>
      <c r="E2" s="2" t="s">
        <v>89</v>
      </c>
      <c r="F2" s="2" t="s">
        <v>105</v>
      </c>
      <c r="G2" s="2">
        <v>2025</v>
      </c>
      <c r="H2" s="157" t="s">
        <v>142</v>
      </c>
      <c r="I2" s="157" t="s">
        <v>141</v>
      </c>
      <c r="J2" s="2" t="s">
        <v>76</v>
      </c>
      <c r="K2" s="2" t="s">
        <v>168</v>
      </c>
      <c r="L2" s="67" t="s">
        <v>123</v>
      </c>
    </row>
    <row r="3" spans="1:18" x14ac:dyDescent="0.35">
      <c r="B3" s="157"/>
      <c r="C3" s="157"/>
      <c r="D3" s="2" t="s">
        <v>193</v>
      </c>
      <c r="E3" s="2" t="s">
        <v>101</v>
      </c>
      <c r="F3" s="2" t="s">
        <v>82</v>
      </c>
      <c r="G3" s="2"/>
      <c r="H3" s="157"/>
      <c r="I3" s="157"/>
      <c r="J3" s="2" t="s">
        <v>90</v>
      </c>
      <c r="K3" s="2"/>
      <c r="L3" s="67"/>
    </row>
    <row r="4" spans="1:18" x14ac:dyDescent="0.35">
      <c r="B4" s="157"/>
      <c r="C4" s="157"/>
      <c r="D4" s="2" t="s">
        <v>185</v>
      </c>
      <c r="E4" s="2"/>
      <c r="F4" s="2" t="s">
        <v>103</v>
      </c>
      <c r="G4" s="2"/>
      <c r="H4" s="157"/>
      <c r="I4" s="157"/>
      <c r="J4" s="2"/>
      <c r="K4" s="2"/>
      <c r="L4" s="67"/>
    </row>
    <row r="5" spans="1:18" x14ac:dyDescent="0.35">
      <c r="B5" s="157"/>
      <c r="C5" s="157"/>
      <c r="E5" s="2"/>
      <c r="F5" s="2"/>
      <c r="G5" s="2"/>
      <c r="H5" s="2"/>
      <c r="I5" s="2"/>
      <c r="J5" s="2"/>
      <c r="K5" s="3"/>
      <c r="L5" s="30"/>
      <c r="M5" s="66"/>
      <c r="N5" s="3"/>
      <c r="O5" s="3"/>
      <c r="P5" s="3"/>
      <c r="Q5" s="30"/>
      <c r="R5" s="68" t="s">
        <v>124</v>
      </c>
    </row>
    <row r="6" spans="1:18" x14ac:dyDescent="0.35">
      <c r="K6" s="14"/>
      <c r="L6" s="43"/>
      <c r="M6" s="3"/>
      <c r="N6" s="3"/>
      <c r="O6" s="3"/>
      <c r="P6" s="3"/>
      <c r="Q6" s="30"/>
    </row>
    <row r="7" spans="1:18" s="26" customFormat="1" x14ac:dyDescent="0.35">
      <c r="A7" s="26" t="s">
        <v>91</v>
      </c>
      <c r="B7" s="26" t="s">
        <v>129</v>
      </c>
      <c r="C7" s="26" t="s">
        <v>128</v>
      </c>
      <c r="D7" s="26" t="s">
        <v>179</v>
      </c>
      <c r="E7" s="26" t="s">
        <v>92</v>
      </c>
      <c r="F7" s="26" t="s">
        <v>102</v>
      </c>
      <c r="G7" s="26" t="s">
        <v>139</v>
      </c>
      <c r="H7" s="26" t="s">
        <v>140</v>
      </c>
      <c r="I7" s="26" t="s">
        <v>95</v>
      </c>
      <c r="J7" s="26" t="s">
        <v>93</v>
      </c>
      <c r="K7" s="26" t="s">
        <v>94</v>
      </c>
      <c r="L7" s="27" t="s">
        <v>96</v>
      </c>
      <c r="M7" s="26" t="s">
        <v>97</v>
      </c>
      <c r="N7" s="26" t="s">
        <v>98</v>
      </c>
      <c r="O7" s="26" t="s">
        <v>99</v>
      </c>
      <c r="P7" s="26" t="s">
        <v>107</v>
      </c>
      <c r="Q7" s="27" t="s">
        <v>108</v>
      </c>
      <c r="R7" s="26" t="s">
        <v>100</v>
      </c>
    </row>
    <row r="8" spans="1:18" x14ac:dyDescent="0.35">
      <c r="A8" s="2">
        <f>ROW(A8)-ROW($A$7)</f>
        <v>1</v>
      </c>
      <c r="B8" s="2" t="s">
        <v>253</v>
      </c>
      <c r="C8" s="14" t="s">
        <v>125</v>
      </c>
      <c r="D8" t="s">
        <v>192</v>
      </c>
      <c r="E8" s="14" t="s">
        <v>101</v>
      </c>
      <c r="F8" s="14" t="s">
        <v>103</v>
      </c>
      <c r="G8" s="65">
        <v>2025</v>
      </c>
      <c r="H8" s="14" t="s">
        <v>184</v>
      </c>
      <c r="I8" s="14" t="str">
        <f t="shared" ref="I8:I28" si="0">"2019"</f>
        <v>2019</v>
      </c>
      <c r="J8" s="14" t="s">
        <v>76</v>
      </c>
      <c r="K8" t="s">
        <v>180</v>
      </c>
      <c r="L8" s="17" t="s">
        <v>259</v>
      </c>
      <c r="M8" t="b">
        <v>0</v>
      </c>
      <c r="N8" t="b">
        <v>0</v>
      </c>
      <c r="O8" t="b">
        <v>1</v>
      </c>
      <c r="P8" t="b">
        <v>0</v>
      </c>
      <c r="Q8" s="17" t="b">
        <v>0</v>
      </c>
      <c r="R8" t="b">
        <v>1</v>
      </c>
    </row>
    <row r="9" spans="1:18" x14ac:dyDescent="0.35">
      <c r="A9" s="2">
        <f>ROW(A9)-ROW($A$7)</f>
        <v>2</v>
      </c>
      <c r="B9" s="2" t="s">
        <v>253</v>
      </c>
      <c r="C9" s="14" t="s">
        <v>125</v>
      </c>
      <c r="D9" t="s">
        <v>193</v>
      </c>
      <c r="E9" s="14" t="s">
        <v>101</v>
      </c>
      <c r="F9" s="14" t="s">
        <v>103</v>
      </c>
      <c r="G9" s="65">
        <v>2025</v>
      </c>
      <c r="H9" s="14" t="s">
        <v>184</v>
      </c>
      <c r="I9" s="14" t="str">
        <f t="shared" si="0"/>
        <v>2019</v>
      </c>
      <c r="J9" s="14" t="s">
        <v>76</v>
      </c>
      <c r="K9" t="s">
        <v>180</v>
      </c>
      <c r="L9" s="17" t="s">
        <v>259</v>
      </c>
      <c r="M9" t="b">
        <v>0</v>
      </c>
      <c r="N9" t="b">
        <v>0</v>
      </c>
      <c r="O9" t="b">
        <v>1</v>
      </c>
      <c r="P9" t="b">
        <v>0</v>
      </c>
      <c r="Q9" s="17" t="b">
        <v>0</v>
      </c>
      <c r="R9" t="b">
        <v>1</v>
      </c>
    </row>
    <row r="10" spans="1:18" x14ac:dyDescent="0.35">
      <c r="A10" s="2">
        <f>ROW(A10)-ROW($A$7)</f>
        <v>3</v>
      </c>
      <c r="B10" s="2" t="s">
        <v>253</v>
      </c>
      <c r="C10" s="14" t="s">
        <v>125</v>
      </c>
      <c r="D10" t="s">
        <v>185</v>
      </c>
      <c r="E10" s="14" t="s">
        <v>101</v>
      </c>
      <c r="F10" s="14" t="s">
        <v>103</v>
      </c>
      <c r="G10" s="65">
        <v>2025</v>
      </c>
      <c r="H10" s="14" t="s">
        <v>184</v>
      </c>
      <c r="I10" s="14" t="str">
        <f t="shared" si="0"/>
        <v>2019</v>
      </c>
      <c r="J10" s="14" t="s">
        <v>76</v>
      </c>
      <c r="K10" t="s">
        <v>180</v>
      </c>
      <c r="L10" s="17" t="s">
        <v>259</v>
      </c>
      <c r="M10" t="b">
        <v>0</v>
      </c>
      <c r="N10" t="b">
        <v>0</v>
      </c>
      <c r="O10" t="b">
        <v>1</v>
      </c>
      <c r="P10" t="b">
        <v>0</v>
      </c>
      <c r="Q10" s="17" t="b">
        <v>0</v>
      </c>
      <c r="R10" t="b">
        <v>1</v>
      </c>
    </row>
    <row r="11" spans="1:18" x14ac:dyDescent="0.35">
      <c r="A11" s="2">
        <f t="shared" ref="A11:A19" si="1">ROW(A11)-ROW($A$7)</f>
        <v>4</v>
      </c>
      <c r="B11" s="2" t="s">
        <v>258</v>
      </c>
      <c r="C11" s="14" t="s">
        <v>175</v>
      </c>
      <c r="D11" t="s">
        <v>192</v>
      </c>
      <c r="E11" s="14" t="s">
        <v>101</v>
      </c>
      <c r="F11" s="14" t="s">
        <v>103</v>
      </c>
      <c r="G11" s="65">
        <v>2025</v>
      </c>
      <c r="H11" s="14" t="s">
        <v>184</v>
      </c>
      <c r="I11" s="14" t="str">
        <f t="shared" si="0"/>
        <v>2019</v>
      </c>
      <c r="J11" s="14" t="s">
        <v>76</v>
      </c>
      <c r="K11" t="s">
        <v>180</v>
      </c>
      <c r="L11" s="17" t="s">
        <v>259</v>
      </c>
      <c r="M11" t="b">
        <v>0</v>
      </c>
      <c r="N11" t="b">
        <v>0</v>
      </c>
      <c r="O11" t="b">
        <v>1</v>
      </c>
      <c r="P11" t="b">
        <v>0</v>
      </c>
      <c r="Q11" s="17" t="b">
        <v>0</v>
      </c>
      <c r="R11" t="b">
        <v>1</v>
      </c>
    </row>
    <row r="12" spans="1:18" x14ac:dyDescent="0.35">
      <c r="A12" s="2">
        <f t="shared" si="1"/>
        <v>5</v>
      </c>
      <c r="B12" s="2" t="s">
        <v>258</v>
      </c>
      <c r="C12" s="14" t="s">
        <v>175</v>
      </c>
      <c r="D12" t="s">
        <v>193</v>
      </c>
      <c r="E12" s="14" t="s">
        <v>101</v>
      </c>
      <c r="F12" s="14" t="s">
        <v>103</v>
      </c>
      <c r="G12" s="65">
        <v>2025</v>
      </c>
      <c r="H12" s="14" t="s">
        <v>184</v>
      </c>
      <c r="I12" s="14" t="str">
        <f t="shared" si="0"/>
        <v>2019</v>
      </c>
      <c r="J12" s="14" t="s">
        <v>76</v>
      </c>
      <c r="K12" t="s">
        <v>180</v>
      </c>
      <c r="L12" s="17" t="s">
        <v>259</v>
      </c>
      <c r="M12" t="b">
        <v>0</v>
      </c>
      <c r="N12" t="b">
        <v>0</v>
      </c>
      <c r="O12" t="b">
        <v>1</v>
      </c>
      <c r="P12" t="b">
        <v>0</v>
      </c>
      <c r="Q12" s="17" t="b">
        <v>0</v>
      </c>
      <c r="R12" t="b">
        <v>1</v>
      </c>
    </row>
    <row r="13" spans="1:18" x14ac:dyDescent="0.35">
      <c r="A13" s="2">
        <f t="shared" si="1"/>
        <v>6</v>
      </c>
      <c r="B13" s="2" t="s">
        <v>258</v>
      </c>
      <c r="C13" s="14" t="s">
        <v>175</v>
      </c>
      <c r="D13" t="s">
        <v>185</v>
      </c>
      <c r="E13" s="14" t="s">
        <v>101</v>
      </c>
      <c r="F13" s="14" t="s">
        <v>103</v>
      </c>
      <c r="G13" s="65">
        <v>2025</v>
      </c>
      <c r="H13" s="14" t="s">
        <v>184</v>
      </c>
      <c r="I13" s="14" t="str">
        <f t="shared" si="0"/>
        <v>2019</v>
      </c>
      <c r="J13" s="14" t="s">
        <v>76</v>
      </c>
      <c r="K13" t="s">
        <v>180</v>
      </c>
      <c r="L13" s="17" t="s">
        <v>259</v>
      </c>
      <c r="M13" t="b">
        <v>0</v>
      </c>
      <c r="N13" t="b">
        <v>0</v>
      </c>
      <c r="O13" t="b">
        <v>1</v>
      </c>
      <c r="P13" t="b">
        <v>0</v>
      </c>
      <c r="Q13" s="17" t="b">
        <v>0</v>
      </c>
      <c r="R13" t="b">
        <v>1</v>
      </c>
    </row>
    <row r="14" spans="1:18" x14ac:dyDescent="0.35">
      <c r="A14" s="2">
        <f t="shared" si="1"/>
        <v>7</v>
      </c>
      <c r="B14" s="2" t="s">
        <v>258</v>
      </c>
      <c r="C14" s="14" t="s">
        <v>175</v>
      </c>
      <c r="D14" t="s">
        <v>192</v>
      </c>
      <c r="E14" s="14" t="s">
        <v>101</v>
      </c>
      <c r="F14" s="14" t="s">
        <v>103</v>
      </c>
      <c r="G14" s="65">
        <v>2025</v>
      </c>
      <c r="H14" s="14" t="s">
        <v>184</v>
      </c>
      <c r="I14" s="14" t="str">
        <f t="shared" si="0"/>
        <v>2019</v>
      </c>
      <c r="J14" s="14" t="s">
        <v>90</v>
      </c>
      <c r="K14" t="s">
        <v>180</v>
      </c>
      <c r="L14" s="17" t="s">
        <v>259</v>
      </c>
      <c r="M14" t="b">
        <v>0</v>
      </c>
      <c r="N14" t="b">
        <v>0</v>
      </c>
      <c r="O14" t="b">
        <v>1</v>
      </c>
      <c r="P14" t="b">
        <v>0</v>
      </c>
      <c r="Q14" s="17" t="b">
        <v>0</v>
      </c>
      <c r="R14" t="b">
        <v>1</v>
      </c>
    </row>
    <row r="15" spans="1:18" x14ac:dyDescent="0.35">
      <c r="A15" s="2">
        <f t="shared" si="1"/>
        <v>8</v>
      </c>
      <c r="B15" s="2" t="s">
        <v>258</v>
      </c>
      <c r="C15" s="14" t="s">
        <v>175</v>
      </c>
      <c r="D15" t="s">
        <v>193</v>
      </c>
      <c r="E15" s="14" t="s">
        <v>101</v>
      </c>
      <c r="F15" s="14" t="s">
        <v>103</v>
      </c>
      <c r="G15" s="65">
        <v>2025</v>
      </c>
      <c r="H15" s="14" t="s">
        <v>184</v>
      </c>
      <c r="I15" s="14" t="str">
        <f t="shared" si="0"/>
        <v>2019</v>
      </c>
      <c r="J15" s="14" t="s">
        <v>90</v>
      </c>
      <c r="K15" t="s">
        <v>180</v>
      </c>
      <c r="L15" s="17" t="s">
        <v>259</v>
      </c>
      <c r="M15" t="b">
        <v>0</v>
      </c>
      <c r="N15" t="b">
        <v>0</v>
      </c>
      <c r="O15" t="b">
        <v>1</v>
      </c>
      <c r="P15" t="b">
        <v>0</v>
      </c>
      <c r="Q15" s="17" t="b">
        <v>0</v>
      </c>
      <c r="R15" t="b">
        <v>1</v>
      </c>
    </row>
    <row r="16" spans="1:18" x14ac:dyDescent="0.35">
      <c r="A16" s="2">
        <f t="shared" si="1"/>
        <v>9</v>
      </c>
      <c r="B16" s="2" t="s">
        <v>258</v>
      </c>
      <c r="C16" s="14" t="s">
        <v>175</v>
      </c>
      <c r="D16" t="s">
        <v>185</v>
      </c>
      <c r="E16" s="14" t="s">
        <v>101</v>
      </c>
      <c r="F16" s="14" t="s">
        <v>103</v>
      </c>
      <c r="G16" s="65">
        <v>2025</v>
      </c>
      <c r="H16" s="14" t="s">
        <v>184</v>
      </c>
      <c r="I16" s="14" t="str">
        <f t="shared" si="0"/>
        <v>2019</v>
      </c>
      <c r="J16" s="14" t="s">
        <v>90</v>
      </c>
      <c r="K16" t="s">
        <v>180</v>
      </c>
      <c r="L16" s="17" t="s">
        <v>259</v>
      </c>
      <c r="M16" t="b">
        <v>0</v>
      </c>
      <c r="N16" t="b">
        <v>0</v>
      </c>
      <c r="O16" t="b">
        <v>1</v>
      </c>
      <c r="P16" t="b">
        <v>0</v>
      </c>
      <c r="Q16" s="17" t="b">
        <v>0</v>
      </c>
      <c r="R16" t="b">
        <v>1</v>
      </c>
    </row>
    <row r="17" spans="1:18" x14ac:dyDescent="0.35">
      <c r="A17" s="2">
        <f t="shared" si="1"/>
        <v>10</v>
      </c>
      <c r="B17" s="2" t="s">
        <v>258</v>
      </c>
      <c r="C17" s="14" t="s">
        <v>175</v>
      </c>
      <c r="D17" t="s">
        <v>192</v>
      </c>
      <c r="E17" s="14" t="s">
        <v>89</v>
      </c>
      <c r="F17" s="14" t="s">
        <v>105</v>
      </c>
      <c r="G17" s="65">
        <v>2025</v>
      </c>
      <c r="H17" s="14" t="s">
        <v>184</v>
      </c>
      <c r="I17" s="14" t="str">
        <f t="shared" si="0"/>
        <v>2019</v>
      </c>
      <c r="J17" s="14" t="s">
        <v>76</v>
      </c>
      <c r="K17" t="s">
        <v>180</v>
      </c>
      <c r="L17" s="17" t="s">
        <v>259</v>
      </c>
      <c r="M17" t="b">
        <v>0</v>
      </c>
      <c r="N17" t="b">
        <v>0</v>
      </c>
      <c r="O17" t="b">
        <v>1</v>
      </c>
      <c r="P17" t="b">
        <v>0</v>
      </c>
      <c r="Q17" s="17" t="b">
        <v>0</v>
      </c>
      <c r="R17" t="b">
        <v>1</v>
      </c>
    </row>
    <row r="18" spans="1:18" x14ac:dyDescent="0.35">
      <c r="A18" s="2">
        <f t="shared" si="1"/>
        <v>11</v>
      </c>
      <c r="B18" s="2" t="s">
        <v>258</v>
      </c>
      <c r="C18" s="14" t="s">
        <v>175</v>
      </c>
      <c r="D18" t="s">
        <v>193</v>
      </c>
      <c r="E18" s="14" t="s">
        <v>89</v>
      </c>
      <c r="F18" s="14" t="s">
        <v>105</v>
      </c>
      <c r="G18" s="65">
        <v>2025</v>
      </c>
      <c r="H18" s="14" t="s">
        <v>184</v>
      </c>
      <c r="I18" s="14" t="str">
        <f t="shared" si="0"/>
        <v>2019</v>
      </c>
      <c r="J18" s="14" t="s">
        <v>76</v>
      </c>
      <c r="K18" t="s">
        <v>180</v>
      </c>
      <c r="L18" s="17" t="s">
        <v>259</v>
      </c>
      <c r="M18" t="b">
        <v>0</v>
      </c>
      <c r="N18" t="b">
        <v>0</v>
      </c>
      <c r="O18" t="b">
        <v>1</v>
      </c>
      <c r="P18" t="b">
        <v>0</v>
      </c>
      <c r="Q18" s="17" t="b">
        <v>0</v>
      </c>
      <c r="R18" t="b">
        <v>1</v>
      </c>
    </row>
    <row r="19" spans="1:18" x14ac:dyDescent="0.35">
      <c r="A19" s="2">
        <f t="shared" si="1"/>
        <v>12</v>
      </c>
      <c r="B19" s="2" t="s">
        <v>258</v>
      </c>
      <c r="C19" s="14" t="s">
        <v>175</v>
      </c>
      <c r="D19" t="s">
        <v>185</v>
      </c>
      <c r="E19" s="14" t="s">
        <v>89</v>
      </c>
      <c r="F19" s="14" t="s">
        <v>105</v>
      </c>
      <c r="G19" s="65">
        <v>2025</v>
      </c>
      <c r="H19" s="14" t="s">
        <v>184</v>
      </c>
      <c r="I19" s="14" t="str">
        <f t="shared" si="0"/>
        <v>2019</v>
      </c>
      <c r="J19" s="14" t="s">
        <v>76</v>
      </c>
      <c r="K19" t="s">
        <v>180</v>
      </c>
      <c r="L19" s="17" t="s">
        <v>259</v>
      </c>
      <c r="M19" t="b">
        <v>0</v>
      </c>
      <c r="N19" t="b">
        <v>0</v>
      </c>
      <c r="O19" t="b">
        <v>1</v>
      </c>
      <c r="P19" t="b">
        <v>0</v>
      </c>
      <c r="Q19" s="17" t="b">
        <v>0</v>
      </c>
      <c r="R19" t="b">
        <v>1</v>
      </c>
    </row>
    <row r="20" spans="1:18" x14ac:dyDescent="0.35">
      <c r="A20" s="2">
        <f t="shared" ref="A20:A28" si="2">ROW(A20)-ROW($A$7)</f>
        <v>13</v>
      </c>
      <c r="B20" s="2" t="s">
        <v>254</v>
      </c>
      <c r="C20" s="14" t="s">
        <v>138</v>
      </c>
      <c r="D20" t="s">
        <v>192</v>
      </c>
      <c r="E20" s="14" t="s">
        <v>101</v>
      </c>
      <c r="F20" s="14" t="s">
        <v>103</v>
      </c>
      <c r="G20" s="65">
        <v>2025</v>
      </c>
      <c r="H20" s="14" t="s">
        <v>184</v>
      </c>
      <c r="I20" s="14" t="str">
        <f t="shared" si="0"/>
        <v>2019</v>
      </c>
      <c r="J20" s="14" t="s">
        <v>76</v>
      </c>
      <c r="K20" t="s">
        <v>180</v>
      </c>
      <c r="L20" s="17" t="s">
        <v>260</v>
      </c>
      <c r="M20" t="b">
        <v>0</v>
      </c>
      <c r="N20" t="b">
        <v>0</v>
      </c>
      <c r="O20" t="b">
        <v>1</v>
      </c>
      <c r="P20" t="b">
        <v>0</v>
      </c>
      <c r="Q20" s="17" t="b">
        <v>0</v>
      </c>
      <c r="R20" t="b">
        <v>1</v>
      </c>
    </row>
    <row r="21" spans="1:18" x14ac:dyDescent="0.35">
      <c r="A21" s="2">
        <f t="shared" si="2"/>
        <v>14</v>
      </c>
      <c r="B21" s="2" t="s">
        <v>254</v>
      </c>
      <c r="C21" s="14" t="s">
        <v>138</v>
      </c>
      <c r="D21" t="s">
        <v>193</v>
      </c>
      <c r="E21" s="14" t="s">
        <v>101</v>
      </c>
      <c r="F21" s="14" t="s">
        <v>103</v>
      </c>
      <c r="G21" s="65">
        <v>2025</v>
      </c>
      <c r="H21" s="14" t="s">
        <v>184</v>
      </c>
      <c r="I21" s="14" t="str">
        <f t="shared" si="0"/>
        <v>2019</v>
      </c>
      <c r="J21" s="14" t="s">
        <v>76</v>
      </c>
      <c r="K21" t="s">
        <v>180</v>
      </c>
      <c r="L21" s="17" t="s">
        <v>260</v>
      </c>
      <c r="M21" t="b">
        <v>0</v>
      </c>
      <c r="N21" t="b">
        <v>0</v>
      </c>
      <c r="O21" t="b">
        <v>1</v>
      </c>
      <c r="P21" t="b">
        <v>0</v>
      </c>
      <c r="Q21" s="17" t="b">
        <v>0</v>
      </c>
      <c r="R21" t="b">
        <v>1</v>
      </c>
    </row>
    <row r="22" spans="1:18" x14ac:dyDescent="0.35">
      <c r="A22" s="2">
        <f t="shared" si="2"/>
        <v>15</v>
      </c>
      <c r="B22" s="2" t="s">
        <v>254</v>
      </c>
      <c r="C22" s="14" t="s">
        <v>138</v>
      </c>
      <c r="D22" t="s">
        <v>185</v>
      </c>
      <c r="E22" s="14" t="s">
        <v>101</v>
      </c>
      <c r="F22" s="14" t="s">
        <v>103</v>
      </c>
      <c r="G22" s="65">
        <v>2025</v>
      </c>
      <c r="H22" s="14" t="s">
        <v>184</v>
      </c>
      <c r="I22" s="14" t="str">
        <f t="shared" si="0"/>
        <v>2019</v>
      </c>
      <c r="J22" s="14" t="s">
        <v>76</v>
      </c>
      <c r="K22" t="s">
        <v>180</v>
      </c>
      <c r="L22" s="17" t="s">
        <v>260</v>
      </c>
      <c r="M22" t="b">
        <v>0</v>
      </c>
      <c r="N22" t="b">
        <v>0</v>
      </c>
      <c r="O22" t="b">
        <v>1</v>
      </c>
      <c r="P22" t="b">
        <v>0</v>
      </c>
      <c r="Q22" s="17" t="b">
        <v>0</v>
      </c>
      <c r="R22" t="b">
        <v>1</v>
      </c>
    </row>
    <row r="23" spans="1:18" x14ac:dyDescent="0.35">
      <c r="A23" s="2">
        <f t="shared" si="2"/>
        <v>16</v>
      </c>
      <c r="B23" s="2" t="s">
        <v>255</v>
      </c>
      <c r="C23" s="14" t="s">
        <v>127</v>
      </c>
      <c r="D23" t="s">
        <v>192</v>
      </c>
      <c r="E23" s="14" t="s">
        <v>101</v>
      </c>
      <c r="F23" s="14" t="s">
        <v>103</v>
      </c>
      <c r="G23" s="65">
        <v>2025</v>
      </c>
      <c r="H23" s="14" t="s">
        <v>184</v>
      </c>
      <c r="I23" s="14" t="str">
        <f t="shared" si="0"/>
        <v>2019</v>
      </c>
      <c r="J23" s="14" t="s">
        <v>76</v>
      </c>
      <c r="K23" t="s">
        <v>180</v>
      </c>
      <c r="L23" s="17" t="s">
        <v>260</v>
      </c>
      <c r="M23" t="b">
        <v>0</v>
      </c>
      <c r="N23" t="b">
        <v>0</v>
      </c>
      <c r="O23" t="b">
        <v>1</v>
      </c>
      <c r="P23" t="b">
        <v>0</v>
      </c>
      <c r="Q23" s="17" t="b">
        <v>0</v>
      </c>
      <c r="R23" t="b">
        <v>1</v>
      </c>
    </row>
    <row r="24" spans="1:18" x14ac:dyDescent="0.35">
      <c r="A24" s="2">
        <f t="shared" si="2"/>
        <v>17</v>
      </c>
      <c r="B24" s="2" t="s">
        <v>255</v>
      </c>
      <c r="C24" s="14" t="s">
        <v>127</v>
      </c>
      <c r="D24" t="s">
        <v>193</v>
      </c>
      <c r="E24" s="14" t="s">
        <v>101</v>
      </c>
      <c r="F24" s="14" t="s">
        <v>103</v>
      </c>
      <c r="G24" s="65">
        <v>2025</v>
      </c>
      <c r="H24" s="14" t="s">
        <v>184</v>
      </c>
      <c r="I24" s="14" t="str">
        <f t="shared" si="0"/>
        <v>2019</v>
      </c>
      <c r="J24" s="14" t="s">
        <v>76</v>
      </c>
      <c r="K24" t="s">
        <v>180</v>
      </c>
      <c r="L24" s="17" t="s">
        <v>260</v>
      </c>
      <c r="M24" t="b">
        <v>0</v>
      </c>
      <c r="N24" t="b">
        <v>0</v>
      </c>
      <c r="O24" t="b">
        <v>1</v>
      </c>
      <c r="P24" t="b">
        <v>0</v>
      </c>
      <c r="Q24" s="17" t="b">
        <v>0</v>
      </c>
      <c r="R24" t="b">
        <v>1</v>
      </c>
    </row>
    <row r="25" spans="1:18" x14ac:dyDescent="0.35">
      <c r="A25" s="2">
        <f t="shared" si="2"/>
        <v>18</v>
      </c>
      <c r="B25" s="2" t="s">
        <v>255</v>
      </c>
      <c r="C25" s="14" t="s">
        <v>127</v>
      </c>
      <c r="D25" t="s">
        <v>185</v>
      </c>
      <c r="E25" s="14" t="s">
        <v>101</v>
      </c>
      <c r="F25" s="14" t="s">
        <v>103</v>
      </c>
      <c r="G25" s="65">
        <v>2025</v>
      </c>
      <c r="H25" s="14" t="s">
        <v>184</v>
      </c>
      <c r="I25" s="14" t="str">
        <f t="shared" si="0"/>
        <v>2019</v>
      </c>
      <c r="J25" s="14" t="s">
        <v>76</v>
      </c>
      <c r="K25" t="s">
        <v>180</v>
      </c>
      <c r="L25" s="17" t="s">
        <v>260</v>
      </c>
      <c r="M25" t="b">
        <v>0</v>
      </c>
      <c r="N25" t="b">
        <v>0</v>
      </c>
      <c r="O25" t="b">
        <v>1</v>
      </c>
      <c r="P25" t="b">
        <v>0</v>
      </c>
      <c r="Q25" s="17" t="b">
        <v>0</v>
      </c>
      <c r="R25" t="b">
        <v>1</v>
      </c>
    </row>
    <row r="26" spans="1:18" x14ac:dyDescent="0.35">
      <c r="A26" s="2">
        <f t="shared" si="2"/>
        <v>19</v>
      </c>
      <c r="B26" s="2" t="s">
        <v>257</v>
      </c>
      <c r="C26" s="14" t="s">
        <v>177</v>
      </c>
      <c r="D26" t="s">
        <v>192</v>
      </c>
      <c r="E26" s="14" t="s">
        <v>101</v>
      </c>
      <c r="F26" s="14" t="s">
        <v>103</v>
      </c>
      <c r="G26" s="65">
        <v>2025</v>
      </c>
      <c r="H26" s="14" t="s">
        <v>184</v>
      </c>
      <c r="I26" s="14" t="str">
        <f t="shared" si="0"/>
        <v>2019</v>
      </c>
      <c r="J26" s="14" t="s">
        <v>76</v>
      </c>
      <c r="K26" t="s">
        <v>180</v>
      </c>
      <c r="L26" s="17" t="s">
        <v>260</v>
      </c>
      <c r="M26" t="b">
        <v>0</v>
      </c>
      <c r="N26" t="b">
        <v>0</v>
      </c>
      <c r="O26" t="b">
        <v>1</v>
      </c>
      <c r="P26" t="b">
        <v>0</v>
      </c>
      <c r="Q26" s="17" t="b">
        <v>0</v>
      </c>
      <c r="R26" t="b">
        <v>1</v>
      </c>
    </row>
    <row r="27" spans="1:18" x14ac:dyDescent="0.35">
      <c r="A27" s="2">
        <f t="shared" si="2"/>
        <v>20</v>
      </c>
      <c r="B27" s="2" t="s">
        <v>257</v>
      </c>
      <c r="C27" s="14" t="s">
        <v>177</v>
      </c>
      <c r="D27" t="s">
        <v>193</v>
      </c>
      <c r="E27" s="14" t="s">
        <v>101</v>
      </c>
      <c r="F27" s="14" t="s">
        <v>103</v>
      </c>
      <c r="G27" s="65">
        <v>2025</v>
      </c>
      <c r="H27" s="14" t="s">
        <v>184</v>
      </c>
      <c r="I27" s="14" t="str">
        <f t="shared" si="0"/>
        <v>2019</v>
      </c>
      <c r="J27" s="14" t="s">
        <v>76</v>
      </c>
      <c r="K27" t="s">
        <v>180</v>
      </c>
      <c r="L27" s="17" t="s">
        <v>260</v>
      </c>
      <c r="M27" t="b">
        <v>0</v>
      </c>
      <c r="N27" t="b">
        <v>0</v>
      </c>
      <c r="O27" t="b">
        <v>1</v>
      </c>
      <c r="P27" t="b">
        <v>0</v>
      </c>
      <c r="Q27" s="17" t="b">
        <v>0</v>
      </c>
      <c r="R27" t="b">
        <v>1</v>
      </c>
    </row>
    <row r="28" spans="1:18" x14ac:dyDescent="0.35">
      <c r="A28" s="2">
        <f t="shared" si="2"/>
        <v>21</v>
      </c>
      <c r="B28" s="2" t="s">
        <v>257</v>
      </c>
      <c r="C28" s="14" t="s">
        <v>177</v>
      </c>
      <c r="D28" t="s">
        <v>185</v>
      </c>
      <c r="E28" s="14" t="s">
        <v>101</v>
      </c>
      <c r="F28" s="14" t="s">
        <v>103</v>
      </c>
      <c r="G28" s="65">
        <v>2025</v>
      </c>
      <c r="H28" s="14" t="s">
        <v>184</v>
      </c>
      <c r="I28" s="14" t="str">
        <f t="shared" si="0"/>
        <v>2019</v>
      </c>
      <c r="J28" s="14" t="s">
        <v>76</v>
      </c>
      <c r="K28" t="s">
        <v>180</v>
      </c>
      <c r="L28" s="17" t="s">
        <v>260</v>
      </c>
      <c r="M28" t="b">
        <v>0</v>
      </c>
      <c r="N28" t="b">
        <v>0</v>
      </c>
      <c r="O28" t="b">
        <v>1</v>
      </c>
      <c r="P28" t="b">
        <v>0</v>
      </c>
      <c r="Q28" s="17" t="b">
        <v>0</v>
      </c>
      <c r="R28" t="b">
        <v>1</v>
      </c>
    </row>
  </sheetData>
  <mergeCells count="5">
    <mergeCell ref="B1:L1"/>
    <mergeCell ref="H2:H4"/>
    <mergeCell ref="B2:B5"/>
    <mergeCell ref="C2:C5"/>
    <mergeCell ref="I2:I4"/>
  </mergeCells>
  <conditionalFormatting sqref="R8 O8:Q19 M8:M28">
    <cfRule type="cellIs" dxfId="67" priority="863" operator="equal">
      <formula>TRUE</formula>
    </cfRule>
    <cfRule type="cellIs" dxfId="66" priority="864" operator="equal">
      <formula>FALSE</formula>
    </cfRule>
  </conditionalFormatting>
  <conditionalFormatting sqref="N8">
    <cfRule type="cellIs" dxfId="65" priority="723" operator="equal">
      <formula>TRUE</formula>
    </cfRule>
    <cfRule type="cellIs" dxfId="64" priority="724" operator="equal">
      <formula>FALSE</formula>
    </cfRule>
  </conditionalFormatting>
  <conditionalFormatting sqref="R11:R19">
    <cfRule type="cellIs" dxfId="63" priority="721" operator="equal">
      <formula>TRUE</formula>
    </cfRule>
    <cfRule type="cellIs" dxfId="62" priority="722" operator="equal">
      <formula>FALSE</formula>
    </cfRule>
  </conditionalFormatting>
  <conditionalFormatting sqref="N10">
    <cfRule type="cellIs" dxfId="61" priority="717" operator="equal">
      <formula>TRUE</formula>
    </cfRule>
    <cfRule type="cellIs" dxfId="60" priority="718" operator="equal">
      <formula>FALSE</formula>
    </cfRule>
  </conditionalFormatting>
  <conditionalFormatting sqref="R10">
    <cfRule type="cellIs" dxfId="59" priority="715" operator="equal">
      <formula>TRUE</formula>
    </cfRule>
    <cfRule type="cellIs" dxfId="58" priority="716" operator="equal">
      <formula>FALSE</formula>
    </cfRule>
  </conditionalFormatting>
  <conditionalFormatting sqref="N9">
    <cfRule type="cellIs" dxfId="57" priority="711" operator="equal">
      <formula>TRUE</formula>
    </cfRule>
    <cfRule type="cellIs" dxfId="56" priority="712" operator="equal">
      <formula>FALSE</formula>
    </cfRule>
  </conditionalFormatting>
  <conditionalFormatting sqref="R9">
    <cfRule type="cellIs" dxfId="55" priority="709" operator="equal">
      <formula>TRUE</formula>
    </cfRule>
    <cfRule type="cellIs" dxfId="54" priority="710" operator="equal">
      <formula>FALSE</formula>
    </cfRule>
  </conditionalFormatting>
  <conditionalFormatting sqref="N11">
    <cfRule type="cellIs" dxfId="53" priority="193" operator="equal">
      <formula>TRUE</formula>
    </cfRule>
    <cfRule type="cellIs" dxfId="52" priority="194" operator="equal">
      <formula>FALSE</formula>
    </cfRule>
  </conditionalFormatting>
  <conditionalFormatting sqref="N12">
    <cfRule type="cellIs" dxfId="51" priority="185" operator="equal">
      <formula>TRUE</formula>
    </cfRule>
    <cfRule type="cellIs" dxfId="50" priority="186" operator="equal">
      <formula>FALSE</formula>
    </cfRule>
  </conditionalFormatting>
  <conditionalFormatting sqref="N13">
    <cfRule type="cellIs" dxfId="49" priority="177" operator="equal">
      <formula>TRUE</formula>
    </cfRule>
    <cfRule type="cellIs" dxfId="48" priority="178" operator="equal">
      <formula>FALSE</formula>
    </cfRule>
  </conditionalFormatting>
  <conditionalFormatting sqref="N14">
    <cfRule type="cellIs" dxfId="47" priority="169" operator="equal">
      <formula>TRUE</formula>
    </cfRule>
    <cfRule type="cellIs" dxfId="46" priority="170" operator="equal">
      <formula>FALSE</formula>
    </cfRule>
  </conditionalFormatting>
  <conditionalFormatting sqref="N15">
    <cfRule type="cellIs" dxfId="45" priority="161" operator="equal">
      <formula>TRUE</formula>
    </cfRule>
    <cfRule type="cellIs" dxfId="44" priority="162" operator="equal">
      <formula>FALSE</formula>
    </cfRule>
  </conditionalFormatting>
  <conditionalFormatting sqref="N16">
    <cfRule type="cellIs" dxfId="43" priority="153" operator="equal">
      <formula>TRUE</formula>
    </cfRule>
    <cfRule type="cellIs" dxfId="42" priority="154" operator="equal">
      <formula>FALSE</formula>
    </cfRule>
  </conditionalFormatting>
  <conditionalFormatting sqref="N17">
    <cfRule type="cellIs" dxfId="41" priority="145" operator="equal">
      <formula>TRUE</formula>
    </cfRule>
    <cfRule type="cellIs" dxfId="40" priority="146" operator="equal">
      <formula>FALSE</formula>
    </cfRule>
  </conditionalFormatting>
  <conditionalFormatting sqref="N18">
    <cfRule type="cellIs" dxfId="39" priority="137" operator="equal">
      <formula>TRUE</formula>
    </cfRule>
    <cfRule type="cellIs" dxfId="38" priority="138" operator="equal">
      <formula>FALSE</formula>
    </cfRule>
  </conditionalFormatting>
  <conditionalFormatting sqref="N19">
    <cfRule type="cellIs" dxfId="37" priority="129" operator="equal">
      <formula>TRUE</formula>
    </cfRule>
    <cfRule type="cellIs" dxfId="36" priority="130" operator="equal">
      <formula>FALSE</formula>
    </cfRule>
  </conditionalFormatting>
  <conditionalFormatting sqref="O20:Q22 R20">
    <cfRule type="cellIs" dxfId="35" priority="53" operator="equal">
      <formula>TRUE</formula>
    </cfRule>
    <cfRule type="cellIs" dxfId="34" priority="54" operator="equal">
      <formula>FALSE</formula>
    </cfRule>
  </conditionalFormatting>
  <conditionalFormatting sqref="N20">
    <cfRule type="cellIs" dxfId="33" priority="49" operator="equal">
      <formula>TRUE</formula>
    </cfRule>
    <cfRule type="cellIs" dxfId="32" priority="50" operator="equal">
      <formula>FALSE</formula>
    </cfRule>
  </conditionalFormatting>
  <conditionalFormatting sqref="N22">
    <cfRule type="cellIs" dxfId="31" priority="45" operator="equal">
      <formula>TRUE</formula>
    </cfRule>
    <cfRule type="cellIs" dxfId="30" priority="46" operator="equal">
      <formula>FALSE</formula>
    </cfRule>
  </conditionalFormatting>
  <conditionalFormatting sqref="R22">
    <cfRule type="cellIs" dxfId="29" priority="43" operator="equal">
      <formula>TRUE</formula>
    </cfRule>
    <cfRule type="cellIs" dxfId="28" priority="44" operator="equal">
      <formula>FALSE</formula>
    </cfRule>
  </conditionalFormatting>
  <conditionalFormatting sqref="N21">
    <cfRule type="cellIs" dxfId="27" priority="39" operator="equal">
      <formula>TRUE</formula>
    </cfRule>
    <cfRule type="cellIs" dxfId="26" priority="40" operator="equal">
      <formula>FALSE</formula>
    </cfRule>
  </conditionalFormatting>
  <conditionalFormatting sqref="R21">
    <cfRule type="cellIs" dxfId="25" priority="37" operator="equal">
      <formula>TRUE</formula>
    </cfRule>
    <cfRule type="cellIs" dxfId="24" priority="38" operator="equal">
      <formula>FALSE</formula>
    </cfRule>
  </conditionalFormatting>
  <conditionalFormatting sqref="O23:Q25 R23">
    <cfRule type="cellIs" dxfId="23" priority="35" operator="equal">
      <formula>TRUE</formula>
    </cfRule>
    <cfRule type="cellIs" dxfId="22" priority="36" operator="equal">
      <formula>FALSE</formula>
    </cfRule>
  </conditionalFormatting>
  <conditionalFormatting sqref="N23">
    <cfRule type="cellIs" dxfId="21" priority="31" operator="equal">
      <formula>TRUE</formula>
    </cfRule>
    <cfRule type="cellIs" dxfId="20" priority="32" operator="equal">
      <formula>FALSE</formula>
    </cfRule>
  </conditionalFormatting>
  <conditionalFormatting sqref="N25">
    <cfRule type="cellIs" dxfId="19" priority="27" operator="equal">
      <formula>TRUE</formula>
    </cfRule>
    <cfRule type="cellIs" dxfId="18" priority="28" operator="equal">
      <formula>FALSE</formula>
    </cfRule>
  </conditionalFormatting>
  <conditionalFormatting sqref="R25">
    <cfRule type="cellIs" dxfId="17" priority="25" operator="equal">
      <formula>TRUE</formula>
    </cfRule>
    <cfRule type="cellIs" dxfId="16" priority="26" operator="equal">
      <formula>FALSE</formula>
    </cfRule>
  </conditionalFormatting>
  <conditionalFormatting sqref="N24">
    <cfRule type="cellIs" dxfId="15" priority="21" operator="equal">
      <formula>TRUE</formula>
    </cfRule>
    <cfRule type="cellIs" dxfId="14" priority="22" operator="equal">
      <formula>FALSE</formula>
    </cfRule>
  </conditionalFormatting>
  <conditionalFormatting sqref="R24">
    <cfRule type="cellIs" dxfId="13" priority="19" operator="equal">
      <formula>TRUE</formula>
    </cfRule>
    <cfRule type="cellIs" dxfId="12" priority="20" operator="equal">
      <formula>FALSE</formula>
    </cfRule>
  </conditionalFormatting>
  <conditionalFormatting sqref="O26:Q28 R26">
    <cfRule type="cellIs" dxfId="11" priority="17" operator="equal">
      <formula>TRUE</formula>
    </cfRule>
    <cfRule type="cellIs" dxfId="10" priority="18" operator="equal">
      <formula>FALSE</formula>
    </cfRule>
  </conditionalFormatting>
  <conditionalFormatting sqref="N26">
    <cfRule type="cellIs" dxfId="9" priority="13" operator="equal">
      <formula>TRUE</formula>
    </cfRule>
    <cfRule type="cellIs" dxfId="8" priority="14" operator="equal">
      <formula>FALSE</formula>
    </cfRule>
  </conditionalFormatting>
  <conditionalFormatting sqref="N28">
    <cfRule type="cellIs" dxfId="7" priority="9" operator="equal">
      <formula>TRUE</formula>
    </cfRule>
    <cfRule type="cellIs" dxfId="6" priority="10" operator="equal">
      <formula>FALSE</formula>
    </cfRule>
  </conditionalFormatting>
  <conditionalFormatting sqref="R28">
    <cfRule type="cellIs" dxfId="5" priority="7" operator="equal">
      <formula>TRUE</formula>
    </cfRule>
    <cfRule type="cellIs" dxfId="4" priority="8" operator="equal">
      <formula>FALSE</formula>
    </cfRule>
  </conditionalFormatting>
  <conditionalFormatting sqref="N27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R27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"/>
  <sheetViews>
    <sheetView workbookViewId="0">
      <selection activeCell="A8" sqref="A8"/>
    </sheetView>
  </sheetViews>
  <sheetFormatPr defaultColWidth="39.36328125" defaultRowHeight="14.5" x14ac:dyDescent="0.35"/>
  <cols>
    <col min="1" max="1" width="43.08984375" style="59" customWidth="1"/>
    <col min="2" max="2" width="57.81640625" style="61" customWidth="1"/>
    <col min="3" max="5" width="39.36328125" style="58"/>
    <col min="6" max="6" width="12" style="58" customWidth="1"/>
    <col min="7" max="7" width="39.36328125" style="39"/>
    <col min="8" max="16384" width="39.36328125" style="59"/>
  </cols>
  <sheetData>
    <row r="1" spans="1:8" s="35" customFormat="1" x14ac:dyDescent="0.35">
      <c r="A1" s="35" t="s">
        <v>205</v>
      </c>
      <c r="B1" s="60" t="s">
        <v>151</v>
      </c>
      <c r="C1" s="60" t="s">
        <v>171</v>
      </c>
      <c r="D1" s="60" t="s">
        <v>85</v>
      </c>
      <c r="E1" s="60" t="s">
        <v>150</v>
      </c>
      <c r="F1" s="60" t="s">
        <v>152</v>
      </c>
      <c r="G1" s="36" t="s">
        <v>169</v>
      </c>
      <c r="H1" s="35" t="s">
        <v>199</v>
      </c>
    </row>
    <row r="2" spans="1:8" ht="29" x14ac:dyDescent="0.35">
      <c r="A2" s="59" t="s">
        <v>197</v>
      </c>
      <c r="B2" s="61" t="s">
        <v>196</v>
      </c>
      <c r="C2" s="58" t="s">
        <v>252</v>
      </c>
      <c r="D2" s="58">
        <v>2023</v>
      </c>
      <c r="E2" s="58" t="s">
        <v>204</v>
      </c>
      <c r="G2" s="34"/>
      <c r="H2" s="39" t="s">
        <v>198</v>
      </c>
    </row>
    <row r="3" spans="1:8" ht="22" customHeight="1" x14ac:dyDescent="0.35">
      <c r="A3" s="59" t="s">
        <v>200</v>
      </c>
      <c r="B3" s="61" t="s">
        <v>201</v>
      </c>
      <c r="C3" s="58" t="s">
        <v>202</v>
      </c>
      <c r="D3" s="58">
        <v>2023</v>
      </c>
      <c r="E3" s="58" t="s">
        <v>203</v>
      </c>
      <c r="G3" s="34"/>
    </row>
    <row r="4" spans="1:8" ht="41" customHeight="1" x14ac:dyDescent="0.35">
      <c r="A4" s="59" t="str">
        <f t="shared" ref="A4:A5" si="0">C4&amp;D4</f>
        <v>Adams2019</v>
      </c>
      <c r="B4" s="61" t="s">
        <v>206</v>
      </c>
      <c r="C4" s="58" t="s">
        <v>207</v>
      </c>
      <c r="D4" s="58">
        <v>2019</v>
      </c>
      <c r="E4" s="58" t="s">
        <v>208</v>
      </c>
      <c r="G4" s="34" t="s">
        <v>209</v>
      </c>
    </row>
    <row r="5" spans="1:8" x14ac:dyDescent="0.35">
      <c r="A5" s="59" t="str">
        <f t="shared" si="0"/>
        <v>Papadias2021</v>
      </c>
      <c r="B5" s="62" t="s">
        <v>210</v>
      </c>
      <c r="C5" s="58" t="s">
        <v>211</v>
      </c>
      <c r="D5" s="58">
        <v>2021</v>
      </c>
      <c r="E5" s="58" t="s">
        <v>212</v>
      </c>
      <c r="G5" s="34" t="s">
        <v>164</v>
      </c>
    </row>
    <row r="6" spans="1:8" ht="34.5" customHeight="1" x14ac:dyDescent="0.35">
      <c r="A6" s="59" t="str">
        <f>C6&amp;D6</f>
        <v>Armijo2020</v>
      </c>
      <c r="B6" s="61" t="s">
        <v>213</v>
      </c>
      <c r="C6" s="58" t="s">
        <v>214</v>
      </c>
      <c r="D6" s="58">
        <v>2020</v>
      </c>
      <c r="E6" s="58" t="s">
        <v>212</v>
      </c>
      <c r="G6" s="34" t="s">
        <v>215</v>
      </c>
    </row>
    <row r="7" spans="1:8" x14ac:dyDescent="0.35">
      <c r="A7" s="59" t="str">
        <f t="shared" ref="A7" si="1">C7&amp;D7</f>
        <v>IEA2019</v>
      </c>
      <c r="B7" s="61" t="s">
        <v>216</v>
      </c>
      <c r="C7" s="58" t="s">
        <v>217</v>
      </c>
      <c r="D7" s="58">
        <v>2019</v>
      </c>
      <c r="E7" s="58" t="s">
        <v>218</v>
      </c>
      <c r="G7" s="34" t="s">
        <v>219</v>
      </c>
    </row>
    <row r="8" spans="1:8" ht="31" customHeight="1" x14ac:dyDescent="0.35">
      <c r="A8" s="59" t="s">
        <v>220</v>
      </c>
      <c r="B8" s="61" t="s">
        <v>221</v>
      </c>
      <c r="C8" s="58" t="s">
        <v>222</v>
      </c>
      <c r="D8" s="58">
        <v>2023</v>
      </c>
      <c r="E8" s="58" t="s">
        <v>212</v>
      </c>
      <c r="G8" s="34" t="s">
        <v>223</v>
      </c>
    </row>
    <row r="9" spans="1:8" x14ac:dyDescent="0.35">
      <c r="A9" s="59" t="s">
        <v>224</v>
      </c>
      <c r="B9" s="63" t="s">
        <v>225</v>
      </c>
      <c r="C9" s="58" t="s">
        <v>226</v>
      </c>
      <c r="D9" s="58">
        <v>2023</v>
      </c>
      <c r="E9" s="58" t="s">
        <v>204</v>
      </c>
      <c r="G9" s="34"/>
    </row>
    <row r="10" spans="1:8" x14ac:dyDescent="0.35">
      <c r="A10" s="59" t="s">
        <v>231</v>
      </c>
      <c r="B10" s="61" t="s">
        <v>230</v>
      </c>
      <c r="C10" s="58" t="s">
        <v>229</v>
      </c>
      <c r="D10" s="58">
        <v>2020</v>
      </c>
      <c r="E10" s="58" t="s">
        <v>228</v>
      </c>
      <c r="G10" s="34" t="s">
        <v>227</v>
      </c>
      <c r="H10" s="59" t="s">
        <v>232</v>
      </c>
    </row>
    <row r="11" spans="1:8" ht="29" x14ac:dyDescent="0.35">
      <c r="A11" s="59" t="str">
        <f t="shared" ref="A11" si="2">C11&amp;D11</f>
        <v>Ikäheimo2018</v>
      </c>
      <c r="B11" s="61" t="s">
        <v>233</v>
      </c>
      <c r="C11" s="58" t="s">
        <v>234</v>
      </c>
      <c r="D11" s="58">
        <v>2018</v>
      </c>
      <c r="E11" s="58" t="s">
        <v>235</v>
      </c>
      <c r="G11" s="34" t="s">
        <v>236</v>
      </c>
    </row>
    <row r="12" spans="1:8" x14ac:dyDescent="0.35">
      <c r="A12" s="59" t="s">
        <v>241</v>
      </c>
      <c r="B12" s="61" t="s">
        <v>237</v>
      </c>
      <c r="C12" s="58" t="s">
        <v>238</v>
      </c>
      <c r="D12" s="58">
        <v>2020</v>
      </c>
      <c r="E12" s="58" t="s">
        <v>239</v>
      </c>
      <c r="G12" s="34" t="s">
        <v>240</v>
      </c>
    </row>
    <row r="13" spans="1:8" x14ac:dyDescent="0.35">
      <c r="A13" s="59" t="s">
        <v>242</v>
      </c>
      <c r="B13" s="62" t="s">
        <v>243</v>
      </c>
      <c r="C13" s="58" t="s">
        <v>222</v>
      </c>
      <c r="D13" s="58">
        <v>2021</v>
      </c>
      <c r="E13" s="58" t="s">
        <v>203</v>
      </c>
      <c r="G13" s="34" t="s">
        <v>244</v>
      </c>
    </row>
    <row r="14" spans="1:8" x14ac:dyDescent="0.35">
      <c r="G14" s="34"/>
    </row>
    <row r="15" spans="1:8" x14ac:dyDescent="0.35">
      <c r="G15" s="34"/>
    </row>
    <row r="16" spans="1:8" x14ac:dyDescent="0.35">
      <c r="G16" s="34"/>
    </row>
    <row r="17" spans="2:7" x14ac:dyDescent="0.35">
      <c r="G17" s="34"/>
    </row>
    <row r="18" spans="2:7" x14ac:dyDescent="0.35">
      <c r="G18" s="34"/>
    </row>
    <row r="19" spans="2:7" x14ac:dyDescent="0.35">
      <c r="G19" s="34"/>
    </row>
    <row r="20" spans="2:7" x14ac:dyDescent="0.35">
      <c r="G20" s="34"/>
    </row>
    <row r="21" spans="2:7" x14ac:dyDescent="0.35">
      <c r="B21" s="64"/>
      <c r="G21" s="34"/>
    </row>
    <row r="22" spans="2:7" x14ac:dyDescent="0.35">
      <c r="B22" s="63"/>
      <c r="G22" s="34"/>
    </row>
    <row r="23" spans="2:7" x14ac:dyDescent="0.35">
      <c r="G23" s="34"/>
    </row>
    <row r="24" spans="2:7" x14ac:dyDescent="0.35">
      <c r="G24" s="34"/>
    </row>
    <row r="25" spans="2:7" x14ac:dyDescent="0.35">
      <c r="G25" s="34"/>
    </row>
    <row r="26" spans="2:7" x14ac:dyDescent="0.35">
      <c r="G26" s="34"/>
    </row>
    <row r="27" spans="2:7" x14ac:dyDescent="0.35">
      <c r="G27" s="34"/>
    </row>
    <row r="28" spans="2:7" x14ac:dyDescent="0.35">
      <c r="G28" s="34"/>
    </row>
    <row r="29" spans="2:7" x14ac:dyDescent="0.35">
      <c r="G29" s="34"/>
    </row>
    <row r="30" spans="2:7" x14ac:dyDescent="0.35">
      <c r="G30" s="34"/>
    </row>
    <row r="31" spans="2:7" x14ac:dyDescent="0.35">
      <c r="G31" s="34"/>
    </row>
    <row r="32" spans="2:7" x14ac:dyDescent="0.35">
      <c r="G32" s="34"/>
    </row>
    <row r="33" spans="3:7" x14ac:dyDescent="0.35">
      <c r="G33" s="34"/>
    </row>
    <row r="34" spans="3:7" x14ac:dyDescent="0.35">
      <c r="G34" s="34"/>
    </row>
    <row r="35" spans="3:7" x14ac:dyDescent="0.35">
      <c r="G35" s="34"/>
    </row>
    <row r="36" spans="3:7" x14ac:dyDescent="0.35">
      <c r="G36" s="34"/>
    </row>
    <row r="37" spans="3:7" x14ac:dyDescent="0.35">
      <c r="G37" s="34"/>
    </row>
    <row r="38" spans="3:7" x14ac:dyDescent="0.35">
      <c r="G38" s="34"/>
    </row>
    <row r="39" spans="3:7" x14ac:dyDescent="0.35">
      <c r="G39" s="34"/>
    </row>
    <row r="40" spans="3:7" x14ac:dyDescent="0.35">
      <c r="G40" s="34"/>
    </row>
    <row r="41" spans="3:7" x14ac:dyDescent="0.35">
      <c r="G41" s="34"/>
    </row>
    <row r="43" spans="3:7" x14ac:dyDescent="0.35">
      <c r="G43" s="34"/>
    </row>
    <row r="44" spans="3:7" x14ac:dyDescent="0.35">
      <c r="G44" s="34"/>
    </row>
    <row r="45" spans="3:7" x14ac:dyDescent="0.35">
      <c r="G45" s="34"/>
    </row>
    <row r="46" spans="3:7" x14ac:dyDescent="0.35">
      <c r="G46" s="34"/>
    </row>
    <row r="47" spans="3:7" x14ac:dyDescent="0.35">
      <c r="C47" s="2"/>
      <c r="G47" s="34"/>
    </row>
    <row r="48" spans="3:7" x14ac:dyDescent="0.35">
      <c r="G48" s="34"/>
    </row>
    <row r="49" spans="7:7" x14ac:dyDescent="0.35">
      <c r="G49" s="34"/>
    </row>
    <row r="50" spans="7:7" x14ac:dyDescent="0.35">
      <c r="G50" s="34"/>
    </row>
    <row r="51" spans="7:7" x14ac:dyDescent="0.35">
      <c r="G51" s="34"/>
    </row>
    <row r="52" spans="7:7" x14ac:dyDescent="0.35">
      <c r="G52" s="34"/>
    </row>
    <row r="53" spans="7:7" x14ac:dyDescent="0.35">
      <c r="G53" s="34"/>
    </row>
    <row r="54" spans="7:7" x14ac:dyDescent="0.35">
      <c r="G54" s="34"/>
    </row>
    <row r="55" spans="7:7" x14ac:dyDescent="0.35">
      <c r="G55" s="34"/>
    </row>
    <row r="56" spans="7:7" x14ac:dyDescent="0.35">
      <c r="G56" s="34"/>
    </row>
    <row r="57" spans="7:7" x14ac:dyDescent="0.35">
      <c r="G57" s="34"/>
    </row>
    <row r="58" spans="7:7" x14ac:dyDescent="0.35">
      <c r="G58" s="34"/>
    </row>
    <row r="59" spans="7:7" x14ac:dyDescent="0.35">
      <c r="G59" s="34"/>
    </row>
    <row r="60" spans="7:7" x14ac:dyDescent="0.35">
      <c r="G60" s="34"/>
    </row>
    <row r="61" spans="7:7" x14ac:dyDescent="0.35">
      <c r="G61" s="34"/>
    </row>
    <row r="62" spans="7:7" x14ac:dyDescent="0.35">
      <c r="G62" s="34"/>
    </row>
    <row r="63" spans="7:7" x14ac:dyDescent="0.35">
      <c r="G63" s="34"/>
    </row>
    <row r="64" spans="7:7" x14ac:dyDescent="0.35">
      <c r="G64" s="34"/>
    </row>
    <row r="65" spans="7:7" x14ac:dyDescent="0.35">
      <c r="G65" s="34"/>
    </row>
    <row r="66" spans="7:7" x14ac:dyDescent="0.35">
      <c r="G66" s="34"/>
    </row>
    <row r="67" spans="7:7" x14ac:dyDescent="0.35">
      <c r="G67" s="34"/>
    </row>
    <row r="68" spans="7:7" x14ac:dyDescent="0.35">
      <c r="G68" s="34"/>
    </row>
    <row r="69" spans="7:7" x14ac:dyDescent="0.35">
      <c r="G69" s="34"/>
    </row>
    <row r="70" spans="7:7" x14ac:dyDescent="0.35">
      <c r="G70" s="34"/>
    </row>
    <row r="71" spans="7:7" x14ac:dyDescent="0.35">
      <c r="G71" s="34"/>
    </row>
    <row r="72" spans="7:7" x14ac:dyDescent="0.35">
      <c r="G72" s="34"/>
    </row>
    <row r="73" spans="7:7" x14ac:dyDescent="0.35">
      <c r="G73" s="34"/>
    </row>
    <row r="74" spans="7:7" x14ac:dyDescent="0.35">
      <c r="G74" s="34"/>
    </row>
    <row r="75" spans="7:7" x14ac:dyDescent="0.35">
      <c r="G75" s="34"/>
    </row>
    <row r="76" spans="7:7" x14ac:dyDescent="0.35">
      <c r="G76" s="34"/>
    </row>
    <row r="77" spans="7:7" x14ac:dyDescent="0.35">
      <c r="G77" s="34"/>
    </row>
    <row r="78" spans="7:7" x14ac:dyDescent="0.35">
      <c r="G78" s="34"/>
    </row>
    <row r="79" spans="7:7" x14ac:dyDescent="0.35">
      <c r="G79" s="34"/>
    </row>
    <row r="80" spans="7:7" x14ac:dyDescent="0.35">
      <c r="G80" s="34"/>
    </row>
    <row r="81" spans="7:7" x14ac:dyDescent="0.35">
      <c r="G81" s="34"/>
    </row>
    <row r="82" spans="7:7" x14ac:dyDescent="0.35">
      <c r="G82" s="34"/>
    </row>
    <row r="83" spans="7:7" x14ac:dyDescent="0.35">
      <c r="G83" s="34"/>
    </row>
    <row r="84" spans="7:7" x14ac:dyDescent="0.35">
      <c r="G84" s="34"/>
    </row>
    <row r="85" spans="7:7" x14ac:dyDescent="0.35">
      <c r="G85" s="34"/>
    </row>
    <row r="86" spans="7:7" x14ac:dyDescent="0.35">
      <c r="G86" s="34"/>
    </row>
    <row r="87" spans="7:7" x14ac:dyDescent="0.35">
      <c r="G87" s="34"/>
    </row>
    <row r="88" spans="7:7" x14ac:dyDescent="0.35">
      <c r="G88" s="34"/>
    </row>
    <row r="89" spans="7:7" x14ac:dyDescent="0.35">
      <c r="G89" s="34"/>
    </row>
    <row r="90" spans="7:7" x14ac:dyDescent="0.35">
      <c r="G90" s="34"/>
    </row>
    <row r="91" spans="7:7" x14ac:dyDescent="0.35">
      <c r="G91" s="34"/>
    </row>
    <row r="92" spans="7:7" x14ac:dyDescent="0.35">
      <c r="G92" s="34"/>
    </row>
    <row r="93" spans="7:7" x14ac:dyDescent="0.35">
      <c r="G93" s="34"/>
    </row>
    <row r="94" spans="7:7" x14ac:dyDescent="0.35">
      <c r="G94" s="34"/>
    </row>
    <row r="95" spans="7:7" x14ac:dyDescent="0.35">
      <c r="G95" s="34"/>
    </row>
    <row r="96" spans="7:7" x14ac:dyDescent="0.35">
      <c r="G96" s="34"/>
    </row>
    <row r="97" spans="2:7" x14ac:dyDescent="0.35">
      <c r="G97" s="34"/>
    </row>
    <row r="98" spans="2:7" x14ac:dyDescent="0.35">
      <c r="G98" s="34"/>
    </row>
    <row r="99" spans="2:7" x14ac:dyDescent="0.35">
      <c r="G99" s="34"/>
    </row>
    <row r="100" spans="2:7" x14ac:dyDescent="0.35">
      <c r="G100" s="34"/>
    </row>
    <row r="101" spans="2:7" x14ac:dyDescent="0.35">
      <c r="G101" s="34"/>
    </row>
    <row r="102" spans="2:7" x14ac:dyDescent="0.35">
      <c r="G102" s="34"/>
    </row>
    <row r="103" spans="2:7" x14ac:dyDescent="0.35">
      <c r="G103" s="34"/>
    </row>
    <row r="104" spans="2:7" x14ac:dyDescent="0.35">
      <c r="C104" s="61"/>
      <c r="G104" s="34"/>
    </row>
    <row r="105" spans="2:7" x14ac:dyDescent="0.35">
      <c r="B105" s="48"/>
      <c r="G105" s="34"/>
    </row>
    <row r="106" spans="2:7" x14ac:dyDescent="0.35">
      <c r="G106" s="34"/>
    </row>
    <row r="107" spans="2:7" x14ac:dyDescent="0.35">
      <c r="G107" s="34"/>
    </row>
    <row r="108" spans="2:7" x14ac:dyDescent="0.35">
      <c r="G108" s="34"/>
    </row>
    <row r="109" spans="2:7" x14ac:dyDescent="0.35">
      <c r="G109" s="34"/>
    </row>
    <row r="110" spans="2:7" x14ac:dyDescent="0.35">
      <c r="G110" s="34"/>
    </row>
    <row r="111" spans="2:7" x14ac:dyDescent="0.35">
      <c r="G111" s="34"/>
    </row>
    <row r="114" spans="2:7" x14ac:dyDescent="0.35">
      <c r="G114" s="34" t="s">
        <v>154</v>
      </c>
    </row>
    <row r="117" spans="2:7" x14ac:dyDescent="0.35">
      <c r="G117" s="34" t="s">
        <v>155</v>
      </c>
    </row>
    <row r="118" spans="2:7" x14ac:dyDescent="0.35">
      <c r="B118" s="64"/>
      <c r="C118" s="2"/>
      <c r="G118" s="40" t="s">
        <v>156</v>
      </c>
    </row>
    <row r="120" spans="2:7" x14ac:dyDescent="0.35">
      <c r="G120" s="34" t="s">
        <v>157</v>
      </c>
    </row>
    <row r="124" spans="2:7" x14ac:dyDescent="0.35">
      <c r="G124" s="34" t="s">
        <v>158</v>
      </c>
    </row>
    <row r="126" spans="2:7" x14ac:dyDescent="0.35">
      <c r="G126" s="34" t="s">
        <v>159</v>
      </c>
    </row>
    <row r="127" spans="2:7" x14ac:dyDescent="0.35">
      <c r="G127" s="34" t="s">
        <v>160</v>
      </c>
    </row>
    <row r="128" spans="2:7" x14ac:dyDescent="0.35">
      <c r="G128" s="34" t="s">
        <v>161</v>
      </c>
    </row>
    <row r="129" spans="2:7" x14ac:dyDescent="0.35">
      <c r="G129" s="34" t="s">
        <v>162</v>
      </c>
    </row>
    <row r="130" spans="2:7" x14ac:dyDescent="0.35">
      <c r="G130" s="34" t="s">
        <v>163</v>
      </c>
    </row>
    <row r="131" spans="2:7" x14ac:dyDescent="0.35">
      <c r="B131" s="62"/>
      <c r="G131" s="34" t="s">
        <v>164</v>
      </c>
    </row>
    <row r="132" spans="2:7" x14ac:dyDescent="0.35">
      <c r="G132" s="34" t="s">
        <v>153</v>
      </c>
    </row>
    <row r="133" spans="2:7" x14ac:dyDescent="0.35">
      <c r="G133" s="34" t="s">
        <v>165</v>
      </c>
    </row>
    <row r="134" spans="2:7" x14ac:dyDescent="0.35">
      <c r="G134" s="34" t="s">
        <v>172</v>
      </c>
    </row>
    <row r="135" spans="2:7" x14ac:dyDescent="0.35">
      <c r="G135" s="34" t="s">
        <v>166</v>
      </c>
    </row>
    <row r="136" spans="2:7" x14ac:dyDescent="0.35">
      <c r="G136" s="34" t="s">
        <v>167</v>
      </c>
    </row>
    <row r="137" spans="2:7" x14ac:dyDescent="0.35">
      <c r="G137" s="34" t="s">
        <v>170</v>
      </c>
    </row>
    <row r="138" spans="2:7" x14ac:dyDescent="0.35">
      <c r="G138" s="34" t="s">
        <v>173</v>
      </c>
    </row>
    <row r="139" spans="2:7" x14ac:dyDescent="0.35">
      <c r="B139" s="2"/>
      <c r="G139" s="34" t="s">
        <v>174</v>
      </c>
    </row>
  </sheetData>
  <hyperlinks>
    <hyperlink ref="G114" r:id="rId1"/>
    <hyperlink ref="G117" r:id="rId2"/>
    <hyperlink ref="G118" r:id="rId3" tooltip="Persistent link using digital object identifier"/>
    <hyperlink ref="G124" r:id="rId4"/>
    <hyperlink ref="G126" r:id="rId5"/>
    <hyperlink ref="G127" r:id="rId6"/>
    <hyperlink ref="G120" r:id="rId7"/>
    <hyperlink ref="G128" r:id="rId8"/>
    <hyperlink ref="G129" r:id="rId9"/>
    <hyperlink ref="G130" r:id="rId10"/>
    <hyperlink ref="G131" r:id="rId11"/>
    <hyperlink ref="G132" r:id="rId12"/>
    <hyperlink ref="G133" r:id="rId13"/>
    <hyperlink ref="G135" r:id="rId14"/>
    <hyperlink ref="G136" r:id="rId15"/>
    <hyperlink ref="G137" r:id="rId16"/>
    <hyperlink ref="G139" r:id="rId17"/>
    <hyperlink ref="G4" r:id="rId18"/>
    <hyperlink ref="G5" r:id="rId19"/>
    <hyperlink ref="G6" r:id="rId20"/>
    <hyperlink ref="G7" r:id="rId21"/>
    <hyperlink ref="G8" r:id="rId22"/>
    <hyperlink ref="G11" r:id="rId23"/>
    <hyperlink ref="G12" r:id="rId24"/>
    <hyperlink ref="G10" r:id="rId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Data_base_case</vt:lpstr>
      <vt:lpstr>Selected_units</vt:lpstr>
      <vt:lpstr>Scenarios_definition</vt:lpstr>
      <vt:lpstr>ScenariosToRun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2023-06-07T09:38:22Z</dcterms:modified>
</cp:coreProperties>
</file>