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filterPrivacy="1" codeName="ThisWorkbook"/>
  <xr:revisionPtr revIDLastSave="0" documentId="13_ncr:1_{EF2E7F84-BDAF-42DF-996B-D073996AEE04}" xr6:coauthVersionLast="47" xr6:coauthVersionMax="47" xr10:uidLastSave="{00000000-0000-0000-0000-000000000000}"/>
  <bookViews>
    <workbookView xWindow="-110" yWindow="-110" windowWidth="19420" windowHeight="11760" tabRatio="249" xr2:uid="{00000000-000D-0000-FFFF-FFFF00000000}"/>
  </bookViews>
  <sheets>
    <sheet name="Data_base_case" sheetId="79" r:id="rId1"/>
    <sheet name="Selected_units" sheetId="82" r:id="rId2"/>
    <sheet name="Scenarios_definition" sheetId="80" r:id="rId3"/>
    <sheet name="ScenariosToRun" sheetId="95" r:id="rId4"/>
  </sheets>
  <externalReferences>
    <externalReference r:id="rId5"/>
  </externalReferences>
  <definedNames>
    <definedName name="CEPCI_ref">[1]Calculations!$C$28</definedName>
    <definedName name="CEPCI2014">[1]Calculations!$C$22</definedName>
    <definedName name="CEPCI2015">[1]Calculations!$C$23</definedName>
    <definedName name="DE2014_">[1]Calculations!$C$8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95" l="1"/>
  <c r="I19" i="79"/>
  <c r="I18" i="79"/>
  <c r="A7" i="82"/>
  <c r="A8" i="82" s="1"/>
  <c r="A9" i="82" s="1"/>
  <c r="A10" i="82" s="1"/>
  <c r="A11" i="82" s="1"/>
  <c r="A12" i="82" s="1"/>
  <c r="A13" i="82" s="1"/>
  <c r="A14" i="82" s="1"/>
  <c r="A15" i="82" s="1"/>
  <c r="A16" i="82" s="1"/>
  <c r="A17" i="82" s="1"/>
  <c r="A18" i="82" s="1"/>
  <c r="A19" i="82" s="1"/>
  <c r="A20" i="82" s="1"/>
  <c r="A21" i="82" s="1"/>
  <c r="A22" i="82" s="1"/>
  <c r="A23" i="82" s="1"/>
  <c r="A24" i="82" s="1"/>
  <c r="A25" i="82" s="1"/>
  <c r="A26" i="82" s="1"/>
  <c r="A27" i="82" s="1"/>
  <c r="A28" i="82" s="1"/>
  <c r="A29" i="82" s="1"/>
  <c r="A30" i="82" s="1"/>
  <c r="A31" i="82" s="1"/>
  <c r="A32" i="82" s="1"/>
  <c r="A33" i="82" s="1"/>
  <c r="A34" i="82" s="1"/>
  <c r="A35" i="82" s="1"/>
  <c r="A36" i="82" s="1"/>
  <c r="A37" i="82" s="1"/>
  <c r="A38" i="82" s="1"/>
  <c r="A39" i="82" s="1"/>
  <c r="A40" i="82" s="1"/>
  <c r="A41" i="82" s="1"/>
  <c r="A42" i="82" s="1"/>
  <c r="A43" i="82" s="1"/>
  <c r="A44" i="82" s="1"/>
  <c r="I10" i="95"/>
  <c r="I11" i="95"/>
  <c r="I8" i="95"/>
  <c r="F78" i="80"/>
  <c r="F79" i="80"/>
  <c r="F81" i="80"/>
  <c r="F80" i="80"/>
  <c r="F77" i="80"/>
  <c r="F76" i="80"/>
  <c r="B203" i="95"/>
  <c r="I204" i="95"/>
  <c r="G204" i="95"/>
  <c r="B204" i="95"/>
  <c r="A204" i="95"/>
  <c r="I203" i="95"/>
  <c r="G203" i="95"/>
  <c r="A203" i="95"/>
  <c r="I202" i="95"/>
  <c r="G202" i="95"/>
  <c r="B202" i="95"/>
  <c r="A202" i="95"/>
  <c r="I201" i="95"/>
  <c r="G201" i="95"/>
  <c r="B201" i="95"/>
  <c r="A201" i="95"/>
  <c r="E83" i="80"/>
  <c r="D83" i="80"/>
  <c r="C83" i="80"/>
  <c r="E82" i="80"/>
  <c r="D82" i="80"/>
  <c r="C82" i="80"/>
  <c r="C93" i="80"/>
  <c r="C92" i="80"/>
  <c r="E93" i="80"/>
  <c r="D93" i="80"/>
  <c r="E92" i="80"/>
  <c r="D92" i="80"/>
  <c r="Y11" i="79"/>
  <c r="H11" i="79"/>
  <c r="AC11" i="79"/>
  <c r="V11" i="79"/>
  <c r="U11" i="79"/>
  <c r="T11" i="79"/>
  <c r="P11" i="79"/>
  <c r="E11" i="79"/>
  <c r="B97" i="95"/>
  <c r="B98" i="95"/>
  <c r="B99" i="95"/>
  <c r="B100" i="95"/>
  <c r="B101" i="95"/>
  <c r="B102" i="95"/>
  <c r="B168" i="95"/>
  <c r="B167" i="95"/>
  <c r="B166" i="95"/>
  <c r="B165" i="95"/>
  <c r="B164" i="95"/>
  <c r="B163" i="95"/>
  <c r="B162" i="95"/>
  <c r="B161" i="95"/>
  <c r="B160" i="95"/>
  <c r="B159" i="95"/>
  <c r="B158" i="95"/>
  <c r="B157" i="95"/>
  <c r="B156" i="95"/>
  <c r="B155" i="95"/>
  <c r="B154" i="95"/>
  <c r="B153" i="95"/>
  <c r="B152" i="95"/>
  <c r="B151" i="95"/>
  <c r="B150" i="95"/>
  <c r="B149" i="95"/>
  <c r="B148" i="95"/>
  <c r="B147" i="95"/>
  <c r="B146" i="95"/>
  <c r="B145" i="95"/>
  <c r="B144" i="95"/>
  <c r="B143" i="95"/>
  <c r="B142" i="95"/>
  <c r="B141" i="95"/>
  <c r="B140" i="95"/>
  <c r="B139" i="95"/>
  <c r="B138" i="95"/>
  <c r="B137" i="95"/>
  <c r="B136" i="95"/>
  <c r="B135" i="95"/>
  <c r="B134" i="95"/>
  <c r="B133" i="95"/>
  <c r="B132" i="95"/>
  <c r="B131" i="95"/>
  <c r="B130" i="95"/>
  <c r="B129" i="95"/>
  <c r="B128" i="95"/>
  <c r="B127" i="95"/>
  <c r="B126" i="95"/>
  <c r="B125" i="95"/>
  <c r="B124" i="95"/>
  <c r="B123" i="95"/>
  <c r="B122" i="95"/>
  <c r="B121" i="95"/>
  <c r="B120" i="95"/>
  <c r="B119" i="95"/>
  <c r="B118" i="95"/>
  <c r="B117" i="95"/>
  <c r="B116" i="95"/>
  <c r="B115" i="95"/>
  <c r="B114" i="95"/>
  <c r="B113" i="95"/>
  <c r="B112" i="95"/>
  <c r="B111" i="95"/>
  <c r="B110" i="95"/>
  <c r="B109" i="95"/>
  <c r="C192" i="95"/>
  <c r="C200" i="95"/>
  <c r="B200" i="95"/>
  <c r="B192" i="95"/>
  <c r="C191" i="95"/>
  <c r="B191" i="95"/>
  <c r="C190" i="95"/>
  <c r="C198" i="95"/>
  <c r="B198" i="95"/>
  <c r="C189" i="95"/>
  <c r="C197" i="95"/>
  <c r="B197" i="95"/>
  <c r="C188" i="95"/>
  <c r="B188" i="95"/>
  <c r="C187" i="95"/>
  <c r="C195" i="95"/>
  <c r="B195" i="95"/>
  <c r="C186" i="95"/>
  <c r="C194" i="95"/>
  <c r="B194" i="95"/>
  <c r="C185" i="95"/>
  <c r="C193" i="95"/>
  <c r="B193" i="95"/>
  <c r="C176" i="95"/>
  <c r="C184" i="95"/>
  <c r="B184" i="95"/>
  <c r="C175" i="95"/>
  <c r="B175" i="95"/>
  <c r="C174" i="95"/>
  <c r="C182" i="95"/>
  <c r="B182" i="95"/>
  <c r="C173" i="95"/>
  <c r="B173" i="95"/>
  <c r="C172" i="95"/>
  <c r="C180" i="95"/>
  <c r="B180" i="95"/>
  <c r="C171" i="95"/>
  <c r="C179" i="95"/>
  <c r="B179" i="95"/>
  <c r="C170" i="95"/>
  <c r="B170" i="95"/>
  <c r="C178" i="95"/>
  <c r="B178" i="95"/>
  <c r="C169" i="95"/>
  <c r="C177" i="95"/>
  <c r="B177" i="95"/>
  <c r="B108" i="95"/>
  <c r="B107" i="95"/>
  <c r="B106" i="95"/>
  <c r="B105" i="95"/>
  <c r="B104" i="95"/>
  <c r="B103" i="95"/>
  <c r="B96" i="95"/>
  <c r="B95" i="95"/>
  <c r="B94" i="95"/>
  <c r="B93" i="95"/>
  <c r="B92" i="95"/>
  <c r="B91" i="95"/>
  <c r="B90" i="95"/>
  <c r="B89" i="95"/>
  <c r="B88" i="95"/>
  <c r="B87" i="95"/>
  <c r="B86" i="95"/>
  <c r="B85" i="95"/>
  <c r="C83" i="95"/>
  <c r="B83" i="95"/>
  <c r="C82" i="95"/>
  <c r="B82" i="95"/>
  <c r="C81" i="95"/>
  <c r="B81" i="95"/>
  <c r="C80" i="95"/>
  <c r="B80" i="95"/>
  <c r="C79" i="95"/>
  <c r="B79" i="95"/>
  <c r="C78" i="95"/>
  <c r="B78" i="95"/>
  <c r="B77" i="95"/>
  <c r="B76" i="95"/>
  <c r="B75" i="95"/>
  <c r="B74" i="95"/>
  <c r="B73" i="95"/>
  <c r="B72" i="95"/>
  <c r="C65" i="95"/>
  <c r="C71" i="95"/>
  <c r="B71" i="95"/>
  <c r="C64" i="95"/>
  <c r="C70" i="95"/>
  <c r="B70" i="95"/>
  <c r="C63" i="95"/>
  <c r="B63" i="95"/>
  <c r="C62" i="95"/>
  <c r="C68" i="95"/>
  <c r="B68" i="95"/>
  <c r="C61" i="95"/>
  <c r="B61" i="95"/>
  <c r="C60" i="95"/>
  <c r="B60" i="95"/>
  <c r="C47" i="95"/>
  <c r="B47" i="95"/>
  <c r="C46" i="95"/>
  <c r="B46" i="95"/>
  <c r="C45" i="95"/>
  <c r="C57" i="95"/>
  <c r="B57" i="95"/>
  <c r="C44" i="95"/>
  <c r="B44" i="95"/>
  <c r="C43" i="95"/>
  <c r="B43" i="95"/>
  <c r="C42" i="95"/>
  <c r="B42" i="95"/>
  <c r="C41" i="95"/>
  <c r="C53" i="95"/>
  <c r="B53" i="95"/>
  <c r="C40" i="95"/>
  <c r="B40" i="95"/>
  <c r="C39" i="95"/>
  <c r="B39" i="95"/>
  <c r="C51" i="95"/>
  <c r="B51" i="95"/>
  <c r="C38" i="95"/>
  <c r="C50" i="95"/>
  <c r="B50" i="95"/>
  <c r="C37" i="95"/>
  <c r="C49" i="95"/>
  <c r="B49" i="95"/>
  <c r="C36" i="95"/>
  <c r="C48" i="95"/>
  <c r="B48" i="95"/>
  <c r="C29" i="95"/>
  <c r="C35" i="95"/>
  <c r="B35" i="95"/>
  <c r="C28" i="95"/>
  <c r="B28" i="95"/>
  <c r="C27" i="95"/>
  <c r="B27" i="95"/>
  <c r="C26" i="95"/>
  <c r="C32" i="95"/>
  <c r="B32" i="95"/>
  <c r="B26" i="95"/>
  <c r="C25" i="95"/>
  <c r="C31" i="95"/>
  <c r="B31" i="95"/>
  <c r="C24" i="95"/>
  <c r="C30" i="95"/>
  <c r="B30" i="95"/>
  <c r="C17" i="95"/>
  <c r="C23" i="95"/>
  <c r="B23" i="95"/>
  <c r="C16" i="95"/>
  <c r="C22" i="95"/>
  <c r="B22" i="95"/>
  <c r="C15" i="95"/>
  <c r="B15" i="95"/>
  <c r="C14" i="95"/>
  <c r="B14" i="95"/>
  <c r="C13" i="95"/>
  <c r="C19" i="95"/>
  <c r="B19" i="95"/>
  <c r="C12" i="95"/>
  <c r="C18" i="95"/>
  <c r="B18" i="95"/>
  <c r="B185" i="95"/>
  <c r="D119" i="80"/>
  <c r="D118" i="80"/>
  <c r="D117" i="80"/>
  <c r="D116" i="80"/>
  <c r="D115" i="80"/>
  <c r="D114" i="80"/>
  <c r="D113" i="80"/>
  <c r="D112" i="80"/>
  <c r="D111" i="80"/>
  <c r="D110" i="80"/>
  <c r="D109" i="80"/>
  <c r="D108" i="80"/>
  <c r="D107" i="80"/>
  <c r="D106" i="80"/>
  <c r="D105" i="80"/>
  <c r="D104" i="80"/>
  <c r="D103" i="80"/>
  <c r="D102" i="80"/>
  <c r="D101" i="80"/>
  <c r="D100" i="80"/>
  <c r="D99" i="80"/>
  <c r="D98" i="80"/>
  <c r="D97" i="80"/>
  <c r="D96" i="80"/>
  <c r="D95" i="80"/>
  <c r="D94" i="80"/>
  <c r="D91" i="80"/>
  <c r="D90" i="80"/>
  <c r="D89" i="80"/>
  <c r="D88" i="80"/>
  <c r="D87" i="80"/>
  <c r="D86" i="80"/>
  <c r="D85" i="80"/>
  <c r="D84" i="80"/>
  <c r="D81" i="80"/>
  <c r="D80" i="80"/>
  <c r="D79" i="80"/>
  <c r="D78" i="80"/>
  <c r="D77" i="80"/>
  <c r="D76" i="80"/>
  <c r="D75" i="80"/>
  <c r="D74" i="80"/>
  <c r="D73" i="80"/>
  <c r="D72" i="80"/>
  <c r="D71" i="80"/>
  <c r="D70" i="80"/>
  <c r="C119" i="80"/>
  <c r="C118" i="80"/>
  <c r="C117" i="80"/>
  <c r="C116" i="80"/>
  <c r="C115" i="80"/>
  <c r="C114" i="80"/>
  <c r="C113" i="80"/>
  <c r="C112" i="80"/>
  <c r="C111" i="80"/>
  <c r="C110" i="80"/>
  <c r="C109" i="80"/>
  <c r="C108" i="80"/>
  <c r="C107" i="80"/>
  <c r="C106" i="80"/>
  <c r="C105" i="80"/>
  <c r="C104" i="80"/>
  <c r="C103" i="80"/>
  <c r="C102" i="80"/>
  <c r="C101" i="80"/>
  <c r="C100" i="80"/>
  <c r="C99" i="80"/>
  <c r="C98" i="80"/>
  <c r="C97" i="80"/>
  <c r="C96" i="80"/>
  <c r="C95" i="80"/>
  <c r="C94" i="80"/>
  <c r="C91" i="80"/>
  <c r="C90" i="80"/>
  <c r="C89" i="80"/>
  <c r="C88" i="80"/>
  <c r="C87" i="80"/>
  <c r="C86" i="80"/>
  <c r="C85" i="80"/>
  <c r="C84" i="80"/>
  <c r="C81" i="80"/>
  <c r="C80" i="80"/>
  <c r="C79" i="80"/>
  <c r="C78" i="80"/>
  <c r="C77" i="80"/>
  <c r="C76" i="80"/>
  <c r="C75" i="80"/>
  <c r="C74" i="80"/>
  <c r="C73" i="80"/>
  <c r="C72" i="80"/>
  <c r="C71" i="80"/>
  <c r="C70" i="80"/>
  <c r="C69" i="80"/>
  <c r="C68" i="80"/>
  <c r="C67" i="80"/>
  <c r="C66" i="80"/>
  <c r="C65" i="80"/>
  <c r="C64" i="80"/>
  <c r="C63" i="80"/>
  <c r="C62" i="80"/>
  <c r="C61" i="80"/>
  <c r="C60" i="80"/>
  <c r="C59" i="80"/>
  <c r="C58" i="80"/>
  <c r="C57" i="80"/>
  <c r="C56" i="80"/>
  <c r="C55" i="80"/>
  <c r="C54" i="80"/>
  <c r="C53" i="80"/>
  <c r="C52" i="80"/>
  <c r="C51" i="80"/>
  <c r="C50" i="80"/>
  <c r="C49" i="80"/>
  <c r="C48" i="80"/>
  <c r="C47" i="80"/>
  <c r="C46" i="80"/>
  <c r="C45" i="80"/>
  <c r="C44" i="80"/>
  <c r="C43" i="80"/>
  <c r="C42" i="80"/>
  <c r="C41" i="80"/>
  <c r="C40" i="80"/>
  <c r="C39" i="80"/>
  <c r="C38" i="80"/>
  <c r="C37" i="80"/>
  <c r="C36" i="80"/>
  <c r="C35" i="80"/>
  <c r="C34" i="80"/>
  <c r="C17" i="80"/>
  <c r="C18" i="80"/>
  <c r="C19" i="80"/>
  <c r="C20" i="80"/>
  <c r="C21" i="80"/>
  <c r="C16" i="80"/>
  <c r="C11" i="80"/>
  <c r="C12" i="80"/>
  <c r="C13" i="80"/>
  <c r="C14" i="80"/>
  <c r="C15" i="80"/>
  <c r="C10" i="80"/>
  <c r="D5" i="80"/>
  <c r="D6" i="80"/>
  <c r="D7" i="80"/>
  <c r="D4" i="80"/>
  <c r="I168" i="95"/>
  <c r="G168" i="95"/>
  <c r="A168" i="95"/>
  <c r="I167" i="95"/>
  <c r="G167" i="95"/>
  <c r="A167" i="95"/>
  <c r="I166" i="95"/>
  <c r="G166" i="95"/>
  <c r="A166" i="95"/>
  <c r="I165" i="95"/>
  <c r="G165" i="95"/>
  <c r="A165" i="95"/>
  <c r="I164" i="95"/>
  <c r="G164" i="95"/>
  <c r="A164" i="95"/>
  <c r="I163" i="95"/>
  <c r="G163" i="95"/>
  <c r="A163" i="95"/>
  <c r="I162" i="95"/>
  <c r="G162" i="95"/>
  <c r="A162" i="95"/>
  <c r="I161" i="95"/>
  <c r="G161" i="95"/>
  <c r="A161" i="95"/>
  <c r="I160" i="95"/>
  <c r="G160" i="95"/>
  <c r="A160" i="95"/>
  <c r="I159" i="95"/>
  <c r="G159" i="95"/>
  <c r="A159" i="95"/>
  <c r="I158" i="95"/>
  <c r="G158" i="95"/>
  <c r="A158" i="95"/>
  <c r="I157" i="95"/>
  <c r="G157" i="95"/>
  <c r="A157" i="95"/>
  <c r="I156" i="95"/>
  <c r="G156" i="95"/>
  <c r="A156" i="95"/>
  <c r="I155" i="95"/>
  <c r="G155" i="95"/>
  <c r="A155" i="95"/>
  <c r="I154" i="95"/>
  <c r="G154" i="95"/>
  <c r="A154" i="95"/>
  <c r="I153" i="95"/>
  <c r="G153" i="95"/>
  <c r="A153" i="95"/>
  <c r="I152" i="95"/>
  <c r="G152" i="95"/>
  <c r="A152" i="95"/>
  <c r="I151" i="95"/>
  <c r="G151" i="95"/>
  <c r="A151" i="95"/>
  <c r="I150" i="95"/>
  <c r="G150" i="95"/>
  <c r="A150" i="95"/>
  <c r="I149" i="95"/>
  <c r="G149" i="95"/>
  <c r="A149" i="95"/>
  <c r="I148" i="95"/>
  <c r="G148" i="95"/>
  <c r="A148" i="95"/>
  <c r="I147" i="95"/>
  <c r="G147" i="95"/>
  <c r="A147" i="95"/>
  <c r="I146" i="95"/>
  <c r="G146" i="95"/>
  <c r="A146" i="95"/>
  <c r="I145" i="95"/>
  <c r="G145" i="95"/>
  <c r="A145" i="95"/>
  <c r="I144" i="95"/>
  <c r="G144" i="95"/>
  <c r="A144" i="95"/>
  <c r="I143" i="95"/>
  <c r="G143" i="95"/>
  <c r="A143" i="95"/>
  <c r="I142" i="95"/>
  <c r="G142" i="95"/>
  <c r="A142" i="95"/>
  <c r="I141" i="95"/>
  <c r="G141" i="95"/>
  <c r="A141" i="95"/>
  <c r="I140" i="95"/>
  <c r="G140" i="95"/>
  <c r="A140" i="95"/>
  <c r="I139" i="95"/>
  <c r="G139" i="95"/>
  <c r="A139" i="95"/>
  <c r="I138" i="95"/>
  <c r="G138" i="95"/>
  <c r="A138" i="95"/>
  <c r="I137" i="95"/>
  <c r="G137" i="95"/>
  <c r="A137" i="95"/>
  <c r="I136" i="95"/>
  <c r="G136" i="95"/>
  <c r="A136" i="95"/>
  <c r="I135" i="95"/>
  <c r="G135" i="95"/>
  <c r="A135" i="95"/>
  <c r="I134" i="95"/>
  <c r="G134" i="95"/>
  <c r="A134" i="95"/>
  <c r="I133" i="95"/>
  <c r="G133" i="95"/>
  <c r="A133" i="95"/>
  <c r="I132" i="95"/>
  <c r="G132" i="95"/>
  <c r="A132" i="95"/>
  <c r="I131" i="95"/>
  <c r="G131" i="95"/>
  <c r="A131" i="95"/>
  <c r="I130" i="95"/>
  <c r="G130" i="95"/>
  <c r="A130" i="95"/>
  <c r="I129" i="95"/>
  <c r="G129" i="95"/>
  <c r="A129" i="95"/>
  <c r="I128" i="95"/>
  <c r="G128" i="95"/>
  <c r="A128" i="95"/>
  <c r="I127" i="95"/>
  <c r="G127" i="95"/>
  <c r="A127" i="95"/>
  <c r="I126" i="95"/>
  <c r="G126" i="95"/>
  <c r="A126" i="95"/>
  <c r="I125" i="95"/>
  <c r="G125" i="95"/>
  <c r="A125" i="95"/>
  <c r="I124" i="95"/>
  <c r="G124" i="95"/>
  <c r="A124" i="95"/>
  <c r="I123" i="95"/>
  <c r="G123" i="95"/>
  <c r="A123" i="95"/>
  <c r="I122" i="95"/>
  <c r="G122" i="95"/>
  <c r="A122" i="95"/>
  <c r="I121" i="95"/>
  <c r="G121" i="95"/>
  <c r="A121" i="95"/>
  <c r="I120" i="95"/>
  <c r="G120" i="95"/>
  <c r="A120" i="95"/>
  <c r="I119" i="95"/>
  <c r="G119" i="95"/>
  <c r="A119" i="95"/>
  <c r="I118" i="95"/>
  <c r="G118" i="95"/>
  <c r="A118" i="95"/>
  <c r="I117" i="95"/>
  <c r="G117" i="95"/>
  <c r="A117" i="95"/>
  <c r="I116" i="95"/>
  <c r="G116" i="95"/>
  <c r="A116" i="95"/>
  <c r="I115" i="95"/>
  <c r="G115" i="95"/>
  <c r="A115" i="95"/>
  <c r="I114" i="95"/>
  <c r="G114" i="95"/>
  <c r="A114" i="95"/>
  <c r="I113" i="95"/>
  <c r="G113" i="95"/>
  <c r="A113" i="95"/>
  <c r="I112" i="95"/>
  <c r="G112" i="95"/>
  <c r="A112" i="95"/>
  <c r="I111" i="95"/>
  <c r="G111" i="95"/>
  <c r="A111" i="95"/>
  <c r="I110" i="95"/>
  <c r="G110" i="95"/>
  <c r="A110" i="95"/>
  <c r="I109" i="95"/>
  <c r="G109" i="95"/>
  <c r="A109" i="95"/>
  <c r="I200" i="95"/>
  <c r="G200" i="95"/>
  <c r="A200" i="95"/>
  <c r="I199" i="95"/>
  <c r="G199" i="95"/>
  <c r="A199" i="95"/>
  <c r="I198" i="95"/>
  <c r="G198" i="95"/>
  <c r="A198" i="95"/>
  <c r="I197" i="95"/>
  <c r="G197" i="95"/>
  <c r="A197" i="95"/>
  <c r="I196" i="95"/>
  <c r="G196" i="95"/>
  <c r="A196" i="95"/>
  <c r="I195" i="95"/>
  <c r="G195" i="95"/>
  <c r="A195" i="95"/>
  <c r="I194" i="95"/>
  <c r="G194" i="95"/>
  <c r="A194" i="95"/>
  <c r="I193" i="95"/>
  <c r="G193" i="95"/>
  <c r="A193" i="95"/>
  <c r="I192" i="95"/>
  <c r="G192" i="95"/>
  <c r="A192" i="95"/>
  <c r="I191" i="95"/>
  <c r="G191" i="95"/>
  <c r="A191" i="95"/>
  <c r="I190" i="95"/>
  <c r="G190" i="95"/>
  <c r="A190" i="95"/>
  <c r="I189" i="95"/>
  <c r="G189" i="95"/>
  <c r="A189" i="95"/>
  <c r="I188" i="95"/>
  <c r="G188" i="95"/>
  <c r="A188" i="95"/>
  <c r="I187" i="95"/>
  <c r="G187" i="95"/>
  <c r="A187" i="95"/>
  <c r="I186" i="95"/>
  <c r="G186" i="95"/>
  <c r="A186" i="95"/>
  <c r="I185" i="95"/>
  <c r="G185" i="95"/>
  <c r="A185" i="95"/>
  <c r="I184" i="95"/>
  <c r="G184" i="95"/>
  <c r="A184" i="95"/>
  <c r="I183" i="95"/>
  <c r="G183" i="95"/>
  <c r="A183" i="95"/>
  <c r="I182" i="95"/>
  <c r="G182" i="95"/>
  <c r="A182" i="95"/>
  <c r="I181" i="95"/>
  <c r="G181" i="95"/>
  <c r="A181" i="95"/>
  <c r="I180" i="95"/>
  <c r="G180" i="95"/>
  <c r="A180" i="95"/>
  <c r="I179" i="95"/>
  <c r="G179" i="95"/>
  <c r="A179" i="95"/>
  <c r="I178" i="95"/>
  <c r="G178" i="95"/>
  <c r="A178" i="95"/>
  <c r="I177" i="95"/>
  <c r="G177" i="95"/>
  <c r="A177" i="95"/>
  <c r="I176" i="95"/>
  <c r="G176" i="95"/>
  <c r="A176" i="95"/>
  <c r="I175" i="95"/>
  <c r="G175" i="95"/>
  <c r="A175" i="95"/>
  <c r="I174" i="95"/>
  <c r="G174" i="95"/>
  <c r="A174" i="95"/>
  <c r="I173" i="95"/>
  <c r="G173" i="95"/>
  <c r="A173" i="95"/>
  <c r="I172" i="95"/>
  <c r="G172" i="95"/>
  <c r="A172" i="95"/>
  <c r="I171" i="95"/>
  <c r="G171" i="95"/>
  <c r="A171" i="95"/>
  <c r="I170" i="95"/>
  <c r="G170" i="95"/>
  <c r="A170" i="95"/>
  <c r="I169" i="95"/>
  <c r="G169" i="95"/>
  <c r="A169" i="95"/>
  <c r="I108" i="95"/>
  <c r="G108" i="95"/>
  <c r="A108" i="95"/>
  <c r="I107" i="95"/>
  <c r="G107" i="95"/>
  <c r="A107" i="95"/>
  <c r="I106" i="95"/>
  <c r="G106" i="95"/>
  <c r="A106" i="95"/>
  <c r="I105" i="95"/>
  <c r="G105" i="95"/>
  <c r="A105" i="95"/>
  <c r="I104" i="95"/>
  <c r="G104" i="95"/>
  <c r="A104" i="95"/>
  <c r="I103" i="95"/>
  <c r="G103" i="95"/>
  <c r="A103" i="95"/>
  <c r="I102" i="95"/>
  <c r="G102" i="95"/>
  <c r="A102" i="95"/>
  <c r="I101" i="95"/>
  <c r="G101" i="95"/>
  <c r="A101" i="95"/>
  <c r="I100" i="95"/>
  <c r="G100" i="95"/>
  <c r="A100" i="95"/>
  <c r="I99" i="95"/>
  <c r="G99" i="95"/>
  <c r="A99" i="95"/>
  <c r="I98" i="95"/>
  <c r="G98" i="95"/>
  <c r="A98" i="95"/>
  <c r="I97" i="95"/>
  <c r="G97" i="95"/>
  <c r="A97" i="95"/>
  <c r="I96" i="95"/>
  <c r="G96" i="95"/>
  <c r="A96" i="95"/>
  <c r="I95" i="95"/>
  <c r="G95" i="95"/>
  <c r="A95" i="95"/>
  <c r="I94" i="95"/>
  <c r="G94" i="95"/>
  <c r="A94" i="95"/>
  <c r="I93" i="95"/>
  <c r="G93" i="95"/>
  <c r="A93" i="95"/>
  <c r="I92" i="95"/>
  <c r="G92" i="95"/>
  <c r="A92" i="95"/>
  <c r="I91" i="95"/>
  <c r="G91" i="95"/>
  <c r="A91" i="95"/>
  <c r="I90" i="95"/>
  <c r="G90" i="95"/>
  <c r="A90" i="95"/>
  <c r="I89" i="95"/>
  <c r="G89" i="95"/>
  <c r="A89" i="95"/>
  <c r="I88" i="95"/>
  <c r="G88" i="95"/>
  <c r="A88" i="95"/>
  <c r="I87" i="95"/>
  <c r="G87" i="95"/>
  <c r="A87" i="95"/>
  <c r="I86" i="95"/>
  <c r="G86" i="95"/>
  <c r="A86" i="95"/>
  <c r="I85" i="95"/>
  <c r="G85" i="95"/>
  <c r="A85" i="95"/>
  <c r="I84" i="95"/>
  <c r="G84" i="95"/>
  <c r="A84" i="95"/>
  <c r="I83" i="95"/>
  <c r="G83" i="95"/>
  <c r="A83" i="95"/>
  <c r="I82" i="95"/>
  <c r="G82" i="95"/>
  <c r="A82" i="95"/>
  <c r="I81" i="95"/>
  <c r="G81" i="95"/>
  <c r="A81" i="95"/>
  <c r="I80" i="95"/>
  <c r="G80" i="95"/>
  <c r="A80" i="95"/>
  <c r="I79" i="95"/>
  <c r="G79" i="95"/>
  <c r="A79" i="95"/>
  <c r="I78" i="95"/>
  <c r="G78" i="95"/>
  <c r="A78" i="95"/>
  <c r="I77" i="95"/>
  <c r="G77" i="95"/>
  <c r="A77" i="95"/>
  <c r="I76" i="95"/>
  <c r="G76" i="95"/>
  <c r="A76" i="95"/>
  <c r="I75" i="95"/>
  <c r="G75" i="95"/>
  <c r="A75" i="95"/>
  <c r="I74" i="95"/>
  <c r="G74" i="95"/>
  <c r="A74" i="95"/>
  <c r="I73" i="95"/>
  <c r="G73" i="95"/>
  <c r="A73" i="95"/>
  <c r="I72" i="95"/>
  <c r="G72" i="95"/>
  <c r="A72" i="95"/>
  <c r="I71" i="95"/>
  <c r="G71" i="95"/>
  <c r="A71" i="95"/>
  <c r="I70" i="95"/>
  <c r="G70" i="95"/>
  <c r="A70" i="95"/>
  <c r="I69" i="95"/>
  <c r="G69" i="95"/>
  <c r="A69" i="95"/>
  <c r="I68" i="95"/>
  <c r="G68" i="95"/>
  <c r="A68" i="95"/>
  <c r="I67" i="95"/>
  <c r="G67" i="95"/>
  <c r="A67" i="95"/>
  <c r="I66" i="95"/>
  <c r="G66" i="95"/>
  <c r="A66" i="95"/>
  <c r="I65" i="95"/>
  <c r="G65" i="95"/>
  <c r="A65" i="95"/>
  <c r="I64" i="95"/>
  <c r="G64" i="95"/>
  <c r="A64" i="95"/>
  <c r="I63" i="95"/>
  <c r="G63" i="95"/>
  <c r="A63" i="95"/>
  <c r="I62" i="95"/>
  <c r="G62" i="95"/>
  <c r="A62" i="95"/>
  <c r="I61" i="95"/>
  <c r="G61" i="95"/>
  <c r="A61" i="95"/>
  <c r="I60" i="95"/>
  <c r="G60" i="95"/>
  <c r="A60" i="95"/>
  <c r="I59" i="95"/>
  <c r="G59" i="95"/>
  <c r="A59" i="95"/>
  <c r="I58" i="95"/>
  <c r="G58" i="95"/>
  <c r="A58" i="95"/>
  <c r="I57" i="95"/>
  <c r="G57" i="95"/>
  <c r="A57" i="95"/>
  <c r="I56" i="95"/>
  <c r="G56" i="95"/>
  <c r="A56" i="95"/>
  <c r="I55" i="95"/>
  <c r="G55" i="95"/>
  <c r="A55" i="95"/>
  <c r="I54" i="95"/>
  <c r="G54" i="95"/>
  <c r="A54" i="95"/>
  <c r="I53" i="95"/>
  <c r="G53" i="95"/>
  <c r="A53" i="95"/>
  <c r="I52" i="95"/>
  <c r="G52" i="95"/>
  <c r="A52" i="95"/>
  <c r="I51" i="95"/>
  <c r="G51" i="95"/>
  <c r="A51" i="95"/>
  <c r="I50" i="95"/>
  <c r="G50" i="95"/>
  <c r="A50" i="95"/>
  <c r="I49" i="95"/>
  <c r="G49" i="95"/>
  <c r="A49" i="95"/>
  <c r="I48" i="95"/>
  <c r="G48" i="95"/>
  <c r="A48" i="95"/>
  <c r="I47" i="95"/>
  <c r="G47" i="95"/>
  <c r="A47" i="95"/>
  <c r="I46" i="95"/>
  <c r="G46" i="95"/>
  <c r="A46" i="95"/>
  <c r="I45" i="95"/>
  <c r="G45" i="95"/>
  <c r="A45" i="95"/>
  <c r="I44" i="95"/>
  <c r="G44" i="95"/>
  <c r="A44" i="95"/>
  <c r="I43" i="95"/>
  <c r="G43" i="95"/>
  <c r="A43" i="95"/>
  <c r="I42" i="95"/>
  <c r="G42" i="95"/>
  <c r="A42" i="95"/>
  <c r="I41" i="95"/>
  <c r="G41" i="95"/>
  <c r="A41" i="95"/>
  <c r="I40" i="95"/>
  <c r="G40" i="95"/>
  <c r="A40" i="95"/>
  <c r="I39" i="95"/>
  <c r="G39" i="95"/>
  <c r="A39" i="95"/>
  <c r="I38" i="95"/>
  <c r="G38" i="95"/>
  <c r="A38" i="95"/>
  <c r="I37" i="95"/>
  <c r="G37" i="95"/>
  <c r="A37" i="95"/>
  <c r="I36" i="95"/>
  <c r="G36" i="95"/>
  <c r="A36" i="95"/>
  <c r="I35" i="95"/>
  <c r="G35" i="95"/>
  <c r="A35" i="95"/>
  <c r="I34" i="95"/>
  <c r="G34" i="95"/>
  <c r="A34" i="95"/>
  <c r="I33" i="95"/>
  <c r="G33" i="95"/>
  <c r="A33" i="95"/>
  <c r="I32" i="95"/>
  <c r="G32" i="95"/>
  <c r="A32" i="95"/>
  <c r="I31" i="95"/>
  <c r="G31" i="95"/>
  <c r="A31" i="95"/>
  <c r="I30" i="95"/>
  <c r="G30" i="95"/>
  <c r="A30" i="95"/>
  <c r="I29" i="95"/>
  <c r="G29" i="95"/>
  <c r="A29" i="95"/>
  <c r="I28" i="95"/>
  <c r="G28" i="95"/>
  <c r="A28" i="95"/>
  <c r="I27" i="95"/>
  <c r="G27" i="95"/>
  <c r="A27" i="95"/>
  <c r="I26" i="95"/>
  <c r="G26" i="95"/>
  <c r="A26" i="95"/>
  <c r="I25" i="95"/>
  <c r="G25" i="95"/>
  <c r="A25" i="95"/>
  <c r="I24" i="95"/>
  <c r="G24" i="95"/>
  <c r="A24" i="95"/>
  <c r="I23" i="95"/>
  <c r="G23" i="95"/>
  <c r="A23" i="95"/>
  <c r="I22" i="95"/>
  <c r="G22" i="95"/>
  <c r="A22" i="95"/>
  <c r="I21" i="95"/>
  <c r="G21" i="95"/>
  <c r="A21" i="95"/>
  <c r="I20" i="95"/>
  <c r="G20" i="95"/>
  <c r="A20" i="95"/>
  <c r="I19" i="95"/>
  <c r="G19" i="95"/>
  <c r="A19" i="95"/>
  <c r="I18" i="95"/>
  <c r="G18" i="95"/>
  <c r="A18" i="95"/>
  <c r="I17" i="95"/>
  <c r="G17" i="95"/>
  <c r="A17" i="95"/>
  <c r="I16" i="95"/>
  <c r="G16" i="95"/>
  <c r="A16" i="95"/>
  <c r="I15" i="95"/>
  <c r="G15" i="95"/>
  <c r="A15" i="95"/>
  <c r="I14" i="95"/>
  <c r="G14" i="95"/>
  <c r="A14" i="95"/>
  <c r="I13" i="95"/>
  <c r="G13" i="95"/>
  <c r="A13" i="95"/>
  <c r="I12" i="95"/>
  <c r="G12" i="95"/>
  <c r="A12" i="95"/>
  <c r="G11" i="95"/>
  <c r="A11" i="95"/>
  <c r="G10" i="95"/>
  <c r="G9" i="95"/>
  <c r="A9" i="95"/>
  <c r="G8" i="95"/>
  <c r="A8" i="95"/>
  <c r="E119" i="80"/>
  <c r="E118" i="80"/>
  <c r="E117" i="80"/>
  <c r="E116" i="80"/>
  <c r="E115" i="80"/>
  <c r="E114" i="80"/>
  <c r="E113" i="80"/>
  <c r="E112" i="80"/>
  <c r="E111" i="80"/>
  <c r="E110" i="80"/>
  <c r="E109" i="80"/>
  <c r="E108" i="80"/>
  <c r="E107" i="80"/>
  <c r="E106" i="80"/>
  <c r="E105" i="80"/>
  <c r="E104" i="80"/>
  <c r="E103" i="80"/>
  <c r="E102" i="80"/>
  <c r="E101" i="80"/>
  <c r="E100" i="80"/>
  <c r="E99" i="80"/>
  <c r="E98" i="80"/>
  <c r="E97" i="80"/>
  <c r="E96" i="80"/>
  <c r="E95" i="80"/>
  <c r="E94" i="80"/>
  <c r="E91" i="80"/>
  <c r="E90" i="80"/>
  <c r="E89" i="80"/>
  <c r="E88" i="80"/>
  <c r="E87" i="80"/>
  <c r="E86" i="80"/>
  <c r="E85" i="80"/>
  <c r="E84" i="80"/>
  <c r="E81" i="80"/>
  <c r="E80" i="80"/>
  <c r="E79" i="80"/>
  <c r="E78" i="80"/>
  <c r="E77" i="80"/>
  <c r="E76" i="80"/>
  <c r="E75" i="80"/>
  <c r="E74" i="80"/>
  <c r="E73" i="80"/>
  <c r="E72" i="80"/>
  <c r="E71" i="80"/>
  <c r="E70" i="80"/>
  <c r="F69" i="80"/>
  <c r="E69" i="80"/>
  <c r="B69" i="80"/>
  <c r="E68" i="80"/>
  <c r="F67" i="80"/>
  <c r="E67" i="80"/>
  <c r="E66" i="80"/>
  <c r="F65" i="80"/>
  <c r="E65" i="80"/>
  <c r="B65" i="80"/>
  <c r="E64" i="80"/>
  <c r="F63" i="80"/>
  <c r="E63" i="80"/>
  <c r="B63" i="80"/>
  <c r="E62" i="80"/>
  <c r="F61" i="80"/>
  <c r="E61" i="80"/>
  <c r="B61" i="80"/>
  <c r="E60" i="80"/>
  <c r="F59" i="80"/>
  <c r="E59" i="80"/>
  <c r="B59" i="80"/>
  <c r="E58" i="80"/>
  <c r="F57" i="80"/>
  <c r="E57" i="80"/>
  <c r="E56" i="80"/>
  <c r="F55" i="80"/>
  <c r="E55" i="80"/>
  <c r="E54" i="80"/>
  <c r="F53" i="80"/>
  <c r="E53" i="80"/>
  <c r="E52" i="80"/>
  <c r="F51" i="80"/>
  <c r="E51" i="80"/>
  <c r="E50" i="80"/>
  <c r="F49" i="80"/>
  <c r="E49" i="80"/>
  <c r="E48" i="80"/>
  <c r="F47" i="80"/>
  <c r="E47" i="80"/>
  <c r="E46" i="80"/>
  <c r="E45" i="80"/>
  <c r="F44" i="80"/>
  <c r="F45" i="80"/>
  <c r="E44" i="80"/>
  <c r="E43" i="80"/>
  <c r="F42" i="80"/>
  <c r="F43" i="80"/>
  <c r="E42" i="80"/>
  <c r="E41" i="80"/>
  <c r="F40" i="80"/>
  <c r="F41" i="80"/>
  <c r="E40" i="80"/>
  <c r="E39" i="80"/>
  <c r="F38" i="80"/>
  <c r="F39" i="80"/>
  <c r="E38" i="80"/>
  <c r="E37" i="80"/>
  <c r="F36" i="80"/>
  <c r="F37" i="80"/>
  <c r="E36" i="80"/>
  <c r="E35" i="80"/>
  <c r="F34" i="80"/>
  <c r="F35" i="80"/>
  <c r="E34" i="80"/>
  <c r="E33" i="80"/>
  <c r="F32" i="80"/>
  <c r="F33" i="80"/>
  <c r="E32" i="80"/>
  <c r="E31" i="80"/>
  <c r="F30" i="80"/>
  <c r="F31" i="80"/>
  <c r="E30" i="80"/>
  <c r="E29" i="80"/>
  <c r="F28" i="80"/>
  <c r="F29" i="80"/>
  <c r="E28" i="80"/>
  <c r="E27" i="80"/>
  <c r="F26" i="80"/>
  <c r="F27" i="80"/>
  <c r="E26" i="80"/>
  <c r="E25" i="80"/>
  <c r="F24" i="80"/>
  <c r="F25" i="80"/>
  <c r="E24" i="80"/>
  <c r="E23" i="80"/>
  <c r="F22" i="80"/>
  <c r="F23" i="80"/>
  <c r="E22" i="80"/>
  <c r="E21" i="80"/>
  <c r="E20" i="80"/>
  <c r="E19" i="80"/>
  <c r="E18" i="80"/>
  <c r="E17" i="80"/>
  <c r="E16" i="80"/>
  <c r="E15" i="80"/>
  <c r="E14" i="80"/>
  <c r="E13" i="80"/>
  <c r="E12" i="80"/>
  <c r="E11" i="80"/>
  <c r="E10" i="80"/>
  <c r="E9" i="80"/>
  <c r="E8" i="80"/>
  <c r="AC19" i="79"/>
  <c r="V19" i="79"/>
  <c r="V18" i="79"/>
  <c r="AC10" i="79"/>
  <c r="I12" i="79"/>
  <c r="N3" i="80"/>
  <c r="P3" i="80"/>
  <c r="Q3" i="80"/>
  <c r="R3" i="80"/>
  <c r="S3" i="80"/>
  <c r="T3" i="80"/>
  <c r="U3" i="80"/>
  <c r="V3" i="80"/>
  <c r="W3" i="80"/>
  <c r="Y3" i="80"/>
  <c r="Z3" i="80"/>
  <c r="AA3" i="80"/>
  <c r="AB3" i="80"/>
  <c r="AC3" i="80"/>
  <c r="AE3" i="80"/>
  <c r="AF3" i="80"/>
  <c r="AG3" i="80"/>
  <c r="AH3" i="80"/>
  <c r="AI3" i="80"/>
  <c r="AK3" i="80"/>
  <c r="AL3" i="80"/>
  <c r="AM3" i="80"/>
  <c r="AN3" i="80"/>
  <c r="AO3" i="80"/>
  <c r="AQ3" i="80"/>
  <c r="AR3" i="80"/>
  <c r="AS3" i="80"/>
  <c r="AT3" i="80"/>
  <c r="AU3" i="80"/>
  <c r="AV3" i="80"/>
  <c r="AW3" i="80"/>
  <c r="AX3" i="80"/>
  <c r="AY3" i="80"/>
  <c r="AZ3" i="80"/>
  <c r="BA3" i="80"/>
  <c r="BC3" i="80"/>
  <c r="BD3" i="80"/>
  <c r="BE3" i="80"/>
  <c r="BF3" i="80"/>
  <c r="BG3" i="80"/>
  <c r="BI3" i="80"/>
  <c r="BJ3" i="80"/>
  <c r="BK3" i="80"/>
  <c r="BL3" i="80"/>
  <c r="BM3" i="80"/>
  <c r="BO3" i="80"/>
  <c r="BP3" i="80"/>
  <c r="BQ3" i="80"/>
  <c r="BR3" i="80"/>
  <c r="BS3" i="80"/>
  <c r="BU3" i="80"/>
  <c r="BV3" i="80"/>
  <c r="BW3" i="80"/>
  <c r="BX3" i="80"/>
  <c r="BY3" i="80"/>
  <c r="CA3" i="80"/>
  <c r="CB3" i="80"/>
  <c r="CC3" i="80"/>
  <c r="CD3" i="80"/>
  <c r="CE3" i="80"/>
  <c r="CG3" i="80"/>
  <c r="CH3" i="80"/>
  <c r="CI3" i="80"/>
  <c r="CJ3" i="80"/>
  <c r="CK3" i="80"/>
  <c r="CM3" i="80"/>
  <c r="CN3" i="80"/>
  <c r="CO3" i="80"/>
  <c r="CP3" i="80"/>
  <c r="CQ3" i="80"/>
  <c r="CS3" i="80"/>
  <c r="CT3" i="80"/>
  <c r="CU3" i="80"/>
  <c r="CV3" i="80"/>
  <c r="CW3" i="80"/>
  <c r="CY3" i="80"/>
  <c r="CZ3" i="80"/>
  <c r="DA3" i="80"/>
  <c r="DB3" i="80"/>
  <c r="DC3" i="80"/>
  <c r="DD3" i="80"/>
  <c r="DE3" i="80"/>
  <c r="DF3" i="80"/>
  <c r="DG3" i="80"/>
  <c r="DH3" i="80"/>
  <c r="DI3" i="80"/>
  <c r="DK3" i="80"/>
  <c r="DL3" i="80"/>
  <c r="DM3" i="80"/>
  <c r="DN3" i="80"/>
  <c r="DO3" i="80"/>
  <c r="DQ3" i="80"/>
  <c r="DR3" i="80"/>
  <c r="DS3" i="80"/>
  <c r="DT3" i="80"/>
  <c r="DU3" i="80"/>
  <c r="DV3" i="80"/>
  <c r="DX3" i="80"/>
  <c r="DY3" i="80"/>
  <c r="DZ3" i="80"/>
  <c r="EA3" i="80"/>
  <c r="EB3" i="80"/>
  <c r="EC3" i="80"/>
  <c r="ED3" i="80"/>
  <c r="EE3" i="80"/>
  <c r="EF3" i="80"/>
  <c r="EG3" i="80"/>
  <c r="EH3" i="80"/>
  <c r="EI3" i="80"/>
  <c r="EJ3" i="80"/>
  <c r="G5" i="79"/>
  <c r="G7" i="79" s="1"/>
  <c r="M6" i="79"/>
  <c r="X3" i="80" s="1"/>
  <c r="N6" i="79"/>
  <c r="O6" i="79"/>
  <c r="O7" i="79" s="1"/>
  <c r="P6" i="79"/>
  <c r="AJ3" i="80" s="1"/>
  <c r="Q6" i="79"/>
  <c r="AP3" i="80" s="1"/>
  <c r="R6" i="79"/>
  <c r="BB3" i="80" s="1"/>
  <c r="S6" i="79"/>
  <c r="BH3" i="80" s="1"/>
  <c r="T6" i="79"/>
  <c r="BN3" i="80" s="1"/>
  <c r="U6" i="79"/>
  <c r="BT3" i="80" s="1"/>
  <c r="V6" i="79"/>
  <c r="V7" i="79" s="1"/>
  <c r="W6" i="79"/>
  <c r="CF3" i="80" s="1"/>
  <c r="X6" i="79"/>
  <c r="CL3" i="80" s="1"/>
  <c r="Y6" i="79"/>
  <c r="CR3" i="80" s="1"/>
  <c r="Z6" i="79"/>
  <c r="Z7" i="79" s="1"/>
  <c r="AA6" i="79"/>
  <c r="AA7" i="79" s="1"/>
  <c r="AB6" i="79"/>
  <c r="DJ3" i="80" s="1"/>
  <c r="AC6" i="79"/>
  <c r="AC7" i="79" s="1"/>
  <c r="F7" i="79"/>
  <c r="H7" i="79"/>
  <c r="I7" i="79"/>
  <c r="J7" i="79"/>
  <c r="K7" i="79"/>
  <c r="L7" i="79"/>
  <c r="F8" i="79"/>
  <c r="G8" i="79"/>
  <c r="H8" i="79"/>
  <c r="I8" i="79"/>
  <c r="J8" i="79"/>
  <c r="K8" i="79"/>
  <c r="L8" i="79"/>
  <c r="M8" i="79"/>
  <c r="N8" i="79"/>
  <c r="O8" i="79"/>
  <c r="P8" i="79"/>
  <c r="Q8" i="79"/>
  <c r="R8" i="79"/>
  <c r="S8" i="79"/>
  <c r="T8" i="79"/>
  <c r="U8" i="79"/>
  <c r="V8" i="79"/>
  <c r="W8" i="79"/>
  <c r="X8" i="79"/>
  <c r="Y8" i="79"/>
  <c r="Z8" i="79"/>
  <c r="AA8" i="79"/>
  <c r="AB8" i="79"/>
  <c r="AC8" i="79"/>
  <c r="E9" i="79"/>
  <c r="I9" i="79"/>
  <c r="E10" i="79"/>
  <c r="I10" i="79"/>
  <c r="V10" i="79"/>
  <c r="E12" i="79"/>
  <c r="E13" i="79"/>
  <c r="E14" i="79"/>
  <c r="E15" i="79"/>
  <c r="AC15" i="79"/>
  <c r="E16" i="79"/>
  <c r="AC16" i="79"/>
  <c r="E17" i="79"/>
  <c r="V17" i="79"/>
  <c r="AC17" i="79"/>
  <c r="E18" i="79"/>
  <c r="AC18" i="79"/>
  <c r="E19" i="79"/>
  <c r="E20" i="79"/>
  <c r="E21" i="79"/>
  <c r="E22" i="79"/>
  <c r="E23" i="79"/>
  <c r="E24" i="79"/>
  <c r="E25" i="79"/>
  <c r="I25" i="79"/>
  <c r="E26" i="79"/>
  <c r="E27" i="79"/>
  <c r="E28" i="79"/>
  <c r="AC28" i="79"/>
  <c r="E29" i="79"/>
  <c r="AC29" i="79"/>
  <c r="E30" i="79"/>
  <c r="AC30" i="79"/>
  <c r="B31" i="79"/>
  <c r="E31" i="79"/>
  <c r="AC31" i="79"/>
  <c r="B32" i="79"/>
  <c r="E32" i="79"/>
  <c r="AC32" i="79"/>
  <c r="B33" i="79"/>
  <c r="E33" i="79"/>
  <c r="AC33" i="79"/>
  <c r="B34" i="79"/>
  <c r="E34" i="79"/>
  <c r="AC34" i="79"/>
  <c r="B35" i="79"/>
  <c r="E35" i="79"/>
  <c r="AC35" i="79"/>
  <c r="B36" i="79"/>
  <c r="E36" i="79"/>
  <c r="AC36" i="79"/>
  <c r="B37" i="79"/>
  <c r="E37" i="79"/>
  <c r="AC37" i="79"/>
  <c r="B38" i="79"/>
  <c r="E38" i="79"/>
  <c r="AC38" i="79"/>
  <c r="B39" i="79"/>
  <c r="E39" i="79"/>
  <c r="AC39" i="79"/>
  <c r="B40" i="79"/>
  <c r="E40" i="79"/>
  <c r="AC40" i="79"/>
  <c r="B41" i="79"/>
  <c r="E41" i="79"/>
  <c r="AC41" i="79"/>
  <c r="B42" i="79"/>
  <c r="E42" i="79"/>
  <c r="AC42" i="79"/>
  <c r="E43" i="79"/>
  <c r="E44" i="79"/>
  <c r="E45" i="79"/>
  <c r="E46" i="79"/>
  <c r="E47" i="79"/>
  <c r="AC47" i="79"/>
  <c r="B29" i="95"/>
  <c r="C59" i="95"/>
  <c r="B59" i="95"/>
  <c r="C34" i="95"/>
  <c r="B34" i="95"/>
  <c r="B171" i="95"/>
  <c r="B37" i="95"/>
  <c r="C196" i="95"/>
  <c r="B196" i="95"/>
  <c r="C20" i="95"/>
  <c r="B20" i="95"/>
  <c r="B176" i="95"/>
  <c r="C21" i="95"/>
  <c r="B21" i="95"/>
  <c r="B65" i="95"/>
  <c r="C66" i="95"/>
  <c r="B66" i="95"/>
  <c r="B36" i="95"/>
  <c r="B38" i="95"/>
  <c r="B172" i="95"/>
  <c r="C52" i="95"/>
  <c r="B52" i="95"/>
  <c r="B174" i="95"/>
  <c r="C56" i="95"/>
  <c r="B56" i="95"/>
  <c r="B17" i="95"/>
  <c r="C54" i="95"/>
  <c r="B54" i="95"/>
  <c r="B41" i="95"/>
  <c r="C33" i="95"/>
  <c r="B33" i="95"/>
  <c r="B169" i="95"/>
  <c r="B12" i="95"/>
  <c r="B45" i="95"/>
  <c r="B64" i="95"/>
  <c r="C55" i="95"/>
  <c r="B55" i="95"/>
  <c r="B62" i="95"/>
  <c r="B189" i="95"/>
  <c r="C183" i="95"/>
  <c r="B183" i="95"/>
  <c r="B13" i="95"/>
  <c r="B190" i="95"/>
  <c r="B186" i="95"/>
  <c r="B24" i="95"/>
  <c r="B16" i="95"/>
  <c r="B187" i="95"/>
  <c r="C181" i="95"/>
  <c r="B181" i="95"/>
  <c r="B25" i="95"/>
  <c r="C67" i="95"/>
  <c r="B67" i="95"/>
  <c r="C199" i="95"/>
  <c r="B199" i="95"/>
  <c r="C69" i="95"/>
  <c r="B69" i="95"/>
  <c r="C58" i="95"/>
  <c r="B58" i="95"/>
  <c r="Q7" i="79" l="1"/>
  <c r="H6" i="80"/>
  <c r="H5" i="80"/>
  <c r="R7" i="79"/>
  <c r="X7" i="79"/>
  <c r="AD3" i="80"/>
  <c r="W7" i="79"/>
  <c r="U7" i="79"/>
  <c r="S7" i="79"/>
  <c r="BZ3" i="80"/>
  <c r="DW3" i="80"/>
  <c r="T7" i="79"/>
  <c r="O3" i="80"/>
  <c r="P7" i="79"/>
  <c r="M7" i="79"/>
  <c r="H82" i="80" s="1"/>
  <c r="DP3" i="80"/>
  <c r="AB7" i="79"/>
  <c r="CX3" i="80"/>
  <c r="H4" i="80"/>
  <c r="H7" i="80"/>
  <c r="Y7" i="79"/>
  <c r="H70" i="80" l="1"/>
  <c r="H65" i="80"/>
  <c r="H40" i="80"/>
  <c r="H41" i="80"/>
  <c r="H50" i="80"/>
  <c r="H43" i="80"/>
  <c r="H108" i="80"/>
  <c r="H18" i="80"/>
  <c r="H68" i="80"/>
  <c r="H61" i="80"/>
  <c r="H8" i="80"/>
  <c r="H109" i="80"/>
  <c r="H55" i="80"/>
  <c r="H113" i="80"/>
  <c r="H72" i="80"/>
  <c r="H97" i="80"/>
  <c r="H23" i="80"/>
  <c r="H31" i="80"/>
  <c r="H110" i="80"/>
  <c r="H88" i="80"/>
  <c r="H60" i="80"/>
  <c r="H107" i="80"/>
  <c r="H119" i="80"/>
  <c r="H12" i="80"/>
  <c r="H24" i="80"/>
  <c r="H63" i="80"/>
  <c r="H112" i="80"/>
  <c r="H54" i="80"/>
  <c r="H25" i="80"/>
  <c r="H102" i="80"/>
  <c r="H64" i="80"/>
  <c r="H96" i="80"/>
  <c r="H118" i="80"/>
  <c r="H92" i="80"/>
  <c r="H38" i="80"/>
  <c r="H52" i="80"/>
  <c r="H29" i="80"/>
  <c r="H100" i="80"/>
  <c r="H76" i="80"/>
  <c r="H104" i="80"/>
  <c r="H16" i="80"/>
  <c r="H32" i="80"/>
  <c r="H87" i="80"/>
  <c r="H10" i="80"/>
  <c r="H67" i="80"/>
  <c r="H13" i="80"/>
  <c r="H101" i="80"/>
  <c r="H58" i="80"/>
  <c r="H93" i="80"/>
  <c r="H14" i="80"/>
  <c r="H34" i="80"/>
  <c r="H22" i="80"/>
  <c r="H74" i="80"/>
  <c r="H71" i="80"/>
  <c r="H86" i="80"/>
  <c r="H105" i="80"/>
  <c r="H17" i="80"/>
  <c r="H81" i="80"/>
  <c r="H91" i="80"/>
  <c r="H79" i="80"/>
  <c r="H83" i="80"/>
  <c r="H66" i="80"/>
  <c r="H117" i="80"/>
  <c r="H28" i="80"/>
  <c r="H19" i="80"/>
  <c r="H53" i="80"/>
  <c r="H114" i="80"/>
  <c r="H26" i="80"/>
  <c r="H89" i="80"/>
  <c r="H80" i="80"/>
  <c r="H75" i="80"/>
  <c r="H47" i="80"/>
  <c r="H49" i="80"/>
  <c r="H39" i="80"/>
  <c r="H57" i="80"/>
  <c r="H15" i="80"/>
  <c r="H45" i="80"/>
  <c r="H11" i="80"/>
  <c r="H78" i="80"/>
  <c r="H106" i="80"/>
  <c r="H62" i="80"/>
  <c r="H94" i="80"/>
  <c r="H111" i="80"/>
  <c r="H95" i="80"/>
  <c r="H33" i="80"/>
  <c r="H37" i="80"/>
  <c r="H84" i="80"/>
  <c r="H35" i="80"/>
  <c r="H103" i="80"/>
  <c r="H46" i="80"/>
  <c r="H42" i="80"/>
  <c r="H77" i="80"/>
  <c r="H36" i="80"/>
  <c r="H44" i="80"/>
  <c r="H56" i="80"/>
  <c r="H21" i="80"/>
  <c r="H51" i="80"/>
  <c r="H85" i="80"/>
  <c r="H20" i="80"/>
  <c r="H73" i="80"/>
  <c r="H90" i="80"/>
  <c r="H27" i="80"/>
  <c r="H116" i="80"/>
  <c r="H30" i="80"/>
  <c r="H59" i="80"/>
  <c r="H48" i="80"/>
  <c r="H9" i="80"/>
  <c r="H99" i="80"/>
  <c r="H98" i="80"/>
  <c r="H69" i="80"/>
  <c r="H115" i="80"/>
</calcChain>
</file>

<file path=xl/sharedStrings.xml><?xml version="1.0" encoding="utf-8"?>
<sst xmlns="http://schemas.openxmlformats.org/spreadsheetml/2006/main" count="2364" uniqueCount="308">
  <si>
    <t>Red: Don't change the name without changing the Julia code</t>
  </si>
  <si>
    <t>Parameters--&gt;</t>
  </si>
  <si>
    <t>Produced from</t>
  </si>
  <si>
    <t>H2 balance</t>
  </si>
  <si>
    <t>El balance</t>
  </si>
  <si>
    <t>Heat balance</t>
  </si>
  <si>
    <t>Max Capacity</t>
  </si>
  <si>
    <t>Subsets</t>
  </si>
  <si>
    <t>Subsets_2</t>
  </si>
  <si>
    <t>Type of units</t>
  </si>
  <si>
    <t>Line/Column index</t>
  </si>
  <si>
    <t>-</t>
  </si>
  <si>
    <t>PWL</t>
  </si>
  <si>
    <t>O2</t>
  </si>
  <si>
    <t>Stor_in</t>
  </si>
  <si>
    <t>Stor_out</t>
  </si>
  <si>
    <t>Tank</t>
  </si>
  <si>
    <t>Electrical</t>
  </si>
  <si>
    <t>Heat_import</t>
  </si>
  <si>
    <t>Heat_export</t>
  </si>
  <si>
    <t>Power_from_the_grid</t>
  </si>
  <si>
    <t>Power_to_the_grid</t>
  </si>
  <si>
    <t>Electricity_to_batteries</t>
  </si>
  <si>
    <t>Electricity_from_batteries</t>
  </si>
  <si>
    <t>Electricity_stored</t>
  </si>
  <si>
    <t>PU_Grid_in</t>
  </si>
  <si>
    <t>Heat_in</t>
  </si>
  <si>
    <t>Heat_out</t>
  </si>
  <si>
    <t>Heat_buy</t>
  </si>
  <si>
    <t>Heat_sell</t>
  </si>
  <si>
    <t>Grid_buy</t>
  </si>
  <si>
    <t>Grid_sell</t>
  </si>
  <si>
    <t>Heat from district heating</t>
  </si>
  <si>
    <t>Heat sent to district heating</t>
  </si>
  <si>
    <t>Sale of oxygen</t>
  </si>
  <si>
    <t>Electricity from the grid</t>
  </si>
  <si>
    <t>Electricity to the grid</t>
  </si>
  <si>
    <t>Charge batteries</t>
  </si>
  <si>
    <t>Discharge batteries</t>
  </si>
  <si>
    <t>Batteries</t>
  </si>
  <si>
    <t>Solar fixed</t>
  </si>
  <si>
    <t>Solar_fixed</t>
  </si>
  <si>
    <t>Solar tracking</t>
  </si>
  <si>
    <t>Solar_tracking</t>
  </si>
  <si>
    <t>RPU_Solar_track</t>
  </si>
  <si>
    <t>RPU_Solar_fixed</t>
  </si>
  <si>
    <t>SP198-HH100</t>
  </si>
  <si>
    <t>ON_SP198-HH150</t>
  </si>
  <si>
    <t>SP198-HH150</t>
  </si>
  <si>
    <t>ON_SP237-HH100</t>
  </si>
  <si>
    <t>SP237-HH100</t>
  </si>
  <si>
    <t>ON_SP237-HH150</t>
  </si>
  <si>
    <t>SP237-HH150</t>
  </si>
  <si>
    <t>ON_SP277-HH100</t>
  </si>
  <si>
    <t>SP277-HH100</t>
  </si>
  <si>
    <t>ON_SP277-HH150</t>
  </si>
  <si>
    <t>SP277-HH150</t>
  </si>
  <si>
    <t>ON_SP321-HH100</t>
  </si>
  <si>
    <t>SP321-HH100</t>
  </si>
  <si>
    <t>ON_SP321-HH150</t>
  </si>
  <si>
    <t>SP321-HH150</t>
  </si>
  <si>
    <t>OFF_SP379-HH100</t>
  </si>
  <si>
    <t>SP379-HH100</t>
  </si>
  <si>
    <t>OFF_SP379-HH150</t>
  </si>
  <si>
    <t>SP379-HH150</t>
  </si>
  <si>
    <t>OFF_SP450-HH100</t>
  </si>
  <si>
    <t>SP450-HH100</t>
  </si>
  <si>
    <t>SP450-HH150</t>
  </si>
  <si>
    <t>Biomass</t>
  </si>
  <si>
    <t>H2 pipeline to MeOH CCU plant</t>
  </si>
  <si>
    <t>H2_pipeline_to_MeOHCCU_plant</t>
  </si>
  <si>
    <t>Yearly demand (kg fuel)</t>
  </si>
  <si>
    <t>Fuel production rate (kg output/kg input)</t>
  </si>
  <si>
    <t>Heat generated (kWh/output)</t>
  </si>
  <si>
    <t>Load min (% of max capacity)</t>
  </si>
  <si>
    <t>Ramp up (% of capacity /h)</t>
  </si>
  <si>
    <t>Ramp down (% of capacity /h)</t>
  </si>
  <si>
    <t>Electrical consumption (kWh/output)</t>
  </si>
  <si>
    <t>CO2e process (kg CO2e/output)</t>
  </si>
  <si>
    <t>Annuity factor</t>
  </si>
  <si>
    <t>AEC</t>
  </si>
  <si>
    <t>CO2 PS</t>
  </si>
  <si>
    <t>H2_from_AEC</t>
  </si>
  <si>
    <t>DAC</t>
  </si>
  <si>
    <t>CO2 capture PS</t>
  </si>
  <si>
    <t>H2_from_SOEC</t>
  </si>
  <si>
    <t>Bio-eMeOH</t>
  </si>
  <si>
    <t>Parameter changed</t>
  </si>
  <si>
    <t>New value</t>
  </si>
  <si>
    <t>Old value</t>
  </si>
  <si>
    <t>Year--&gt;</t>
  </si>
  <si>
    <t>MeOH</t>
  </si>
  <si>
    <t>SOEC</t>
  </si>
  <si>
    <t>Scenario number</t>
  </si>
  <si>
    <t>Fuel</t>
  </si>
  <si>
    <t>Electrolyser</t>
  </si>
  <si>
    <t>Input data sheet</t>
  </si>
  <si>
    <t>Profile name</t>
  </si>
  <si>
    <t>Result folder name</t>
  </si>
  <si>
    <t>Max profit</t>
  </si>
  <si>
    <t>Demand</t>
  </si>
  <si>
    <t>Max capacity</t>
  </si>
  <si>
    <t>Ramping</t>
  </si>
  <si>
    <t>No negative elec price</t>
  </si>
  <si>
    <t>Connection limit</t>
  </si>
  <si>
    <t>Sold products</t>
  </si>
  <si>
    <t>Fuel cost</t>
  </si>
  <si>
    <t>Flows</t>
  </si>
  <si>
    <t>NH3</t>
  </si>
  <si>
    <t>CO2 capture</t>
  </si>
  <si>
    <t>None</t>
  </si>
  <si>
    <t>Carbon capture</t>
  </si>
  <si>
    <t>PS</t>
  </si>
  <si>
    <t>Configuration</t>
  </si>
  <si>
    <t>Hourly electricity sale</t>
  </si>
  <si>
    <t>Hourly heat sale</t>
  </si>
  <si>
    <t>Fixed heat sale</t>
  </si>
  <si>
    <t>Fixed oxygen sale</t>
  </si>
  <si>
    <t>O2_sell</t>
  </si>
  <si>
    <t>Used (1 or 0)</t>
  </si>
  <si>
    <t>CO2e infrastructure (kg CO2e/Capacity/y)</t>
  </si>
  <si>
    <t>All</t>
  </si>
  <si>
    <t>Product 7</t>
  </si>
  <si>
    <t>Product/Reactant1</t>
  </si>
  <si>
    <t>Product</t>
  </si>
  <si>
    <t>Reactant2</t>
  </si>
  <si>
    <t>Reactant5</t>
  </si>
  <si>
    <t>Reactant7</t>
  </si>
  <si>
    <t>Product/Reactant3</t>
  </si>
  <si>
    <t>Year old value</t>
  </si>
  <si>
    <t>Year new value</t>
  </si>
  <si>
    <t>Type of units for change</t>
  </si>
  <si>
    <t>Scenario name definition</t>
  </si>
  <si>
    <t>Unit tag</t>
  </si>
  <si>
    <t>Max profit TRUE doesn't work</t>
  </si>
  <si>
    <t>See Scenarios_definition</t>
  </si>
  <si>
    <t>Options available</t>
  </si>
  <si>
    <t>Any name</t>
  </si>
  <si>
    <t>Results to write</t>
  </si>
  <si>
    <t>Islanded</t>
  </si>
  <si>
    <t>Fuel energy content LHV (MJ/kg fuel)</t>
  </si>
  <si>
    <t>Scenario</t>
  </si>
  <si>
    <t>Scenario name</t>
  </si>
  <si>
    <t>Name of the scenario in the output csv file</t>
  </si>
  <si>
    <t>H2 pipes compressor</t>
  </si>
  <si>
    <t>H2_to_pipe</t>
  </si>
  <si>
    <t>H2 pipes valve</t>
  </si>
  <si>
    <t>H2_from_pipe</t>
  </si>
  <si>
    <t>H2 buried pipes</t>
  </si>
  <si>
    <t>H2_stored_pipe</t>
  </si>
  <si>
    <t>ON_SP198-HH100</t>
  </si>
  <si>
    <t>OFF_SP450-HH150</t>
  </si>
  <si>
    <t>CO2taxWTTop</t>
  </si>
  <si>
    <t>€/kg CO2</t>
  </si>
  <si>
    <t>CO2taxWTTup</t>
  </si>
  <si>
    <t>Fuel produced</t>
  </si>
  <si>
    <t>Min_demand_MainFuel</t>
  </si>
  <si>
    <t>Weight costs</t>
  </si>
  <si>
    <t>Objective function weight for costs</t>
  </si>
  <si>
    <t>Objective function weight for CO2 emissions</t>
  </si>
  <si>
    <t>Weight CO2e</t>
  </si>
  <si>
    <t>Land use (m2/Capacity)</t>
  </si>
  <si>
    <t>Year data</t>
  </si>
  <si>
    <t>Profile folder name</t>
  </si>
  <si>
    <t>Name of the excel file profile</t>
  </si>
  <si>
    <t>Folder name where the excel profile is</t>
  </si>
  <si>
    <t>Investment (EUR/Capacity installed)</t>
  </si>
  <si>
    <t>Fixed cost (EUR/Capacity installed/y)</t>
  </si>
  <si>
    <t>Variable cost (EUR/Output)</t>
  </si>
  <si>
    <t>Fuel selling price (EUR/output)</t>
  </si>
  <si>
    <t>Fuel buying price (EUR/output)</t>
  </si>
  <si>
    <t>Reference scenario</t>
  </si>
  <si>
    <t>Changes also include the changes made in the reference scenario. If nothing is specified in the reference scenario column, changes are made compared to the input data sheet (i.e Data_base_case)</t>
  </si>
  <si>
    <t>Input references sheet</t>
  </si>
  <si>
    <t>Any data sheet name</t>
  </si>
  <si>
    <t>Grid_out</t>
  </si>
  <si>
    <t>Location</t>
  </si>
  <si>
    <t>Data_base_case</t>
  </si>
  <si>
    <t>Ref_base_case</t>
  </si>
  <si>
    <t>CO2treshWTTop</t>
  </si>
  <si>
    <t>(-1 if no treshhold is applied)</t>
  </si>
  <si>
    <t>kg CO2e / MJ fuel</t>
  </si>
  <si>
    <t>Waste water plant</t>
  </si>
  <si>
    <t>H2O wwtp</t>
  </si>
  <si>
    <t>MeOH plant CCU</t>
  </si>
  <si>
    <t>Bornholm</t>
  </si>
  <si>
    <t>Electrolysers AEC</t>
  </si>
  <si>
    <t>Electrolysers SOEC</t>
  </si>
  <si>
    <t>Mix</t>
  </si>
  <si>
    <t>Water supply</t>
  </si>
  <si>
    <t>H2 storage</t>
  </si>
  <si>
    <t>MeOH-AEC</t>
  </si>
  <si>
    <t>Biofuel-AEC</t>
  </si>
  <si>
    <t>Biofuel</t>
  </si>
  <si>
    <t>Biofuel-SOEC</t>
  </si>
  <si>
    <t>H2_pipeline_to_Biofuel_plant</t>
  </si>
  <si>
    <t>H2 pipeline to Biofuel plant</t>
  </si>
  <si>
    <t>MeOH_AEC_PS</t>
  </si>
  <si>
    <t>MeOH_SOEC_PS</t>
  </si>
  <si>
    <t>Biofuel_AEC_PS</t>
  </si>
  <si>
    <t>Biomass (pyrolysis unit)</t>
  </si>
  <si>
    <t>biochar_sell</t>
  </si>
  <si>
    <t>Product8</t>
  </si>
  <si>
    <t>Sale of biochar</t>
  </si>
  <si>
    <t>Biochar</t>
  </si>
  <si>
    <t>OilTank balance</t>
  </si>
  <si>
    <t>OilTank balance2030</t>
  </si>
  <si>
    <t>Charge OilTank</t>
  </si>
  <si>
    <t>Discharge OilTank</t>
  </si>
  <si>
    <t>OilTank</t>
  </si>
  <si>
    <t>Reactant10</t>
  </si>
  <si>
    <t>Oil pipeline to Biofuel plant</t>
  </si>
  <si>
    <t>Oil_pipeline_to_Biofuel_plant</t>
  </si>
  <si>
    <t>nosubset</t>
  </si>
  <si>
    <t>Product2</t>
  </si>
  <si>
    <t>no_oiltank</t>
  </si>
  <si>
    <t>Biofuel plant</t>
  </si>
  <si>
    <t>Biofuel_SOEC_PS</t>
  </si>
  <si>
    <t>MeOH-SOEC</t>
  </si>
  <si>
    <t>eff-aec-45</t>
  </si>
  <si>
    <t>eff-aec-47</t>
  </si>
  <si>
    <t>eff-soec-45</t>
  </si>
  <si>
    <t>eff-aec-51</t>
  </si>
  <si>
    <t>eff-aec-53</t>
  </si>
  <si>
    <t>eff-aec-55</t>
  </si>
  <si>
    <t>eff-aec-57</t>
  </si>
  <si>
    <t>eff-soec-35</t>
  </si>
  <si>
    <t>eff-soec-43</t>
  </si>
  <si>
    <t>eff-soec-37</t>
  </si>
  <si>
    <t>eff-soec-49</t>
  </si>
  <si>
    <t>eff-soec-39</t>
  </si>
  <si>
    <t>cost-aec-945</t>
  </si>
  <si>
    <t>cost-aec-1033</t>
  </si>
  <si>
    <t>cost-aec-1120</t>
  </si>
  <si>
    <t>cost-aec-1208</t>
  </si>
  <si>
    <t>cost-aec-1295</t>
  </si>
  <si>
    <t>cost-aec-1382</t>
  </si>
  <si>
    <t>cost-soec-1018</t>
  </si>
  <si>
    <t>cost-soec-1193</t>
  </si>
  <si>
    <t>cost-soec-1368</t>
  </si>
  <si>
    <t>cost-soec-1543</t>
  </si>
  <si>
    <t>cost-aec-1121</t>
  </si>
  <si>
    <t>cost-soec-1718</t>
  </si>
  <si>
    <t>cost-soec-1891</t>
  </si>
  <si>
    <t>cost-meoh-10600</t>
  </si>
  <si>
    <t>cost-meoh-11280</t>
  </si>
  <si>
    <t>cost-meoh-11960</t>
  </si>
  <si>
    <t>cost-meoh-12640</t>
  </si>
  <si>
    <t>cost-meoh-13320</t>
  </si>
  <si>
    <t>cost-meoh-14003</t>
  </si>
  <si>
    <t>cost-upgrade-1698</t>
  </si>
  <si>
    <t>cost-upgrade-2557</t>
  </si>
  <si>
    <t>cost-upgrade-3416</t>
  </si>
  <si>
    <t>cost-upgrade-4275</t>
  </si>
  <si>
    <t>cost-upgrade-5134</t>
  </si>
  <si>
    <t>cost-upgrade-5993</t>
  </si>
  <si>
    <t>cost-tank</t>
  </si>
  <si>
    <t>cost-CO2-150</t>
  </si>
  <si>
    <t>flexibility-meoh-30</t>
  </si>
  <si>
    <t>flexibility-meoh-40</t>
  </si>
  <si>
    <t>flexibility-meoh-50</t>
  </si>
  <si>
    <t>flexibility-meoh-60</t>
  </si>
  <si>
    <t>flexibility-meoh-70</t>
  </si>
  <si>
    <t>flexibility-meoh-80</t>
  </si>
  <si>
    <t>flexibility-meoh-90</t>
  </si>
  <si>
    <t>flexibility-meoh-100</t>
  </si>
  <si>
    <t>flexibility-pyro-30</t>
  </si>
  <si>
    <t>flexibility-pyro-40</t>
  </si>
  <si>
    <t>flexibility-pyro-50</t>
  </si>
  <si>
    <t>flexibility-pyro-60</t>
  </si>
  <si>
    <t>flexibility-pyro-70</t>
  </si>
  <si>
    <t>flexibility-pyro-80</t>
  </si>
  <si>
    <t>flexibility-pyro-90</t>
  </si>
  <si>
    <t>flexibility-pyro-100</t>
  </si>
  <si>
    <t>price-o2-0.027</t>
  </si>
  <si>
    <t>price-o2-0.052</t>
  </si>
  <si>
    <t>price-o2-0.077</t>
  </si>
  <si>
    <t>price-o2-0.102</t>
  </si>
  <si>
    <t>price-o2-0.127</t>
  </si>
  <si>
    <t>price-o2-0.150</t>
  </si>
  <si>
    <t>price-heat-0.044</t>
  </si>
  <si>
    <t>price-biochar-0.21</t>
  </si>
  <si>
    <t>price-biochar-0.24</t>
  </si>
  <si>
    <t>price-biochar-0.28</t>
  </si>
  <si>
    <t>price-biochar-0.32</t>
  </si>
  <si>
    <t>price-biochar-0.35</t>
  </si>
  <si>
    <t>price-biochar-0.39</t>
  </si>
  <si>
    <t>cost-CO2-80</t>
  </si>
  <si>
    <t>cost-CO2-94</t>
  </si>
  <si>
    <t>cost-CO2-108</t>
  </si>
  <si>
    <t>cost-CO2-122</t>
  </si>
  <si>
    <t>cost-CO2-136</t>
  </si>
  <si>
    <t>cost-biomass-81</t>
  </si>
  <si>
    <t>cost-biomass-87</t>
  </si>
  <si>
    <t>cost-biomass-93</t>
  </si>
  <si>
    <t>cost-biomass-99</t>
  </si>
  <si>
    <t>cost-biomass-106</t>
  </si>
  <si>
    <t>cost-biomass-110</t>
  </si>
  <si>
    <t>price-heat-0.023</t>
  </si>
  <si>
    <t>price-heat-0.03</t>
  </si>
  <si>
    <t>price-heat-0.037</t>
  </si>
  <si>
    <t>price-heat-0.051</t>
  </si>
  <si>
    <t>price-heat-0.059</t>
  </si>
  <si>
    <t>flexibility-pyro-0</t>
  </si>
  <si>
    <t>flexibility-meoh-0</t>
  </si>
  <si>
    <t>flexibility-meoh-10</t>
  </si>
  <si>
    <t>flexibility-pyro-10</t>
  </si>
  <si>
    <t>Results_biofuel_publication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</si>
</sst>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"/>
    <numFmt numFmtId="165" formatCode="0.000"/>
  </numFmts>
  <fonts count="35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70AD47"/>
      <name val="Calibri"/>
      <family val="2"/>
      <scheme val="minor"/>
    </font>
    <font>
      <b/>
      <sz val="11"/>
      <color rgb="FF92D050"/>
      <name val="Calibri"/>
      <family val="2"/>
      <scheme val="minor"/>
    </font>
    <font>
      <sz val="11"/>
      <color rgb="FFCE9178"/>
      <name val="Consolas"/>
      <family val="3"/>
    </font>
    <font>
      <sz val="11"/>
      <color theme="7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CC3399"/>
      <name val="Calibri"/>
      <family val="2"/>
      <scheme val="minor"/>
    </font>
    <font>
      <sz val="11"/>
      <color rgb="FFCC00FF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33CC"/>
      <name val="Calibri"/>
      <family val="2"/>
      <scheme val="minor"/>
    </font>
    <font>
      <b/>
      <sz val="11"/>
      <color rgb="FFFF66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D0CECE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42">
    <xf numFmtId="0" fontId="0" fillId="0" borderId="0" xfId="0"/>
    <xf numFmtId="0" fontId="6" fillId="0" borderId="0" xfId="0" applyFont="1"/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9" fontId="2" fillId="0" borderId="0" xfId="3" applyFont="1"/>
    <xf numFmtId="0" fontId="4" fillId="0" borderId="0" xfId="0" applyFont="1"/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/>
    <xf numFmtId="0" fontId="0" fillId="0" borderId="1" xfId="0" applyBorder="1"/>
    <xf numFmtId="0" fontId="0" fillId="0" borderId="2" xfId="0" applyBorder="1"/>
    <xf numFmtId="0" fontId="9" fillId="3" borderId="0" xfId="0" applyFont="1" applyFill="1" applyAlignment="1">
      <alignment horizontal="center" vertical="center" wrapText="1"/>
    </xf>
    <xf numFmtId="0" fontId="9" fillId="3" borderId="0" xfId="0" applyFont="1" applyFill="1"/>
    <xf numFmtId="10" fontId="0" fillId="0" borderId="0" xfId="0" applyNumberFormat="1"/>
    <xf numFmtId="0" fontId="10" fillId="0" borderId="0" xfId="0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1" fillId="0" borderId="0" xfId="0" applyFont="1"/>
    <xf numFmtId="0" fontId="7" fillId="2" borderId="0" xfId="0" applyFont="1" applyFill="1"/>
    <xf numFmtId="0" fontId="0" fillId="0" borderId="0" xfId="0" applyAlignment="1">
      <alignment horizontal="center" vertical="center"/>
    </xf>
    <xf numFmtId="0" fontId="8" fillId="2" borderId="0" xfId="0" applyFont="1" applyFill="1" applyAlignment="1">
      <alignment horizontal="left"/>
    </xf>
    <xf numFmtId="0" fontId="7" fillId="2" borderId="0" xfId="0" applyFont="1" applyFill="1" applyAlignment="1">
      <alignment horizontal="center"/>
    </xf>
    <xf numFmtId="0" fontId="3" fillId="0" borderId="0" xfId="2"/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right"/>
    </xf>
    <xf numFmtId="0" fontId="4" fillId="0" borderId="2" xfId="0" applyFont="1" applyBorder="1"/>
    <xf numFmtId="0" fontId="12" fillId="0" borderId="0" xfId="0" applyFont="1"/>
    <xf numFmtId="0" fontId="13" fillId="0" borderId="0" xfId="0" applyFont="1"/>
    <xf numFmtId="0" fontId="14" fillId="0" borderId="0" xfId="0" applyFont="1" applyAlignment="1">
      <alignment vertical="center" textRotation="90"/>
    </xf>
    <xf numFmtId="0" fontId="15" fillId="0" borderId="0" xfId="0" applyFont="1" applyAlignment="1">
      <alignment horizontal="center"/>
    </xf>
    <xf numFmtId="0" fontId="15" fillId="0" borderId="0" xfId="0" applyFont="1"/>
    <xf numFmtId="0" fontId="16" fillId="0" borderId="0" xfId="0" applyFont="1"/>
    <xf numFmtId="0" fontId="15" fillId="4" borderId="0" xfId="0" applyFont="1" applyFill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5" fillId="5" borderId="0" xfId="0" applyFont="1" applyFill="1"/>
    <xf numFmtId="0" fontId="5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9" fontId="2" fillId="5" borderId="0" xfId="3" applyFont="1" applyFill="1"/>
    <xf numFmtId="0" fontId="6" fillId="5" borderId="0" xfId="3" applyNumberFormat="1" applyFont="1" applyFill="1"/>
    <xf numFmtId="0" fontId="2" fillId="5" borderId="0" xfId="3" applyNumberFormat="1" applyFont="1" applyFill="1"/>
    <xf numFmtId="1" fontId="0" fillId="5" borderId="0" xfId="0" applyNumberFormat="1" applyFill="1"/>
    <xf numFmtId="0" fontId="5" fillId="6" borderId="0" xfId="0" applyFont="1" applyFill="1"/>
    <xf numFmtId="0" fontId="5" fillId="6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9" fontId="2" fillId="6" borderId="0" xfId="3" applyFont="1" applyFill="1"/>
    <xf numFmtId="0" fontId="2" fillId="6" borderId="0" xfId="3" applyNumberFormat="1" applyFont="1" applyFill="1"/>
    <xf numFmtId="0" fontId="5" fillId="7" borderId="0" xfId="0" applyFont="1" applyFill="1"/>
    <xf numFmtId="0" fontId="5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9" fontId="2" fillId="7" borderId="0" xfId="3" applyFont="1" applyFill="1"/>
    <xf numFmtId="0" fontId="2" fillId="7" borderId="0" xfId="3" applyNumberFormat="1" applyFont="1" applyFill="1"/>
    <xf numFmtId="0" fontId="5" fillId="8" borderId="0" xfId="0" applyFont="1" applyFill="1" applyAlignment="1">
      <alignment horizontal="left"/>
    </xf>
    <xf numFmtId="0" fontId="5" fillId="8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/>
    <xf numFmtId="9" fontId="2" fillId="8" borderId="0" xfId="3" applyFont="1" applyFill="1"/>
    <xf numFmtId="0" fontId="2" fillId="8" borderId="0" xfId="3" applyNumberFormat="1" applyFont="1" applyFill="1"/>
    <xf numFmtId="0" fontId="5" fillId="8" borderId="0" xfId="0" applyFont="1" applyFill="1"/>
    <xf numFmtId="2" fontId="0" fillId="8" borderId="0" xfId="0" applyNumberFormat="1" applyFill="1"/>
    <xf numFmtId="165" fontId="0" fillId="8" borderId="0" xfId="0" applyNumberFormat="1" applyFill="1"/>
    <xf numFmtId="0" fontId="6" fillId="8" borderId="0" xfId="0" applyFont="1" applyFill="1"/>
    <xf numFmtId="0" fontId="5" fillId="5" borderId="0" xfId="0" applyFont="1" applyFill="1" applyAlignment="1">
      <alignment horizontal="left"/>
    </xf>
    <xf numFmtId="0" fontId="5" fillId="6" borderId="0" xfId="0" applyFont="1" applyFill="1" applyAlignment="1">
      <alignment horizontal="left"/>
    </xf>
    <xf numFmtId="0" fontId="5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/>
    <xf numFmtId="0" fontId="2" fillId="9" borderId="0" xfId="3" applyNumberFormat="1" applyFont="1" applyFill="1"/>
    <xf numFmtId="9" fontId="2" fillId="9" borderId="0" xfId="3" applyFont="1" applyFill="1"/>
    <xf numFmtId="0" fontId="8" fillId="9" borderId="0" xfId="0" applyFont="1" applyFill="1" applyAlignment="1">
      <alignment horizontal="center"/>
    </xf>
    <xf numFmtId="0" fontId="5" fillId="9" borderId="0" xfId="0" applyFont="1" applyFill="1" applyAlignment="1">
      <alignment vertical="center"/>
    </xf>
    <xf numFmtId="164" fontId="0" fillId="9" borderId="0" xfId="0" applyNumberFormat="1" applyFill="1"/>
    <xf numFmtId="0" fontId="8" fillId="8" borderId="0" xfId="0" applyFont="1" applyFill="1" applyAlignment="1">
      <alignment horizontal="center"/>
    </xf>
    <xf numFmtId="0" fontId="5" fillId="8" borderId="0" xfId="0" applyFont="1" applyFill="1" applyAlignment="1">
      <alignment vertical="center"/>
    </xf>
    <xf numFmtId="0" fontId="15" fillId="8" borderId="0" xfId="0" applyFont="1" applyFill="1" applyAlignment="1">
      <alignment horizontal="center"/>
    </xf>
    <xf numFmtId="0" fontId="15" fillId="8" borderId="0" xfId="0" applyFont="1" applyFill="1"/>
    <xf numFmtId="9" fontId="15" fillId="8" borderId="0" xfId="0" applyNumberFormat="1" applyFont="1" applyFill="1"/>
    <xf numFmtId="0" fontId="5" fillId="6" borderId="0" xfId="0" applyFont="1" applyFill="1" applyAlignment="1">
      <alignment vertical="center"/>
    </xf>
    <xf numFmtId="0" fontId="8" fillId="6" borderId="0" xfId="0" applyFont="1" applyFill="1" applyAlignment="1">
      <alignment horizontal="center"/>
    </xf>
    <xf numFmtId="0" fontId="15" fillId="6" borderId="0" xfId="0" applyFont="1" applyFill="1"/>
    <xf numFmtId="0" fontId="5" fillId="6" borderId="0" xfId="3" applyNumberFormat="1" applyFont="1" applyFill="1"/>
    <xf numFmtId="0" fontId="2" fillId="5" borderId="0" xfId="1" applyNumberFormat="1" applyFont="1" applyFill="1"/>
    <xf numFmtId="0" fontId="20" fillId="0" borderId="0" xfId="0" applyFont="1" applyAlignment="1">
      <alignment vertical="center"/>
    </xf>
    <xf numFmtId="0" fontId="6" fillId="6" borderId="0" xfId="0" applyFont="1" applyFill="1" applyAlignment="1">
      <alignment horizontal="center"/>
    </xf>
    <xf numFmtId="9" fontId="2" fillId="0" borderId="0" xfId="3" applyFont="1" applyFill="1"/>
    <xf numFmtId="0" fontId="2" fillId="0" borderId="0" xfId="3" applyNumberFormat="1" applyFont="1" applyFill="1"/>
    <xf numFmtId="0" fontId="5" fillId="0" borderId="0" xfId="3" applyNumberFormat="1" applyFont="1" applyFill="1"/>
    <xf numFmtId="2" fontId="0" fillId="6" borderId="0" xfId="0" applyNumberFormat="1" applyFill="1"/>
    <xf numFmtId="0" fontId="21" fillId="0" borderId="0" xfId="0" applyFont="1"/>
    <xf numFmtId="2" fontId="5" fillId="6" borderId="0" xfId="0" applyNumberFormat="1" applyFont="1" applyFill="1"/>
    <xf numFmtId="0" fontId="22" fillId="0" borderId="0" xfId="0" applyFont="1" applyAlignment="1">
      <alignment horizontal="center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1" fontId="6" fillId="0" borderId="0" xfId="0" applyNumberFormat="1" applyFont="1"/>
    <xf numFmtId="0" fontId="28" fillId="0" borderId="0" xfId="0" applyFont="1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29" fillId="0" borderId="0" xfId="0" applyFont="1"/>
    <xf numFmtId="0" fontId="30" fillId="0" borderId="0" xfId="0" applyFont="1"/>
    <xf numFmtId="0" fontId="31" fillId="0" borderId="0" xfId="0" applyFont="1"/>
    <xf numFmtId="0" fontId="23" fillId="0" borderId="0" xfId="0" applyFont="1"/>
    <xf numFmtId="0" fontId="32" fillId="0" borderId="0" xfId="0" applyFont="1"/>
    <xf numFmtId="0" fontId="5" fillId="10" borderId="0" xfId="0" applyFont="1" applyFill="1"/>
    <xf numFmtId="0" fontId="31" fillId="10" borderId="0" xfId="0" applyFont="1" applyFill="1"/>
    <xf numFmtId="0" fontId="23" fillId="10" borderId="0" xfId="0" applyFont="1" applyFill="1"/>
    <xf numFmtId="0" fontId="32" fillId="10" borderId="0" xfId="0" applyFont="1" applyFill="1"/>
    <xf numFmtId="11" fontId="0" fillId="0" borderId="0" xfId="0" applyNumberFormat="1"/>
    <xf numFmtId="0" fontId="14" fillId="0" borderId="0" xfId="0" applyFont="1" applyAlignment="1">
      <alignment horizontal="center" vertical="center" textRotation="90"/>
    </xf>
    <xf numFmtId="0" fontId="4" fillId="0" borderId="0" xfId="0" applyFont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33" fillId="11" borderId="0" xfId="0" applyFont="1" applyFill="1"/>
    <xf numFmtId="0" fontId="33" fillId="12" borderId="0" xfId="0" applyFont="1" applyFill="1"/>
    <xf numFmtId="0" fontId="34" fillId="11" borderId="0" xfId="0" applyFont="1" applyFill="1"/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6"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theme="9"/>
      </font>
    </dxf>
    <dxf>
      <font>
        <color rgb="FFFF0000"/>
      </font>
    </dxf>
    <dxf>
      <font>
        <color rgb="FFFF0000"/>
      </font>
      <fill>
        <patternFill patternType="none">
          <bgColor indexed="65"/>
        </patternFill>
      </fill>
    </dxf>
    <dxf>
      <font>
        <color theme="9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jbca/Documents/Models/OptiPlant/Sources%20and%20documentation/Techno%20economics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urces"/>
      <sheetName val="Fuel production cost"/>
      <sheetName val="Fuel cost graphs"/>
      <sheetName val="Calculations"/>
      <sheetName val="Calculations 2"/>
      <sheetName val="Annuities"/>
      <sheetName val="All_data"/>
      <sheetName val="Desalination"/>
      <sheetName val="Bio-eMeOH plant"/>
      <sheetName val="MeOH plant + CO2"/>
      <sheetName val="NH3 plant + ASU"/>
      <sheetName val=" Storage + Transport"/>
      <sheetName val="Electrolyser + O2+Heat + Grid"/>
      <sheetName val="Solar PV"/>
      <sheetName val="Solar PV tracking"/>
      <sheetName val="Wind_turbines"/>
      <sheetName val="Wind_on"/>
      <sheetName val="Wind_off"/>
      <sheetName val="Sheet1"/>
    </sheetNames>
    <sheetDataSet>
      <sheetData sheetId="0"/>
      <sheetData sheetId="1"/>
      <sheetData sheetId="2"/>
      <sheetData sheetId="3">
        <row r="8">
          <cell r="C8">
            <v>0.75284197846871936</v>
          </cell>
        </row>
        <row r="22">
          <cell r="C22">
            <v>576.1</v>
          </cell>
        </row>
        <row r="23">
          <cell r="C23">
            <v>556.79999999999995</v>
          </cell>
        </row>
        <row r="28">
          <cell r="C28">
            <v>607.5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T60"/>
  <sheetViews>
    <sheetView tabSelected="1" zoomScale="54" zoomScaleNormal="40" workbookViewId="0">
      <pane xSplit="5" ySplit="8" topLeftCell="F9" activePane="bottomRight" state="frozen"/>
      <selection pane="topRight" activeCell="F1" sqref="F1"/>
      <selection pane="bottomLeft" activeCell="A12" sqref="A12"/>
      <selection pane="bottomRight" activeCell="D3" sqref="D3"/>
    </sheetView>
  </sheetViews>
  <sheetFormatPr defaultColWidth="8.7265625" defaultRowHeight="14.5" x14ac:dyDescent="0.35"/>
  <cols>
    <col min="1" max="1" width="8.1796875" customWidth="1"/>
    <col min="2" max="2" width="25.453125" style="3" customWidth="1"/>
    <col min="3" max="3" width="25.81640625" style="4" bestFit="1" customWidth="1"/>
    <col min="4" max="4" width="27.1796875" style="16" customWidth="1"/>
    <col min="5" max="5" width="17.81640625" style="10" bestFit="1" customWidth="1"/>
    <col min="6" max="6" width="13.1796875" style="16" customWidth="1"/>
    <col min="7" max="7" width="29.7265625" style="16" customWidth="1"/>
    <col min="8" max="8" width="21.453125" customWidth="1"/>
    <col min="9" max="9" width="20.26953125" customWidth="1"/>
    <col min="10" max="10" width="9.54296875" customWidth="1"/>
    <col min="11" max="11" width="11.81640625" customWidth="1"/>
    <col min="12" max="12" width="12.1796875" customWidth="1"/>
    <col min="13" max="14" width="10.1796875" customWidth="1"/>
    <col min="15" max="15" width="23.453125" customWidth="1"/>
    <col min="16" max="16" width="28.453125" bestFit="1" customWidth="1"/>
    <col min="17" max="19" width="7.81640625" customWidth="1"/>
    <col min="20" max="20" width="35.26953125" bestFit="1" customWidth="1"/>
    <col min="21" max="21" width="33.54296875" bestFit="1" customWidth="1"/>
    <col min="22" max="22" width="34.26953125" bestFit="1" customWidth="1"/>
    <col min="23" max="23" width="25.54296875" bestFit="1" customWidth="1"/>
    <col min="24" max="25" width="7.81640625" customWidth="1"/>
    <col min="26" max="26" width="23.7265625" customWidth="1"/>
    <col min="27" max="27" width="38.26953125" customWidth="1"/>
    <col min="28" max="28" width="22.26953125" bestFit="1" customWidth="1"/>
    <col min="29" max="29" width="13.26953125" bestFit="1" customWidth="1"/>
    <col min="30" max="30" width="13.453125" customWidth="1"/>
    <col min="31" max="31" width="11.1796875" customWidth="1"/>
  </cols>
  <sheetData>
    <row r="1" spans="1:72" x14ac:dyDescent="0.35">
      <c r="A1" s="17"/>
      <c r="B1" s="17"/>
      <c r="C1" s="6"/>
      <c r="E1" s="2"/>
      <c r="G1" s="34"/>
      <c r="I1" s="130"/>
    </row>
    <row r="2" spans="1:72" x14ac:dyDescent="0.35">
      <c r="A2" s="1"/>
      <c r="B2" s="1"/>
      <c r="C2" s="11"/>
      <c r="D2" s="11"/>
      <c r="E2" s="2"/>
    </row>
    <row r="3" spans="1:72" x14ac:dyDescent="0.35">
      <c r="A3" s="22"/>
      <c r="B3" s="13"/>
      <c r="C3" s="13"/>
      <c r="D3" s="11"/>
      <c r="E3" s="2"/>
    </row>
    <row r="4" spans="1:72" ht="16" customHeight="1" x14ac:dyDescent="0.35">
      <c r="A4" s="132" t="s">
        <v>0</v>
      </c>
      <c r="B4" s="132"/>
      <c r="C4" s="132"/>
      <c r="D4" s="5"/>
      <c r="E4" s="2"/>
      <c r="F4" s="7" t="s">
        <v>119</v>
      </c>
      <c r="G4" s="7" t="s">
        <v>133</v>
      </c>
      <c r="H4" s="5" t="s">
        <v>71</v>
      </c>
      <c r="I4" s="5" t="s">
        <v>2</v>
      </c>
      <c r="J4" s="5" t="s">
        <v>4</v>
      </c>
      <c r="K4" s="5" t="s">
        <v>5</v>
      </c>
      <c r="L4" s="5" t="s">
        <v>6</v>
      </c>
      <c r="M4" s="5" t="s">
        <v>3</v>
      </c>
      <c r="N4" s="5" t="s">
        <v>205</v>
      </c>
      <c r="O4" s="5" t="s">
        <v>72</v>
      </c>
      <c r="P4" s="5" t="s">
        <v>73</v>
      </c>
      <c r="Q4" s="5" t="s">
        <v>74</v>
      </c>
      <c r="R4" s="5" t="s">
        <v>75</v>
      </c>
      <c r="S4" s="5" t="s">
        <v>76</v>
      </c>
      <c r="T4" s="5" t="s">
        <v>77</v>
      </c>
      <c r="U4" s="5" t="s">
        <v>166</v>
      </c>
      <c r="V4" s="5" t="s">
        <v>167</v>
      </c>
      <c r="W4" s="5" t="s">
        <v>168</v>
      </c>
      <c r="X4" s="5" t="s">
        <v>169</v>
      </c>
      <c r="Y4" s="5" t="s">
        <v>170</v>
      </c>
      <c r="Z4" s="26" t="s">
        <v>120</v>
      </c>
      <c r="AA4" s="26" t="s">
        <v>78</v>
      </c>
      <c r="AB4" s="26" t="s">
        <v>161</v>
      </c>
      <c r="AC4" s="5" t="s">
        <v>79</v>
      </c>
    </row>
    <row r="5" spans="1:72" s="5" customFormat="1" ht="15" customHeight="1" x14ac:dyDescent="0.35">
      <c r="A5" s="30"/>
      <c r="B5" s="133" t="s">
        <v>7</v>
      </c>
      <c r="C5" s="134" t="s">
        <v>8</v>
      </c>
      <c r="D5" s="133" t="s">
        <v>9</v>
      </c>
      <c r="E5" s="33" t="s">
        <v>1</v>
      </c>
      <c r="F5" s="20" t="s">
        <v>119</v>
      </c>
      <c r="G5" s="20" t="str">
        <f>G4</f>
        <v>Unit tag</v>
      </c>
      <c r="H5" s="21" t="s">
        <v>71</v>
      </c>
      <c r="I5" s="21" t="s">
        <v>2</v>
      </c>
      <c r="J5" s="21" t="s">
        <v>4</v>
      </c>
      <c r="K5" s="21" t="s">
        <v>5</v>
      </c>
      <c r="L5" s="21" t="s">
        <v>6</v>
      </c>
      <c r="M5" s="21" t="s">
        <v>3</v>
      </c>
      <c r="N5" s="21" t="s">
        <v>205</v>
      </c>
      <c r="O5" s="21" t="s">
        <v>72</v>
      </c>
      <c r="P5" s="21" t="s">
        <v>73</v>
      </c>
      <c r="Q5" s="21" t="s">
        <v>74</v>
      </c>
      <c r="R5" s="21" t="s">
        <v>75</v>
      </c>
      <c r="S5" s="21" t="s">
        <v>76</v>
      </c>
      <c r="T5" s="21" t="s">
        <v>77</v>
      </c>
      <c r="U5" s="21" t="s">
        <v>166</v>
      </c>
      <c r="V5" s="21" t="s">
        <v>167</v>
      </c>
      <c r="W5" s="21" t="s">
        <v>168</v>
      </c>
      <c r="X5" s="21" t="s">
        <v>169</v>
      </c>
      <c r="Y5" s="21" t="s">
        <v>170</v>
      </c>
      <c r="Z5" s="21" t="s">
        <v>120</v>
      </c>
      <c r="AA5" s="21" t="s">
        <v>78</v>
      </c>
      <c r="AB5" s="21" t="s">
        <v>161</v>
      </c>
      <c r="AC5" s="21" t="s">
        <v>79</v>
      </c>
    </row>
    <row r="6" spans="1:72" s="5" customFormat="1" ht="13.5" customHeight="1" x14ac:dyDescent="0.35">
      <c r="A6" s="32"/>
      <c r="B6" s="133"/>
      <c r="C6" s="134"/>
      <c r="D6" s="133"/>
      <c r="E6" s="33" t="s">
        <v>90</v>
      </c>
      <c r="F6" s="15" t="s">
        <v>121</v>
      </c>
      <c r="G6" s="15" t="s">
        <v>121</v>
      </c>
      <c r="H6" s="15" t="s">
        <v>121</v>
      </c>
      <c r="I6" s="15" t="s">
        <v>121</v>
      </c>
      <c r="J6" s="15" t="s">
        <v>121</v>
      </c>
      <c r="K6" s="15" t="s">
        <v>121</v>
      </c>
      <c r="L6" s="15" t="s">
        <v>121</v>
      </c>
      <c r="M6" s="14" t="str">
        <f t="shared" ref="M6:AC6" si="0">"2030"</f>
        <v>2030</v>
      </c>
      <c r="N6" s="14" t="str">
        <f t="shared" si="0"/>
        <v>2030</v>
      </c>
      <c r="O6" s="14" t="str">
        <f t="shared" si="0"/>
        <v>2030</v>
      </c>
      <c r="P6" s="14" t="str">
        <f t="shared" si="0"/>
        <v>2030</v>
      </c>
      <c r="Q6" s="14" t="str">
        <f t="shared" si="0"/>
        <v>2030</v>
      </c>
      <c r="R6" s="14" t="str">
        <f t="shared" si="0"/>
        <v>2030</v>
      </c>
      <c r="S6" s="14" t="str">
        <f t="shared" si="0"/>
        <v>2030</v>
      </c>
      <c r="T6" s="14" t="str">
        <f t="shared" si="0"/>
        <v>2030</v>
      </c>
      <c r="U6" s="14" t="str">
        <f t="shared" si="0"/>
        <v>2030</v>
      </c>
      <c r="V6" s="14" t="str">
        <f t="shared" si="0"/>
        <v>2030</v>
      </c>
      <c r="W6" s="14" t="str">
        <f t="shared" si="0"/>
        <v>2030</v>
      </c>
      <c r="X6" s="14" t="str">
        <f t="shared" si="0"/>
        <v>2030</v>
      </c>
      <c r="Y6" s="14" t="str">
        <f t="shared" si="0"/>
        <v>2030</v>
      </c>
      <c r="Z6" s="14" t="str">
        <f t="shared" si="0"/>
        <v>2030</v>
      </c>
      <c r="AA6" s="14" t="str">
        <f t="shared" si="0"/>
        <v>2030</v>
      </c>
      <c r="AB6" s="14" t="str">
        <f t="shared" si="0"/>
        <v>2030</v>
      </c>
      <c r="AC6" s="14" t="str">
        <f t="shared" si="0"/>
        <v>2030</v>
      </c>
    </row>
    <row r="7" spans="1:72" s="5" customFormat="1" ht="87" x14ac:dyDescent="0.35">
      <c r="A7" s="32"/>
      <c r="B7" s="133"/>
      <c r="C7" s="134"/>
      <c r="D7" s="133"/>
      <c r="E7" s="33"/>
      <c r="F7" s="15" t="str">
        <f>F5&amp;F6</f>
        <v>Used (1 or 0)All</v>
      </c>
      <c r="G7" s="15" t="str">
        <f>G5&amp;G6</f>
        <v>Unit tagAll</v>
      </c>
      <c r="H7" s="15" t="str">
        <f t="shared" ref="H7:W7" si="1">H5&amp;H6</f>
        <v>Yearly demand (kg fuel)All</v>
      </c>
      <c r="I7" s="15" t="str">
        <f t="shared" si="1"/>
        <v>Produced fromAll</v>
      </c>
      <c r="J7" s="15" t="str">
        <f t="shared" si="1"/>
        <v>El balanceAll</v>
      </c>
      <c r="K7" s="15" t="str">
        <f t="shared" si="1"/>
        <v>Heat balanceAll</v>
      </c>
      <c r="L7" s="15" t="str">
        <f t="shared" si="1"/>
        <v>Max CapacityAll</v>
      </c>
      <c r="M7" s="15" t="str">
        <f t="shared" si="1"/>
        <v>H2 balance2030</v>
      </c>
      <c r="N7" s="15" t="s">
        <v>206</v>
      </c>
      <c r="O7" s="15" t="str">
        <f t="shared" si="1"/>
        <v>Fuel production rate (kg output/kg input)2030</v>
      </c>
      <c r="P7" s="15" t="str">
        <f t="shared" si="1"/>
        <v>Heat generated (kWh/output)2030</v>
      </c>
      <c r="Q7" s="15" t="str">
        <f t="shared" si="1"/>
        <v>Load min (% of max capacity)2030</v>
      </c>
      <c r="R7" s="15" t="str">
        <f t="shared" si="1"/>
        <v>Ramp up (% of capacity /h)2030</v>
      </c>
      <c r="S7" s="15" t="str">
        <f t="shared" si="1"/>
        <v>Ramp down (% of capacity /h)2030</v>
      </c>
      <c r="T7" s="15" t="str">
        <f t="shared" si="1"/>
        <v>Electrical consumption (kWh/output)2030</v>
      </c>
      <c r="U7" s="15" t="str">
        <f t="shared" si="1"/>
        <v>Investment (EUR/Capacity installed)2030</v>
      </c>
      <c r="V7" s="15" t="str">
        <f t="shared" si="1"/>
        <v>Fixed cost (EUR/Capacity installed/y)2030</v>
      </c>
      <c r="W7" s="15" t="str">
        <f t="shared" si="1"/>
        <v>Variable cost (EUR/Output)2030</v>
      </c>
      <c r="X7" s="15" t="str">
        <f t="shared" ref="X7:AC7" si="2">X5&amp;X6</f>
        <v>Fuel selling price (EUR/output)2030</v>
      </c>
      <c r="Y7" s="15" t="str">
        <f t="shared" si="2"/>
        <v>Fuel buying price (EUR/output)2030</v>
      </c>
      <c r="Z7" s="15" t="str">
        <f t="shared" si="2"/>
        <v>CO2e infrastructure (kg CO2e/Capacity/y)2030</v>
      </c>
      <c r="AA7" s="15" t="str">
        <f t="shared" si="2"/>
        <v>CO2e process (kg CO2e/output)2030</v>
      </c>
      <c r="AB7" s="15" t="str">
        <f t="shared" si="2"/>
        <v>Land use (m2/Capacity)2030</v>
      </c>
      <c r="AC7" s="15" t="str">
        <f t="shared" si="2"/>
        <v>Annuity factor2030</v>
      </c>
    </row>
    <row r="8" spans="1:72" s="8" customFormat="1" ht="16" customHeight="1" x14ac:dyDescent="0.35">
      <c r="B8" s="133"/>
      <c r="C8" s="134"/>
      <c r="D8" s="133"/>
      <c r="E8" s="9" t="s">
        <v>10</v>
      </c>
      <c r="F8" s="8">
        <f t="shared" ref="F8:Q8" si="3">COLUMN(F5)-COLUMN($E$8)</f>
        <v>1</v>
      </c>
      <c r="G8" s="8">
        <f t="shared" si="3"/>
        <v>2</v>
      </c>
      <c r="H8" s="8">
        <f t="shared" si="3"/>
        <v>3</v>
      </c>
      <c r="I8" s="8">
        <f t="shared" si="3"/>
        <v>4</v>
      </c>
      <c r="J8" s="8">
        <f t="shared" si="3"/>
        <v>5</v>
      </c>
      <c r="K8" s="8">
        <f t="shared" si="3"/>
        <v>6</v>
      </c>
      <c r="L8" s="8">
        <f t="shared" si="3"/>
        <v>7</v>
      </c>
      <c r="M8" s="8">
        <f t="shared" si="3"/>
        <v>8</v>
      </c>
      <c r="N8" s="8">
        <f t="shared" si="3"/>
        <v>9</v>
      </c>
      <c r="O8" s="8">
        <f t="shared" si="3"/>
        <v>10</v>
      </c>
      <c r="P8" s="8">
        <f t="shared" si="3"/>
        <v>11</v>
      </c>
      <c r="Q8" s="8">
        <f t="shared" si="3"/>
        <v>12</v>
      </c>
      <c r="R8" s="8">
        <f>COLUMN(R5)-COLUMN($E$8)</f>
        <v>13</v>
      </c>
      <c r="S8" s="8">
        <f>COLUMN(S5)-COLUMN($E$8)</f>
        <v>14</v>
      </c>
      <c r="T8" s="8">
        <f>COLUMN(T5)-COLUMN($E$8)</f>
        <v>15</v>
      </c>
      <c r="U8" s="8">
        <f>COLUMN(U5)-COLUMN($E$8)</f>
        <v>16</v>
      </c>
      <c r="V8" s="8">
        <f t="shared" ref="V8:AA8" si="4">COLUMN(V5)-COLUMN($E$8)</f>
        <v>17</v>
      </c>
      <c r="W8" s="8">
        <f t="shared" si="4"/>
        <v>18</v>
      </c>
      <c r="X8" s="8">
        <f t="shared" si="4"/>
        <v>19</v>
      </c>
      <c r="Y8" s="8">
        <f t="shared" si="4"/>
        <v>20</v>
      </c>
      <c r="Z8" s="8">
        <f t="shared" si="4"/>
        <v>21</v>
      </c>
      <c r="AA8" s="8">
        <f t="shared" si="4"/>
        <v>22</v>
      </c>
      <c r="AB8" s="8">
        <f>COLUMN(AB5)-COLUMN($E$8)</f>
        <v>23</v>
      </c>
      <c r="AC8" s="8">
        <f>COLUMN(AC5)-COLUMN($E$8)</f>
        <v>24</v>
      </c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</row>
    <row r="9" spans="1:72" s="54" customFormat="1" x14ac:dyDescent="0.35">
      <c r="A9" s="131"/>
      <c r="B9" s="50" t="s">
        <v>124</v>
      </c>
      <c r="C9" s="51" t="s">
        <v>213</v>
      </c>
      <c r="D9" s="52" t="s">
        <v>84</v>
      </c>
      <c r="E9" s="53">
        <f t="shared" ref="E9:E47" si="5">ROW(D9)-ROW($E$8)</f>
        <v>1</v>
      </c>
      <c r="F9" s="53">
        <v>1</v>
      </c>
      <c r="G9" s="53" t="s">
        <v>81</v>
      </c>
      <c r="H9" s="54">
        <v>0</v>
      </c>
      <c r="I9" s="53" t="str">
        <f>B10</f>
        <v>Product/Reactant1</v>
      </c>
      <c r="J9" s="54">
        <v>0</v>
      </c>
      <c r="K9" s="54">
        <v>0</v>
      </c>
      <c r="M9" s="54">
        <v>0</v>
      </c>
      <c r="N9" s="54">
        <v>0</v>
      </c>
      <c r="O9" s="54">
        <v>1.46</v>
      </c>
      <c r="P9" s="54">
        <v>0</v>
      </c>
      <c r="Q9" s="55">
        <v>0</v>
      </c>
      <c r="R9" s="55">
        <v>1</v>
      </c>
      <c r="S9" s="55">
        <v>1</v>
      </c>
      <c r="T9" s="56">
        <v>0</v>
      </c>
      <c r="U9" s="57">
        <v>0</v>
      </c>
      <c r="V9" s="57">
        <v>0</v>
      </c>
      <c r="W9" s="56">
        <v>0</v>
      </c>
      <c r="X9" s="54">
        <v>0</v>
      </c>
      <c r="Y9" s="54">
        <v>0.125</v>
      </c>
      <c r="Z9" s="54">
        <v>0</v>
      </c>
      <c r="AA9" s="54">
        <v>2.8400000000000002E-4</v>
      </c>
      <c r="AB9" s="54">
        <v>0</v>
      </c>
      <c r="AC9" s="54">
        <v>0</v>
      </c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</row>
    <row r="10" spans="1:72" s="54" customFormat="1" x14ac:dyDescent="0.35">
      <c r="A10" s="131"/>
      <c r="B10" s="50" t="s">
        <v>123</v>
      </c>
      <c r="C10" s="51" t="s">
        <v>156</v>
      </c>
      <c r="D10" s="52" t="s">
        <v>184</v>
      </c>
      <c r="E10" s="53">
        <f t="shared" si="5"/>
        <v>2</v>
      </c>
      <c r="F10" s="53">
        <v>1</v>
      </c>
      <c r="G10" s="53" t="s">
        <v>91</v>
      </c>
      <c r="H10" s="103">
        <v>13253700</v>
      </c>
      <c r="I10" s="53" t="str">
        <f>B20</f>
        <v>Reactant2</v>
      </c>
      <c r="J10" s="54">
        <v>0</v>
      </c>
      <c r="K10" s="54">
        <v>1</v>
      </c>
      <c r="M10" s="54">
        <v>0</v>
      </c>
      <c r="N10" s="54">
        <v>0</v>
      </c>
      <c r="O10" s="54">
        <v>5.03</v>
      </c>
      <c r="P10" s="54">
        <v>0.68</v>
      </c>
      <c r="Q10" s="55">
        <v>0.2</v>
      </c>
      <c r="R10" s="55">
        <v>1</v>
      </c>
      <c r="S10" s="55">
        <v>1</v>
      </c>
      <c r="T10" s="57">
        <v>0.878</v>
      </c>
      <c r="U10" s="58">
        <v>11582</v>
      </c>
      <c r="V10" s="54">
        <f>U10*4%</f>
        <v>463.28000000000003</v>
      </c>
      <c r="W10" s="56">
        <v>0</v>
      </c>
      <c r="X10" s="54">
        <v>0</v>
      </c>
      <c r="Y10" s="54">
        <v>0</v>
      </c>
      <c r="Z10" s="54">
        <v>18.474666666666668</v>
      </c>
      <c r="AA10" s="54">
        <v>0</v>
      </c>
      <c r="AB10" s="54">
        <v>0</v>
      </c>
      <c r="AC10" s="54">
        <f>5%/(1-(1+5%)^-20)</f>
        <v>8.0242587190691314E-2</v>
      </c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</row>
    <row r="11" spans="1:72" s="63" customFormat="1" x14ac:dyDescent="0.35">
      <c r="A11" s="131"/>
      <c r="B11" s="59" t="s">
        <v>124</v>
      </c>
      <c r="C11" s="60" t="s">
        <v>156</v>
      </c>
      <c r="D11" s="61" t="s">
        <v>200</v>
      </c>
      <c r="E11" s="62">
        <f t="shared" si="5"/>
        <v>3</v>
      </c>
      <c r="F11" s="62">
        <v>1</v>
      </c>
      <c r="G11" s="62" t="s">
        <v>68</v>
      </c>
      <c r="H11" s="63">
        <f>H16*14.2</f>
        <v>112180000</v>
      </c>
      <c r="I11" s="62" t="s">
        <v>210</v>
      </c>
      <c r="J11" s="63">
        <v>0</v>
      </c>
      <c r="K11" s="63">
        <v>1</v>
      </c>
      <c r="M11" s="63">
        <v>0</v>
      </c>
      <c r="N11" s="63">
        <v>0</v>
      </c>
      <c r="O11" s="63">
        <v>14.2</v>
      </c>
      <c r="P11" s="63">
        <f>9.2*0.11</f>
        <v>1.012</v>
      </c>
      <c r="Q11" s="64">
        <v>0.2</v>
      </c>
      <c r="R11" s="64">
        <v>1</v>
      </c>
      <c r="S11" s="64">
        <v>1</v>
      </c>
      <c r="T11" s="65">
        <f>0.4*0.11</f>
        <v>4.4000000000000004E-2</v>
      </c>
      <c r="U11" s="63">
        <f>13440*0.11</f>
        <v>1478.4</v>
      </c>
      <c r="V11" s="63">
        <f>1080*0.11</f>
        <v>118.8</v>
      </c>
      <c r="W11" s="63">
        <v>0</v>
      </c>
      <c r="X11" s="63">
        <v>0</v>
      </c>
      <c r="Y11" s="63">
        <f>0.107</f>
        <v>0.107</v>
      </c>
      <c r="Z11" s="63">
        <v>0</v>
      </c>
      <c r="AA11" s="63">
        <v>-0.85</v>
      </c>
      <c r="AB11" s="63">
        <v>0</v>
      </c>
      <c r="AC11" s="63">
        <f>5%/(1-(1+5%)^-25)</f>
        <v>7.0952457299229624E-2</v>
      </c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</row>
    <row r="12" spans="1:72" x14ac:dyDescent="0.35">
      <c r="A12" s="131"/>
      <c r="B12" s="59" t="s">
        <v>202</v>
      </c>
      <c r="C12" s="60" t="s">
        <v>201</v>
      </c>
      <c r="D12" s="61" t="s">
        <v>203</v>
      </c>
      <c r="E12" s="62">
        <f>ROW(D12)-ROW($E$8)</f>
        <v>4</v>
      </c>
      <c r="F12" s="62">
        <v>1</v>
      </c>
      <c r="G12" s="62" t="s">
        <v>204</v>
      </c>
      <c r="H12" s="63">
        <v>0</v>
      </c>
      <c r="I12" s="62" t="str">
        <f>B11</f>
        <v>Product</v>
      </c>
      <c r="J12" s="63">
        <v>0</v>
      </c>
      <c r="K12" s="63">
        <v>0</v>
      </c>
      <c r="L12" s="63"/>
      <c r="M12" s="63">
        <v>0</v>
      </c>
      <c r="N12" s="63">
        <v>0</v>
      </c>
      <c r="O12" s="109">
        <v>0.28999999999999998</v>
      </c>
      <c r="P12" s="63">
        <v>0</v>
      </c>
      <c r="Q12" s="64">
        <v>0</v>
      </c>
      <c r="R12" s="64">
        <v>1</v>
      </c>
      <c r="S12" s="64">
        <v>1</v>
      </c>
      <c r="T12" s="63">
        <v>0</v>
      </c>
      <c r="U12" s="65">
        <v>0</v>
      </c>
      <c r="V12" s="65">
        <v>0</v>
      </c>
      <c r="W12" s="65">
        <v>0</v>
      </c>
      <c r="X12" s="63">
        <v>0.26</v>
      </c>
      <c r="Y12" s="63">
        <v>0</v>
      </c>
      <c r="Z12" s="63">
        <v>0</v>
      </c>
      <c r="AA12" s="63">
        <v>0</v>
      </c>
      <c r="AB12" s="63">
        <v>0</v>
      </c>
      <c r="AC12" s="63">
        <v>0</v>
      </c>
    </row>
    <row r="13" spans="1:72" s="63" customFormat="1" x14ac:dyDescent="0.35">
      <c r="A13" s="131"/>
      <c r="B13" s="99" t="s">
        <v>14</v>
      </c>
      <c r="C13" s="60" t="s">
        <v>213</v>
      </c>
      <c r="D13" s="100" t="s">
        <v>207</v>
      </c>
      <c r="E13" s="62">
        <f>ROW(D13)-ROW($E$8)</f>
        <v>5</v>
      </c>
      <c r="F13" s="62">
        <v>1</v>
      </c>
      <c r="G13" s="105" t="s">
        <v>207</v>
      </c>
      <c r="H13" s="63">
        <v>0</v>
      </c>
      <c r="I13" s="62" t="s">
        <v>11</v>
      </c>
      <c r="J13" s="63">
        <v>0</v>
      </c>
      <c r="K13" s="63">
        <v>0</v>
      </c>
      <c r="M13" s="101">
        <v>0</v>
      </c>
      <c r="N13" s="63">
        <v>-1</v>
      </c>
      <c r="O13" s="63">
        <v>0</v>
      </c>
      <c r="P13" s="63">
        <v>0</v>
      </c>
      <c r="Q13" s="64">
        <v>0</v>
      </c>
      <c r="R13" s="64">
        <v>1</v>
      </c>
      <c r="S13" s="64">
        <v>1</v>
      </c>
      <c r="T13" s="63">
        <v>0</v>
      </c>
      <c r="U13" s="65">
        <v>0</v>
      </c>
      <c r="V13" s="63">
        <v>0</v>
      </c>
      <c r="W13" s="63">
        <v>1E-4</v>
      </c>
      <c r="X13" s="63">
        <v>0</v>
      </c>
      <c r="Y13" s="63">
        <v>0</v>
      </c>
      <c r="Z13" s="63">
        <v>0</v>
      </c>
      <c r="AA13" s="63">
        <v>0</v>
      </c>
      <c r="AB13" s="63">
        <v>0</v>
      </c>
      <c r="AC13" s="63">
        <v>0</v>
      </c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</row>
    <row r="14" spans="1:72" s="88" customFormat="1" x14ac:dyDescent="0.35">
      <c r="A14" s="131"/>
      <c r="B14" s="99" t="s">
        <v>15</v>
      </c>
      <c r="C14" s="60" t="s">
        <v>213</v>
      </c>
      <c r="D14" s="100" t="s">
        <v>208</v>
      </c>
      <c r="E14" s="62">
        <f>ROW(D14)-ROW($E$8)</f>
        <v>6</v>
      </c>
      <c r="F14" s="62">
        <v>1</v>
      </c>
      <c r="G14" s="105" t="s">
        <v>208</v>
      </c>
      <c r="H14" s="63">
        <v>0</v>
      </c>
      <c r="I14" s="62" t="s">
        <v>11</v>
      </c>
      <c r="J14" s="63">
        <v>0</v>
      </c>
      <c r="K14" s="63">
        <v>0</v>
      </c>
      <c r="L14" s="63"/>
      <c r="M14" s="101">
        <v>0</v>
      </c>
      <c r="N14" s="63">
        <v>1</v>
      </c>
      <c r="O14" s="63">
        <v>0</v>
      </c>
      <c r="P14" s="63">
        <v>0</v>
      </c>
      <c r="Q14" s="64">
        <v>0</v>
      </c>
      <c r="R14" s="64">
        <v>1</v>
      </c>
      <c r="S14" s="64">
        <v>1</v>
      </c>
      <c r="T14" s="63">
        <v>0</v>
      </c>
      <c r="U14" s="65">
        <v>0</v>
      </c>
      <c r="V14" s="63">
        <v>0</v>
      </c>
      <c r="W14" s="63">
        <v>1E-4</v>
      </c>
      <c r="X14" s="63">
        <v>0</v>
      </c>
      <c r="Y14" s="63">
        <v>0</v>
      </c>
      <c r="Z14" s="63">
        <v>0</v>
      </c>
      <c r="AA14" s="63">
        <v>0</v>
      </c>
      <c r="AB14" s="63">
        <v>0</v>
      </c>
      <c r="AC14" s="63">
        <v>0</v>
      </c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</row>
    <row r="15" spans="1:72" s="70" customFormat="1" x14ac:dyDescent="0.35">
      <c r="A15" s="131"/>
      <c r="B15" s="99" t="s">
        <v>16</v>
      </c>
      <c r="C15" s="60" t="s">
        <v>213</v>
      </c>
      <c r="D15" s="100" t="s">
        <v>209</v>
      </c>
      <c r="E15" s="62">
        <f>ROW(D15)-ROW($E$8)</f>
        <v>7</v>
      </c>
      <c r="F15" s="62">
        <v>1</v>
      </c>
      <c r="G15" s="105" t="s">
        <v>209</v>
      </c>
      <c r="H15" s="63">
        <v>0</v>
      </c>
      <c r="I15" s="62" t="s">
        <v>11</v>
      </c>
      <c r="J15" s="63">
        <v>0</v>
      </c>
      <c r="K15" s="63">
        <v>0</v>
      </c>
      <c r="L15" s="63"/>
      <c r="M15" s="101">
        <v>0</v>
      </c>
      <c r="N15" s="63">
        <v>0</v>
      </c>
      <c r="O15" s="63">
        <v>0</v>
      </c>
      <c r="P15" s="63">
        <v>0</v>
      </c>
      <c r="Q15" s="64">
        <v>0</v>
      </c>
      <c r="R15" s="64">
        <v>1</v>
      </c>
      <c r="S15" s="64">
        <v>1</v>
      </c>
      <c r="T15" s="63">
        <v>0</v>
      </c>
      <c r="U15" s="102">
        <v>0.31</v>
      </c>
      <c r="V15" s="111">
        <v>0.93</v>
      </c>
      <c r="W15" s="59">
        <v>0</v>
      </c>
      <c r="X15" s="59">
        <v>0</v>
      </c>
      <c r="Y15" s="59">
        <v>0</v>
      </c>
      <c r="Z15" s="59">
        <v>4.0000000000000001E-3</v>
      </c>
      <c r="AA15" s="63">
        <v>0</v>
      </c>
      <c r="AB15" s="63">
        <v>0</v>
      </c>
      <c r="AC15" s="59">
        <f>5%/(1-(1+5%)^-25)</f>
        <v>7.0952457299229624E-2</v>
      </c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</row>
    <row r="16" spans="1:72" s="70" customFormat="1" x14ac:dyDescent="0.35">
      <c r="A16" s="131"/>
      <c r="B16" s="59" t="s">
        <v>214</v>
      </c>
      <c r="C16" s="60" t="s">
        <v>156</v>
      </c>
      <c r="D16" s="61" t="s">
        <v>216</v>
      </c>
      <c r="E16" s="62">
        <f t="shared" si="5"/>
        <v>8</v>
      </c>
      <c r="F16" s="62">
        <v>1</v>
      </c>
      <c r="G16" s="62" t="s">
        <v>193</v>
      </c>
      <c r="H16" s="63">
        <v>7900000</v>
      </c>
      <c r="I16" s="62" t="s">
        <v>126</v>
      </c>
      <c r="J16" s="63">
        <v>0</v>
      </c>
      <c r="K16" s="63">
        <v>0</v>
      </c>
      <c r="L16" s="63"/>
      <c r="M16" s="63">
        <v>0</v>
      </c>
      <c r="N16" s="63">
        <v>1</v>
      </c>
      <c r="O16" s="63">
        <v>45.7</v>
      </c>
      <c r="P16" s="63">
        <v>0</v>
      </c>
      <c r="Q16" s="64">
        <v>0</v>
      </c>
      <c r="R16" s="64">
        <v>1</v>
      </c>
      <c r="S16" s="64">
        <v>1</v>
      </c>
      <c r="T16" s="65">
        <v>9.8000000000000004E-2</v>
      </c>
      <c r="U16" s="63">
        <v>3995</v>
      </c>
      <c r="V16" s="63">
        <v>799</v>
      </c>
      <c r="W16" s="63">
        <v>0</v>
      </c>
      <c r="X16" s="63">
        <v>0</v>
      </c>
      <c r="Y16" s="63">
        <v>0</v>
      </c>
      <c r="Z16" s="63">
        <v>0</v>
      </c>
      <c r="AA16" s="63">
        <v>1.1000000000000001</v>
      </c>
      <c r="AB16" s="63">
        <v>0</v>
      </c>
      <c r="AC16" s="63">
        <f>5%/(1-(1+5%)^-20)</f>
        <v>8.0242587190691314E-2</v>
      </c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</row>
    <row r="17" spans="1:72" s="77" customFormat="1" x14ac:dyDescent="0.35">
      <c r="A17" s="131"/>
      <c r="B17" s="73" t="s">
        <v>127</v>
      </c>
      <c r="C17" s="74" t="s">
        <v>213</v>
      </c>
      <c r="D17" s="75" t="s">
        <v>182</v>
      </c>
      <c r="E17" s="76">
        <f t="shared" si="5"/>
        <v>9</v>
      </c>
      <c r="F17" s="76">
        <v>1</v>
      </c>
      <c r="G17" s="76" t="s">
        <v>183</v>
      </c>
      <c r="H17" s="77">
        <v>0</v>
      </c>
      <c r="I17" s="76" t="s">
        <v>11</v>
      </c>
      <c r="J17" s="77">
        <v>0</v>
      </c>
      <c r="K17" s="77">
        <v>0</v>
      </c>
      <c r="M17" s="77">
        <v>0</v>
      </c>
      <c r="N17" s="77">
        <v>0</v>
      </c>
      <c r="O17" s="77">
        <v>0</v>
      </c>
      <c r="P17" s="77">
        <v>0</v>
      </c>
      <c r="Q17" s="78">
        <v>0</v>
      </c>
      <c r="R17" s="78">
        <v>1</v>
      </c>
      <c r="S17" s="78">
        <v>1</v>
      </c>
      <c r="T17" s="77">
        <v>2.5000000000000001E-3</v>
      </c>
      <c r="U17" s="77">
        <v>121</v>
      </c>
      <c r="V17" s="77">
        <f>U17*0.03</f>
        <v>3.63</v>
      </c>
      <c r="W17" s="79">
        <v>0</v>
      </c>
      <c r="X17" s="77">
        <v>0</v>
      </c>
      <c r="Y17" s="77">
        <v>0</v>
      </c>
      <c r="Z17" s="77">
        <v>0</v>
      </c>
      <c r="AA17" s="77">
        <v>0</v>
      </c>
      <c r="AB17" s="77">
        <v>0</v>
      </c>
      <c r="AC17" s="77">
        <f>5%/(1-(1+5%)^-15)</f>
        <v>9.6342287609244376E-2</v>
      </c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</row>
    <row r="18" spans="1:72" s="54" customFormat="1" x14ac:dyDescent="0.35">
      <c r="A18" s="131"/>
      <c r="B18" s="80" t="s">
        <v>128</v>
      </c>
      <c r="C18" s="74" t="s">
        <v>12</v>
      </c>
      <c r="D18" s="75" t="s">
        <v>186</v>
      </c>
      <c r="E18" s="76">
        <f t="shared" si="5"/>
        <v>10</v>
      </c>
      <c r="F18" s="76">
        <v>1</v>
      </c>
      <c r="G18" s="76" t="s">
        <v>82</v>
      </c>
      <c r="H18" s="77">
        <v>0</v>
      </c>
      <c r="I18" s="76" t="str">
        <f>B17</f>
        <v>Reactant7</v>
      </c>
      <c r="J18" s="77">
        <v>0</v>
      </c>
      <c r="K18" s="77">
        <v>1</v>
      </c>
      <c r="L18" s="77"/>
      <c r="M18" s="77">
        <v>1</v>
      </c>
      <c r="N18" s="77">
        <v>0</v>
      </c>
      <c r="O18" s="77">
        <v>8.6999999999999994E-2</v>
      </c>
      <c r="P18" s="77">
        <v>7.1539999999999999</v>
      </c>
      <c r="Q18" s="78">
        <v>0.1</v>
      </c>
      <c r="R18" s="78">
        <v>1</v>
      </c>
      <c r="S18" s="78">
        <v>1</v>
      </c>
      <c r="T18" s="77">
        <v>49.01</v>
      </c>
      <c r="U18" s="77">
        <v>57036</v>
      </c>
      <c r="V18" s="77">
        <f>U18*2%</f>
        <v>1140.72</v>
      </c>
      <c r="W18" s="79">
        <v>0</v>
      </c>
      <c r="X18" s="77">
        <v>0</v>
      </c>
      <c r="Y18" s="77">
        <v>0</v>
      </c>
      <c r="Z18" s="77">
        <v>115.4145399442897</v>
      </c>
      <c r="AA18" s="77">
        <v>0</v>
      </c>
      <c r="AB18" s="81">
        <v>0.47299999999999998</v>
      </c>
      <c r="AC18" s="77">
        <f>5%/(1-(1+5%)^-25)</f>
        <v>7.0952457299229624E-2</v>
      </c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</row>
    <row r="19" spans="1:72" s="63" customFormat="1" x14ac:dyDescent="0.35">
      <c r="A19" s="131"/>
      <c r="B19" s="80" t="s">
        <v>128</v>
      </c>
      <c r="C19" s="74" t="s">
        <v>12</v>
      </c>
      <c r="D19" s="75" t="s">
        <v>187</v>
      </c>
      <c r="E19" s="76">
        <f t="shared" si="5"/>
        <v>11</v>
      </c>
      <c r="F19" s="76">
        <v>1</v>
      </c>
      <c r="G19" s="76" t="s">
        <v>85</v>
      </c>
      <c r="H19" s="77">
        <v>0</v>
      </c>
      <c r="I19" s="76" t="str">
        <f>B17</f>
        <v>Reactant7</v>
      </c>
      <c r="J19" s="77">
        <v>0</v>
      </c>
      <c r="K19" s="77">
        <v>0</v>
      </c>
      <c r="L19" s="77"/>
      <c r="M19" s="77">
        <v>1</v>
      </c>
      <c r="N19" s="77">
        <v>0</v>
      </c>
      <c r="O19" s="77">
        <v>8.6999999999999994E-2</v>
      </c>
      <c r="P19" s="77">
        <v>0</v>
      </c>
      <c r="Q19" s="78">
        <v>0.1</v>
      </c>
      <c r="R19" s="78">
        <v>1</v>
      </c>
      <c r="S19" s="78">
        <v>1</v>
      </c>
      <c r="T19" s="83">
        <v>41</v>
      </c>
      <c r="U19" s="83">
        <v>67988</v>
      </c>
      <c r="V19" s="77">
        <f>U19*5%</f>
        <v>3399.4</v>
      </c>
      <c r="W19" s="79">
        <v>0</v>
      </c>
      <c r="X19" s="77">
        <v>0</v>
      </c>
      <c r="Y19" s="77">
        <v>0</v>
      </c>
      <c r="Z19" s="77">
        <v>120.74318234482759</v>
      </c>
      <c r="AA19" s="77">
        <v>0</v>
      </c>
      <c r="AB19" s="77">
        <v>0.75800000000000001</v>
      </c>
      <c r="AC19" s="77">
        <f>5%/(1-(1+5%)^-25)</f>
        <v>7.0952457299229624E-2</v>
      </c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</row>
    <row r="20" spans="1:72" s="70" customFormat="1" x14ac:dyDescent="0.35">
      <c r="A20" s="131"/>
      <c r="B20" s="84" t="s">
        <v>125</v>
      </c>
      <c r="C20" s="51" t="s">
        <v>213</v>
      </c>
      <c r="D20" s="52" t="s">
        <v>69</v>
      </c>
      <c r="E20" s="53">
        <f t="shared" si="5"/>
        <v>12</v>
      </c>
      <c r="F20" s="53">
        <v>1</v>
      </c>
      <c r="G20" s="53" t="s">
        <v>70</v>
      </c>
      <c r="H20" s="57">
        <v>0</v>
      </c>
      <c r="I20" s="53" t="s">
        <v>11</v>
      </c>
      <c r="J20" s="54">
        <v>0</v>
      </c>
      <c r="K20" s="54">
        <v>0</v>
      </c>
      <c r="L20" s="54"/>
      <c r="M20" s="54">
        <v>-1</v>
      </c>
      <c r="N20" s="54">
        <v>0</v>
      </c>
      <c r="O20" s="57">
        <v>0</v>
      </c>
      <c r="P20" s="54">
        <v>0</v>
      </c>
      <c r="Q20" s="55">
        <v>0</v>
      </c>
      <c r="R20" s="55">
        <v>1</v>
      </c>
      <c r="S20" s="55">
        <v>1</v>
      </c>
      <c r="T20" s="57">
        <v>0</v>
      </c>
      <c r="U20" s="57">
        <v>0</v>
      </c>
      <c r="V20" s="57">
        <v>0</v>
      </c>
      <c r="W20" s="57">
        <v>0</v>
      </c>
      <c r="X20" s="57">
        <v>0</v>
      </c>
      <c r="Y20" s="57">
        <v>0</v>
      </c>
      <c r="Z20" s="54">
        <v>0</v>
      </c>
      <c r="AA20" s="54">
        <v>0</v>
      </c>
      <c r="AB20" s="54">
        <v>0</v>
      </c>
      <c r="AC20" s="57">
        <v>0</v>
      </c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</row>
    <row r="21" spans="1:72" s="70" customFormat="1" x14ac:dyDescent="0.35">
      <c r="A21" s="131"/>
      <c r="B21" s="85" t="s">
        <v>126</v>
      </c>
      <c r="C21" s="60" t="s">
        <v>213</v>
      </c>
      <c r="D21" s="61" t="s">
        <v>196</v>
      </c>
      <c r="E21" s="62">
        <f t="shared" si="5"/>
        <v>13</v>
      </c>
      <c r="F21" s="62">
        <v>1</v>
      </c>
      <c r="G21" s="62" t="s">
        <v>195</v>
      </c>
      <c r="H21" s="65">
        <v>0</v>
      </c>
      <c r="I21" s="62" t="s">
        <v>11</v>
      </c>
      <c r="J21" s="63">
        <v>0</v>
      </c>
      <c r="K21" s="63">
        <v>0</v>
      </c>
      <c r="L21" s="63"/>
      <c r="M21" s="63">
        <v>-1</v>
      </c>
      <c r="N21" s="63">
        <v>0</v>
      </c>
      <c r="O21" s="65">
        <v>0</v>
      </c>
      <c r="P21" s="63">
        <v>0</v>
      </c>
      <c r="Q21" s="64">
        <v>0</v>
      </c>
      <c r="R21" s="64">
        <v>1</v>
      </c>
      <c r="S21" s="64">
        <v>1</v>
      </c>
      <c r="T21" s="65">
        <v>0</v>
      </c>
      <c r="U21" s="65">
        <v>0</v>
      </c>
      <c r="V21" s="65">
        <v>0</v>
      </c>
      <c r="W21" s="65">
        <v>0</v>
      </c>
      <c r="X21" s="65">
        <v>0</v>
      </c>
      <c r="Y21" s="65">
        <v>0</v>
      </c>
      <c r="Z21" s="63">
        <v>0</v>
      </c>
      <c r="AA21" s="63">
        <v>0</v>
      </c>
      <c r="AB21" s="63">
        <v>0</v>
      </c>
      <c r="AC21" s="65">
        <v>0</v>
      </c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</row>
    <row r="22" spans="1:72" s="77" customFormat="1" x14ac:dyDescent="0.35">
      <c r="A22" s="131"/>
      <c r="B22" s="85" t="s">
        <v>210</v>
      </c>
      <c r="C22" s="60" t="s">
        <v>213</v>
      </c>
      <c r="D22" s="61" t="s">
        <v>211</v>
      </c>
      <c r="E22" s="62">
        <f t="shared" si="5"/>
        <v>14</v>
      </c>
      <c r="F22" s="62">
        <v>1</v>
      </c>
      <c r="G22" s="62" t="s">
        <v>212</v>
      </c>
      <c r="H22" s="65">
        <v>0</v>
      </c>
      <c r="I22" s="62" t="s">
        <v>11</v>
      </c>
      <c r="J22" s="63">
        <v>0</v>
      </c>
      <c r="K22" s="63">
        <v>0</v>
      </c>
      <c r="L22" s="63"/>
      <c r="M22" s="63">
        <v>0</v>
      </c>
      <c r="N22" s="63">
        <v>-1</v>
      </c>
      <c r="O22" s="65">
        <v>0</v>
      </c>
      <c r="P22" s="63">
        <v>0</v>
      </c>
      <c r="Q22" s="64">
        <v>0</v>
      </c>
      <c r="R22" s="64">
        <v>1</v>
      </c>
      <c r="S22" s="64">
        <v>1</v>
      </c>
      <c r="T22" s="65">
        <v>0</v>
      </c>
      <c r="U22" s="65">
        <v>0</v>
      </c>
      <c r="V22" s="65">
        <v>0</v>
      </c>
      <c r="W22" s="65">
        <v>0</v>
      </c>
      <c r="X22" s="65">
        <v>0</v>
      </c>
      <c r="Y22" s="65">
        <v>0</v>
      </c>
      <c r="Z22" s="63">
        <v>0</v>
      </c>
      <c r="AA22" s="63">
        <v>0</v>
      </c>
      <c r="AB22" s="63">
        <v>0</v>
      </c>
      <c r="AC22" s="65">
        <v>0</v>
      </c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</row>
    <row r="23" spans="1:72" s="88" customFormat="1" x14ac:dyDescent="0.35">
      <c r="A23" s="131"/>
      <c r="B23" s="66" t="s">
        <v>26</v>
      </c>
      <c r="C23" s="67" t="s">
        <v>28</v>
      </c>
      <c r="D23" s="68" t="s">
        <v>32</v>
      </c>
      <c r="E23" s="69">
        <f t="shared" si="5"/>
        <v>15</v>
      </c>
      <c r="F23" s="69">
        <v>0</v>
      </c>
      <c r="G23" s="69" t="s">
        <v>18</v>
      </c>
      <c r="H23" s="72">
        <v>0</v>
      </c>
      <c r="I23" s="69" t="s">
        <v>11</v>
      </c>
      <c r="J23" s="70">
        <v>0</v>
      </c>
      <c r="K23" s="70">
        <v>1</v>
      </c>
      <c r="L23" s="70"/>
      <c r="M23" s="70">
        <v>0</v>
      </c>
      <c r="N23" s="70">
        <v>0</v>
      </c>
      <c r="O23" s="72">
        <v>0</v>
      </c>
      <c r="P23" s="70">
        <v>0</v>
      </c>
      <c r="Q23" s="71">
        <v>0</v>
      </c>
      <c r="R23" s="71">
        <v>1</v>
      </c>
      <c r="S23" s="71">
        <v>1</v>
      </c>
      <c r="T23" s="72">
        <v>0</v>
      </c>
      <c r="U23" s="72">
        <v>0</v>
      </c>
      <c r="V23" s="72">
        <v>0</v>
      </c>
      <c r="W23" s="72">
        <v>0</v>
      </c>
      <c r="X23" s="72">
        <v>0</v>
      </c>
      <c r="Y23" s="72">
        <v>0</v>
      </c>
      <c r="Z23" s="70">
        <v>0</v>
      </c>
      <c r="AA23" s="70">
        <v>0</v>
      </c>
      <c r="AB23" s="70">
        <v>0</v>
      </c>
      <c r="AC23" s="72">
        <v>0</v>
      </c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</row>
    <row r="24" spans="1:72" s="88" customFormat="1" x14ac:dyDescent="0.35">
      <c r="A24" s="131"/>
      <c r="B24" s="80" t="s">
        <v>27</v>
      </c>
      <c r="C24" s="74" t="s">
        <v>29</v>
      </c>
      <c r="D24" s="75" t="s">
        <v>33</v>
      </c>
      <c r="E24" s="76">
        <f t="shared" si="5"/>
        <v>16</v>
      </c>
      <c r="F24" s="76">
        <v>1</v>
      </c>
      <c r="G24" s="76" t="s">
        <v>19</v>
      </c>
      <c r="H24" s="79">
        <v>0</v>
      </c>
      <c r="I24" s="76" t="s">
        <v>11</v>
      </c>
      <c r="J24" s="79">
        <v>0</v>
      </c>
      <c r="K24" s="77">
        <v>-1</v>
      </c>
      <c r="L24" s="77"/>
      <c r="M24" s="79">
        <v>0</v>
      </c>
      <c r="N24" s="79">
        <v>0</v>
      </c>
      <c r="O24" s="79">
        <v>0</v>
      </c>
      <c r="P24" s="77">
        <v>1</v>
      </c>
      <c r="Q24" s="78">
        <v>0</v>
      </c>
      <c r="R24" s="78">
        <v>1</v>
      </c>
      <c r="S24" s="78">
        <v>1</v>
      </c>
      <c r="T24" s="79">
        <v>0</v>
      </c>
      <c r="U24" s="79">
        <v>0</v>
      </c>
      <c r="V24" s="79">
        <v>0</v>
      </c>
      <c r="W24" s="79">
        <v>0</v>
      </c>
      <c r="X24" s="79">
        <v>0.02</v>
      </c>
      <c r="Y24" s="79">
        <v>0</v>
      </c>
      <c r="Z24" s="139">
        <v>0</v>
      </c>
      <c r="AA24" s="77">
        <v>0</v>
      </c>
      <c r="AB24" s="77">
        <v>0</v>
      </c>
      <c r="AC24" s="79">
        <v>0</v>
      </c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</row>
    <row r="25" spans="1:72" s="88" customFormat="1" x14ac:dyDescent="0.35">
      <c r="A25" s="131"/>
      <c r="B25" s="80" t="s">
        <v>122</v>
      </c>
      <c r="C25" s="74" t="s">
        <v>118</v>
      </c>
      <c r="D25" s="75" t="s">
        <v>34</v>
      </c>
      <c r="E25" s="76">
        <f t="shared" si="5"/>
        <v>17</v>
      </c>
      <c r="F25" s="76">
        <v>1</v>
      </c>
      <c r="G25" s="76" t="s">
        <v>13</v>
      </c>
      <c r="H25" s="77">
        <v>0</v>
      </c>
      <c r="I25" s="76" t="str">
        <f>B18</f>
        <v>Product/Reactant3</v>
      </c>
      <c r="J25" s="77">
        <v>0</v>
      </c>
      <c r="K25" s="77">
        <v>0</v>
      </c>
      <c r="L25" s="77"/>
      <c r="M25" s="77">
        <v>0</v>
      </c>
      <c r="N25" s="77">
        <v>0</v>
      </c>
      <c r="O25" s="77">
        <v>7.94</v>
      </c>
      <c r="P25" s="77">
        <v>0</v>
      </c>
      <c r="Q25" s="78">
        <v>0</v>
      </c>
      <c r="R25" s="78">
        <v>1</v>
      </c>
      <c r="S25" s="78">
        <v>1</v>
      </c>
      <c r="T25" s="77">
        <v>0</v>
      </c>
      <c r="U25" s="79">
        <v>0</v>
      </c>
      <c r="V25" s="79">
        <v>0</v>
      </c>
      <c r="W25" s="79">
        <v>0</v>
      </c>
      <c r="X25" s="77">
        <v>0.1</v>
      </c>
      <c r="Y25" s="77">
        <v>0</v>
      </c>
      <c r="Z25" s="139">
        <v>0</v>
      </c>
      <c r="AA25" s="77">
        <v>0</v>
      </c>
      <c r="AB25" s="77">
        <v>0</v>
      </c>
      <c r="AC25" s="77">
        <v>0</v>
      </c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</row>
    <row r="26" spans="1:72" s="77" customFormat="1" ht="14.5" customHeight="1" x14ac:dyDescent="0.35">
      <c r="A26" s="131" t="s">
        <v>17</v>
      </c>
      <c r="B26" s="80" t="s">
        <v>14</v>
      </c>
      <c r="C26" s="74" t="s">
        <v>213</v>
      </c>
      <c r="D26" s="94" t="s">
        <v>144</v>
      </c>
      <c r="E26" s="76">
        <f t="shared" si="5"/>
        <v>18</v>
      </c>
      <c r="F26" s="76">
        <v>1</v>
      </c>
      <c r="G26" s="76" t="s">
        <v>145</v>
      </c>
      <c r="H26" s="77">
        <v>0</v>
      </c>
      <c r="I26" s="76" t="s">
        <v>11</v>
      </c>
      <c r="J26" s="77">
        <v>0</v>
      </c>
      <c r="K26" s="77">
        <v>0</v>
      </c>
      <c r="M26" s="77">
        <v>-1</v>
      </c>
      <c r="N26" s="77">
        <v>0</v>
      </c>
      <c r="O26" s="79">
        <v>0</v>
      </c>
      <c r="P26" s="77">
        <v>0</v>
      </c>
      <c r="Q26" s="78">
        <v>0</v>
      </c>
      <c r="R26" s="78">
        <v>1</v>
      </c>
      <c r="S26" s="78">
        <v>1</v>
      </c>
      <c r="T26" s="77">
        <v>0.94</v>
      </c>
      <c r="U26" s="79">
        <v>0</v>
      </c>
      <c r="V26" s="79">
        <v>0</v>
      </c>
      <c r="W26" s="79">
        <v>1E-4</v>
      </c>
      <c r="X26" s="77">
        <v>0</v>
      </c>
      <c r="Y26" s="77">
        <v>0</v>
      </c>
      <c r="Z26" s="139">
        <v>0</v>
      </c>
      <c r="AA26" s="77">
        <v>0</v>
      </c>
      <c r="AB26" s="77">
        <v>0</v>
      </c>
      <c r="AC26" s="77">
        <v>0</v>
      </c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</row>
    <row r="27" spans="1:72" s="77" customFormat="1" ht="14.5" customHeight="1" x14ac:dyDescent="0.35">
      <c r="A27" s="131"/>
      <c r="B27" s="80" t="s">
        <v>15</v>
      </c>
      <c r="C27" s="74" t="s">
        <v>213</v>
      </c>
      <c r="D27" s="94" t="s">
        <v>146</v>
      </c>
      <c r="E27" s="76">
        <f t="shared" si="5"/>
        <v>19</v>
      </c>
      <c r="F27" s="76">
        <v>1</v>
      </c>
      <c r="G27" s="76" t="s">
        <v>147</v>
      </c>
      <c r="H27" s="77">
        <v>0</v>
      </c>
      <c r="I27" s="76" t="s">
        <v>11</v>
      </c>
      <c r="J27" s="77">
        <v>0</v>
      </c>
      <c r="K27" s="77">
        <v>0</v>
      </c>
      <c r="M27" s="77">
        <v>1</v>
      </c>
      <c r="N27" s="77">
        <v>0</v>
      </c>
      <c r="O27" s="79">
        <v>0</v>
      </c>
      <c r="P27" s="77">
        <v>0</v>
      </c>
      <c r="Q27" s="78">
        <v>0</v>
      </c>
      <c r="R27" s="78">
        <v>1</v>
      </c>
      <c r="S27" s="78">
        <v>1</v>
      </c>
      <c r="T27" s="77">
        <v>0</v>
      </c>
      <c r="U27" s="79">
        <v>0</v>
      </c>
      <c r="V27" s="79">
        <v>0</v>
      </c>
      <c r="W27" s="79">
        <v>1E-4</v>
      </c>
      <c r="X27" s="77">
        <v>0</v>
      </c>
      <c r="Y27" s="77">
        <v>0</v>
      </c>
      <c r="Z27" s="139">
        <v>0</v>
      </c>
      <c r="AA27" s="77">
        <v>0</v>
      </c>
      <c r="AB27" s="77">
        <v>0</v>
      </c>
      <c r="AC27" s="77">
        <v>0</v>
      </c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</row>
    <row r="28" spans="1:72" s="77" customFormat="1" x14ac:dyDescent="0.35">
      <c r="A28" s="131"/>
      <c r="B28" s="80" t="s">
        <v>16</v>
      </c>
      <c r="C28" s="74" t="s">
        <v>213</v>
      </c>
      <c r="D28" s="94" t="s">
        <v>148</v>
      </c>
      <c r="E28" s="76">
        <f t="shared" si="5"/>
        <v>20</v>
      </c>
      <c r="F28" s="76">
        <v>1</v>
      </c>
      <c r="G28" s="76" t="s">
        <v>149</v>
      </c>
      <c r="H28" s="77">
        <v>0</v>
      </c>
      <c r="I28" s="76" t="s">
        <v>11</v>
      </c>
      <c r="J28" s="77">
        <v>0</v>
      </c>
      <c r="K28" s="77">
        <v>0</v>
      </c>
      <c r="M28" s="77">
        <v>0</v>
      </c>
      <c r="N28" s="77">
        <v>0</v>
      </c>
      <c r="O28" s="77">
        <v>0</v>
      </c>
      <c r="P28" s="77">
        <v>0</v>
      </c>
      <c r="Q28" s="78">
        <v>0.09</v>
      </c>
      <c r="R28" s="78">
        <v>1</v>
      </c>
      <c r="S28" s="78">
        <v>1</v>
      </c>
      <c r="T28" s="77">
        <v>0</v>
      </c>
      <c r="U28" s="77">
        <v>461</v>
      </c>
      <c r="V28" s="77">
        <v>0.99</v>
      </c>
      <c r="W28" s="79">
        <v>0</v>
      </c>
      <c r="X28" s="77">
        <v>0</v>
      </c>
      <c r="Y28" s="77">
        <v>0</v>
      </c>
      <c r="Z28" s="139">
        <v>6.2260740740740696E-3</v>
      </c>
      <c r="AA28" s="77">
        <v>0</v>
      </c>
      <c r="AB28" s="82">
        <v>1</v>
      </c>
      <c r="AC28" s="77">
        <f>5%/(1-(1+5%)^-50)</f>
        <v>5.4776735485736472E-2</v>
      </c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</row>
    <row r="29" spans="1:72" s="77" customFormat="1" x14ac:dyDescent="0.35">
      <c r="A29" s="131"/>
      <c r="B29" s="95" t="s">
        <v>45</v>
      </c>
      <c r="C29" s="74" t="s">
        <v>213</v>
      </c>
      <c r="D29" s="94" t="s">
        <v>40</v>
      </c>
      <c r="E29" s="76">
        <f t="shared" si="5"/>
        <v>21</v>
      </c>
      <c r="F29" s="76">
        <v>1</v>
      </c>
      <c r="G29" s="76" t="s">
        <v>41</v>
      </c>
      <c r="H29" s="77">
        <v>0</v>
      </c>
      <c r="I29" s="76" t="s">
        <v>11</v>
      </c>
      <c r="J29" s="77">
        <v>1</v>
      </c>
      <c r="K29" s="77">
        <v>0</v>
      </c>
      <c r="M29" s="77">
        <v>0</v>
      </c>
      <c r="N29" s="77">
        <v>0</v>
      </c>
      <c r="O29" s="79">
        <v>0</v>
      </c>
      <c r="P29" s="77">
        <v>0</v>
      </c>
      <c r="Q29" s="78">
        <v>0</v>
      </c>
      <c r="R29" s="78">
        <v>1</v>
      </c>
      <c r="S29" s="78">
        <v>1</v>
      </c>
      <c r="T29" s="77">
        <v>0</v>
      </c>
      <c r="U29" s="77">
        <v>396.26020000000005</v>
      </c>
      <c r="V29" s="77">
        <v>7.5602275000000008</v>
      </c>
      <c r="W29" s="79">
        <v>0</v>
      </c>
      <c r="X29" s="77">
        <v>0</v>
      </c>
      <c r="Y29" s="77">
        <v>0</v>
      </c>
      <c r="Z29" s="139">
        <v>90.584795321637415</v>
      </c>
      <c r="AA29" s="77">
        <v>0</v>
      </c>
      <c r="AB29" s="77">
        <v>12.26</v>
      </c>
      <c r="AC29" s="77">
        <f>5%/(1-(1+5%)^-30)</f>
        <v>6.5051435080276596E-2</v>
      </c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</row>
    <row r="30" spans="1:72" s="77" customFormat="1" x14ac:dyDescent="0.35">
      <c r="A30" s="131"/>
      <c r="B30" s="95" t="s">
        <v>44</v>
      </c>
      <c r="C30" s="74" t="s">
        <v>213</v>
      </c>
      <c r="D30" s="94" t="s">
        <v>42</v>
      </c>
      <c r="E30" s="76">
        <f>ROW(D30)-ROW($E$8)</f>
        <v>22</v>
      </c>
      <c r="F30" s="76">
        <v>1</v>
      </c>
      <c r="G30" s="76" t="s">
        <v>43</v>
      </c>
      <c r="H30" s="77">
        <v>0</v>
      </c>
      <c r="I30" s="76" t="s">
        <v>11</v>
      </c>
      <c r="J30" s="77">
        <v>1</v>
      </c>
      <c r="K30" s="77">
        <v>0</v>
      </c>
      <c r="M30" s="77">
        <v>0</v>
      </c>
      <c r="N30" s="77">
        <v>0</v>
      </c>
      <c r="O30" s="79">
        <v>0</v>
      </c>
      <c r="P30" s="77">
        <v>0</v>
      </c>
      <c r="Q30" s="78">
        <v>0</v>
      </c>
      <c r="R30" s="78">
        <v>1</v>
      </c>
      <c r="S30" s="78">
        <v>1</v>
      </c>
      <c r="T30" s="77">
        <v>0</v>
      </c>
      <c r="U30" s="77">
        <v>458.82760000000007</v>
      </c>
      <c r="V30" s="77">
        <v>9.2808310000000009</v>
      </c>
      <c r="W30" s="79">
        <v>0</v>
      </c>
      <c r="X30" s="77">
        <v>0</v>
      </c>
      <c r="Y30" s="77">
        <v>0</v>
      </c>
      <c r="Z30" s="139">
        <v>90.584795321637415</v>
      </c>
      <c r="AA30" s="77">
        <v>0</v>
      </c>
      <c r="AB30" s="77">
        <v>15.93</v>
      </c>
      <c r="AC30" s="77">
        <f t="shared" ref="AC30:AC42" si="6">5%/(1-(1+5%)^-30)</f>
        <v>6.5051435080276596E-2</v>
      </c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</row>
    <row r="31" spans="1:72" s="77" customFormat="1" x14ac:dyDescent="0.35">
      <c r="A31" s="131"/>
      <c r="B31" s="95" t="str">
        <f>CONCATENATE("RPU_"&amp;D31)</f>
        <v>RPU_ON_SP198-HH100</v>
      </c>
      <c r="C31" s="74" t="s">
        <v>213</v>
      </c>
      <c r="D31" s="75" t="s">
        <v>150</v>
      </c>
      <c r="E31" s="76">
        <f t="shared" si="5"/>
        <v>23</v>
      </c>
      <c r="F31" s="76">
        <v>1</v>
      </c>
      <c r="G31" s="76" t="s">
        <v>46</v>
      </c>
      <c r="H31" s="77">
        <v>0</v>
      </c>
      <c r="I31" s="76" t="s">
        <v>11</v>
      </c>
      <c r="J31" s="77">
        <v>1</v>
      </c>
      <c r="K31" s="77">
        <v>0</v>
      </c>
      <c r="M31" s="77">
        <v>0</v>
      </c>
      <c r="N31" s="77">
        <v>0</v>
      </c>
      <c r="O31" s="79">
        <v>0</v>
      </c>
      <c r="P31" s="77">
        <v>0</v>
      </c>
      <c r="Q31" s="78">
        <v>0</v>
      </c>
      <c r="R31" s="78">
        <v>1</v>
      </c>
      <c r="S31" s="78">
        <v>1</v>
      </c>
      <c r="T31" s="77">
        <v>0</v>
      </c>
      <c r="U31" s="77">
        <v>1633.060699073676</v>
      </c>
      <c r="V31" s="77">
        <v>13.139154000000001</v>
      </c>
      <c r="W31" s="77">
        <v>1.4077665000000001E-3</v>
      </c>
      <c r="X31" s="77">
        <v>0</v>
      </c>
      <c r="Y31" s="77">
        <v>0</v>
      </c>
      <c r="Z31" s="139">
        <v>55.12222222222222</v>
      </c>
      <c r="AA31" s="77">
        <v>0</v>
      </c>
      <c r="AB31" s="77">
        <v>171.96</v>
      </c>
      <c r="AC31" s="77">
        <f t="shared" si="6"/>
        <v>6.5051435080276596E-2</v>
      </c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</row>
    <row r="32" spans="1:72" s="77" customFormat="1" x14ac:dyDescent="0.35">
      <c r="A32" s="131"/>
      <c r="B32" s="95" t="str">
        <f t="shared" ref="B32:B42" si="7">CONCATENATE("RPU_"&amp;D32)</f>
        <v>RPU_ON_SP198-HH150</v>
      </c>
      <c r="C32" s="74" t="s">
        <v>213</v>
      </c>
      <c r="D32" s="75" t="s">
        <v>47</v>
      </c>
      <c r="E32" s="76">
        <f t="shared" si="5"/>
        <v>24</v>
      </c>
      <c r="F32" s="76">
        <v>1</v>
      </c>
      <c r="G32" s="76" t="s">
        <v>48</v>
      </c>
      <c r="H32" s="77">
        <v>0</v>
      </c>
      <c r="I32" s="76" t="s">
        <v>11</v>
      </c>
      <c r="J32" s="77">
        <v>1</v>
      </c>
      <c r="K32" s="77">
        <v>0</v>
      </c>
      <c r="M32" s="77">
        <v>0</v>
      </c>
      <c r="N32" s="77">
        <v>0</v>
      </c>
      <c r="O32" s="79">
        <v>0</v>
      </c>
      <c r="P32" s="77">
        <v>0</v>
      </c>
      <c r="Q32" s="78">
        <v>0</v>
      </c>
      <c r="R32" s="78">
        <v>1</v>
      </c>
      <c r="S32" s="78">
        <v>1</v>
      </c>
      <c r="T32" s="77">
        <v>0</v>
      </c>
      <c r="U32" s="77">
        <v>2032.4510324422088</v>
      </c>
      <c r="V32" s="77">
        <v>13.139154000000001</v>
      </c>
      <c r="W32" s="77">
        <v>1.4077665000000001E-3</v>
      </c>
      <c r="X32" s="77">
        <v>0</v>
      </c>
      <c r="Y32" s="77">
        <v>0</v>
      </c>
      <c r="Z32" s="139">
        <v>55.12222222222222</v>
      </c>
      <c r="AA32" s="77">
        <v>0</v>
      </c>
      <c r="AB32" s="77">
        <v>171.96</v>
      </c>
      <c r="AC32" s="77">
        <f t="shared" si="6"/>
        <v>6.5051435080276596E-2</v>
      </c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</row>
    <row r="33" spans="1:72" s="77" customFormat="1" x14ac:dyDescent="0.35">
      <c r="A33" s="131"/>
      <c r="B33" s="95" t="str">
        <f t="shared" si="7"/>
        <v>RPU_ON_SP237-HH100</v>
      </c>
      <c r="C33" s="74" t="s">
        <v>213</v>
      </c>
      <c r="D33" s="75" t="s">
        <v>49</v>
      </c>
      <c r="E33" s="76">
        <f t="shared" si="5"/>
        <v>25</v>
      </c>
      <c r="F33" s="76">
        <v>1</v>
      </c>
      <c r="G33" s="76" t="s">
        <v>50</v>
      </c>
      <c r="H33" s="77">
        <v>0</v>
      </c>
      <c r="I33" s="76" t="s">
        <v>11</v>
      </c>
      <c r="J33" s="77">
        <v>1</v>
      </c>
      <c r="K33" s="77">
        <v>0</v>
      </c>
      <c r="M33" s="77">
        <v>0</v>
      </c>
      <c r="N33" s="77">
        <v>0</v>
      </c>
      <c r="O33" s="79">
        <v>0</v>
      </c>
      <c r="P33" s="77">
        <v>0</v>
      </c>
      <c r="Q33" s="78">
        <v>0</v>
      </c>
      <c r="R33" s="78">
        <v>1</v>
      </c>
      <c r="S33" s="78">
        <v>1</v>
      </c>
      <c r="T33" s="77">
        <v>0</v>
      </c>
      <c r="U33" s="77">
        <v>1443.7083065513327</v>
      </c>
      <c r="V33" s="77">
        <v>13.139154000000001</v>
      </c>
      <c r="W33" s="77">
        <v>1.4077665000000001E-3</v>
      </c>
      <c r="X33" s="77">
        <v>0</v>
      </c>
      <c r="Y33" s="77">
        <v>0</v>
      </c>
      <c r="Z33" s="139">
        <v>55.12222222222222</v>
      </c>
      <c r="AA33" s="77">
        <v>0</v>
      </c>
      <c r="AB33" s="77">
        <v>171.96</v>
      </c>
      <c r="AC33" s="77">
        <f t="shared" si="6"/>
        <v>6.5051435080276596E-2</v>
      </c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</row>
    <row r="34" spans="1:72" s="77" customFormat="1" x14ac:dyDescent="0.35">
      <c r="A34" s="131"/>
      <c r="B34" s="95" t="str">
        <f t="shared" si="7"/>
        <v>RPU_ON_SP237-HH150</v>
      </c>
      <c r="C34" s="74" t="s">
        <v>213</v>
      </c>
      <c r="D34" s="75" t="s">
        <v>51</v>
      </c>
      <c r="E34" s="76">
        <f t="shared" si="5"/>
        <v>26</v>
      </c>
      <c r="F34" s="76">
        <v>1</v>
      </c>
      <c r="G34" s="76" t="s">
        <v>52</v>
      </c>
      <c r="H34" s="77">
        <v>0</v>
      </c>
      <c r="I34" s="76" t="s">
        <v>11</v>
      </c>
      <c r="J34" s="77">
        <v>1</v>
      </c>
      <c r="K34" s="77">
        <v>0</v>
      </c>
      <c r="M34" s="77">
        <v>0</v>
      </c>
      <c r="N34" s="77">
        <v>0</v>
      </c>
      <c r="O34" s="79">
        <v>0</v>
      </c>
      <c r="P34" s="77">
        <v>0</v>
      </c>
      <c r="Q34" s="78">
        <v>0</v>
      </c>
      <c r="R34" s="78">
        <v>1</v>
      </c>
      <c r="S34" s="78">
        <v>1</v>
      </c>
      <c r="T34" s="77">
        <v>0</v>
      </c>
      <c r="U34" s="77">
        <v>1808.3686091941595</v>
      </c>
      <c r="V34" s="77">
        <v>13.139154000000001</v>
      </c>
      <c r="W34" s="77">
        <v>1.4077665000000001E-3</v>
      </c>
      <c r="X34" s="77">
        <v>0</v>
      </c>
      <c r="Y34" s="77">
        <v>0</v>
      </c>
      <c r="Z34" s="139">
        <v>55.12222222222222</v>
      </c>
      <c r="AA34" s="77">
        <v>0</v>
      </c>
      <c r="AB34" s="77">
        <v>171.96</v>
      </c>
      <c r="AC34" s="77">
        <f t="shared" si="6"/>
        <v>6.5051435080276596E-2</v>
      </c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</row>
    <row r="35" spans="1:72" s="77" customFormat="1" x14ac:dyDescent="0.35">
      <c r="A35" s="131"/>
      <c r="B35" s="95" t="str">
        <f t="shared" si="7"/>
        <v>RPU_ON_SP277-HH100</v>
      </c>
      <c r="C35" s="74" t="s">
        <v>213</v>
      </c>
      <c r="D35" s="75" t="s">
        <v>53</v>
      </c>
      <c r="E35" s="76">
        <f t="shared" si="5"/>
        <v>27</v>
      </c>
      <c r="F35" s="76">
        <v>1</v>
      </c>
      <c r="G35" s="76" t="s">
        <v>54</v>
      </c>
      <c r="H35" s="77">
        <v>0</v>
      </c>
      <c r="I35" s="76" t="s">
        <v>11</v>
      </c>
      <c r="J35" s="77">
        <v>1</v>
      </c>
      <c r="K35" s="77">
        <v>0</v>
      </c>
      <c r="M35" s="77">
        <v>0</v>
      </c>
      <c r="N35" s="77">
        <v>0</v>
      </c>
      <c r="O35" s="79">
        <v>0</v>
      </c>
      <c r="P35" s="77">
        <v>0</v>
      </c>
      <c r="Q35" s="78">
        <v>0</v>
      </c>
      <c r="R35" s="78">
        <v>1</v>
      </c>
      <c r="S35" s="78">
        <v>1</v>
      </c>
      <c r="T35" s="77">
        <v>0</v>
      </c>
      <c r="U35" s="77">
        <v>1313.9126519836288</v>
      </c>
      <c r="V35" s="77">
        <v>13.139154000000001</v>
      </c>
      <c r="W35" s="77">
        <v>1.4077665000000001E-3</v>
      </c>
      <c r="X35" s="77">
        <v>0</v>
      </c>
      <c r="Y35" s="77">
        <v>0</v>
      </c>
      <c r="Z35" s="139">
        <v>55.12222222222222</v>
      </c>
      <c r="AA35" s="77">
        <v>0</v>
      </c>
      <c r="AB35" s="77">
        <v>171.96</v>
      </c>
      <c r="AC35" s="77">
        <f t="shared" si="6"/>
        <v>6.5051435080276596E-2</v>
      </c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</row>
    <row r="36" spans="1:72" s="77" customFormat="1" x14ac:dyDescent="0.35">
      <c r="A36" s="131"/>
      <c r="B36" s="95" t="str">
        <f t="shared" si="7"/>
        <v>RPU_ON_SP277-HH150</v>
      </c>
      <c r="C36" s="74" t="s">
        <v>213</v>
      </c>
      <c r="D36" s="75" t="s">
        <v>55</v>
      </c>
      <c r="E36" s="76">
        <f t="shared" si="5"/>
        <v>28</v>
      </c>
      <c r="F36" s="76">
        <v>1</v>
      </c>
      <c r="G36" s="76" t="s">
        <v>56</v>
      </c>
      <c r="H36" s="77">
        <v>0</v>
      </c>
      <c r="I36" s="76" t="s">
        <v>11</v>
      </c>
      <c r="J36" s="77">
        <v>1</v>
      </c>
      <c r="K36" s="77">
        <v>0</v>
      </c>
      <c r="M36" s="77">
        <v>0</v>
      </c>
      <c r="N36" s="77">
        <v>0</v>
      </c>
      <c r="O36" s="79">
        <v>0</v>
      </c>
      <c r="P36" s="77">
        <v>0</v>
      </c>
      <c r="Q36" s="78">
        <v>0</v>
      </c>
      <c r="R36" s="78">
        <v>1</v>
      </c>
      <c r="S36" s="78">
        <v>1</v>
      </c>
      <c r="T36" s="77">
        <v>0</v>
      </c>
      <c r="U36" s="77">
        <v>1678.5729546264547</v>
      </c>
      <c r="V36" s="77">
        <v>13.139154000000001</v>
      </c>
      <c r="W36" s="77">
        <v>1.4077665000000001E-3</v>
      </c>
      <c r="X36" s="77">
        <v>0</v>
      </c>
      <c r="Y36" s="77">
        <v>0</v>
      </c>
      <c r="Z36" s="139">
        <v>55.12222222222222</v>
      </c>
      <c r="AA36" s="77">
        <v>0</v>
      </c>
      <c r="AB36" s="77">
        <v>171.96</v>
      </c>
      <c r="AC36" s="77">
        <f t="shared" si="6"/>
        <v>6.5051435080276596E-2</v>
      </c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</row>
    <row r="37" spans="1:72" s="77" customFormat="1" x14ac:dyDescent="0.35">
      <c r="A37" s="131"/>
      <c r="B37" s="95" t="str">
        <f t="shared" si="7"/>
        <v>RPU_ON_SP321-HH100</v>
      </c>
      <c r="C37" s="74" t="s">
        <v>213</v>
      </c>
      <c r="D37" s="75" t="s">
        <v>57</v>
      </c>
      <c r="E37" s="76">
        <f t="shared" si="5"/>
        <v>29</v>
      </c>
      <c r="F37" s="76">
        <v>1</v>
      </c>
      <c r="G37" s="76" t="s">
        <v>58</v>
      </c>
      <c r="H37" s="77">
        <v>0</v>
      </c>
      <c r="I37" s="76" t="s">
        <v>11</v>
      </c>
      <c r="J37" s="77">
        <v>1</v>
      </c>
      <c r="K37" s="77">
        <v>0</v>
      </c>
      <c r="M37" s="77">
        <v>0</v>
      </c>
      <c r="N37" s="77">
        <v>0</v>
      </c>
      <c r="O37" s="79">
        <v>0</v>
      </c>
      <c r="P37" s="77">
        <v>0</v>
      </c>
      <c r="Q37" s="78">
        <v>0</v>
      </c>
      <c r="R37" s="78">
        <v>1</v>
      </c>
      <c r="S37" s="78">
        <v>1</v>
      </c>
      <c r="T37" s="77">
        <v>0</v>
      </c>
      <c r="U37" s="77">
        <v>1208.3451529253089</v>
      </c>
      <c r="V37" s="77">
        <v>13.139154000000001</v>
      </c>
      <c r="W37" s="77">
        <v>1.4077665000000001E-3</v>
      </c>
      <c r="X37" s="77">
        <v>0</v>
      </c>
      <c r="Y37" s="77">
        <v>0</v>
      </c>
      <c r="Z37" s="139">
        <v>55.12222222222222</v>
      </c>
      <c r="AA37" s="77">
        <v>0</v>
      </c>
      <c r="AB37" s="77">
        <v>171.96</v>
      </c>
      <c r="AC37" s="77">
        <f t="shared" si="6"/>
        <v>6.5051435080276596E-2</v>
      </c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</row>
    <row r="38" spans="1:72" s="77" customFormat="1" x14ac:dyDescent="0.35">
      <c r="A38" s="131"/>
      <c r="B38" s="95" t="str">
        <f t="shared" si="7"/>
        <v>RPU_ON_SP321-HH150</v>
      </c>
      <c r="C38" s="74" t="s">
        <v>213</v>
      </c>
      <c r="D38" s="75" t="s">
        <v>59</v>
      </c>
      <c r="E38" s="76">
        <f t="shared" si="5"/>
        <v>30</v>
      </c>
      <c r="F38" s="76">
        <v>1</v>
      </c>
      <c r="G38" s="76" t="s">
        <v>60</v>
      </c>
      <c r="H38" s="77">
        <v>0</v>
      </c>
      <c r="I38" s="76" t="s">
        <v>11</v>
      </c>
      <c r="J38" s="77">
        <v>1</v>
      </c>
      <c r="K38" s="77">
        <v>0</v>
      </c>
      <c r="M38" s="77">
        <v>0</v>
      </c>
      <c r="N38" s="77">
        <v>0</v>
      </c>
      <c r="O38" s="79">
        <v>0</v>
      </c>
      <c r="P38" s="77">
        <v>0</v>
      </c>
      <c r="Q38" s="78">
        <v>0</v>
      </c>
      <c r="R38" s="78">
        <v>1</v>
      </c>
      <c r="S38" s="78">
        <v>1</v>
      </c>
      <c r="T38" s="77">
        <v>0</v>
      </c>
      <c r="U38" s="77">
        <v>1573.0058920878812</v>
      </c>
      <c r="V38" s="77">
        <v>13.139154000000001</v>
      </c>
      <c r="W38" s="77">
        <v>1.4077665000000001E-3</v>
      </c>
      <c r="X38" s="77">
        <v>0</v>
      </c>
      <c r="Y38" s="77">
        <v>0</v>
      </c>
      <c r="Z38" s="139">
        <v>55.12222222222222</v>
      </c>
      <c r="AA38" s="77">
        <v>0</v>
      </c>
      <c r="AB38" s="77">
        <v>171.96</v>
      </c>
      <c r="AC38" s="77">
        <f t="shared" si="6"/>
        <v>6.5051435080276596E-2</v>
      </c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</row>
    <row r="39" spans="1:72" s="77" customFormat="1" x14ac:dyDescent="0.35">
      <c r="A39" s="131"/>
      <c r="B39" s="95" t="str">
        <f t="shared" si="7"/>
        <v>RPU_OFF_SP379-HH100</v>
      </c>
      <c r="C39" s="74" t="s">
        <v>213</v>
      </c>
      <c r="D39" s="75" t="s">
        <v>61</v>
      </c>
      <c r="E39" s="76">
        <f t="shared" si="5"/>
        <v>31</v>
      </c>
      <c r="F39" s="76">
        <v>1</v>
      </c>
      <c r="G39" s="76" t="s">
        <v>62</v>
      </c>
      <c r="H39" s="77">
        <v>0</v>
      </c>
      <c r="I39" s="76" t="s">
        <v>11</v>
      </c>
      <c r="J39" s="77">
        <v>1</v>
      </c>
      <c r="K39" s="77">
        <v>0</v>
      </c>
      <c r="M39" s="77">
        <v>0</v>
      </c>
      <c r="N39" s="77">
        <v>0</v>
      </c>
      <c r="O39" s="79">
        <v>0</v>
      </c>
      <c r="P39" s="77">
        <v>0</v>
      </c>
      <c r="Q39" s="78">
        <v>0</v>
      </c>
      <c r="R39" s="78">
        <v>1</v>
      </c>
      <c r="S39" s="78">
        <v>1</v>
      </c>
      <c r="T39" s="77">
        <v>0</v>
      </c>
      <c r="U39" s="77">
        <v>1998.1303119546053</v>
      </c>
      <c r="V39" s="77">
        <v>37.595707870000005</v>
      </c>
      <c r="W39" s="77">
        <v>2.8155330000000003E-3</v>
      </c>
      <c r="X39" s="77">
        <v>0</v>
      </c>
      <c r="Y39" s="77">
        <v>0</v>
      </c>
      <c r="Z39" s="139">
        <v>53.529999999999994</v>
      </c>
      <c r="AA39" s="77">
        <v>0</v>
      </c>
      <c r="AB39" s="77">
        <v>171.96</v>
      </c>
      <c r="AC39" s="77">
        <f t="shared" si="6"/>
        <v>6.5051435080276596E-2</v>
      </c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</row>
    <row r="40" spans="1:72" s="88" customFormat="1" x14ac:dyDescent="0.35">
      <c r="A40" s="131"/>
      <c r="B40" s="95" t="str">
        <f t="shared" si="7"/>
        <v>RPU_OFF_SP379-HH150</v>
      </c>
      <c r="C40" s="74" t="s">
        <v>213</v>
      </c>
      <c r="D40" s="75" t="s">
        <v>63</v>
      </c>
      <c r="E40" s="76">
        <f t="shared" si="5"/>
        <v>32</v>
      </c>
      <c r="F40" s="76">
        <v>1</v>
      </c>
      <c r="G40" s="76" t="s">
        <v>64</v>
      </c>
      <c r="H40" s="77">
        <v>0</v>
      </c>
      <c r="I40" s="76" t="s">
        <v>11</v>
      </c>
      <c r="J40" s="77">
        <v>1</v>
      </c>
      <c r="K40" s="77">
        <v>0</v>
      </c>
      <c r="L40" s="77"/>
      <c r="M40" s="77">
        <v>0</v>
      </c>
      <c r="N40" s="77">
        <v>0</v>
      </c>
      <c r="O40" s="79">
        <v>0</v>
      </c>
      <c r="P40" s="77">
        <v>0</v>
      </c>
      <c r="Q40" s="78">
        <v>0</v>
      </c>
      <c r="R40" s="78">
        <v>1</v>
      </c>
      <c r="S40" s="78">
        <v>1</v>
      </c>
      <c r="T40" s="77">
        <v>0</v>
      </c>
      <c r="U40" s="77">
        <v>2296.6158904916497</v>
      </c>
      <c r="V40" s="77">
        <v>37.595707870000005</v>
      </c>
      <c r="W40" s="77">
        <v>2.8155330000000003E-3</v>
      </c>
      <c r="X40" s="77">
        <v>0</v>
      </c>
      <c r="Y40" s="77">
        <v>0</v>
      </c>
      <c r="Z40" s="139">
        <v>53.529999999999994</v>
      </c>
      <c r="AA40" s="77">
        <v>0</v>
      </c>
      <c r="AB40" s="77">
        <v>171.96</v>
      </c>
      <c r="AC40" s="77">
        <f t="shared" si="6"/>
        <v>6.5051435080276596E-2</v>
      </c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</row>
    <row r="41" spans="1:72" s="77" customFormat="1" x14ac:dyDescent="0.35">
      <c r="A41" s="131"/>
      <c r="B41" s="95" t="str">
        <f t="shared" si="7"/>
        <v>RPU_OFF_SP450-HH100</v>
      </c>
      <c r="C41" s="74" t="s">
        <v>213</v>
      </c>
      <c r="D41" s="75" t="s">
        <v>65</v>
      </c>
      <c r="E41" s="76">
        <f t="shared" si="5"/>
        <v>33</v>
      </c>
      <c r="F41" s="76">
        <v>1</v>
      </c>
      <c r="G41" s="76" t="s">
        <v>66</v>
      </c>
      <c r="H41" s="77">
        <v>0</v>
      </c>
      <c r="I41" s="76" t="s">
        <v>11</v>
      </c>
      <c r="J41" s="77">
        <v>1</v>
      </c>
      <c r="K41" s="77">
        <v>0</v>
      </c>
      <c r="M41" s="77">
        <v>0</v>
      </c>
      <c r="N41" s="77">
        <v>0</v>
      </c>
      <c r="O41" s="79">
        <v>0</v>
      </c>
      <c r="P41" s="77">
        <v>0</v>
      </c>
      <c r="Q41" s="78">
        <v>0</v>
      </c>
      <c r="R41" s="78">
        <v>1</v>
      </c>
      <c r="S41" s="78">
        <v>1</v>
      </c>
      <c r="T41" s="77">
        <v>0</v>
      </c>
      <c r="U41" s="77">
        <v>1801.4452222473265</v>
      </c>
      <c r="V41" s="77">
        <v>37.595707870000005</v>
      </c>
      <c r="W41" s="77">
        <v>2.8155330000000003E-3</v>
      </c>
      <c r="X41" s="77">
        <v>0</v>
      </c>
      <c r="Y41" s="77">
        <v>0</v>
      </c>
      <c r="Z41" s="139">
        <v>53.529999999999994</v>
      </c>
      <c r="AA41" s="77">
        <v>0</v>
      </c>
      <c r="AB41" s="77">
        <v>171.96</v>
      </c>
      <c r="AC41" s="77">
        <f t="shared" si="6"/>
        <v>6.5051435080276596E-2</v>
      </c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</row>
    <row r="42" spans="1:72" s="88" customFormat="1" x14ac:dyDescent="0.35">
      <c r="A42" s="131"/>
      <c r="B42" s="95" t="str">
        <f t="shared" si="7"/>
        <v>RPU_OFF_SP450-HH150</v>
      </c>
      <c r="C42" s="74" t="s">
        <v>213</v>
      </c>
      <c r="D42" s="75" t="s">
        <v>151</v>
      </c>
      <c r="E42" s="76">
        <f t="shared" si="5"/>
        <v>34</v>
      </c>
      <c r="F42" s="76">
        <v>1</v>
      </c>
      <c r="G42" s="76" t="s">
        <v>67</v>
      </c>
      <c r="H42" s="77">
        <v>0</v>
      </c>
      <c r="I42" s="76" t="s">
        <v>11</v>
      </c>
      <c r="J42" s="77">
        <v>1</v>
      </c>
      <c r="K42" s="77">
        <v>0</v>
      </c>
      <c r="L42" s="77"/>
      <c r="M42" s="77">
        <v>0</v>
      </c>
      <c r="N42" s="77">
        <v>0</v>
      </c>
      <c r="O42" s="79">
        <v>0</v>
      </c>
      <c r="P42" s="77">
        <v>0</v>
      </c>
      <c r="Q42" s="78">
        <v>0</v>
      </c>
      <c r="R42" s="78">
        <v>1</v>
      </c>
      <c r="S42" s="78">
        <v>1</v>
      </c>
      <c r="T42" s="77">
        <v>0</v>
      </c>
      <c r="U42" s="77">
        <v>2052.8014989101002</v>
      </c>
      <c r="V42" s="77">
        <v>37.595707870000005</v>
      </c>
      <c r="W42" s="77">
        <v>2.8155330000000003E-3</v>
      </c>
      <c r="X42" s="77">
        <v>0</v>
      </c>
      <c r="Y42" s="77">
        <v>0</v>
      </c>
      <c r="Z42" s="139">
        <v>53.53</v>
      </c>
      <c r="AA42" s="77">
        <v>0</v>
      </c>
      <c r="AB42" s="77">
        <v>171.96</v>
      </c>
      <c r="AC42" s="77">
        <f t="shared" si="6"/>
        <v>6.5051435080276596E-2</v>
      </c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</row>
    <row r="43" spans="1:72" s="77" customFormat="1" x14ac:dyDescent="0.35">
      <c r="A43" s="131"/>
      <c r="B43" s="92" t="s">
        <v>25</v>
      </c>
      <c r="C43" s="86" t="s">
        <v>30</v>
      </c>
      <c r="D43" s="91" t="s">
        <v>35</v>
      </c>
      <c r="E43" s="87">
        <f t="shared" si="5"/>
        <v>35</v>
      </c>
      <c r="F43" s="87">
        <v>0</v>
      </c>
      <c r="G43" s="87" t="s">
        <v>20</v>
      </c>
      <c r="H43" s="88">
        <v>0</v>
      </c>
      <c r="I43" s="87" t="s">
        <v>11</v>
      </c>
      <c r="J43" s="88">
        <v>1</v>
      </c>
      <c r="K43" s="88">
        <v>0</v>
      </c>
      <c r="L43" s="88"/>
      <c r="M43" s="88">
        <v>0</v>
      </c>
      <c r="N43" s="88">
        <v>0</v>
      </c>
      <c r="O43" s="89">
        <v>0</v>
      </c>
      <c r="P43" s="88">
        <v>0</v>
      </c>
      <c r="Q43" s="90">
        <v>0</v>
      </c>
      <c r="R43" s="90">
        <v>1</v>
      </c>
      <c r="S43" s="90">
        <v>1</v>
      </c>
      <c r="T43" s="88">
        <v>0</v>
      </c>
      <c r="U43" s="88">
        <v>66</v>
      </c>
      <c r="V43" s="89">
        <v>0</v>
      </c>
      <c r="W43" s="89">
        <v>0</v>
      </c>
      <c r="X43" s="88">
        <v>0</v>
      </c>
      <c r="Y43" s="88">
        <v>1.6649999999999998E-2</v>
      </c>
      <c r="Z43" s="140">
        <v>0</v>
      </c>
      <c r="AA43" s="88">
        <v>0</v>
      </c>
      <c r="AB43" s="88">
        <v>0</v>
      </c>
      <c r="AC43" s="93">
        <v>8.5803264560679798E-2</v>
      </c>
      <c r="AD43" s="42"/>
      <c r="AE43" s="42"/>
      <c r="AF43" s="42"/>
      <c r="AG43" s="42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</row>
    <row r="44" spans="1:72" s="77" customFormat="1" x14ac:dyDescent="0.35">
      <c r="A44" s="131"/>
      <c r="B44" s="95" t="s">
        <v>175</v>
      </c>
      <c r="C44" s="74" t="s">
        <v>31</v>
      </c>
      <c r="D44" s="94" t="s">
        <v>36</v>
      </c>
      <c r="E44" s="76">
        <f t="shared" si="5"/>
        <v>36</v>
      </c>
      <c r="F44" s="76">
        <v>1</v>
      </c>
      <c r="G44" s="76" t="s">
        <v>21</v>
      </c>
      <c r="H44" s="77">
        <v>0</v>
      </c>
      <c r="I44" s="76" t="s">
        <v>11</v>
      </c>
      <c r="J44" s="77">
        <v>-1</v>
      </c>
      <c r="K44" s="77">
        <v>0</v>
      </c>
      <c r="M44" s="77">
        <v>0</v>
      </c>
      <c r="N44" s="77">
        <v>0</v>
      </c>
      <c r="O44" s="77">
        <v>0</v>
      </c>
      <c r="P44" s="77">
        <v>0</v>
      </c>
      <c r="Q44" s="78">
        <v>0</v>
      </c>
      <c r="R44" s="78">
        <v>1</v>
      </c>
      <c r="S44" s="78">
        <v>1</v>
      </c>
      <c r="T44" s="77">
        <v>0</v>
      </c>
      <c r="U44" s="79">
        <v>0</v>
      </c>
      <c r="V44" s="79">
        <v>0</v>
      </c>
      <c r="W44" s="79">
        <v>1E-4</v>
      </c>
      <c r="X44" s="77">
        <v>0</v>
      </c>
      <c r="Y44" s="77">
        <v>0</v>
      </c>
      <c r="Z44" s="139">
        <v>0</v>
      </c>
      <c r="AA44" s="77">
        <v>0</v>
      </c>
      <c r="AB44" s="77">
        <v>0</v>
      </c>
      <c r="AC44" s="79">
        <v>0</v>
      </c>
      <c r="AD44" s="42"/>
      <c r="AE44" s="42"/>
      <c r="AF44" s="42"/>
      <c r="AG44" s="42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</row>
    <row r="45" spans="1:72" s="63" customFormat="1" x14ac:dyDescent="0.35">
      <c r="A45" s="40"/>
      <c r="B45" s="95" t="s">
        <v>14</v>
      </c>
      <c r="C45" s="74" t="s">
        <v>213</v>
      </c>
      <c r="D45" s="94" t="s">
        <v>37</v>
      </c>
      <c r="E45" s="76">
        <f t="shared" si="5"/>
        <v>37</v>
      </c>
      <c r="F45" s="96">
        <v>1</v>
      </c>
      <c r="G45" s="96" t="s">
        <v>22</v>
      </c>
      <c r="H45" s="97">
        <v>0</v>
      </c>
      <c r="I45" s="96" t="s">
        <v>11</v>
      </c>
      <c r="J45" s="97">
        <v>-1</v>
      </c>
      <c r="K45" s="97">
        <v>0</v>
      </c>
      <c r="L45" s="97"/>
      <c r="M45" s="97">
        <v>0</v>
      </c>
      <c r="N45" s="97">
        <v>0</v>
      </c>
      <c r="O45" s="97">
        <v>0</v>
      </c>
      <c r="P45" s="97">
        <v>0</v>
      </c>
      <c r="Q45" s="98">
        <v>0</v>
      </c>
      <c r="R45" s="98">
        <v>1</v>
      </c>
      <c r="S45" s="98">
        <v>1</v>
      </c>
      <c r="T45" s="97">
        <v>0.05</v>
      </c>
      <c r="U45" s="97">
        <v>0</v>
      </c>
      <c r="V45" s="97">
        <v>0</v>
      </c>
      <c r="W45" s="79">
        <v>1E-4</v>
      </c>
      <c r="X45" s="97">
        <v>0</v>
      </c>
      <c r="Y45" s="97">
        <v>0</v>
      </c>
      <c r="Z45" s="141">
        <v>0</v>
      </c>
      <c r="AA45" s="97">
        <v>0</v>
      </c>
      <c r="AB45" s="97">
        <v>0</v>
      </c>
      <c r="AC45" s="97">
        <v>0</v>
      </c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</row>
    <row r="46" spans="1:72" x14ac:dyDescent="0.35">
      <c r="A46" s="40"/>
      <c r="B46" s="95" t="s">
        <v>15</v>
      </c>
      <c r="C46" s="74" t="s">
        <v>213</v>
      </c>
      <c r="D46" s="94" t="s">
        <v>38</v>
      </c>
      <c r="E46" s="76">
        <f t="shared" si="5"/>
        <v>38</v>
      </c>
      <c r="F46" s="96">
        <v>1</v>
      </c>
      <c r="G46" s="96" t="s">
        <v>23</v>
      </c>
      <c r="H46" s="97">
        <v>0</v>
      </c>
      <c r="I46" s="96" t="s">
        <v>11</v>
      </c>
      <c r="J46" s="97">
        <v>1</v>
      </c>
      <c r="K46" s="97">
        <v>0</v>
      </c>
      <c r="L46" s="97"/>
      <c r="M46" s="97">
        <v>0</v>
      </c>
      <c r="N46" s="97">
        <v>0</v>
      </c>
      <c r="O46" s="97">
        <v>0</v>
      </c>
      <c r="P46" s="97">
        <v>0</v>
      </c>
      <c r="Q46" s="98">
        <v>0</v>
      </c>
      <c r="R46" s="98">
        <v>1</v>
      </c>
      <c r="S46" s="98">
        <v>1</v>
      </c>
      <c r="T46" s="97">
        <v>0.05</v>
      </c>
      <c r="U46" s="97">
        <v>0</v>
      </c>
      <c r="V46" s="97">
        <v>0</v>
      </c>
      <c r="W46" s="79">
        <v>1E-4</v>
      </c>
      <c r="X46" s="97">
        <v>0</v>
      </c>
      <c r="Y46" s="97">
        <v>0</v>
      </c>
      <c r="Z46" s="141">
        <v>0</v>
      </c>
      <c r="AA46" s="97">
        <v>0</v>
      </c>
      <c r="AB46" s="97">
        <v>0</v>
      </c>
      <c r="AC46" s="97">
        <v>0</v>
      </c>
    </row>
    <row r="47" spans="1:72" x14ac:dyDescent="0.35">
      <c r="A47" s="40"/>
      <c r="B47" s="95" t="s">
        <v>16</v>
      </c>
      <c r="C47" s="74" t="s">
        <v>213</v>
      </c>
      <c r="D47" s="75" t="s">
        <v>39</v>
      </c>
      <c r="E47" s="76">
        <f t="shared" si="5"/>
        <v>39</v>
      </c>
      <c r="F47" s="96">
        <v>1</v>
      </c>
      <c r="G47" s="96" t="s">
        <v>24</v>
      </c>
      <c r="H47" s="97">
        <v>0</v>
      </c>
      <c r="I47" s="96" t="s">
        <v>11</v>
      </c>
      <c r="J47" s="97">
        <v>0</v>
      </c>
      <c r="K47" s="97">
        <v>0</v>
      </c>
      <c r="L47" s="97"/>
      <c r="M47" s="97">
        <v>0</v>
      </c>
      <c r="N47" s="97">
        <v>0</v>
      </c>
      <c r="O47" s="97">
        <v>0</v>
      </c>
      <c r="P47" s="97">
        <v>0</v>
      </c>
      <c r="Q47" s="98">
        <v>0.2</v>
      </c>
      <c r="R47" s="98">
        <v>1</v>
      </c>
      <c r="S47" s="98">
        <v>1</v>
      </c>
      <c r="T47" s="97">
        <v>0</v>
      </c>
      <c r="U47" s="97">
        <v>364</v>
      </c>
      <c r="V47" s="97">
        <v>5</v>
      </c>
      <c r="W47" s="79">
        <v>1E-4</v>
      </c>
      <c r="X47" s="97">
        <v>0</v>
      </c>
      <c r="Y47" s="97">
        <v>0</v>
      </c>
      <c r="Z47" s="141">
        <v>1.57</v>
      </c>
      <c r="AA47" s="97">
        <v>0</v>
      </c>
      <c r="AB47" s="97">
        <v>1.7333332999999999E-2</v>
      </c>
      <c r="AC47" s="97">
        <f>5%/(1-(1+5%)^-25)</f>
        <v>7.0952457299229624E-2</v>
      </c>
    </row>
    <row r="48" spans="1:72" x14ac:dyDescent="0.35">
      <c r="A48" s="40"/>
      <c r="B48" s="12"/>
      <c r="D48" s="6"/>
      <c r="E48" s="2"/>
      <c r="F48" s="2"/>
      <c r="G48" s="6"/>
      <c r="I48" s="2"/>
      <c r="M48" s="42"/>
      <c r="Q48" s="106"/>
      <c r="R48" s="106"/>
      <c r="S48" s="106"/>
      <c r="U48" s="107"/>
    </row>
    <row r="49" spans="1:29" x14ac:dyDescent="0.35">
      <c r="A49" s="40"/>
      <c r="B49" s="12"/>
      <c r="D49" s="6"/>
      <c r="E49" s="2"/>
      <c r="F49" s="2"/>
      <c r="G49" s="6"/>
      <c r="I49" s="2"/>
      <c r="M49" s="42"/>
      <c r="Q49" s="106"/>
      <c r="R49" s="106"/>
      <c r="S49" s="106"/>
      <c r="U49" s="107"/>
    </row>
    <row r="50" spans="1:29" x14ac:dyDescent="0.35">
      <c r="A50" s="40"/>
      <c r="B50" s="12"/>
      <c r="D50" s="6"/>
      <c r="E50" s="2"/>
      <c r="F50" s="2"/>
      <c r="G50" s="6"/>
      <c r="I50" s="2"/>
      <c r="M50" s="42"/>
      <c r="Q50" s="106"/>
      <c r="R50" s="106"/>
      <c r="S50" s="106"/>
      <c r="U50" s="108"/>
      <c r="V50" s="3"/>
      <c r="W50" s="3"/>
      <c r="X50" s="3"/>
      <c r="Y50" s="3"/>
      <c r="Z50" s="3"/>
      <c r="AC50" s="3"/>
    </row>
    <row r="51" spans="1:29" x14ac:dyDescent="0.35">
      <c r="A51" s="40"/>
      <c r="E51" s="2"/>
    </row>
    <row r="52" spans="1:29" x14ac:dyDescent="0.35">
      <c r="A52" s="40"/>
      <c r="E52" s="2"/>
    </row>
    <row r="53" spans="1:29" x14ac:dyDescent="0.35">
      <c r="A53" s="40"/>
    </row>
    <row r="54" spans="1:29" x14ac:dyDescent="0.35">
      <c r="A54" s="40"/>
    </row>
    <row r="55" spans="1:29" x14ac:dyDescent="0.35">
      <c r="A55" s="40"/>
    </row>
    <row r="56" spans="1:29" x14ac:dyDescent="0.35">
      <c r="A56" s="40"/>
    </row>
    <row r="57" spans="1:29" x14ac:dyDescent="0.35">
      <c r="A57" s="40"/>
    </row>
    <row r="58" spans="1:29" x14ac:dyDescent="0.35">
      <c r="A58" s="40"/>
    </row>
    <row r="59" spans="1:29" x14ac:dyDescent="0.35">
      <c r="A59" s="40"/>
    </row>
    <row r="60" spans="1:29" x14ac:dyDescent="0.35">
      <c r="A60" s="40"/>
    </row>
  </sheetData>
  <mergeCells count="6">
    <mergeCell ref="A26:A44"/>
    <mergeCell ref="A9:A25"/>
    <mergeCell ref="A4:C4"/>
    <mergeCell ref="D5:D8"/>
    <mergeCell ref="B5:B8"/>
    <mergeCell ref="C5:C8"/>
  </mergeCells>
  <conditionalFormatting sqref="A2">
    <cfRule type="cellIs" dxfId="5" priority="3" operator="equal">
      <formula>TRUE</formula>
    </cfRule>
    <cfRule type="cellIs" dxfId="4" priority="4" operator="equal">
      <formula>FALSE</formula>
    </cfRule>
  </conditionalFormatting>
  <conditionalFormatting sqref="B2">
    <cfRule type="cellIs" dxfId="3" priority="1" operator="equal">
      <formula>FALSE</formula>
    </cfRule>
    <cfRule type="cellIs" dxfId="2" priority="2" operator="equal">
      <formula>TRUE</formula>
    </cfRule>
  </conditionalFormatting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48"/>
  <sheetViews>
    <sheetView topLeftCell="A31" workbookViewId="0">
      <selection activeCell="B6" sqref="A6:XFD6"/>
    </sheetView>
  </sheetViews>
  <sheetFormatPr defaultColWidth="8.7265625" defaultRowHeight="14.5" x14ac:dyDescent="0.35"/>
  <cols>
    <col min="1" max="1" width="27.453125" customWidth="1"/>
    <col min="2" max="2" width="33.1796875" customWidth="1"/>
    <col min="3" max="3" width="13.453125" bestFit="1" customWidth="1"/>
    <col min="4" max="6" width="14.54296875" bestFit="1" customWidth="1"/>
  </cols>
  <sheetData>
    <row r="1" spans="1:6" x14ac:dyDescent="0.35">
      <c r="A1" s="43" t="s">
        <v>189</v>
      </c>
      <c r="B1" s="5" t="s">
        <v>155</v>
      </c>
      <c r="C1" s="42" t="s">
        <v>91</v>
      </c>
      <c r="D1" s="42" t="s">
        <v>91</v>
      </c>
      <c r="E1" s="41" t="s">
        <v>193</v>
      </c>
      <c r="F1" s="41" t="s">
        <v>193</v>
      </c>
    </row>
    <row r="2" spans="1:6" x14ac:dyDescent="0.35">
      <c r="A2" s="44" t="s">
        <v>182</v>
      </c>
      <c r="B2" s="5" t="s">
        <v>140</v>
      </c>
      <c r="C2" s="45">
        <v>19.899999999999999</v>
      </c>
      <c r="D2" s="45">
        <v>19.899999999999999</v>
      </c>
      <c r="E2" s="45">
        <v>34.4</v>
      </c>
      <c r="F2" s="45">
        <v>34.4</v>
      </c>
    </row>
    <row r="3" spans="1:6" x14ac:dyDescent="0.35">
      <c r="A3" s="43" t="s">
        <v>190</v>
      </c>
      <c r="B3" s="42" t="s">
        <v>95</v>
      </c>
      <c r="C3" s="42" t="s">
        <v>80</v>
      </c>
      <c r="D3" s="42" t="s">
        <v>92</v>
      </c>
      <c r="E3" s="42" t="s">
        <v>80</v>
      </c>
      <c r="F3" s="42" t="s">
        <v>92</v>
      </c>
    </row>
    <row r="4" spans="1:6" x14ac:dyDescent="0.35">
      <c r="A4" s="44" t="s">
        <v>148</v>
      </c>
      <c r="B4" s="42" t="s">
        <v>111</v>
      </c>
      <c r="C4" s="42" t="s">
        <v>112</v>
      </c>
      <c r="D4" s="42" t="s">
        <v>112</v>
      </c>
      <c r="E4" s="42" t="s">
        <v>112</v>
      </c>
      <c r="F4" s="42" t="s">
        <v>112</v>
      </c>
    </row>
    <row r="5" spans="1:6" x14ac:dyDescent="0.35">
      <c r="A5" s="3"/>
      <c r="B5" s="5" t="s">
        <v>113</v>
      </c>
      <c r="C5" s="42" t="s">
        <v>197</v>
      </c>
      <c r="D5" s="42" t="s">
        <v>198</v>
      </c>
      <c r="E5" s="42" t="s">
        <v>199</v>
      </c>
      <c r="F5" s="42" t="s">
        <v>217</v>
      </c>
    </row>
    <row r="6" spans="1:6" x14ac:dyDescent="0.35">
      <c r="A6" s="46">
        <v>1</v>
      </c>
      <c r="B6" s="46" t="s">
        <v>84</v>
      </c>
      <c r="C6" s="48">
        <v>1</v>
      </c>
      <c r="D6" s="48">
        <v>1</v>
      </c>
      <c r="E6" s="47">
        <v>0</v>
      </c>
      <c r="F6" s="47">
        <v>0</v>
      </c>
    </row>
    <row r="7" spans="1:6" x14ac:dyDescent="0.35">
      <c r="A7" s="46">
        <f>A6+1</f>
        <v>2</v>
      </c>
      <c r="B7" s="46" t="s">
        <v>184</v>
      </c>
      <c r="C7" s="48">
        <v>1</v>
      </c>
      <c r="D7" s="48">
        <v>1</v>
      </c>
      <c r="E7" s="47">
        <v>0</v>
      </c>
      <c r="F7" s="47">
        <v>0</v>
      </c>
    </row>
    <row r="8" spans="1:6" x14ac:dyDescent="0.35">
      <c r="A8" s="46">
        <f t="shared" ref="A8:A44" si="0">A7+1</f>
        <v>3</v>
      </c>
      <c r="B8" s="46" t="s">
        <v>200</v>
      </c>
      <c r="C8" s="47">
        <v>0</v>
      </c>
      <c r="D8" s="47">
        <v>0</v>
      </c>
      <c r="E8" s="48">
        <v>1</v>
      </c>
      <c r="F8" s="48">
        <v>1</v>
      </c>
    </row>
    <row r="9" spans="1:6" x14ac:dyDescent="0.35">
      <c r="A9" s="46">
        <f t="shared" si="0"/>
        <v>4</v>
      </c>
      <c r="B9" s="6" t="s">
        <v>203</v>
      </c>
      <c r="C9" s="47">
        <v>0</v>
      </c>
      <c r="D9" s="47">
        <v>0</v>
      </c>
      <c r="E9" s="48">
        <v>1</v>
      </c>
      <c r="F9" s="48">
        <v>1</v>
      </c>
    </row>
    <row r="10" spans="1:6" x14ac:dyDescent="0.35">
      <c r="A10" s="46">
        <f t="shared" si="0"/>
        <v>5</v>
      </c>
      <c r="B10" s="46" t="s">
        <v>207</v>
      </c>
      <c r="C10" s="47">
        <v>0</v>
      </c>
      <c r="D10" s="47">
        <v>0</v>
      </c>
      <c r="E10" s="48">
        <v>1</v>
      </c>
      <c r="F10" s="48">
        <v>1</v>
      </c>
    </row>
    <row r="11" spans="1:6" x14ac:dyDescent="0.35">
      <c r="A11" s="46">
        <f t="shared" si="0"/>
        <v>6</v>
      </c>
      <c r="B11" s="46" t="s">
        <v>208</v>
      </c>
      <c r="C11" s="47">
        <v>0</v>
      </c>
      <c r="D11" s="47">
        <v>0</v>
      </c>
      <c r="E11" s="48">
        <v>1</v>
      </c>
      <c r="F11" s="48">
        <v>1</v>
      </c>
    </row>
    <row r="12" spans="1:6" x14ac:dyDescent="0.35">
      <c r="A12" s="46">
        <f t="shared" si="0"/>
        <v>7</v>
      </c>
      <c r="B12" s="46" t="s">
        <v>209</v>
      </c>
      <c r="C12" s="47">
        <v>0</v>
      </c>
      <c r="D12" s="47">
        <v>0</v>
      </c>
      <c r="E12" s="48">
        <v>1</v>
      </c>
      <c r="F12" s="48">
        <v>1</v>
      </c>
    </row>
    <row r="13" spans="1:6" x14ac:dyDescent="0.35">
      <c r="A13" s="46">
        <f t="shared" si="0"/>
        <v>8</v>
      </c>
      <c r="B13" s="46" t="s">
        <v>216</v>
      </c>
      <c r="C13" s="47">
        <v>0</v>
      </c>
      <c r="D13" s="47">
        <v>0</v>
      </c>
      <c r="E13" s="48">
        <v>1</v>
      </c>
      <c r="F13" s="112">
        <v>1</v>
      </c>
    </row>
    <row r="14" spans="1:6" x14ac:dyDescent="0.35">
      <c r="A14" s="46">
        <f t="shared" si="0"/>
        <v>9</v>
      </c>
      <c r="B14" s="46" t="s">
        <v>182</v>
      </c>
      <c r="C14" s="48">
        <v>1</v>
      </c>
      <c r="D14" s="48">
        <v>1</v>
      </c>
      <c r="E14" s="48">
        <v>1</v>
      </c>
      <c r="F14" s="48">
        <v>1</v>
      </c>
    </row>
    <row r="15" spans="1:6" x14ac:dyDescent="0.35">
      <c r="A15" s="46">
        <f t="shared" si="0"/>
        <v>10</v>
      </c>
      <c r="B15" s="46" t="s">
        <v>186</v>
      </c>
      <c r="C15" s="48">
        <v>1</v>
      </c>
      <c r="D15" s="47">
        <v>0</v>
      </c>
      <c r="E15" s="48">
        <v>1</v>
      </c>
      <c r="F15" s="47">
        <v>0</v>
      </c>
    </row>
    <row r="16" spans="1:6" x14ac:dyDescent="0.35">
      <c r="A16" s="46">
        <f t="shared" si="0"/>
        <v>11</v>
      </c>
      <c r="B16" s="46" t="s">
        <v>187</v>
      </c>
      <c r="C16" s="47">
        <v>0</v>
      </c>
      <c r="D16" s="48">
        <v>1</v>
      </c>
      <c r="E16" s="47">
        <v>0</v>
      </c>
      <c r="F16" s="49">
        <v>1</v>
      </c>
    </row>
    <row r="17" spans="1:6" x14ac:dyDescent="0.35">
      <c r="A17" s="46">
        <f t="shared" si="0"/>
        <v>12</v>
      </c>
      <c r="B17" s="46" t="s">
        <v>69</v>
      </c>
      <c r="C17" s="48">
        <v>1</v>
      </c>
      <c r="D17" s="48">
        <v>1</v>
      </c>
      <c r="E17" s="47">
        <v>0</v>
      </c>
      <c r="F17" s="47">
        <v>0</v>
      </c>
    </row>
    <row r="18" spans="1:6" x14ac:dyDescent="0.35">
      <c r="A18" s="46">
        <f t="shared" si="0"/>
        <v>13</v>
      </c>
      <c r="B18" s="46" t="s">
        <v>196</v>
      </c>
      <c r="C18" s="47">
        <v>0</v>
      </c>
      <c r="D18" s="47">
        <v>0</v>
      </c>
      <c r="E18" s="48">
        <v>1</v>
      </c>
      <c r="F18" s="48">
        <v>1</v>
      </c>
    </row>
    <row r="19" spans="1:6" x14ac:dyDescent="0.35">
      <c r="A19" s="46">
        <f t="shared" si="0"/>
        <v>14</v>
      </c>
      <c r="B19" s="46" t="s">
        <v>211</v>
      </c>
      <c r="C19" s="47">
        <v>0</v>
      </c>
      <c r="D19" s="47">
        <v>0</v>
      </c>
      <c r="E19" s="48">
        <v>1</v>
      </c>
      <c r="F19" s="48">
        <v>1</v>
      </c>
    </row>
    <row r="20" spans="1:6" x14ac:dyDescent="0.35">
      <c r="A20" s="46">
        <f t="shared" si="0"/>
        <v>15</v>
      </c>
      <c r="B20" s="46" t="s">
        <v>32</v>
      </c>
      <c r="C20" s="48">
        <v>1</v>
      </c>
      <c r="D20" s="48">
        <v>1</v>
      </c>
      <c r="E20" s="48">
        <v>1</v>
      </c>
      <c r="F20" s="48">
        <v>1</v>
      </c>
    </row>
    <row r="21" spans="1:6" x14ac:dyDescent="0.35">
      <c r="A21" s="46">
        <f t="shared" si="0"/>
        <v>16</v>
      </c>
      <c r="B21" s="46" t="s">
        <v>33</v>
      </c>
      <c r="C21" s="48">
        <v>1</v>
      </c>
      <c r="D21" s="48">
        <v>1</v>
      </c>
      <c r="E21" s="48">
        <v>1</v>
      </c>
      <c r="F21" s="48">
        <v>1</v>
      </c>
    </row>
    <row r="22" spans="1:6" x14ac:dyDescent="0.35">
      <c r="A22" s="46">
        <f t="shared" si="0"/>
        <v>17</v>
      </c>
      <c r="B22" s="46" t="s">
        <v>34</v>
      </c>
      <c r="C22" s="48">
        <v>1</v>
      </c>
      <c r="D22" s="48">
        <v>1</v>
      </c>
      <c r="E22" s="48">
        <v>1</v>
      </c>
      <c r="F22" s="48">
        <v>1</v>
      </c>
    </row>
    <row r="23" spans="1:6" x14ac:dyDescent="0.35">
      <c r="A23" s="46">
        <f t="shared" si="0"/>
        <v>18</v>
      </c>
      <c r="B23" s="46" t="s">
        <v>144</v>
      </c>
      <c r="C23" s="48">
        <v>1</v>
      </c>
      <c r="D23" s="48">
        <v>1</v>
      </c>
      <c r="E23" s="48">
        <v>1</v>
      </c>
      <c r="F23" s="48">
        <v>1</v>
      </c>
    </row>
    <row r="24" spans="1:6" x14ac:dyDescent="0.35">
      <c r="A24" s="46">
        <f t="shared" si="0"/>
        <v>19</v>
      </c>
      <c r="B24" s="46" t="s">
        <v>146</v>
      </c>
      <c r="C24" s="48">
        <v>1</v>
      </c>
      <c r="D24" s="48">
        <v>1</v>
      </c>
      <c r="E24" s="48">
        <v>1</v>
      </c>
      <c r="F24" s="48">
        <v>1</v>
      </c>
    </row>
    <row r="25" spans="1:6" x14ac:dyDescent="0.35">
      <c r="A25" s="46">
        <f t="shared" si="0"/>
        <v>20</v>
      </c>
      <c r="B25" s="46" t="s">
        <v>148</v>
      </c>
      <c r="C25" s="48">
        <v>1</v>
      </c>
      <c r="D25" s="48">
        <v>1</v>
      </c>
      <c r="E25" s="48">
        <v>1</v>
      </c>
      <c r="F25" s="48">
        <v>1</v>
      </c>
    </row>
    <row r="26" spans="1:6" x14ac:dyDescent="0.35">
      <c r="A26" s="46">
        <f t="shared" si="0"/>
        <v>21</v>
      </c>
      <c r="B26" s="46" t="s">
        <v>40</v>
      </c>
      <c r="C26" s="48">
        <v>1</v>
      </c>
      <c r="D26" s="48">
        <v>1</v>
      </c>
      <c r="E26" s="48">
        <v>1</v>
      </c>
      <c r="F26" s="48">
        <v>1</v>
      </c>
    </row>
    <row r="27" spans="1:6" x14ac:dyDescent="0.35">
      <c r="A27" s="46">
        <f t="shared" si="0"/>
        <v>22</v>
      </c>
      <c r="B27" s="46" t="s">
        <v>42</v>
      </c>
      <c r="C27" s="48">
        <v>1</v>
      </c>
      <c r="D27" s="48">
        <v>1</v>
      </c>
      <c r="E27" s="48">
        <v>1</v>
      </c>
      <c r="F27" s="48">
        <v>1</v>
      </c>
    </row>
    <row r="28" spans="1:6" x14ac:dyDescent="0.35">
      <c r="A28" s="46">
        <f t="shared" si="0"/>
        <v>23</v>
      </c>
      <c r="B28" s="46" t="s">
        <v>150</v>
      </c>
      <c r="C28" s="48">
        <v>1</v>
      </c>
      <c r="D28" s="48">
        <v>1</v>
      </c>
      <c r="E28" s="48">
        <v>1</v>
      </c>
      <c r="F28" s="48">
        <v>1</v>
      </c>
    </row>
    <row r="29" spans="1:6" x14ac:dyDescent="0.35">
      <c r="A29" s="46">
        <f t="shared" si="0"/>
        <v>24</v>
      </c>
      <c r="B29" s="46" t="s">
        <v>47</v>
      </c>
      <c r="C29" s="48">
        <v>1</v>
      </c>
      <c r="D29" s="48">
        <v>1</v>
      </c>
      <c r="E29" s="48">
        <v>1</v>
      </c>
      <c r="F29" s="48">
        <v>1</v>
      </c>
    </row>
    <row r="30" spans="1:6" x14ac:dyDescent="0.35">
      <c r="A30" s="46">
        <f t="shared" si="0"/>
        <v>25</v>
      </c>
      <c r="B30" s="46" t="s">
        <v>49</v>
      </c>
      <c r="C30" s="48">
        <v>1</v>
      </c>
      <c r="D30" s="48">
        <v>1</v>
      </c>
      <c r="E30" s="48">
        <v>1</v>
      </c>
      <c r="F30" s="48">
        <v>1</v>
      </c>
    </row>
    <row r="31" spans="1:6" x14ac:dyDescent="0.35">
      <c r="A31" s="46">
        <f t="shared" si="0"/>
        <v>26</v>
      </c>
      <c r="B31" s="46" t="s">
        <v>51</v>
      </c>
      <c r="C31" s="48">
        <v>1</v>
      </c>
      <c r="D31" s="48">
        <v>1</v>
      </c>
      <c r="E31" s="48">
        <v>1</v>
      </c>
      <c r="F31" s="48">
        <v>1</v>
      </c>
    </row>
    <row r="32" spans="1:6" x14ac:dyDescent="0.35">
      <c r="A32" s="46">
        <f t="shared" si="0"/>
        <v>27</v>
      </c>
      <c r="B32" s="46" t="s">
        <v>53</v>
      </c>
      <c r="C32" s="48">
        <v>1</v>
      </c>
      <c r="D32" s="48">
        <v>1</v>
      </c>
      <c r="E32" s="48">
        <v>1</v>
      </c>
      <c r="F32" s="48">
        <v>1</v>
      </c>
    </row>
    <row r="33" spans="1:6" x14ac:dyDescent="0.35">
      <c r="A33" s="46">
        <f t="shared" si="0"/>
        <v>28</v>
      </c>
      <c r="B33" s="46" t="s">
        <v>55</v>
      </c>
      <c r="C33" s="48">
        <v>1</v>
      </c>
      <c r="D33" s="48">
        <v>1</v>
      </c>
      <c r="E33" s="48">
        <v>1</v>
      </c>
      <c r="F33" s="48">
        <v>1</v>
      </c>
    </row>
    <row r="34" spans="1:6" x14ac:dyDescent="0.35">
      <c r="A34" s="46">
        <f t="shared" si="0"/>
        <v>29</v>
      </c>
      <c r="B34" s="46" t="s">
        <v>57</v>
      </c>
      <c r="C34" s="48">
        <v>1</v>
      </c>
      <c r="D34" s="48">
        <v>1</v>
      </c>
      <c r="E34" s="48">
        <v>1</v>
      </c>
      <c r="F34" s="48">
        <v>1</v>
      </c>
    </row>
    <row r="35" spans="1:6" x14ac:dyDescent="0.35">
      <c r="A35" s="46">
        <f t="shared" si="0"/>
        <v>30</v>
      </c>
      <c r="B35" s="46" t="s">
        <v>59</v>
      </c>
      <c r="C35" s="48">
        <v>1</v>
      </c>
      <c r="D35" s="48">
        <v>1</v>
      </c>
      <c r="E35" s="48">
        <v>1</v>
      </c>
      <c r="F35" s="48">
        <v>1</v>
      </c>
    </row>
    <row r="36" spans="1:6" x14ac:dyDescent="0.35">
      <c r="A36" s="46">
        <f t="shared" si="0"/>
        <v>31</v>
      </c>
      <c r="B36" s="46" t="s">
        <v>61</v>
      </c>
      <c r="C36" s="48">
        <v>1</v>
      </c>
      <c r="D36" s="48">
        <v>1</v>
      </c>
      <c r="E36" s="48">
        <v>1</v>
      </c>
      <c r="F36" s="48">
        <v>1</v>
      </c>
    </row>
    <row r="37" spans="1:6" x14ac:dyDescent="0.35">
      <c r="A37" s="46">
        <f t="shared" si="0"/>
        <v>32</v>
      </c>
      <c r="B37" s="46" t="s">
        <v>63</v>
      </c>
      <c r="C37" s="48">
        <v>1</v>
      </c>
      <c r="D37" s="48">
        <v>1</v>
      </c>
      <c r="E37" s="48">
        <v>1</v>
      </c>
      <c r="F37" s="48">
        <v>1</v>
      </c>
    </row>
    <row r="38" spans="1:6" x14ac:dyDescent="0.35">
      <c r="A38" s="46">
        <f t="shared" si="0"/>
        <v>33</v>
      </c>
      <c r="B38" s="46" t="s">
        <v>65</v>
      </c>
      <c r="C38" s="48">
        <v>1</v>
      </c>
      <c r="D38" s="48">
        <v>1</v>
      </c>
      <c r="E38" s="48">
        <v>1</v>
      </c>
      <c r="F38" s="48">
        <v>1</v>
      </c>
    </row>
    <row r="39" spans="1:6" x14ac:dyDescent="0.35">
      <c r="A39" s="46">
        <f t="shared" si="0"/>
        <v>34</v>
      </c>
      <c r="B39" s="46" t="s">
        <v>151</v>
      </c>
      <c r="C39" s="48">
        <v>1</v>
      </c>
      <c r="D39" s="48">
        <v>1</v>
      </c>
      <c r="E39" s="48">
        <v>1</v>
      </c>
      <c r="F39" s="48">
        <v>1</v>
      </c>
    </row>
    <row r="40" spans="1:6" x14ac:dyDescent="0.35">
      <c r="A40" s="46">
        <f t="shared" si="0"/>
        <v>35</v>
      </c>
      <c r="B40" s="46" t="s">
        <v>35</v>
      </c>
      <c r="C40" s="48">
        <v>1</v>
      </c>
      <c r="D40" s="48">
        <v>1</v>
      </c>
      <c r="E40" s="48">
        <v>1</v>
      </c>
      <c r="F40" s="48">
        <v>1</v>
      </c>
    </row>
    <row r="41" spans="1:6" x14ac:dyDescent="0.35">
      <c r="A41" s="46">
        <f t="shared" si="0"/>
        <v>36</v>
      </c>
      <c r="B41" s="46" t="s">
        <v>36</v>
      </c>
      <c r="C41" s="48">
        <v>1</v>
      </c>
      <c r="D41" s="48">
        <v>1</v>
      </c>
      <c r="E41" s="48">
        <v>1</v>
      </c>
      <c r="F41" s="48">
        <v>1</v>
      </c>
    </row>
    <row r="42" spans="1:6" x14ac:dyDescent="0.35">
      <c r="A42" s="46">
        <f t="shared" si="0"/>
        <v>37</v>
      </c>
      <c r="B42" s="46" t="s">
        <v>37</v>
      </c>
      <c r="C42" s="48">
        <v>1</v>
      </c>
      <c r="D42" s="48">
        <v>1</v>
      </c>
      <c r="E42" s="48">
        <v>1</v>
      </c>
      <c r="F42" s="48">
        <v>1</v>
      </c>
    </row>
    <row r="43" spans="1:6" x14ac:dyDescent="0.35">
      <c r="A43" s="46">
        <f t="shared" si="0"/>
        <v>38</v>
      </c>
      <c r="B43" s="46" t="s">
        <v>38</v>
      </c>
      <c r="C43" s="48">
        <v>1</v>
      </c>
      <c r="D43" s="48">
        <v>1</v>
      </c>
      <c r="E43" s="48">
        <v>1</v>
      </c>
      <c r="F43" s="48">
        <v>1</v>
      </c>
    </row>
    <row r="44" spans="1:6" x14ac:dyDescent="0.35">
      <c r="A44" s="46">
        <f t="shared" si="0"/>
        <v>39</v>
      </c>
      <c r="B44" s="46" t="s">
        <v>39</v>
      </c>
      <c r="C44" s="48">
        <v>1</v>
      </c>
      <c r="D44" s="48">
        <v>1</v>
      </c>
      <c r="E44" s="48">
        <v>1</v>
      </c>
      <c r="F44" s="48">
        <v>1</v>
      </c>
    </row>
    <row r="45" spans="1:6" x14ac:dyDescent="0.35">
      <c r="A45" s="46"/>
      <c r="B45" s="16"/>
      <c r="C45" s="47"/>
      <c r="D45" s="47"/>
      <c r="E45" s="48"/>
      <c r="F45" s="48"/>
    </row>
    <row r="46" spans="1:6" x14ac:dyDescent="0.35">
      <c r="A46" s="46"/>
      <c r="B46" s="6"/>
      <c r="C46" s="47"/>
      <c r="D46" s="47"/>
      <c r="E46" s="48"/>
      <c r="F46" s="48"/>
    </row>
    <row r="47" spans="1:6" x14ac:dyDescent="0.35">
      <c r="A47" s="46"/>
      <c r="B47" s="6"/>
      <c r="C47" s="47"/>
      <c r="D47" s="47"/>
      <c r="E47" s="48"/>
      <c r="F47" s="48"/>
    </row>
    <row r="48" spans="1:6" x14ac:dyDescent="0.35">
      <c r="A48" s="46"/>
      <c r="B48" s="6"/>
      <c r="C48" s="47"/>
      <c r="D48" s="47"/>
      <c r="E48" s="47"/>
      <c r="F48" s="4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J119"/>
  <sheetViews>
    <sheetView workbookViewId="0">
      <selection activeCell="I20" sqref="I20"/>
    </sheetView>
  </sheetViews>
  <sheetFormatPr defaultColWidth="8.7265625" defaultRowHeight="14.5" x14ac:dyDescent="0.35"/>
  <cols>
    <col min="1" max="1" width="20.453125" style="1" customWidth="1"/>
    <col min="2" max="2" width="22.1796875" style="1" customWidth="1"/>
    <col min="3" max="3" width="21.81640625" style="1" customWidth="1"/>
    <col min="4" max="4" width="34.54296875" style="1" bestFit="1" customWidth="1"/>
    <col min="5" max="5" width="13.54296875" style="1" customWidth="1"/>
    <col min="6" max="6" width="9.81640625" style="1" customWidth="1"/>
    <col min="7" max="7" width="13.453125" style="1" customWidth="1"/>
    <col min="8" max="8" width="12.7265625" style="1" customWidth="1"/>
    <col min="9" max="12" width="9.54296875" style="1" customWidth="1"/>
    <col min="13" max="14" width="8.7265625" style="1"/>
    <col min="15" max="15" width="0" style="1" hidden="1" customWidth="1"/>
    <col min="16" max="16384" width="8.7265625" style="1"/>
  </cols>
  <sheetData>
    <row r="1" spans="1:140" x14ac:dyDescent="0.35">
      <c r="A1" s="1" t="s">
        <v>172</v>
      </c>
    </row>
    <row r="3" spans="1:140" s="17" customFormat="1" x14ac:dyDescent="0.35">
      <c r="A3" s="30" t="s">
        <v>171</v>
      </c>
      <c r="B3" s="5" t="s">
        <v>132</v>
      </c>
      <c r="C3" s="5" t="s">
        <v>131</v>
      </c>
      <c r="D3" s="5" t="s">
        <v>87</v>
      </c>
      <c r="E3" s="5" t="s">
        <v>130</v>
      </c>
      <c r="F3" s="5" t="s">
        <v>88</v>
      </c>
      <c r="G3" s="17" t="s">
        <v>129</v>
      </c>
      <c r="H3" s="17" t="s">
        <v>89</v>
      </c>
      <c r="N3" s="17" t="str">
        <f>Data_base_case!F5&amp;Data_base_case!F6</f>
        <v>Used (1 or 0)All</v>
      </c>
      <c r="O3" s="17" t="str">
        <f>Data_base_case!G5&amp;Data_base_case!G6</f>
        <v>Unit tagAll</v>
      </c>
      <c r="P3" s="17" t="str">
        <f>Data_base_case!H5&amp;Data_base_case!H6</f>
        <v>Yearly demand (kg fuel)All</v>
      </c>
      <c r="Q3" s="17" t="str">
        <f>Data_base_case!I5&amp;Data_base_case!I6</f>
        <v>Produced fromAll</v>
      </c>
      <c r="R3" s="17" t="str">
        <f>Data_base_case!J5&amp;Data_base_case!J6</f>
        <v>El balanceAll</v>
      </c>
      <c r="S3" s="17" t="str">
        <f>Data_base_case!K5&amp;Data_base_case!K6</f>
        <v>Heat balanceAll</v>
      </c>
      <c r="T3" s="17" t="str">
        <f>Data_base_case!L5&amp;Data_base_case!L6</f>
        <v>Max CapacityAll</v>
      </c>
      <c r="U3" s="17" t="e">
        <f>Data_base_case!#REF!&amp;Data_base_case!#REF!</f>
        <v>#REF!</v>
      </c>
      <c r="V3" s="17" t="e">
        <f>Data_base_case!#REF!&amp;Data_base_case!#REF!</f>
        <v>#REF!</v>
      </c>
      <c r="W3" s="17" t="e">
        <f>Data_base_case!#REF!&amp;Data_base_case!#REF!</f>
        <v>#REF!</v>
      </c>
      <c r="X3" s="17" t="str">
        <f>Data_base_case!M5&amp;Data_base_case!M6</f>
        <v>H2 balance2030</v>
      </c>
      <c r="Y3" s="17" t="e">
        <f>Data_base_case!#REF!&amp;Data_base_case!#REF!</f>
        <v>#REF!</v>
      </c>
      <c r="Z3" s="17" t="e">
        <f>Data_base_case!#REF!&amp;Data_base_case!#REF!</f>
        <v>#REF!</v>
      </c>
      <c r="AA3" s="17" t="e">
        <f>Data_base_case!#REF!&amp;Data_base_case!#REF!</f>
        <v>#REF!</v>
      </c>
      <c r="AB3" s="17" t="e">
        <f>Data_base_case!#REF!&amp;Data_base_case!#REF!</f>
        <v>#REF!</v>
      </c>
      <c r="AC3" s="17" t="e">
        <f>Data_base_case!#REF!&amp;Data_base_case!#REF!</f>
        <v>#REF!</v>
      </c>
      <c r="AD3" s="17" t="str">
        <f>Data_base_case!O5&amp;Data_base_case!O6</f>
        <v>Fuel production rate (kg output/kg input)2030</v>
      </c>
      <c r="AE3" s="17" t="e">
        <f>Data_base_case!#REF!&amp;Data_base_case!#REF!</f>
        <v>#REF!</v>
      </c>
      <c r="AF3" s="17" t="e">
        <f>Data_base_case!#REF!&amp;Data_base_case!#REF!</f>
        <v>#REF!</v>
      </c>
      <c r="AG3" s="17" t="e">
        <f>Data_base_case!#REF!&amp;Data_base_case!#REF!</f>
        <v>#REF!</v>
      </c>
      <c r="AH3" s="17" t="e">
        <f>Data_base_case!#REF!&amp;Data_base_case!#REF!</f>
        <v>#REF!</v>
      </c>
      <c r="AI3" s="17" t="e">
        <f>Data_base_case!#REF!&amp;Data_base_case!#REF!</f>
        <v>#REF!</v>
      </c>
      <c r="AJ3" s="17" t="str">
        <f>Data_base_case!P5&amp;Data_base_case!P6</f>
        <v>Heat generated (kWh/output)2030</v>
      </c>
      <c r="AK3" s="17" t="e">
        <f>Data_base_case!#REF!&amp;Data_base_case!#REF!</f>
        <v>#REF!</v>
      </c>
      <c r="AL3" s="17" t="e">
        <f>Data_base_case!#REF!&amp;Data_base_case!#REF!</f>
        <v>#REF!</v>
      </c>
      <c r="AM3" s="17" t="e">
        <f>Data_base_case!#REF!&amp;Data_base_case!#REF!</f>
        <v>#REF!</v>
      </c>
      <c r="AN3" s="17" t="e">
        <f>Data_base_case!#REF!&amp;Data_base_case!#REF!</f>
        <v>#REF!</v>
      </c>
      <c r="AO3" s="17" t="e">
        <f>Data_base_case!#REF!&amp;Data_base_case!#REF!</f>
        <v>#REF!</v>
      </c>
      <c r="AP3" s="17" t="str">
        <f>Data_base_case!Q5&amp;Data_base_case!Q6</f>
        <v>Load min (% of max capacity)2030</v>
      </c>
      <c r="AQ3" s="17" t="e">
        <f>Data_base_case!#REF!&amp;Data_base_case!#REF!</f>
        <v>#REF!</v>
      </c>
      <c r="AR3" s="17" t="e">
        <f>Data_base_case!#REF!&amp;Data_base_case!#REF!</f>
        <v>#REF!</v>
      </c>
      <c r="AS3" s="17" t="e">
        <f>Data_base_case!#REF!&amp;Data_base_case!#REF!</f>
        <v>#REF!</v>
      </c>
      <c r="AT3" s="17" t="e">
        <f>Data_base_case!#REF!&amp;Data_base_case!#REF!</f>
        <v>#REF!</v>
      </c>
      <c r="AU3" s="17" t="e">
        <f>Data_base_case!#REF!&amp;Data_base_case!#REF!</f>
        <v>#REF!</v>
      </c>
      <c r="AV3" s="17" t="e">
        <f>Data_base_case!#REF!&amp;Data_base_case!#REF!</f>
        <v>#REF!</v>
      </c>
      <c r="AW3" s="17" t="e">
        <f>Data_base_case!#REF!&amp;Data_base_case!#REF!</f>
        <v>#REF!</v>
      </c>
      <c r="AX3" s="17" t="e">
        <f>Data_base_case!#REF!&amp;Data_base_case!#REF!</f>
        <v>#REF!</v>
      </c>
      <c r="AY3" s="17" t="e">
        <f>Data_base_case!#REF!&amp;Data_base_case!#REF!</f>
        <v>#REF!</v>
      </c>
      <c r="AZ3" s="17" t="e">
        <f>Data_base_case!#REF!&amp;Data_base_case!#REF!</f>
        <v>#REF!</v>
      </c>
      <c r="BA3" s="17" t="e">
        <f>Data_base_case!#REF!&amp;Data_base_case!#REF!</f>
        <v>#REF!</v>
      </c>
      <c r="BB3" s="17" t="str">
        <f>Data_base_case!R5&amp;Data_base_case!R6</f>
        <v>Ramp up (% of capacity /h)2030</v>
      </c>
      <c r="BC3" s="17" t="e">
        <f>Data_base_case!#REF!&amp;Data_base_case!#REF!</f>
        <v>#REF!</v>
      </c>
      <c r="BD3" s="17" t="e">
        <f>Data_base_case!#REF!&amp;Data_base_case!#REF!</f>
        <v>#REF!</v>
      </c>
      <c r="BE3" s="17" t="e">
        <f>Data_base_case!#REF!&amp;Data_base_case!#REF!</f>
        <v>#REF!</v>
      </c>
      <c r="BF3" s="17" t="e">
        <f>Data_base_case!#REF!&amp;Data_base_case!#REF!</f>
        <v>#REF!</v>
      </c>
      <c r="BG3" s="17" t="e">
        <f>Data_base_case!#REF!&amp;Data_base_case!#REF!</f>
        <v>#REF!</v>
      </c>
      <c r="BH3" s="17" t="str">
        <f>Data_base_case!S5&amp;Data_base_case!S6</f>
        <v>Ramp down (% of capacity /h)2030</v>
      </c>
      <c r="BI3" s="17" t="e">
        <f>Data_base_case!#REF!&amp;Data_base_case!#REF!</f>
        <v>#REF!</v>
      </c>
      <c r="BJ3" s="17" t="e">
        <f>Data_base_case!#REF!&amp;Data_base_case!#REF!</f>
        <v>#REF!</v>
      </c>
      <c r="BK3" s="17" t="e">
        <f>Data_base_case!#REF!&amp;Data_base_case!#REF!</f>
        <v>#REF!</v>
      </c>
      <c r="BL3" s="17" t="e">
        <f>Data_base_case!#REF!&amp;Data_base_case!#REF!</f>
        <v>#REF!</v>
      </c>
      <c r="BM3" s="17" t="e">
        <f>Data_base_case!#REF!&amp;Data_base_case!#REF!</f>
        <v>#REF!</v>
      </c>
      <c r="BN3" s="17" t="str">
        <f>Data_base_case!T5&amp;Data_base_case!T6</f>
        <v>Electrical consumption (kWh/output)2030</v>
      </c>
      <c r="BO3" s="17" t="e">
        <f>Data_base_case!#REF!&amp;Data_base_case!#REF!</f>
        <v>#REF!</v>
      </c>
      <c r="BP3" s="17" t="e">
        <f>Data_base_case!#REF!&amp;Data_base_case!#REF!</f>
        <v>#REF!</v>
      </c>
      <c r="BQ3" s="17" t="e">
        <f>Data_base_case!#REF!&amp;Data_base_case!#REF!</f>
        <v>#REF!</v>
      </c>
      <c r="BR3" s="17" t="e">
        <f>Data_base_case!#REF!&amp;Data_base_case!#REF!</f>
        <v>#REF!</v>
      </c>
      <c r="BS3" s="17" t="e">
        <f>Data_base_case!#REF!&amp;Data_base_case!#REF!</f>
        <v>#REF!</v>
      </c>
      <c r="BT3" s="17" t="str">
        <f>Data_base_case!U5&amp;Data_base_case!U6</f>
        <v>Investment (EUR/Capacity installed)2030</v>
      </c>
      <c r="BU3" s="17" t="e">
        <f>Data_base_case!#REF!&amp;Data_base_case!#REF!</f>
        <v>#REF!</v>
      </c>
      <c r="BV3" s="17" t="e">
        <f>Data_base_case!#REF!&amp;Data_base_case!#REF!</f>
        <v>#REF!</v>
      </c>
      <c r="BW3" s="17" t="e">
        <f>Data_base_case!#REF!&amp;Data_base_case!#REF!</f>
        <v>#REF!</v>
      </c>
      <c r="BX3" s="17" t="e">
        <f>Data_base_case!#REF!&amp;Data_base_case!#REF!</f>
        <v>#REF!</v>
      </c>
      <c r="BY3" s="17" t="e">
        <f>Data_base_case!#REF!&amp;Data_base_case!#REF!</f>
        <v>#REF!</v>
      </c>
      <c r="BZ3" s="17" t="str">
        <f>Data_base_case!V5&amp;Data_base_case!V6</f>
        <v>Fixed cost (EUR/Capacity installed/y)2030</v>
      </c>
      <c r="CA3" s="17" t="e">
        <f>Data_base_case!#REF!&amp;Data_base_case!#REF!</f>
        <v>#REF!</v>
      </c>
      <c r="CB3" s="17" t="e">
        <f>Data_base_case!#REF!&amp;Data_base_case!#REF!</f>
        <v>#REF!</v>
      </c>
      <c r="CC3" s="17" t="e">
        <f>Data_base_case!#REF!&amp;Data_base_case!#REF!</f>
        <v>#REF!</v>
      </c>
      <c r="CD3" s="17" t="e">
        <f>Data_base_case!#REF!&amp;Data_base_case!#REF!</f>
        <v>#REF!</v>
      </c>
      <c r="CE3" s="17" t="e">
        <f>Data_base_case!#REF!&amp;Data_base_case!#REF!</f>
        <v>#REF!</v>
      </c>
      <c r="CF3" s="17" t="str">
        <f>Data_base_case!W5&amp;Data_base_case!W6</f>
        <v>Variable cost (EUR/Output)2030</v>
      </c>
      <c r="CG3" s="17" t="e">
        <f>Data_base_case!#REF!&amp;Data_base_case!#REF!</f>
        <v>#REF!</v>
      </c>
      <c r="CH3" s="17" t="e">
        <f>Data_base_case!#REF!&amp;Data_base_case!#REF!</f>
        <v>#REF!</v>
      </c>
      <c r="CI3" s="17" t="e">
        <f>Data_base_case!#REF!&amp;Data_base_case!#REF!</f>
        <v>#REF!</v>
      </c>
      <c r="CJ3" s="17" t="e">
        <f>Data_base_case!#REF!&amp;Data_base_case!#REF!</f>
        <v>#REF!</v>
      </c>
      <c r="CK3" s="17" t="e">
        <f>Data_base_case!#REF!&amp;Data_base_case!#REF!</f>
        <v>#REF!</v>
      </c>
      <c r="CL3" s="17" t="str">
        <f>Data_base_case!X5&amp;Data_base_case!X6</f>
        <v>Fuel selling price (EUR/output)2030</v>
      </c>
      <c r="CM3" s="17" t="e">
        <f>Data_base_case!#REF!&amp;Data_base_case!#REF!</f>
        <v>#REF!</v>
      </c>
      <c r="CN3" s="17" t="e">
        <f>Data_base_case!#REF!&amp;Data_base_case!#REF!</f>
        <v>#REF!</v>
      </c>
      <c r="CO3" s="17" t="e">
        <f>Data_base_case!#REF!&amp;Data_base_case!#REF!</f>
        <v>#REF!</v>
      </c>
      <c r="CP3" s="17" t="e">
        <f>Data_base_case!#REF!&amp;Data_base_case!#REF!</f>
        <v>#REF!</v>
      </c>
      <c r="CQ3" s="17" t="e">
        <f>Data_base_case!#REF!&amp;Data_base_case!#REF!</f>
        <v>#REF!</v>
      </c>
      <c r="CR3" s="17" t="str">
        <f>Data_base_case!Y5&amp;Data_base_case!Y6</f>
        <v>Fuel buying price (EUR/output)2030</v>
      </c>
      <c r="CS3" s="17" t="e">
        <f>Data_base_case!#REF!&amp;Data_base_case!#REF!</f>
        <v>#REF!</v>
      </c>
      <c r="CT3" s="17" t="e">
        <f>Data_base_case!#REF!&amp;Data_base_case!#REF!</f>
        <v>#REF!</v>
      </c>
      <c r="CU3" s="17" t="e">
        <f>Data_base_case!#REF!&amp;Data_base_case!#REF!</f>
        <v>#REF!</v>
      </c>
      <c r="CV3" s="17" t="e">
        <f>Data_base_case!#REF!&amp;Data_base_case!#REF!</f>
        <v>#REF!</v>
      </c>
      <c r="CW3" s="17" t="e">
        <f>Data_base_case!#REF!&amp;Data_base_case!#REF!</f>
        <v>#REF!</v>
      </c>
      <c r="CX3" s="17" t="str">
        <f>Data_base_case!Z5&amp;Data_base_case!Z6</f>
        <v>CO2e infrastructure (kg CO2e/Capacity/y)2030</v>
      </c>
      <c r="CY3" s="17" t="e">
        <f>Data_base_case!#REF!&amp;Data_base_case!#REF!</f>
        <v>#REF!</v>
      </c>
      <c r="CZ3" s="17" t="e">
        <f>Data_base_case!#REF!&amp;Data_base_case!#REF!</f>
        <v>#REF!</v>
      </c>
      <c r="DA3" s="17" t="e">
        <f>Data_base_case!#REF!&amp;Data_base_case!#REF!</f>
        <v>#REF!</v>
      </c>
      <c r="DB3" s="17" t="e">
        <f>Data_base_case!#REF!&amp;Data_base_case!#REF!</f>
        <v>#REF!</v>
      </c>
      <c r="DC3" s="17" t="e">
        <f>Data_base_case!#REF!&amp;Data_base_case!#REF!</f>
        <v>#REF!</v>
      </c>
      <c r="DD3" s="17" t="e">
        <f>Data_base_case!#REF!&amp;Data_base_case!#REF!</f>
        <v>#REF!</v>
      </c>
      <c r="DE3" s="17" t="e">
        <f>Data_base_case!#REF!&amp;Data_base_case!#REF!</f>
        <v>#REF!</v>
      </c>
      <c r="DF3" s="17" t="e">
        <f>Data_base_case!#REF!&amp;Data_base_case!#REF!</f>
        <v>#REF!</v>
      </c>
      <c r="DG3" s="17" t="e">
        <f>Data_base_case!#REF!&amp;Data_base_case!#REF!</f>
        <v>#REF!</v>
      </c>
      <c r="DH3" s="17" t="e">
        <f>Data_base_case!#REF!&amp;Data_base_case!#REF!</f>
        <v>#REF!</v>
      </c>
      <c r="DI3" s="17" t="e">
        <f>Data_base_case!#REF!&amp;Data_base_case!#REF!</f>
        <v>#REF!</v>
      </c>
      <c r="DJ3" s="17" t="str">
        <f>Data_base_case!AB5&amp;Data_base_case!AB6</f>
        <v>Land use (m2/Capacity)2030</v>
      </c>
      <c r="DK3" s="17" t="e">
        <f>Data_base_case!#REF!&amp;Data_base_case!#REF!</f>
        <v>#REF!</v>
      </c>
      <c r="DL3" s="17" t="e">
        <f>Data_base_case!#REF!&amp;Data_base_case!#REF!</f>
        <v>#REF!</v>
      </c>
      <c r="DM3" s="17" t="e">
        <f>Data_base_case!#REF!&amp;Data_base_case!#REF!</f>
        <v>#REF!</v>
      </c>
      <c r="DN3" s="17" t="e">
        <f>Data_base_case!#REF!&amp;Data_base_case!#REF!</f>
        <v>#REF!</v>
      </c>
      <c r="DO3" s="17" t="e">
        <f>Data_base_case!#REF!&amp;Data_base_case!#REF!</f>
        <v>#REF!</v>
      </c>
      <c r="DP3" s="17" t="str">
        <f>Data_base_case!AC5&amp;Data_base_case!AC6</f>
        <v>Annuity factor2030</v>
      </c>
      <c r="DQ3" s="17" t="e">
        <f>Data_base_case!#REF!&amp;Data_base_case!#REF!</f>
        <v>#REF!</v>
      </c>
      <c r="DR3" s="17" t="e">
        <f>Data_base_case!#REF!&amp;Data_base_case!#REF!</f>
        <v>#REF!</v>
      </c>
      <c r="DS3" s="17" t="str">
        <f>Data_base_case!AD5&amp;Data_base_case!AD6</f>
        <v/>
      </c>
      <c r="DT3" s="17" t="str">
        <f>Data_base_case!AE5&amp;Data_base_case!AE6</f>
        <v/>
      </c>
      <c r="DU3" s="17" t="str">
        <f>Data_base_case!AF5&amp;Data_base_case!AF6</f>
        <v/>
      </c>
      <c r="DV3" s="17" t="str">
        <f>Data_base_case!AG5&amp;Data_base_case!AG6</f>
        <v/>
      </c>
      <c r="DW3" s="17" t="e">
        <f>Data_base_case!#REF!&amp;Data_base_case!#REF!</f>
        <v>#REF!</v>
      </c>
      <c r="DX3" s="17" t="str">
        <f>Data_base_case!AH5&amp;Data_base_case!AH6</f>
        <v/>
      </c>
      <c r="DY3" s="17" t="str">
        <f>Data_base_case!AI5&amp;Data_base_case!AI6</f>
        <v/>
      </c>
      <c r="DZ3" s="17" t="str">
        <f>Data_base_case!AJ5&amp;Data_base_case!AJ6</f>
        <v/>
      </c>
      <c r="EA3" s="17" t="str">
        <f>Data_base_case!AK5&amp;Data_base_case!AK6</f>
        <v/>
      </c>
      <c r="EB3" s="17" t="str">
        <f>Data_base_case!AL5&amp;Data_base_case!AL6</f>
        <v/>
      </c>
      <c r="EC3" s="17" t="str">
        <f>Data_base_case!AM5&amp;Data_base_case!AM6</f>
        <v/>
      </c>
      <c r="ED3" s="17" t="str">
        <f>Data_base_case!AN5&amp;Data_base_case!AN6</f>
        <v/>
      </c>
      <c r="EE3" s="17" t="str">
        <f>Data_base_case!AO5&amp;Data_base_case!AO6</f>
        <v/>
      </c>
      <c r="EF3" s="17" t="str">
        <f>Data_base_case!AP5&amp;Data_base_case!AP6</f>
        <v/>
      </c>
      <c r="EG3" s="17" t="str">
        <f>Data_base_case!AQ5&amp;Data_base_case!AQ6</f>
        <v/>
      </c>
      <c r="EH3" s="17" t="str">
        <f>Data_base_case!AR5&amp;Data_base_case!AR6</f>
        <v/>
      </c>
      <c r="EI3" s="17" t="str">
        <f>Data_base_case!AS5&amp;Data_base_case!AS6</f>
        <v/>
      </c>
      <c r="EJ3" s="17" t="str">
        <f>Data_base_case!AT5&amp;Data_base_case!AT6</f>
        <v/>
      </c>
    </row>
    <row r="4" spans="1:140" s="17" customFormat="1" ht="14.5" customHeight="1" x14ac:dyDescent="0.35">
      <c r="A4" s="35"/>
      <c r="B4" s="17" t="s">
        <v>139</v>
      </c>
      <c r="C4" s="17" t="s">
        <v>35</v>
      </c>
      <c r="D4" s="17" t="str">
        <f>Data_base_case!$F$4</f>
        <v>Used (1 or 0)</v>
      </c>
      <c r="E4" s="17" t="s">
        <v>121</v>
      </c>
      <c r="F4" s="17">
        <v>0</v>
      </c>
      <c r="G4" s="36" t="s">
        <v>121</v>
      </c>
      <c r="H4" s="17">
        <f>INDEX(Data_base_case!$D$8:$AC$89,MATCH(Scenarios_definition!C4,Data_base_case!$D$8:$D$89,0),MATCH(Scenarios_definition!D4&amp;Scenarios_definition!G4,Data_base_case!$D$7:$AC$7,0))</f>
        <v>0</v>
      </c>
    </row>
    <row r="5" spans="1:140" s="17" customFormat="1" ht="14.5" customHeight="1" x14ac:dyDescent="0.35">
      <c r="A5" s="17" t="s">
        <v>139</v>
      </c>
      <c r="B5" s="38" t="s">
        <v>215</v>
      </c>
      <c r="C5" s="38" t="s">
        <v>207</v>
      </c>
      <c r="D5" s="17" t="str">
        <f>Data_base_case!$F$4</f>
        <v>Used (1 or 0)</v>
      </c>
      <c r="E5" s="38" t="s">
        <v>121</v>
      </c>
      <c r="F5" s="38">
        <v>0</v>
      </c>
      <c r="G5" s="36" t="s">
        <v>121</v>
      </c>
      <c r="H5" s="17">
        <f>INDEX(Data_base_case!$D$8:$AC$89,MATCH(Scenarios_definition!C5,Data_base_case!$D$8:$D$89,0),MATCH(Scenarios_definition!D5&amp;Scenarios_definition!G5,Data_base_case!$D$7:$AC$7,0))</f>
        <v>1</v>
      </c>
    </row>
    <row r="6" spans="1:140" s="17" customFormat="1" ht="14.5" customHeight="1" x14ac:dyDescent="0.35">
      <c r="A6" s="17" t="s">
        <v>139</v>
      </c>
      <c r="B6" s="38" t="s">
        <v>215</v>
      </c>
      <c r="C6" s="38" t="s">
        <v>208</v>
      </c>
      <c r="D6" s="17" t="str">
        <f>Data_base_case!$F$4</f>
        <v>Used (1 or 0)</v>
      </c>
      <c r="E6" s="38" t="s">
        <v>121</v>
      </c>
      <c r="F6" s="38">
        <v>0</v>
      </c>
      <c r="G6" s="36" t="s">
        <v>121</v>
      </c>
      <c r="H6" s="17">
        <f>INDEX(Data_base_case!$D$8:$AC$89,MATCH(Scenarios_definition!C6,Data_base_case!$D$8:$D$89,0),MATCH(Scenarios_definition!D6&amp;Scenarios_definition!G6,Data_base_case!$D$7:$AC$7,0))</f>
        <v>1</v>
      </c>
    </row>
    <row r="7" spans="1:140" s="17" customFormat="1" ht="14.5" customHeight="1" x14ac:dyDescent="0.35">
      <c r="A7" s="17" t="s">
        <v>139</v>
      </c>
      <c r="B7" s="38" t="s">
        <v>215</v>
      </c>
      <c r="C7" s="38" t="s">
        <v>209</v>
      </c>
      <c r="D7" s="17" t="str">
        <f>Data_base_case!$F$4</f>
        <v>Used (1 or 0)</v>
      </c>
      <c r="E7" s="38" t="s">
        <v>121</v>
      </c>
      <c r="F7" s="38">
        <v>0</v>
      </c>
      <c r="G7" s="36" t="s">
        <v>121</v>
      </c>
      <c r="H7" s="17">
        <f>INDEX(Data_base_case!$D$8:$AC$89,MATCH(Scenarios_definition!C7,Data_base_case!$D$8:$D$89,0),MATCH(Scenarios_definition!D7&amp;Scenarios_definition!G7,Data_base_case!$D$7:$AC$7,0))</f>
        <v>1</v>
      </c>
    </row>
    <row r="8" spans="1:140" ht="14.5" customHeight="1" x14ac:dyDescent="0.35">
      <c r="A8" s="17" t="s">
        <v>139</v>
      </c>
      <c r="B8" s="14" t="s">
        <v>256</v>
      </c>
      <c r="C8" t="s">
        <v>209</v>
      </c>
      <c r="D8" t="s">
        <v>166</v>
      </c>
      <c r="E8" s="1" t="str">
        <f>"2030"</f>
        <v>2030</v>
      </c>
      <c r="F8" s="1">
        <v>0.1</v>
      </c>
      <c r="G8" s="1">
        <v>2030</v>
      </c>
      <c r="H8" s="17">
        <f>INDEX(Data_base_case!$D$8:$AC$89,MATCH(Scenarios_definition!C8,Data_base_case!$D$8:$D$89,0),MATCH(Scenarios_definition!D8&amp;Scenarios_definition!G8,Data_base_case!$D$7:$AC$7,0))</f>
        <v>0.31</v>
      </c>
      <c r="I8" s="110"/>
    </row>
    <row r="9" spans="1:140" s="29" customFormat="1" ht="14.5" customHeight="1" x14ac:dyDescent="0.35">
      <c r="A9" s="17" t="s">
        <v>139</v>
      </c>
      <c r="B9" s="14" t="s">
        <v>256</v>
      </c>
      <c r="C9" t="s">
        <v>209</v>
      </c>
      <c r="D9" t="s">
        <v>167</v>
      </c>
      <c r="E9" s="1" t="str">
        <f>"2030"</f>
        <v>2030</v>
      </c>
      <c r="F9" s="1">
        <v>0.01</v>
      </c>
      <c r="G9" s="1">
        <v>2030</v>
      </c>
      <c r="H9" s="17">
        <f>INDEX(Data_base_case!$D$8:$AC$89,MATCH(Scenarios_definition!C9,Data_base_case!$D$8:$D$89,0),MATCH(Scenarios_definition!D9&amp;Scenarios_definition!G9,Data_base_case!$D$7:$AC$7,0))</f>
        <v>0.93</v>
      </c>
      <c r="I9" s="110"/>
    </row>
    <row r="10" spans="1:140" s="29" customFormat="1" ht="14.5" customHeight="1" x14ac:dyDescent="0.35">
      <c r="A10" s="17" t="s">
        <v>139</v>
      </c>
      <c r="B10" s="113" t="s">
        <v>219</v>
      </c>
      <c r="C10" s="113" t="str">
        <f>Data_base_case!$D$18</f>
        <v>Electrolysers AEC</v>
      </c>
      <c r="D10" s="113" t="s">
        <v>77</v>
      </c>
      <c r="E10" s="1" t="str">
        <f>"2030"</f>
        <v>2030</v>
      </c>
      <c r="F10" s="1">
        <v>45</v>
      </c>
      <c r="G10" s="1">
        <v>2030</v>
      </c>
      <c r="H10" s="17">
        <f>INDEX(Data_base_case!$D$8:$AC$89,MATCH(Scenarios_definition!C10,Data_base_case!$D$8:$D$89,0),MATCH(Scenarios_definition!D10&amp;Scenarios_definition!G10,Data_base_case!$D$7:$AC$7,0))</f>
        <v>49.01</v>
      </c>
      <c r="I10" s="110"/>
    </row>
    <row r="11" spans="1:140" s="29" customFormat="1" ht="14.5" customHeight="1" x14ac:dyDescent="0.35">
      <c r="A11" s="17" t="s">
        <v>139</v>
      </c>
      <c r="B11" s="113" t="s">
        <v>220</v>
      </c>
      <c r="C11" s="113" t="str">
        <f>Data_base_case!$D$18</f>
        <v>Electrolysers AEC</v>
      </c>
      <c r="D11" s="113" t="s">
        <v>77</v>
      </c>
      <c r="E11" s="1" t="str">
        <f t="shared" ref="E11:E74" si="0">"2030"</f>
        <v>2030</v>
      </c>
      <c r="F11" s="1">
        <v>47</v>
      </c>
      <c r="G11" s="1">
        <v>2030</v>
      </c>
      <c r="H11" s="17">
        <f>INDEX(Data_base_case!$D$8:$AC$89,MATCH(Scenarios_definition!C11,Data_base_case!$D$8:$D$89,0),MATCH(Scenarios_definition!D11&amp;Scenarios_definition!G11,Data_base_case!$D$7:$AC$7,0))</f>
        <v>49.01</v>
      </c>
      <c r="I11" s="110"/>
    </row>
    <row r="12" spans="1:140" s="29" customFormat="1" ht="14.5" customHeight="1" x14ac:dyDescent="0.35">
      <c r="A12" s="17" t="s">
        <v>139</v>
      </c>
      <c r="B12" s="113" t="s">
        <v>222</v>
      </c>
      <c r="C12" s="113" t="str">
        <f>Data_base_case!$D$18</f>
        <v>Electrolysers AEC</v>
      </c>
      <c r="D12" s="113" t="s">
        <v>77</v>
      </c>
      <c r="E12" s="1" t="str">
        <f t="shared" si="0"/>
        <v>2030</v>
      </c>
      <c r="F12" s="1">
        <v>51</v>
      </c>
      <c r="G12" s="1">
        <v>2030</v>
      </c>
      <c r="H12" s="17">
        <f>INDEX(Data_base_case!$D$8:$AC$89,MATCH(Scenarios_definition!C12,Data_base_case!$D$8:$D$89,0),MATCH(Scenarios_definition!D12&amp;Scenarios_definition!G12,Data_base_case!$D$7:$AC$7,0))</f>
        <v>49.01</v>
      </c>
      <c r="I12" s="110"/>
    </row>
    <row r="13" spans="1:140" s="23" customFormat="1" x14ac:dyDescent="0.35">
      <c r="A13" s="17" t="s">
        <v>139</v>
      </c>
      <c r="B13" s="113" t="s">
        <v>223</v>
      </c>
      <c r="C13" s="113" t="str">
        <f>Data_base_case!$D$18</f>
        <v>Electrolysers AEC</v>
      </c>
      <c r="D13" s="113" t="s">
        <v>77</v>
      </c>
      <c r="E13" s="1" t="str">
        <f t="shared" si="0"/>
        <v>2030</v>
      </c>
      <c r="F13" s="1">
        <v>53</v>
      </c>
      <c r="G13" s="1">
        <v>2030</v>
      </c>
      <c r="H13" s="17">
        <f>INDEX(Data_base_case!$D$8:$AC$89,MATCH(Scenarios_definition!C13,Data_base_case!$D$8:$D$89,0),MATCH(Scenarios_definition!D13&amp;Scenarios_definition!G13,Data_base_case!$D$7:$AC$7,0))</f>
        <v>49.01</v>
      </c>
      <c r="I13" s="110"/>
    </row>
    <row r="14" spans="1:140" s="23" customFormat="1" x14ac:dyDescent="0.35">
      <c r="A14" s="17" t="s">
        <v>139</v>
      </c>
      <c r="B14" s="113" t="s">
        <v>224</v>
      </c>
      <c r="C14" s="113" t="str">
        <f>Data_base_case!$D$18</f>
        <v>Electrolysers AEC</v>
      </c>
      <c r="D14" s="113" t="s">
        <v>77</v>
      </c>
      <c r="E14" s="1" t="str">
        <f t="shared" si="0"/>
        <v>2030</v>
      </c>
      <c r="F14" s="1">
        <v>55</v>
      </c>
      <c r="G14" s="1">
        <v>2030</v>
      </c>
      <c r="H14" s="17">
        <f>INDEX(Data_base_case!$D$8:$AC$89,MATCH(Scenarios_definition!C14,Data_base_case!$D$8:$D$89,0),MATCH(Scenarios_definition!D14&amp;Scenarios_definition!G14,Data_base_case!$D$7:$AC$7,0))</f>
        <v>49.01</v>
      </c>
      <c r="I14" s="110"/>
    </row>
    <row r="15" spans="1:140" s="39" customFormat="1" x14ac:dyDescent="0.35">
      <c r="A15" s="17" t="s">
        <v>139</v>
      </c>
      <c r="B15" s="113" t="s">
        <v>225</v>
      </c>
      <c r="C15" s="113" t="str">
        <f>Data_base_case!$D$18</f>
        <v>Electrolysers AEC</v>
      </c>
      <c r="D15" s="113" t="s">
        <v>77</v>
      </c>
      <c r="E15" s="1" t="str">
        <f t="shared" si="0"/>
        <v>2030</v>
      </c>
      <c r="F15" s="1">
        <v>57</v>
      </c>
      <c r="G15" s="1">
        <v>2030</v>
      </c>
      <c r="H15" s="17">
        <f>INDEX(Data_base_case!$D$8:$AC$89,MATCH(Scenarios_definition!C15,Data_base_case!$D$8:$D$89,0),MATCH(Scenarios_definition!D15&amp;Scenarios_definition!G15,Data_base_case!$D$7:$AC$7,0))</f>
        <v>49.01</v>
      </c>
      <c r="I15" s="110"/>
    </row>
    <row r="16" spans="1:140" s="39" customFormat="1" x14ac:dyDescent="0.35">
      <c r="A16" s="17" t="s">
        <v>139</v>
      </c>
      <c r="B16" s="23" t="s">
        <v>226</v>
      </c>
      <c r="C16" s="113" t="str">
        <f>Data_base_case!$D$19</f>
        <v>Electrolysers SOEC</v>
      </c>
      <c r="D16" s="23" t="s">
        <v>77</v>
      </c>
      <c r="E16" s="1" t="str">
        <f t="shared" si="0"/>
        <v>2030</v>
      </c>
      <c r="F16" s="23">
        <v>35</v>
      </c>
      <c r="G16" s="1">
        <v>2030</v>
      </c>
      <c r="H16" s="17">
        <f>INDEX(Data_base_case!$D$8:$AC$89,MATCH(Scenarios_definition!C16,Data_base_case!$D$8:$D$89,0),MATCH(Scenarios_definition!D16&amp;Scenarios_definition!G16,Data_base_case!$D$7:$AC$7,0))</f>
        <v>41</v>
      </c>
      <c r="I16" s="110"/>
    </row>
    <row r="17" spans="1:9" s="39" customFormat="1" x14ac:dyDescent="0.35">
      <c r="A17" s="17" t="s">
        <v>139</v>
      </c>
      <c r="B17" s="23" t="s">
        <v>228</v>
      </c>
      <c r="C17" s="113" t="str">
        <f>Data_base_case!$D$19</f>
        <v>Electrolysers SOEC</v>
      </c>
      <c r="D17" s="23" t="s">
        <v>77</v>
      </c>
      <c r="E17" s="1" t="str">
        <f t="shared" si="0"/>
        <v>2030</v>
      </c>
      <c r="F17" s="1">
        <v>37</v>
      </c>
      <c r="G17" s="1">
        <v>2030</v>
      </c>
      <c r="H17" s="17">
        <f>INDEX(Data_base_case!$D$8:$AC$89,MATCH(Scenarios_definition!C17,Data_base_case!$D$8:$D$89,0),MATCH(Scenarios_definition!D17&amp;Scenarios_definition!G17,Data_base_case!$D$7:$AC$7,0))</f>
        <v>41</v>
      </c>
      <c r="I17" s="110"/>
    </row>
    <row r="18" spans="1:9" s="39" customFormat="1" x14ac:dyDescent="0.35">
      <c r="A18" s="17" t="s">
        <v>139</v>
      </c>
      <c r="B18" s="23" t="s">
        <v>230</v>
      </c>
      <c r="C18" s="113" t="str">
        <f>Data_base_case!$D$19</f>
        <v>Electrolysers SOEC</v>
      </c>
      <c r="D18" s="23" t="s">
        <v>77</v>
      </c>
      <c r="E18" s="1" t="str">
        <f t="shared" si="0"/>
        <v>2030</v>
      </c>
      <c r="F18" s="1">
        <v>39</v>
      </c>
      <c r="G18" s="1">
        <v>2030</v>
      </c>
      <c r="H18" s="17">
        <f>INDEX(Data_base_case!$D$8:$AC$89,MATCH(Scenarios_definition!C18,Data_base_case!$D$8:$D$89,0),MATCH(Scenarios_definition!D18&amp;Scenarios_definition!G18,Data_base_case!$D$7:$AC$7,0))</f>
        <v>41</v>
      </c>
      <c r="I18" s="110"/>
    </row>
    <row r="19" spans="1:9" x14ac:dyDescent="0.35">
      <c r="A19" s="17" t="s">
        <v>139</v>
      </c>
      <c r="B19" s="23" t="s">
        <v>227</v>
      </c>
      <c r="C19" s="113" t="str">
        <f>Data_base_case!$D$19</f>
        <v>Electrolysers SOEC</v>
      </c>
      <c r="D19" s="23" t="s">
        <v>77</v>
      </c>
      <c r="E19" s="1" t="str">
        <f t="shared" si="0"/>
        <v>2030</v>
      </c>
      <c r="F19" s="1">
        <v>43</v>
      </c>
      <c r="G19" s="1">
        <v>2030</v>
      </c>
      <c r="H19" s="17">
        <f>INDEX(Data_base_case!$D$8:$AC$89,MATCH(Scenarios_definition!C19,Data_base_case!$D$8:$D$89,0),MATCH(Scenarios_definition!D19&amp;Scenarios_definition!G19,Data_base_case!$D$7:$AC$7,0))</f>
        <v>41</v>
      </c>
      <c r="I19" s="110"/>
    </row>
    <row r="20" spans="1:9" x14ac:dyDescent="0.35">
      <c r="A20" s="17" t="s">
        <v>139</v>
      </c>
      <c r="B20" s="23" t="s">
        <v>221</v>
      </c>
      <c r="C20" s="113" t="str">
        <f>Data_base_case!$D$19</f>
        <v>Electrolysers SOEC</v>
      </c>
      <c r="D20" s="23" t="s">
        <v>77</v>
      </c>
      <c r="E20" s="1" t="str">
        <f t="shared" si="0"/>
        <v>2030</v>
      </c>
      <c r="F20" s="1">
        <v>45</v>
      </c>
      <c r="G20" s="1">
        <v>2030</v>
      </c>
      <c r="H20" s="17">
        <f>INDEX(Data_base_case!$D$8:$AC$89,MATCH(Scenarios_definition!C20,Data_base_case!$D$8:$D$89,0),MATCH(Scenarios_definition!D20&amp;Scenarios_definition!G20,Data_base_case!$D$7:$AC$7,0))</f>
        <v>41</v>
      </c>
      <c r="I20" s="1">
        <v>0.02</v>
      </c>
    </row>
    <row r="21" spans="1:9" x14ac:dyDescent="0.35">
      <c r="A21" s="17" t="s">
        <v>139</v>
      </c>
      <c r="B21" s="23" t="s">
        <v>229</v>
      </c>
      <c r="C21" s="113" t="str">
        <f>Data_base_case!$D$19</f>
        <v>Electrolysers SOEC</v>
      </c>
      <c r="D21" s="23" t="s">
        <v>77</v>
      </c>
      <c r="E21" s="1" t="str">
        <f t="shared" si="0"/>
        <v>2030</v>
      </c>
      <c r="F21" s="1">
        <v>47</v>
      </c>
      <c r="G21" s="1">
        <v>2030</v>
      </c>
      <c r="H21" s="17">
        <f>INDEX(Data_base_case!$D$8:$AC$89,MATCH(Scenarios_definition!C21,Data_base_case!$D$8:$D$89,0),MATCH(Scenarios_definition!D21&amp;Scenarios_definition!G21,Data_base_case!$D$7:$AC$7,0))</f>
        <v>41</v>
      </c>
    </row>
    <row r="22" spans="1:9" x14ac:dyDescent="0.35">
      <c r="A22" s="17" t="s">
        <v>139</v>
      </c>
      <c r="B22" s="115" t="s">
        <v>231</v>
      </c>
      <c r="C22" s="115" t="s">
        <v>186</v>
      </c>
      <c r="D22" s="115" t="s">
        <v>166</v>
      </c>
      <c r="E22" s="1" t="str">
        <f t="shared" si="0"/>
        <v>2030</v>
      </c>
      <c r="F22" s="117">
        <f>945*49</f>
        <v>46305</v>
      </c>
      <c r="G22" s="1">
        <v>2030</v>
      </c>
      <c r="H22" s="17">
        <f>INDEX(Data_base_case!$D$8:$AC$89,MATCH(Scenarios_definition!C22,Data_base_case!$D$8:$D$89,0),MATCH(Scenarios_definition!D22&amp;Scenarios_definition!G22,Data_base_case!$D$7:$AC$7,0))</f>
        <v>57036</v>
      </c>
    </row>
    <row r="23" spans="1:9" x14ac:dyDescent="0.35">
      <c r="A23" s="17" t="s">
        <v>139</v>
      </c>
      <c r="B23" s="115" t="s">
        <v>231</v>
      </c>
      <c r="C23" s="115" t="s">
        <v>186</v>
      </c>
      <c r="D23" s="115" t="s">
        <v>167</v>
      </c>
      <c r="E23" s="1" t="str">
        <f t="shared" si="0"/>
        <v>2030</v>
      </c>
      <c r="F23" s="117">
        <f>F22*I20</f>
        <v>926.1</v>
      </c>
      <c r="G23" s="1">
        <v>2030</v>
      </c>
      <c r="H23" s="17">
        <f>INDEX(Data_base_case!$D$8:$AC$89,MATCH(Scenarios_definition!C23,Data_base_case!$D$8:$D$89,0),MATCH(Scenarios_definition!D23&amp;Scenarios_definition!G23,Data_base_case!$D$7:$AC$7,0))</f>
        <v>1140.72</v>
      </c>
    </row>
    <row r="24" spans="1:9" x14ac:dyDescent="0.35">
      <c r="A24" s="17" t="s">
        <v>139</v>
      </c>
      <c r="B24" s="115" t="s">
        <v>232</v>
      </c>
      <c r="C24" s="115" t="s">
        <v>186</v>
      </c>
      <c r="D24" s="115" t="s">
        <v>166</v>
      </c>
      <c r="E24" s="1" t="str">
        <f t="shared" si="0"/>
        <v>2030</v>
      </c>
      <c r="F24" s="117">
        <f>1033*49</f>
        <v>50617</v>
      </c>
      <c r="G24" s="1">
        <v>2030</v>
      </c>
      <c r="H24" s="17">
        <f>INDEX(Data_base_case!$D$8:$AC$89,MATCH(Scenarios_definition!C24,Data_base_case!$D$8:$D$89,0),MATCH(Scenarios_definition!D24&amp;Scenarios_definition!G24,Data_base_case!$D$7:$AC$7,0))</f>
        <v>57036</v>
      </c>
    </row>
    <row r="25" spans="1:9" x14ac:dyDescent="0.35">
      <c r="A25" s="17" t="s">
        <v>139</v>
      </c>
      <c r="B25" s="115" t="s">
        <v>232</v>
      </c>
      <c r="C25" s="115" t="s">
        <v>186</v>
      </c>
      <c r="D25" s="115" t="s">
        <v>167</v>
      </c>
      <c r="E25" s="1" t="str">
        <f t="shared" si="0"/>
        <v>2030</v>
      </c>
      <c r="F25" s="117">
        <f>F24*I20</f>
        <v>1012.34</v>
      </c>
      <c r="G25" s="1">
        <v>2030</v>
      </c>
      <c r="H25" s="17">
        <f>INDEX(Data_base_case!$D$8:$AC$89,MATCH(Scenarios_definition!C25,Data_base_case!$D$8:$D$89,0),MATCH(Scenarios_definition!D25&amp;Scenarios_definition!G25,Data_base_case!$D$7:$AC$7,0))</f>
        <v>1140.72</v>
      </c>
    </row>
    <row r="26" spans="1:9" x14ac:dyDescent="0.35">
      <c r="A26" s="17" t="s">
        <v>139</v>
      </c>
      <c r="B26" s="115" t="s">
        <v>233</v>
      </c>
      <c r="C26" s="115" t="s">
        <v>186</v>
      </c>
      <c r="D26" s="115" t="s">
        <v>166</v>
      </c>
      <c r="E26" s="1" t="str">
        <f t="shared" si="0"/>
        <v>2030</v>
      </c>
      <c r="F26" s="117">
        <f>1120*49</f>
        <v>54880</v>
      </c>
      <c r="G26" s="1">
        <v>2030</v>
      </c>
      <c r="H26" s="17">
        <f>INDEX(Data_base_case!$D$8:$AC$89,MATCH(Scenarios_definition!C26,Data_base_case!$D$8:$D$89,0),MATCH(Scenarios_definition!D26&amp;Scenarios_definition!G26,Data_base_case!$D$7:$AC$7,0))</f>
        <v>57036</v>
      </c>
    </row>
    <row r="27" spans="1:9" x14ac:dyDescent="0.35">
      <c r="A27" s="17" t="s">
        <v>139</v>
      </c>
      <c r="B27" s="115" t="s">
        <v>241</v>
      </c>
      <c r="C27" s="115" t="s">
        <v>186</v>
      </c>
      <c r="D27" s="115" t="s">
        <v>167</v>
      </c>
      <c r="E27" s="1" t="str">
        <f t="shared" si="0"/>
        <v>2030</v>
      </c>
      <c r="F27" s="117">
        <f>F26*I20</f>
        <v>1097.6000000000001</v>
      </c>
      <c r="G27" s="1">
        <v>2030</v>
      </c>
      <c r="H27" s="17">
        <f>INDEX(Data_base_case!$D$8:$AC$89,MATCH(Scenarios_definition!C27,Data_base_case!$D$8:$D$89,0),MATCH(Scenarios_definition!D27&amp;Scenarios_definition!G27,Data_base_case!$D$7:$AC$7,0))</f>
        <v>1140.72</v>
      </c>
    </row>
    <row r="28" spans="1:9" x14ac:dyDescent="0.35">
      <c r="A28" s="17" t="s">
        <v>139</v>
      </c>
      <c r="B28" s="115" t="s">
        <v>234</v>
      </c>
      <c r="C28" s="115" t="s">
        <v>186</v>
      </c>
      <c r="D28" s="115" t="s">
        <v>166</v>
      </c>
      <c r="E28" s="1" t="str">
        <f t="shared" si="0"/>
        <v>2030</v>
      </c>
      <c r="F28" s="117">
        <f>1208*49</f>
        <v>59192</v>
      </c>
      <c r="G28" s="1">
        <v>2030</v>
      </c>
      <c r="H28" s="17">
        <f>INDEX(Data_base_case!$D$8:$AC$89,MATCH(Scenarios_definition!C28,Data_base_case!$D$8:$D$89,0),MATCH(Scenarios_definition!D28&amp;Scenarios_definition!G28,Data_base_case!$D$7:$AC$7,0))</f>
        <v>57036</v>
      </c>
    </row>
    <row r="29" spans="1:9" x14ac:dyDescent="0.35">
      <c r="A29" s="17" t="s">
        <v>139</v>
      </c>
      <c r="B29" s="115" t="s">
        <v>234</v>
      </c>
      <c r="C29" s="115" t="s">
        <v>186</v>
      </c>
      <c r="D29" s="115" t="s">
        <v>167</v>
      </c>
      <c r="E29" s="1" t="str">
        <f t="shared" si="0"/>
        <v>2030</v>
      </c>
      <c r="F29" s="117">
        <f>F28*I20</f>
        <v>1183.8399999999999</v>
      </c>
      <c r="G29" s="1">
        <v>2030</v>
      </c>
      <c r="H29" s="17">
        <f>INDEX(Data_base_case!$D$8:$AC$89,MATCH(Scenarios_definition!C29,Data_base_case!$D$8:$D$89,0),MATCH(Scenarios_definition!D29&amp;Scenarios_definition!G29,Data_base_case!$D$7:$AC$7,0))</f>
        <v>1140.72</v>
      </c>
    </row>
    <row r="30" spans="1:9" x14ac:dyDescent="0.35">
      <c r="A30" s="17" t="s">
        <v>139</v>
      </c>
      <c r="B30" s="115" t="s">
        <v>235</v>
      </c>
      <c r="C30" s="115" t="s">
        <v>186</v>
      </c>
      <c r="D30" s="115" t="s">
        <v>166</v>
      </c>
      <c r="E30" s="1" t="str">
        <f t="shared" si="0"/>
        <v>2030</v>
      </c>
      <c r="F30" s="117">
        <f>1295*49</f>
        <v>63455</v>
      </c>
      <c r="G30" s="1">
        <v>2030</v>
      </c>
      <c r="H30" s="17">
        <f>INDEX(Data_base_case!$D$8:$AC$89,MATCH(Scenarios_definition!C30,Data_base_case!$D$8:$D$89,0),MATCH(Scenarios_definition!D30&amp;Scenarios_definition!G30,Data_base_case!$D$7:$AC$7,0))</f>
        <v>57036</v>
      </c>
    </row>
    <row r="31" spans="1:9" x14ac:dyDescent="0.35">
      <c r="A31" s="17" t="s">
        <v>139</v>
      </c>
      <c r="B31" s="115" t="s">
        <v>235</v>
      </c>
      <c r="C31" s="115" t="s">
        <v>186</v>
      </c>
      <c r="D31" s="115" t="s">
        <v>167</v>
      </c>
      <c r="E31" s="1" t="str">
        <f t="shared" si="0"/>
        <v>2030</v>
      </c>
      <c r="F31" s="117">
        <f>F30*I20</f>
        <v>1269.1000000000001</v>
      </c>
      <c r="G31" s="1">
        <v>2030</v>
      </c>
      <c r="H31" s="17">
        <f>INDEX(Data_base_case!$D$8:$AC$89,MATCH(Scenarios_definition!C31,Data_base_case!$D$8:$D$89,0),MATCH(Scenarios_definition!D31&amp;Scenarios_definition!G31,Data_base_case!$D$7:$AC$7,0))</f>
        <v>1140.72</v>
      </c>
    </row>
    <row r="32" spans="1:9" x14ac:dyDescent="0.35">
      <c r="A32" s="17" t="s">
        <v>139</v>
      </c>
      <c r="B32" s="115" t="s">
        <v>236</v>
      </c>
      <c r="C32" s="115" t="s">
        <v>186</v>
      </c>
      <c r="D32" s="115" t="s">
        <v>166</v>
      </c>
      <c r="E32" s="1" t="str">
        <f t="shared" si="0"/>
        <v>2030</v>
      </c>
      <c r="F32" s="117">
        <f>1382*49</f>
        <v>67718</v>
      </c>
      <c r="G32" s="1">
        <v>2030</v>
      </c>
      <c r="H32" s="17">
        <f>INDEX(Data_base_case!$D$8:$AC$89,MATCH(Scenarios_definition!C32,Data_base_case!$D$8:$D$89,0),MATCH(Scenarios_definition!D32&amp;Scenarios_definition!G32,Data_base_case!$D$7:$AC$7,0))</f>
        <v>57036</v>
      </c>
      <c r="I32" s="1">
        <v>0.05</v>
      </c>
    </row>
    <row r="33" spans="1:9" x14ac:dyDescent="0.35">
      <c r="A33" s="17" t="s">
        <v>139</v>
      </c>
      <c r="B33" s="115" t="s">
        <v>236</v>
      </c>
      <c r="C33" s="115" t="s">
        <v>186</v>
      </c>
      <c r="D33" s="115" t="s">
        <v>167</v>
      </c>
      <c r="E33" s="1" t="str">
        <f t="shared" si="0"/>
        <v>2030</v>
      </c>
      <c r="F33" s="117">
        <f>F32*I20</f>
        <v>1354.3600000000001</v>
      </c>
      <c r="G33" s="1">
        <v>2030</v>
      </c>
      <c r="H33" s="17">
        <f>INDEX(Data_base_case!$D$8:$AC$89,MATCH(Scenarios_definition!C33,Data_base_case!$D$8:$D$89,0),MATCH(Scenarios_definition!D33&amp;Scenarios_definition!G33,Data_base_case!$D$7:$AC$7,0))</f>
        <v>1140.72</v>
      </c>
    </row>
    <row r="34" spans="1:9" x14ac:dyDescent="0.35">
      <c r="A34" s="17" t="s">
        <v>139</v>
      </c>
      <c r="B34" s="116" t="s">
        <v>237</v>
      </c>
      <c r="C34" s="116" t="str">
        <f>Data_base_case!$D$19</f>
        <v>Electrolysers SOEC</v>
      </c>
      <c r="D34" s="116" t="s">
        <v>166</v>
      </c>
      <c r="E34" s="1" t="str">
        <f t="shared" si="0"/>
        <v>2030</v>
      </c>
      <c r="F34" s="117">
        <f>1018*41</f>
        <v>41738</v>
      </c>
      <c r="G34" s="1">
        <v>2030</v>
      </c>
      <c r="H34" s="17">
        <f>INDEX(Data_base_case!$D$8:$AC$89,MATCH(Scenarios_definition!C34,Data_base_case!$D$8:$D$89,0),MATCH(Scenarios_definition!D34&amp;Scenarios_definition!G34,Data_base_case!$D$7:$AC$7,0))</f>
        <v>67988</v>
      </c>
    </row>
    <row r="35" spans="1:9" x14ac:dyDescent="0.35">
      <c r="A35" s="17" t="s">
        <v>139</v>
      </c>
      <c r="B35" s="116" t="s">
        <v>237</v>
      </c>
      <c r="C35" s="116" t="str">
        <f>Data_base_case!$D$19</f>
        <v>Electrolysers SOEC</v>
      </c>
      <c r="D35" s="116" t="s">
        <v>167</v>
      </c>
      <c r="E35" s="1" t="str">
        <f t="shared" si="0"/>
        <v>2030</v>
      </c>
      <c r="F35" s="117">
        <f>F34*I32</f>
        <v>2086.9</v>
      </c>
      <c r="G35" s="1">
        <v>2030</v>
      </c>
      <c r="H35" s="17">
        <f>INDEX(Data_base_case!$D$8:$AC$89,MATCH(Scenarios_definition!C35,Data_base_case!$D$8:$D$89,0),MATCH(Scenarios_definition!D35&amp;Scenarios_definition!G35,Data_base_case!$D$7:$AC$7,0))</f>
        <v>3399.4</v>
      </c>
    </row>
    <row r="36" spans="1:9" x14ac:dyDescent="0.35">
      <c r="A36" s="17" t="s">
        <v>139</v>
      </c>
      <c r="B36" s="116" t="s">
        <v>238</v>
      </c>
      <c r="C36" s="116" t="str">
        <f>Data_base_case!$D$19</f>
        <v>Electrolysers SOEC</v>
      </c>
      <c r="D36" s="116" t="s">
        <v>166</v>
      </c>
      <c r="E36" s="1" t="str">
        <f t="shared" si="0"/>
        <v>2030</v>
      </c>
      <c r="F36" s="117">
        <f>1193*41</f>
        <v>48913</v>
      </c>
      <c r="G36" s="1">
        <v>2030</v>
      </c>
      <c r="H36" s="17">
        <f>INDEX(Data_base_case!$D$8:$AC$89,MATCH(Scenarios_definition!C36,Data_base_case!$D$8:$D$89,0),MATCH(Scenarios_definition!D36&amp;Scenarios_definition!G36,Data_base_case!$D$7:$AC$7,0))</f>
        <v>67988</v>
      </c>
    </row>
    <row r="37" spans="1:9" x14ac:dyDescent="0.35">
      <c r="A37" s="17" t="s">
        <v>139</v>
      </c>
      <c r="B37" s="116" t="s">
        <v>238</v>
      </c>
      <c r="C37" s="116" t="str">
        <f>Data_base_case!$D$19</f>
        <v>Electrolysers SOEC</v>
      </c>
      <c r="D37" s="116" t="s">
        <v>167</v>
      </c>
      <c r="E37" s="1" t="str">
        <f t="shared" si="0"/>
        <v>2030</v>
      </c>
      <c r="F37" s="117">
        <f>F36*I32</f>
        <v>2445.65</v>
      </c>
      <c r="G37" s="1">
        <v>2030</v>
      </c>
      <c r="H37" s="17">
        <f>INDEX(Data_base_case!$D$8:$AC$89,MATCH(Scenarios_definition!C37,Data_base_case!$D$8:$D$89,0),MATCH(Scenarios_definition!D37&amp;Scenarios_definition!G37,Data_base_case!$D$7:$AC$7,0))</f>
        <v>3399.4</v>
      </c>
    </row>
    <row r="38" spans="1:9" x14ac:dyDescent="0.35">
      <c r="A38" s="17" t="s">
        <v>139</v>
      </c>
      <c r="B38" s="116" t="s">
        <v>239</v>
      </c>
      <c r="C38" s="116" t="str">
        <f>Data_base_case!$D$19</f>
        <v>Electrolysers SOEC</v>
      </c>
      <c r="D38" s="116" t="s">
        <v>166</v>
      </c>
      <c r="E38" s="1" t="str">
        <f t="shared" si="0"/>
        <v>2030</v>
      </c>
      <c r="F38" s="117">
        <f>1368*41</f>
        <v>56088</v>
      </c>
      <c r="G38" s="1">
        <v>2030</v>
      </c>
      <c r="H38" s="17">
        <f>INDEX(Data_base_case!$D$8:$AC$89,MATCH(Scenarios_definition!C38,Data_base_case!$D$8:$D$89,0),MATCH(Scenarios_definition!D38&amp;Scenarios_definition!G38,Data_base_case!$D$7:$AC$7,0))</f>
        <v>67988</v>
      </c>
    </row>
    <row r="39" spans="1:9" x14ac:dyDescent="0.35">
      <c r="A39" s="17" t="s">
        <v>139</v>
      </c>
      <c r="B39" s="116" t="s">
        <v>239</v>
      </c>
      <c r="C39" s="116" t="str">
        <f>Data_base_case!$D$19</f>
        <v>Electrolysers SOEC</v>
      </c>
      <c r="D39" s="116" t="s">
        <v>167</v>
      </c>
      <c r="E39" s="1" t="str">
        <f t="shared" si="0"/>
        <v>2030</v>
      </c>
      <c r="F39" s="117">
        <f>F38*I32</f>
        <v>2804.4</v>
      </c>
      <c r="G39" s="1">
        <v>2030</v>
      </c>
      <c r="H39" s="17">
        <f>INDEX(Data_base_case!$D$8:$AC$89,MATCH(Scenarios_definition!C39,Data_base_case!$D$8:$D$89,0),MATCH(Scenarios_definition!D39&amp;Scenarios_definition!G39,Data_base_case!$D$7:$AC$7,0))</f>
        <v>3399.4</v>
      </c>
    </row>
    <row r="40" spans="1:9" x14ac:dyDescent="0.35">
      <c r="A40" s="17" t="s">
        <v>139</v>
      </c>
      <c r="B40" s="116" t="s">
        <v>240</v>
      </c>
      <c r="C40" s="116" t="str">
        <f>Data_base_case!$D$19</f>
        <v>Electrolysers SOEC</v>
      </c>
      <c r="D40" s="116" t="s">
        <v>166</v>
      </c>
      <c r="E40" s="1" t="str">
        <f t="shared" si="0"/>
        <v>2030</v>
      </c>
      <c r="F40" s="117">
        <f>41*1543</f>
        <v>63263</v>
      </c>
      <c r="G40" s="1">
        <v>2030</v>
      </c>
      <c r="H40" s="17">
        <f>INDEX(Data_base_case!$D$8:$AC$89,MATCH(Scenarios_definition!C40,Data_base_case!$D$8:$D$89,0),MATCH(Scenarios_definition!D40&amp;Scenarios_definition!G40,Data_base_case!$D$7:$AC$7,0))</f>
        <v>67988</v>
      </c>
    </row>
    <row r="41" spans="1:9" x14ac:dyDescent="0.35">
      <c r="A41" s="17" t="s">
        <v>139</v>
      </c>
      <c r="B41" s="116" t="s">
        <v>240</v>
      </c>
      <c r="C41" s="116" t="str">
        <f>Data_base_case!$D$19</f>
        <v>Electrolysers SOEC</v>
      </c>
      <c r="D41" s="116" t="s">
        <v>167</v>
      </c>
      <c r="E41" s="1" t="str">
        <f t="shared" si="0"/>
        <v>2030</v>
      </c>
      <c r="F41" s="117">
        <f>F40*I32</f>
        <v>3163.15</v>
      </c>
      <c r="G41" s="1">
        <v>2030</v>
      </c>
      <c r="H41" s="17">
        <f>INDEX(Data_base_case!$D$8:$AC$89,MATCH(Scenarios_definition!C41,Data_base_case!$D$8:$D$89,0),MATCH(Scenarios_definition!D41&amp;Scenarios_definition!G41,Data_base_case!$D$7:$AC$7,0))</f>
        <v>3399.4</v>
      </c>
    </row>
    <row r="42" spans="1:9" x14ac:dyDescent="0.35">
      <c r="A42" s="17" t="s">
        <v>139</v>
      </c>
      <c r="B42" s="116" t="s">
        <v>242</v>
      </c>
      <c r="C42" s="116" t="str">
        <f>Data_base_case!$D$19</f>
        <v>Electrolysers SOEC</v>
      </c>
      <c r="D42" s="116" t="s">
        <v>166</v>
      </c>
      <c r="E42" s="1" t="str">
        <f t="shared" si="0"/>
        <v>2030</v>
      </c>
      <c r="F42" s="117">
        <f>41*1718</f>
        <v>70438</v>
      </c>
      <c r="G42" s="1">
        <v>2030</v>
      </c>
      <c r="H42" s="17">
        <f>INDEX(Data_base_case!$D$8:$AC$89,MATCH(Scenarios_definition!C42,Data_base_case!$D$8:$D$89,0),MATCH(Scenarios_definition!D42&amp;Scenarios_definition!G42,Data_base_case!$D$7:$AC$7,0))</f>
        <v>67988</v>
      </c>
    </row>
    <row r="43" spans="1:9" x14ac:dyDescent="0.35">
      <c r="A43" s="17" t="s">
        <v>139</v>
      </c>
      <c r="B43" s="116" t="s">
        <v>242</v>
      </c>
      <c r="C43" s="116" t="str">
        <f>Data_base_case!$D$19</f>
        <v>Electrolysers SOEC</v>
      </c>
      <c r="D43" s="116" t="s">
        <v>167</v>
      </c>
      <c r="E43" s="1" t="str">
        <f t="shared" si="0"/>
        <v>2030</v>
      </c>
      <c r="F43" s="117">
        <f>F42*I32</f>
        <v>3521.9</v>
      </c>
      <c r="G43" s="1">
        <v>2030</v>
      </c>
      <c r="H43" s="17">
        <f>INDEX(Data_base_case!$D$8:$AC$89,MATCH(Scenarios_definition!C43,Data_base_case!$D$8:$D$89,0),MATCH(Scenarios_definition!D43&amp;Scenarios_definition!G43,Data_base_case!$D$7:$AC$7,0))</f>
        <v>3399.4</v>
      </c>
      <c r="I43" s="1">
        <v>0.04</v>
      </c>
    </row>
    <row r="44" spans="1:9" x14ac:dyDescent="0.35">
      <c r="A44" s="17" t="s">
        <v>139</v>
      </c>
      <c r="B44" s="116" t="s">
        <v>243</v>
      </c>
      <c r="C44" s="116" t="str">
        <f>Data_base_case!$D$19</f>
        <v>Electrolysers SOEC</v>
      </c>
      <c r="D44" s="116" t="s">
        <v>166</v>
      </c>
      <c r="E44" s="1" t="str">
        <f t="shared" si="0"/>
        <v>2030</v>
      </c>
      <c r="F44" s="117">
        <f>1891*41</f>
        <v>77531</v>
      </c>
      <c r="G44" s="1">
        <v>2030</v>
      </c>
      <c r="H44" s="17">
        <f>INDEX(Data_base_case!$D$8:$AC$89,MATCH(Scenarios_definition!C44,Data_base_case!$D$8:$D$89,0),MATCH(Scenarios_definition!D44&amp;Scenarios_definition!G44,Data_base_case!$D$7:$AC$7,0))</f>
        <v>67988</v>
      </c>
    </row>
    <row r="45" spans="1:9" x14ac:dyDescent="0.35">
      <c r="A45" s="17" t="s">
        <v>139</v>
      </c>
      <c r="B45" s="116" t="s">
        <v>243</v>
      </c>
      <c r="C45" s="116" t="str">
        <f>Data_base_case!$D$19</f>
        <v>Electrolysers SOEC</v>
      </c>
      <c r="D45" s="116" t="s">
        <v>167</v>
      </c>
      <c r="E45" s="1" t="str">
        <f t="shared" si="0"/>
        <v>2030</v>
      </c>
      <c r="F45" s="117">
        <f>F44*I32</f>
        <v>3876.55</v>
      </c>
      <c r="G45" s="1">
        <v>2030</v>
      </c>
      <c r="H45" s="17">
        <f>INDEX(Data_base_case!$D$8:$AC$89,MATCH(Scenarios_definition!C45,Data_base_case!$D$8:$D$89,0),MATCH(Scenarios_definition!D45&amp;Scenarios_definition!G45,Data_base_case!$D$7:$AC$7,0))</f>
        <v>3399.4</v>
      </c>
    </row>
    <row r="46" spans="1:9" x14ac:dyDescent="0.35">
      <c r="A46" s="17" t="s">
        <v>139</v>
      </c>
      <c r="B46" s="118" t="s">
        <v>244</v>
      </c>
      <c r="C46" s="118" t="str">
        <f>Data_base_case!$D$10</f>
        <v>MeOH plant CCU</v>
      </c>
      <c r="D46" s="118" t="s">
        <v>166</v>
      </c>
      <c r="E46" s="1" t="str">
        <f t="shared" si="0"/>
        <v>2030</v>
      </c>
      <c r="F46" s="117">
        <v>10600</v>
      </c>
      <c r="G46" s="1">
        <v>2030</v>
      </c>
      <c r="H46" s="17">
        <f>INDEX(Data_base_case!$D$8:$AC$89,MATCH(Scenarios_definition!C46,Data_base_case!$D$8:$D$89,0),MATCH(Scenarios_definition!D46&amp;Scenarios_definition!G46,Data_base_case!$D$7:$AC$7,0))</f>
        <v>11582</v>
      </c>
    </row>
    <row r="47" spans="1:9" x14ac:dyDescent="0.35">
      <c r="A47" s="17" t="s">
        <v>139</v>
      </c>
      <c r="B47" s="118" t="s">
        <v>244</v>
      </c>
      <c r="C47" s="118" t="str">
        <f>Data_base_case!$D$10</f>
        <v>MeOH plant CCU</v>
      </c>
      <c r="D47" s="118" t="s">
        <v>167</v>
      </c>
      <c r="E47" s="1" t="str">
        <f t="shared" si="0"/>
        <v>2030</v>
      </c>
      <c r="F47" s="117">
        <f>F46*$I$43</f>
        <v>424</v>
      </c>
      <c r="G47" s="1">
        <v>2030</v>
      </c>
      <c r="H47" s="17">
        <f>INDEX(Data_base_case!$D$8:$AC$89,MATCH(Scenarios_definition!C47,Data_base_case!$D$8:$D$89,0),MATCH(Scenarios_definition!D47&amp;Scenarios_definition!G47,Data_base_case!$D$7:$AC$7,0))</f>
        <v>463.28000000000003</v>
      </c>
    </row>
    <row r="48" spans="1:9" x14ac:dyDescent="0.35">
      <c r="A48" s="17" t="s">
        <v>139</v>
      </c>
      <c r="B48" s="118" t="s">
        <v>245</v>
      </c>
      <c r="C48" s="118" t="str">
        <f>Data_base_case!$D$10</f>
        <v>MeOH plant CCU</v>
      </c>
      <c r="D48" s="118" t="s">
        <v>166</v>
      </c>
      <c r="E48" s="1" t="str">
        <f t="shared" si="0"/>
        <v>2030</v>
      </c>
      <c r="F48" s="117">
        <v>11280</v>
      </c>
      <c r="G48" s="1">
        <v>2030</v>
      </c>
      <c r="H48" s="17">
        <f>INDEX(Data_base_case!$D$8:$AC$89,MATCH(Scenarios_definition!C48,Data_base_case!$D$8:$D$89,0),MATCH(Scenarios_definition!D48&amp;Scenarios_definition!G48,Data_base_case!$D$7:$AC$7,0))</f>
        <v>11582</v>
      </c>
    </row>
    <row r="49" spans="1:9" x14ac:dyDescent="0.35">
      <c r="A49" s="17" t="s">
        <v>139</v>
      </c>
      <c r="B49" s="118" t="s">
        <v>245</v>
      </c>
      <c r="C49" s="118" t="str">
        <f>Data_base_case!$D$10</f>
        <v>MeOH plant CCU</v>
      </c>
      <c r="D49" s="118" t="s">
        <v>167</v>
      </c>
      <c r="E49" s="1" t="str">
        <f t="shared" si="0"/>
        <v>2030</v>
      </c>
      <c r="F49" s="117">
        <f>F48*$I$43</f>
        <v>451.2</v>
      </c>
      <c r="G49" s="1">
        <v>2030</v>
      </c>
      <c r="H49" s="17">
        <f>INDEX(Data_base_case!$D$8:$AC$89,MATCH(Scenarios_definition!C49,Data_base_case!$D$8:$D$89,0),MATCH(Scenarios_definition!D49&amp;Scenarios_definition!G49,Data_base_case!$D$7:$AC$7,0))</f>
        <v>463.28000000000003</v>
      </c>
    </row>
    <row r="50" spans="1:9" x14ac:dyDescent="0.35">
      <c r="A50" s="17" t="s">
        <v>139</v>
      </c>
      <c r="B50" s="118" t="s">
        <v>246</v>
      </c>
      <c r="C50" s="118" t="str">
        <f>Data_base_case!$D$10</f>
        <v>MeOH plant CCU</v>
      </c>
      <c r="D50" s="118" t="s">
        <v>166</v>
      </c>
      <c r="E50" s="1" t="str">
        <f t="shared" si="0"/>
        <v>2030</v>
      </c>
      <c r="F50" s="117">
        <v>11960</v>
      </c>
      <c r="G50" s="1">
        <v>2030</v>
      </c>
      <c r="H50" s="17">
        <f>INDEX(Data_base_case!$D$8:$AC$89,MATCH(Scenarios_definition!C50,Data_base_case!$D$8:$D$89,0),MATCH(Scenarios_definition!D50&amp;Scenarios_definition!G50,Data_base_case!$D$7:$AC$7,0))</f>
        <v>11582</v>
      </c>
    </row>
    <row r="51" spans="1:9" x14ac:dyDescent="0.35">
      <c r="A51" s="17" t="s">
        <v>139</v>
      </c>
      <c r="B51" s="118" t="s">
        <v>246</v>
      </c>
      <c r="C51" s="118" t="str">
        <f>Data_base_case!$D$10</f>
        <v>MeOH plant CCU</v>
      </c>
      <c r="D51" s="118" t="s">
        <v>167</v>
      </c>
      <c r="E51" s="1" t="str">
        <f t="shared" si="0"/>
        <v>2030</v>
      </c>
      <c r="F51" s="117">
        <f>F50*$I$43</f>
        <v>478.40000000000003</v>
      </c>
      <c r="G51" s="1">
        <v>2030</v>
      </c>
      <c r="H51" s="17">
        <f>INDEX(Data_base_case!$D$8:$AC$89,MATCH(Scenarios_definition!C51,Data_base_case!$D$8:$D$89,0),MATCH(Scenarios_definition!D51&amp;Scenarios_definition!G51,Data_base_case!$D$7:$AC$7,0))</f>
        <v>463.28000000000003</v>
      </c>
    </row>
    <row r="52" spans="1:9" x14ac:dyDescent="0.35">
      <c r="A52" s="17" t="s">
        <v>139</v>
      </c>
      <c r="B52" s="118" t="s">
        <v>247</v>
      </c>
      <c r="C52" s="118" t="str">
        <f>Data_base_case!$D$10</f>
        <v>MeOH plant CCU</v>
      </c>
      <c r="D52" s="118" t="s">
        <v>166</v>
      </c>
      <c r="E52" s="1" t="str">
        <f t="shared" si="0"/>
        <v>2030</v>
      </c>
      <c r="F52" s="117">
        <v>12640</v>
      </c>
      <c r="G52" s="1">
        <v>2030</v>
      </c>
      <c r="H52" s="17">
        <f>INDEX(Data_base_case!$D$8:$AC$89,MATCH(Scenarios_definition!C52,Data_base_case!$D$8:$D$89,0),MATCH(Scenarios_definition!D52&amp;Scenarios_definition!G52,Data_base_case!$D$7:$AC$7,0))</f>
        <v>11582</v>
      </c>
    </row>
    <row r="53" spans="1:9" x14ac:dyDescent="0.35">
      <c r="A53" s="17" t="s">
        <v>139</v>
      </c>
      <c r="B53" s="118" t="s">
        <v>247</v>
      </c>
      <c r="C53" s="118" t="str">
        <f>Data_base_case!$D$10</f>
        <v>MeOH plant CCU</v>
      </c>
      <c r="D53" s="118" t="s">
        <v>167</v>
      </c>
      <c r="E53" s="1" t="str">
        <f t="shared" si="0"/>
        <v>2030</v>
      </c>
      <c r="F53" s="117">
        <f>F52*$I$43</f>
        <v>505.6</v>
      </c>
      <c r="G53" s="1">
        <v>2030</v>
      </c>
      <c r="H53" s="17">
        <f>INDEX(Data_base_case!$D$8:$AC$89,MATCH(Scenarios_definition!C53,Data_base_case!$D$8:$D$89,0),MATCH(Scenarios_definition!D53&amp;Scenarios_definition!G53,Data_base_case!$D$7:$AC$7,0))</f>
        <v>463.28000000000003</v>
      </c>
    </row>
    <row r="54" spans="1:9" x14ac:dyDescent="0.35">
      <c r="A54" s="17" t="s">
        <v>139</v>
      </c>
      <c r="B54" s="118" t="s">
        <v>248</v>
      </c>
      <c r="C54" s="118" t="str">
        <f>Data_base_case!$D$10</f>
        <v>MeOH plant CCU</v>
      </c>
      <c r="D54" s="118" t="s">
        <v>166</v>
      </c>
      <c r="E54" s="1" t="str">
        <f t="shared" si="0"/>
        <v>2030</v>
      </c>
      <c r="F54" s="117">
        <v>13320</v>
      </c>
      <c r="G54" s="1">
        <v>2030</v>
      </c>
      <c r="H54" s="17">
        <f>INDEX(Data_base_case!$D$8:$AC$89,MATCH(Scenarios_definition!C54,Data_base_case!$D$8:$D$89,0),MATCH(Scenarios_definition!D54&amp;Scenarios_definition!G54,Data_base_case!$D$7:$AC$7,0))</f>
        <v>11582</v>
      </c>
    </row>
    <row r="55" spans="1:9" x14ac:dyDescent="0.35">
      <c r="A55" s="17" t="s">
        <v>139</v>
      </c>
      <c r="B55" s="118" t="s">
        <v>248</v>
      </c>
      <c r="C55" s="118" t="str">
        <f>Data_base_case!$D$10</f>
        <v>MeOH plant CCU</v>
      </c>
      <c r="D55" s="118" t="s">
        <v>167</v>
      </c>
      <c r="E55" s="1" t="str">
        <f t="shared" si="0"/>
        <v>2030</v>
      </c>
      <c r="F55" s="117">
        <f>F54*$I$43</f>
        <v>532.79999999999995</v>
      </c>
      <c r="G55" s="1">
        <v>2030</v>
      </c>
      <c r="H55" s="17">
        <f>INDEX(Data_base_case!$D$8:$AC$89,MATCH(Scenarios_definition!C55,Data_base_case!$D$8:$D$89,0),MATCH(Scenarios_definition!D55&amp;Scenarios_definition!G55,Data_base_case!$D$7:$AC$7,0))</f>
        <v>463.28000000000003</v>
      </c>
    </row>
    <row r="56" spans="1:9" x14ac:dyDescent="0.35">
      <c r="A56" s="17" t="s">
        <v>139</v>
      </c>
      <c r="B56" s="118" t="s">
        <v>249</v>
      </c>
      <c r="C56" s="118" t="str">
        <f>Data_base_case!$D$10</f>
        <v>MeOH plant CCU</v>
      </c>
      <c r="D56" s="118" t="s">
        <v>166</v>
      </c>
      <c r="E56" s="1" t="str">
        <f t="shared" si="0"/>
        <v>2030</v>
      </c>
      <c r="F56" s="117">
        <v>14003</v>
      </c>
      <c r="G56" s="1">
        <v>2030</v>
      </c>
      <c r="H56" s="17">
        <f>INDEX(Data_base_case!$D$8:$AC$89,MATCH(Scenarios_definition!C56,Data_base_case!$D$8:$D$89,0),MATCH(Scenarios_definition!D56&amp;Scenarios_definition!G56,Data_base_case!$D$7:$AC$7,0))</f>
        <v>11582</v>
      </c>
      <c r="I56" s="1">
        <v>0.2</v>
      </c>
    </row>
    <row r="57" spans="1:9" x14ac:dyDescent="0.35">
      <c r="A57" s="17" t="s">
        <v>139</v>
      </c>
      <c r="B57" s="118" t="s">
        <v>249</v>
      </c>
      <c r="C57" s="118" t="str">
        <f>Data_base_case!$D$10</f>
        <v>MeOH plant CCU</v>
      </c>
      <c r="D57" s="118" t="s">
        <v>167</v>
      </c>
      <c r="E57" s="1" t="str">
        <f t="shared" si="0"/>
        <v>2030</v>
      </c>
      <c r="F57" s="117">
        <f>F56*$I$43</f>
        <v>560.12</v>
      </c>
      <c r="G57" s="1">
        <v>2030</v>
      </c>
      <c r="H57" s="17">
        <f>INDEX(Data_base_case!$D$8:$AC$89,MATCH(Scenarios_definition!C57,Data_base_case!$D$8:$D$89,0),MATCH(Scenarios_definition!D57&amp;Scenarios_definition!G57,Data_base_case!$D$7:$AC$7,0))</f>
        <v>463.28000000000003</v>
      </c>
    </row>
    <row r="58" spans="1:9" x14ac:dyDescent="0.35">
      <c r="A58" s="17" t="s">
        <v>139</v>
      </c>
      <c r="B58" s="110" t="s">
        <v>250</v>
      </c>
      <c r="C58" s="110" t="str">
        <f>Data_base_case!$D$16</f>
        <v>Biofuel plant</v>
      </c>
      <c r="D58" s="110" t="s">
        <v>166</v>
      </c>
      <c r="E58" s="1" t="str">
        <f t="shared" si="0"/>
        <v>2030</v>
      </c>
      <c r="F58" s="117">
        <v>1698</v>
      </c>
      <c r="G58" s="1">
        <v>2030</v>
      </c>
      <c r="H58" s="17">
        <f>INDEX(Data_base_case!$D$8:$AC$89,MATCH(Scenarios_definition!C58,Data_base_case!$D$8:$D$89,0),MATCH(Scenarios_definition!D58&amp;Scenarios_definition!G58,Data_base_case!$D$7:$AC$7,0))</f>
        <v>3995</v>
      </c>
    </row>
    <row r="59" spans="1:9" x14ac:dyDescent="0.35">
      <c r="A59" s="17" t="s">
        <v>139</v>
      </c>
      <c r="B59" s="110" t="str">
        <f>B58</f>
        <v>cost-upgrade-1698</v>
      </c>
      <c r="C59" s="110" t="str">
        <f>Data_base_case!$D$16</f>
        <v>Biofuel plant</v>
      </c>
      <c r="D59" s="110" t="s">
        <v>167</v>
      </c>
      <c r="E59" s="1" t="str">
        <f t="shared" si="0"/>
        <v>2030</v>
      </c>
      <c r="F59" s="117">
        <f>F58*$I$56</f>
        <v>339.6</v>
      </c>
      <c r="G59" s="1">
        <v>2030</v>
      </c>
      <c r="H59" s="17">
        <f>INDEX(Data_base_case!$D$8:$AC$89,MATCH(Scenarios_definition!C59,Data_base_case!$D$8:$D$89,0),MATCH(Scenarios_definition!D59&amp;Scenarios_definition!G59,Data_base_case!$D$7:$AC$7,0))</f>
        <v>799</v>
      </c>
    </row>
    <row r="60" spans="1:9" x14ac:dyDescent="0.35">
      <c r="A60" s="17" t="s">
        <v>139</v>
      </c>
      <c r="B60" s="110" t="s">
        <v>251</v>
      </c>
      <c r="C60" s="110" t="str">
        <f>Data_base_case!$D$16</f>
        <v>Biofuel plant</v>
      </c>
      <c r="D60" s="110" t="s">
        <v>166</v>
      </c>
      <c r="E60" s="1" t="str">
        <f t="shared" si="0"/>
        <v>2030</v>
      </c>
      <c r="F60" s="117">
        <v>2557</v>
      </c>
      <c r="G60" s="1">
        <v>2030</v>
      </c>
      <c r="H60" s="17">
        <f>INDEX(Data_base_case!$D$8:$AC$89,MATCH(Scenarios_definition!C60,Data_base_case!$D$8:$D$89,0),MATCH(Scenarios_definition!D60&amp;Scenarios_definition!G60,Data_base_case!$D$7:$AC$7,0))</f>
        <v>3995</v>
      </c>
    </row>
    <row r="61" spans="1:9" x14ac:dyDescent="0.35">
      <c r="A61" s="17" t="s">
        <v>139</v>
      </c>
      <c r="B61" s="110" t="str">
        <f>B60</f>
        <v>cost-upgrade-2557</v>
      </c>
      <c r="C61" s="110" t="str">
        <f>Data_base_case!$D$16</f>
        <v>Biofuel plant</v>
      </c>
      <c r="D61" s="110" t="s">
        <v>167</v>
      </c>
      <c r="E61" s="1" t="str">
        <f t="shared" si="0"/>
        <v>2030</v>
      </c>
      <c r="F61" s="117">
        <f>F60*$I$56</f>
        <v>511.40000000000003</v>
      </c>
      <c r="G61" s="1">
        <v>2030</v>
      </c>
      <c r="H61" s="17">
        <f>INDEX(Data_base_case!$D$8:$AC$89,MATCH(Scenarios_definition!C61,Data_base_case!$D$8:$D$89,0),MATCH(Scenarios_definition!D61&amp;Scenarios_definition!G61,Data_base_case!$D$7:$AC$7,0))</f>
        <v>799</v>
      </c>
    </row>
    <row r="62" spans="1:9" x14ac:dyDescent="0.35">
      <c r="A62" s="17" t="s">
        <v>139</v>
      </c>
      <c r="B62" s="110" t="s">
        <v>252</v>
      </c>
      <c r="C62" s="110" t="str">
        <f>Data_base_case!$D$16</f>
        <v>Biofuel plant</v>
      </c>
      <c r="D62" s="110" t="s">
        <v>166</v>
      </c>
      <c r="E62" s="1" t="str">
        <f t="shared" si="0"/>
        <v>2030</v>
      </c>
      <c r="F62" s="117">
        <v>3416</v>
      </c>
      <c r="G62" s="1">
        <v>2030</v>
      </c>
      <c r="H62" s="17">
        <f>INDEX(Data_base_case!$D$8:$AC$89,MATCH(Scenarios_definition!C62,Data_base_case!$D$8:$D$89,0),MATCH(Scenarios_definition!D62&amp;Scenarios_definition!G62,Data_base_case!$D$7:$AC$7,0))</f>
        <v>3995</v>
      </c>
    </row>
    <row r="63" spans="1:9" x14ac:dyDescent="0.35">
      <c r="A63" s="17" t="s">
        <v>139</v>
      </c>
      <c r="B63" s="110" t="str">
        <f>B62</f>
        <v>cost-upgrade-3416</v>
      </c>
      <c r="C63" s="110" t="str">
        <f>Data_base_case!$D$16</f>
        <v>Biofuel plant</v>
      </c>
      <c r="D63" s="110" t="s">
        <v>167</v>
      </c>
      <c r="E63" s="1" t="str">
        <f t="shared" si="0"/>
        <v>2030</v>
      </c>
      <c r="F63" s="117">
        <f>F62*$I$56</f>
        <v>683.2</v>
      </c>
      <c r="G63" s="1">
        <v>2030</v>
      </c>
      <c r="H63" s="17">
        <f>INDEX(Data_base_case!$D$8:$AC$89,MATCH(Scenarios_definition!C63,Data_base_case!$D$8:$D$89,0),MATCH(Scenarios_definition!D63&amp;Scenarios_definition!G63,Data_base_case!$D$7:$AC$7,0))</f>
        <v>799</v>
      </c>
    </row>
    <row r="64" spans="1:9" x14ac:dyDescent="0.35">
      <c r="A64" s="17" t="s">
        <v>139</v>
      </c>
      <c r="B64" s="110" t="s">
        <v>253</v>
      </c>
      <c r="C64" s="110" t="str">
        <f>Data_base_case!$D$16</f>
        <v>Biofuel plant</v>
      </c>
      <c r="D64" s="110" t="s">
        <v>166</v>
      </c>
      <c r="E64" s="1" t="str">
        <f t="shared" si="0"/>
        <v>2030</v>
      </c>
      <c r="F64" s="117">
        <v>4275</v>
      </c>
      <c r="G64" s="1">
        <v>2030</v>
      </c>
      <c r="H64" s="17">
        <f>INDEX(Data_base_case!$D$8:$AC$89,MATCH(Scenarios_definition!C64,Data_base_case!$D$8:$D$89,0),MATCH(Scenarios_definition!D64&amp;Scenarios_definition!G64,Data_base_case!$D$7:$AC$7,0))</f>
        <v>3995</v>
      </c>
    </row>
    <row r="65" spans="1:8" x14ac:dyDescent="0.35">
      <c r="A65" s="17" t="s">
        <v>139</v>
      </c>
      <c r="B65" s="110" t="str">
        <f>B64</f>
        <v>cost-upgrade-4275</v>
      </c>
      <c r="C65" s="110" t="str">
        <f>Data_base_case!$D$16</f>
        <v>Biofuel plant</v>
      </c>
      <c r="D65" s="110" t="s">
        <v>167</v>
      </c>
      <c r="E65" s="1" t="str">
        <f t="shared" si="0"/>
        <v>2030</v>
      </c>
      <c r="F65" s="117">
        <f>F64*$I$56</f>
        <v>855</v>
      </c>
      <c r="G65" s="1">
        <v>2030</v>
      </c>
      <c r="H65" s="17">
        <f>INDEX(Data_base_case!$D$8:$AC$89,MATCH(Scenarios_definition!C65,Data_base_case!$D$8:$D$89,0),MATCH(Scenarios_definition!D65&amp;Scenarios_definition!G65,Data_base_case!$D$7:$AC$7,0))</f>
        <v>799</v>
      </c>
    </row>
    <row r="66" spans="1:8" x14ac:dyDescent="0.35">
      <c r="A66" s="17" t="s">
        <v>139</v>
      </c>
      <c r="B66" s="110" t="s">
        <v>254</v>
      </c>
      <c r="C66" s="110" t="str">
        <f>Data_base_case!$D$16</f>
        <v>Biofuel plant</v>
      </c>
      <c r="D66" s="110" t="s">
        <v>166</v>
      </c>
      <c r="E66" s="1" t="str">
        <f t="shared" si="0"/>
        <v>2030</v>
      </c>
      <c r="F66" s="117">
        <v>5134</v>
      </c>
      <c r="G66" s="1">
        <v>2030</v>
      </c>
      <c r="H66" s="17">
        <f>INDEX(Data_base_case!$D$8:$AC$89,MATCH(Scenarios_definition!C66,Data_base_case!$D$8:$D$89,0),MATCH(Scenarios_definition!D66&amp;Scenarios_definition!G66,Data_base_case!$D$7:$AC$7,0))</f>
        <v>3995</v>
      </c>
    </row>
    <row r="67" spans="1:8" x14ac:dyDescent="0.35">
      <c r="A67" s="17" t="s">
        <v>139</v>
      </c>
      <c r="B67" s="110" t="s">
        <v>254</v>
      </c>
      <c r="C67" s="110" t="str">
        <f>Data_base_case!$D$16</f>
        <v>Biofuel plant</v>
      </c>
      <c r="D67" s="110" t="s">
        <v>167</v>
      </c>
      <c r="E67" s="1" t="str">
        <f t="shared" si="0"/>
        <v>2030</v>
      </c>
      <c r="F67" s="117">
        <f>F66*$I$56</f>
        <v>1026.8</v>
      </c>
      <c r="G67" s="1">
        <v>2030</v>
      </c>
      <c r="H67" s="17">
        <f>INDEX(Data_base_case!$D$8:$AC$89,MATCH(Scenarios_definition!C67,Data_base_case!$D$8:$D$89,0),MATCH(Scenarios_definition!D67&amp;Scenarios_definition!G67,Data_base_case!$D$7:$AC$7,0))</f>
        <v>799</v>
      </c>
    </row>
    <row r="68" spans="1:8" x14ac:dyDescent="0.35">
      <c r="A68" s="17" t="s">
        <v>139</v>
      </c>
      <c r="B68" s="110" t="s">
        <v>255</v>
      </c>
      <c r="C68" s="110" t="str">
        <f>Data_base_case!$D$16</f>
        <v>Biofuel plant</v>
      </c>
      <c r="D68" s="110" t="s">
        <v>166</v>
      </c>
      <c r="E68" s="1" t="str">
        <f t="shared" si="0"/>
        <v>2030</v>
      </c>
      <c r="F68" s="117">
        <v>5993</v>
      </c>
      <c r="G68" s="1">
        <v>2030</v>
      </c>
      <c r="H68" s="17">
        <f>INDEX(Data_base_case!$D$8:$AC$89,MATCH(Scenarios_definition!C68,Data_base_case!$D$8:$D$89,0),MATCH(Scenarios_definition!D68&amp;Scenarios_definition!G68,Data_base_case!$D$7:$AC$7,0))</f>
        <v>3995</v>
      </c>
    </row>
    <row r="69" spans="1:8" x14ac:dyDescent="0.35">
      <c r="A69" s="17" t="s">
        <v>139</v>
      </c>
      <c r="B69" s="110" t="str">
        <f>B68</f>
        <v>cost-upgrade-5993</v>
      </c>
      <c r="C69" s="110" t="str">
        <f>Data_base_case!$D$16</f>
        <v>Biofuel plant</v>
      </c>
      <c r="D69" s="110" t="s">
        <v>167</v>
      </c>
      <c r="E69" s="1" t="str">
        <f t="shared" si="0"/>
        <v>2030</v>
      </c>
      <c r="F69" s="117">
        <f>F68*$I$56</f>
        <v>1198.6000000000001</v>
      </c>
      <c r="G69" s="1">
        <v>2030</v>
      </c>
      <c r="H69" s="17">
        <f>INDEX(Data_base_case!$D$8:$AC$89,MATCH(Scenarios_definition!C69,Data_base_case!$D$8:$D$89,0),MATCH(Scenarios_definition!D69&amp;Scenarios_definition!G69,Data_base_case!$D$7:$AC$7,0))</f>
        <v>799</v>
      </c>
    </row>
    <row r="70" spans="1:8" x14ac:dyDescent="0.35">
      <c r="A70" s="17" t="s">
        <v>139</v>
      </c>
      <c r="B70" s="3" t="s">
        <v>287</v>
      </c>
      <c r="C70" s="1" t="str">
        <f>Data_base_case!$D$9</f>
        <v>CO2 capture PS</v>
      </c>
      <c r="D70" t="str">
        <f>Data_base_case!$Y$4</f>
        <v>Fuel buying price (EUR/output)</v>
      </c>
      <c r="E70" s="1" t="str">
        <f t="shared" si="0"/>
        <v>2030</v>
      </c>
      <c r="F70" s="1">
        <v>0.08</v>
      </c>
      <c r="G70" s="1">
        <v>2030</v>
      </c>
      <c r="H70" s="17">
        <f>INDEX(Data_base_case!$D$8:$AC$89,MATCH(Scenarios_definition!C70,Data_base_case!$D$8:$D$89,0),MATCH(Scenarios_definition!D70&amp;Scenarios_definition!G70,Data_base_case!$D$7:$AC$7,0))</f>
        <v>0.125</v>
      </c>
    </row>
    <row r="71" spans="1:8" x14ac:dyDescent="0.35">
      <c r="A71" s="17" t="s">
        <v>139</v>
      </c>
      <c r="B71" s="3" t="s">
        <v>288</v>
      </c>
      <c r="C71" s="1" t="str">
        <f>Data_base_case!$D$9</f>
        <v>CO2 capture PS</v>
      </c>
      <c r="D71" t="str">
        <f>Data_base_case!$Y$4</f>
        <v>Fuel buying price (EUR/output)</v>
      </c>
      <c r="E71" s="1" t="str">
        <f t="shared" si="0"/>
        <v>2030</v>
      </c>
      <c r="F71" s="1">
        <v>9.4E-2</v>
      </c>
      <c r="G71" s="1">
        <v>2030</v>
      </c>
      <c r="H71" s="17">
        <f>INDEX(Data_base_case!$D$8:$AC$89,MATCH(Scenarios_definition!C71,Data_base_case!$D$8:$D$89,0),MATCH(Scenarios_definition!D71&amp;Scenarios_definition!G71,Data_base_case!$D$7:$AC$7,0))</f>
        <v>0.125</v>
      </c>
    </row>
    <row r="72" spans="1:8" x14ac:dyDescent="0.35">
      <c r="A72" s="17" t="s">
        <v>139</v>
      </c>
      <c r="B72" s="3" t="s">
        <v>289</v>
      </c>
      <c r="C72" s="1" t="str">
        <f>Data_base_case!$D$9</f>
        <v>CO2 capture PS</v>
      </c>
      <c r="D72" t="str">
        <f>Data_base_case!$Y$4</f>
        <v>Fuel buying price (EUR/output)</v>
      </c>
      <c r="E72" s="1" t="str">
        <f t="shared" si="0"/>
        <v>2030</v>
      </c>
      <c r="F72" s="1">
        <v>0.108</v>
      </c>
      <c r="G72" s="1">
        <v>2030</v>
      </c>
      <c r="H72" s="17">
        <f>INDEX(Data_base_case!$D$8:$AC$89,MATCH(Scenarios_definition!C72,Data_base_case!$D$8:$D$89,0),MATCH(Scenarios_definition!D72&amp;Scenarios_definition!G72,Data_base_case!$D$7:$AC$7,0))</f>
        <v>0.125</v>
      </c>
    </row>
    <row r="73" spans="1:8" x14ac:dyDescent="0.35">
      <c r="A73" s="17" t="s">
        <v>139</v>
      </c>
      <c r="B73" s="3" t="s">
        <v>290</v>
      </c>
      <c r="C73" s="1" t="str">
        <f>Data_base_case!$D$9</f>
        <v>CO2 capture PS</v>
      </c>
      <c r="D73" t="str">
        <f>Data_base_case!$Y$4</f>
        <v>Fuel buying price (EUR/output)</v>
      </c>
      <c r="E73" s="1" t="str">
        <f t="shared" si="0"/>
        <v>2030</v>
      </c>
      <c r="F73" s="1">
        <v>0.122</v>
      </c>
      <c r="G73" s="1">
        <v>2030</v>
      </c>
      <c r="H73" s="17">
        <f>INDEX(Data_base_case!$D$8:$AC$89,MATCH(Scenarios_definition!C73,Data_base_case!$D$8:$D$89,0),MATCH(Scenarios_definition!D73&amp;Scenarios_definition!G73,Data_base_case!$D$7:$AC$7,0))</f>
        <v>0.125</v>
      </c>
    </row>
    <row r="74" spans="1:8" x14ac:dyDescent="0.35">
      <c r="A74" s="17" t="s">
        <v>139</v>
      </c>
      <c r="B74" s="3" t="s">
        <v>291</v>
      </c>
      <c r="C74" s="1" t="str">
        <f>Data_base_case!$D$9</f>
        <v>CO2 capture PS</v>
      </c>
      <c r="D74" t="str">
        <f>Data_base_case!$Y$4</f>
        <v>Fuel buying price (EUR/output)</v>
      </c>
      <c r="E74" s="1" t="str">
        <f t="shared" si="0"/>
        <v>2030</v>
      </c>
      <c r="F74" s="1">
        <v>0.13600000000000001</v>
      </c>
      <c r="G74" s="1">
        <v>2030</v>
      </c>
      <c r="H74" s="17">
        <f>INDEX(Data_base_case!$D$8:$AC$89,MATCH(Scenarios_definition!C74,Data_base_case!$D$8:$D$89,0),MATCH(Scenarios_definition!D74&amp;Scenarios_definition!G74,Data_base_case!$D$7:$AC$7,0))</f>
        <v>0.125</v>
      </c>
    </row>
    <row r="75" spans="1:8" x14ac:dyDescent="0.35">
      <c r="A75" s="17" t="s">
        <v>139</v>
      </c>
      <c r="B75" s="3" t="s">
        <v>257</v>
      </c>
      <c r="C75" s="1" t="str">
        <f>Data_base_case!$D$9</f>
        <v>CO2 capture PS</v>
      </c>
      <c r="D75" t="str">
        <f>Data_base_case!$Y$4</f>
        <v>Fuel buying price (EUR/output)</v>
      </c>
      <c r="E75" s="1" t="str">
        <f t="shared" ref="E75:E119" si="1">"2030"</f>
        <v>2030</v>
      </c>
      <c r="F75" s="1">
        <v>0.15</v>
      </c>
      <c r="G75" s="1">
        <v>2030</v>
      </c>
      <c r="H75" s="17">
        <f>INDEX(Data_base_case!$D$8:$AC$89,MATCH(Scenarios_definition!C75,Data_base_case!$D$8:$D$89,0),MATCH(Scenarios_definition!D75&amp;Scenarios_definition!G75,Data_base_case!$D$7:$AC$7,0))</f>
        <v>0.125</v>
      </c>
    </row>
    <row r="76" spans="1:8" x14ac:dyDescent="0.35">
      <c r="A76" s="17" t="s">
        <v>139</v>
      </c>
      <c r="B76" s="3" t="s">
        <v>292</v>
      </c>
      <c r="C76" s="1" t="str">
        <f>Data_base_case!$D$11</f>
        <v>Biomass (pyrolysis unit)</v>
      </c>
      <c r="D76" t="str">
        <f>Data_base_case!$Y$4</f>
        <v>Fuel buying price (EUR/output)</v>
      </c>
      <c r="E76" s="1" t="str">
        <f t="shared" si="1"/>
        <v>2030</v>
      </c>
      <c r="F76" s="1">
        <f>0.081</f>
        <v>8.1000000000000003E-2</v>
      </c>
      <c r="G76" s="1">
        <v>2030</v>
      </c>
      <c r="H76" s="17">
        <f>INDEX(Data_base_case!$D$8:$AC$89,MATCH(Scenarios_definition!C76,Data_base_case!$D$8:$D$89,0),MATCH(Scenarios_definition!D76&amp;Scenarios_definition!G76,Data_base_case!$D$7:$AC$7,0))</f>
        <v>0.107</v>
      </c>
    </row>
    <row r="77" spans="1:8" x14ac:dyDescent="0.35">
      <c r="A77" s="17" t="s">
        <v>139</v>
      </c>
      <c r="B77" s="3" t="s">
        <v>293</v>
      </c>
      <c r="C77" s="1" t="str">
        <f>Data_base_case!$D$11</f>
        <v>Biomass (pyrolysis unit)</v>
      </c>
      <c r="D77" t="str">
        <f>Data_base_case!$Y$4</f>
        <v>Fuel buying price (EUR/output)</v>
      </c>
      <c r="E77" s="1" t="str">
        <f t="shared" si="1"/>
        <v>2030</v>
      </c>
      <c r="F77" s="1">
        <f>0.087</f>
        <v>8.6999999999999994E-2</v>
      </c>
      <c r="G77" s="1">
        <v>2030</v>
      </c>
      <c r="H77" s="17">
        <f>INDEX(Data_base_case!$D$8:$AC$89,MATCH(Scenarios_definition!C77,Data_base_case!$D$8:$D$89,0),MATCH(Scenarios_definition!D77&amp;Scenarios_definition!G77,Data_base_case!$D$7:$AC$7,0))</f>
        <v>0.107</v>
      </c>
    </row>
    <row r="78" spans="1:8" x14ac:dyDescent="0.35">
      <c r="A78" s="17" t="s">
        <v>139</v>
      </c>
      <c r="B78" s="3" t="s">
        <v>294</v>
      </c>
      <c r="C78" s="1" t="str">
        <f>Data_base_case!$D$11</f>
        <v>Biomass (pyrolysis unit)</v>
      </c>
      <c r="D78" t="str">
        <f>Data_base_case!$Y$4</f>
        <v>Fuel buying price (EUR/output)</v>
      </c>
      <c r="E78" s="1" t="str">
        <f t="shared" si="1"/>
        <v>2030</v>
      </c>
      <c r="F78" s="1">
        <f>0.093</f>
        <v>9.2999999999999999E-2</v>
      </c>
      <c r="G78" s="1">
        <v>2030</v>
      </c>
      <c r="H78" s="17">
        <f>INDEX(Data_base_case!$D$8:$AC$89,MATCH(Scenarios_definition!C78,Data_base_case!$D$8:$D$89,0),MATCH(Scenarios_definition!D78&amp;Scenarios_definition!G78,Data_base_case!$D$7:$AC$7,0))</f>
        <v>0.107</v>
      </c>
    </row>
    <row r="79" spans="1:8" x14ac:dyDescent="0.35">
      <c r="A79" s="17" t="s">
        <v>139</v>
      </c>
      <c r="B79" s="3" t="s">
        <v>295</v>
      </c>
      <c r="C79" s="1" t="str">
        <f>Data_base_case!$D$11</f>
        <v>Biomass (pyrolysis unit)</v>
      </c>
      <c r="D79" t="str">
        <f>Data_base_case!$Y$4</f>
        <v>Fuel buying price (EUR/output)</v>
      </c>
      <c r="E79" s="1" t="str">
        <f t="shared" si="1"/>
        <v>2030</v>
      </c>
      <c r="F79" s="1">
        <f>0.099</f>
        <v>9.9000000000000005E-2</v>
      </c>
      <c r="G79" s="1">
        <v>2030</v>
      </c>
      <c r="H79" s="17">
        <f>INDEX(Data_base_case!$D$8:$AC$89,MATCH(Scenarios_definition!C79,Data_base_case!$D$8:$D$89,0),MATCH(Scenarios_definition!D79&amp;Scenarios_definition!G79,Data_base_case!$D$7:$AC$7,0))</f>
        <v>0.107</v>
      </c>
    </row>
    <row r="80" spans="1:8" x14ac:dyDescent="0.35">
      <c r="A80" s="17" t="s">
        <v>139</v>
      </c>
      <c r="B80" s="3" t="s">
        <v>296</v>
      </c>
      <c r="C80" s="1" t="str">
        <f>Data_base_case!$D$11</f>
        <v>Biomass (pyrolysis unit)</v>
      </c>
      <c r="D80" t="str">
        <f>Data_base_case!$Y$4</f>
        <v>Fuel buying price (EUR/output)</v>
      </c>
      <c r="E80" s="1" t="str">
        <f t="shared" si="1"/>
        <v>2030</v>
      </c>
      <c r="F80" s="1">
        <f>0.106</f>
        <v>0.106</v>
      </c>
      <c r="G80" s="1">
        <v>2030</v>
      </c>
      <c r="H80" s="17">
        <f>INDEX(Data_base_case!$D$8:$AC$89,MATCH(Scenarios_definition!C80,Data_base_case!$D$8:$D$89,0),MATCH(Scenarios_definition!D80&amp;Scenarios_definition!G80,Data_base_case!$D$7:$AC$7,0))</f>
        <v>0.107</v>
      </c>
    </row>
    <row r="81" spans="1:8" x14ac:dyDescent="0.35">
      <c r="A81" s="17" t="s">
        <v>139</v>
      </c>
      <c r="B81" s="3" t="s">
        <v>297</v>
      </c>
      <c r="C81" s="1" t="str">
        <f>Data_base_case!$D$11</f>
        <v>Biomass (pyrolysis unit)</v>
      </c>
      <c r="D81" t="str">
        <f>Data_base_case!$Y$4</f>
        <v>Fuel buying price (EUR/output)</v>
      </c>
      <c r="E81" s="1" t="str">
        <f t="shared" si="1"/>
        <v>2030</v>
      </c>
      <c r="F81" s="1">
        <f>0.11</f>
        <v>0.11</v>
      </c>
      <c r="G81" s="1">
        <v>2030</v>
      </c>
      <c r="H81" s="17">
        <f>INDEX(Data_base_case!$D$8:$AC$89,MATCH(Scenarios_definition!C81,Data_base_case!$D$8:$D$89,0),MATCH(Scenarios_definition!D81&amp;Scenarios_definition!G81,Data_base_case!$D$7:$AC$7,0))</f>
        <v>0.107</v>
      </c>
    </row>
    <row r="82" spans="1:8" x14ac:dyDescent="0.35">
      <c r="A82" s="17" t="s">
        <v>139</v>
      </c>
      <c r="B82" s="3" t="s">
        <v>304</v>
      </c>
      <c r="C82" s="1" t="str">
        <f>Data_base_case!$D$10</f>
        <v>MeOH plant CCU</v>
      </c>
      <c r="D82" s="1" t="str">
        <f>Data_base_case!$Q$4</f>
        <v>Load min (% of max capacity)</v>
      </c>
      <c r="E82" s="1" t="str">
        <f t="shared" si="1"/>
        <v>2030</v>
      </c>
      <c r="F82" s="1">
        <v>0</v>
      </c>
      <c r="G82" s="1">
        <v>2030</v>
      </c>
      <c r="H82" s="17">
        <f>INDEX(Data_base_case!$D$8:$AC$89,MATCH(Scenarios_definition!C82,Data_base_case!$D$8:$D$89,0),MATCH(Scenarios_definition!D82&amp;Scenarios_definition!G82,Data_base_case!$D$7:$AC$7,0))</f>
        <v>0.2</v>
      </c>
    </row>
    <row r="83" spans="1:8" x14ac:dyDescent="0.35">
      <c r="A83" s="17" t="s">
        <v>139</v>
      </c>
      <c r="B83" s="3" t="s">
        <v>305</v>
      </c>
      <c r="C83" s="1" t="str">
        <f>Data_base_case!$D$10</f>
        <v>MeOH plant CCU</v>
      </c>
      <c r="D83" s="1" t="str">
        <f>Data_base_case!$Q$4</f>
        <v>Load min (% of max capacity)</v>
      </c>
      <c r="E83" s="1" t="str">
        <f t="shared" si="1"/>
        <v>2030</v>
      </c>
      <c r="F83" s="1">
        <v>0.1</v>
      </c>
      <c r="G83" s="1">
        <v>2030</v>
      </c>
      <c r="H83" s="17">
        <f>INDEX(Data_base_case!$D$8:$AC$89,MATCH(Scenarios_definition!C83,Data_base_case!$D$8:$D$89,0),MATCH(Scenarios_definition!D83&amp;Scenarios_definition!G83,Data_base_case!$D$7:$AC$7,0))</f>
        <v>0.2</v>
      </c>
    </row>
    <row r="84" spans="1:8" x14ac:dyDescent="0.35">
      <c r="A84" s="17" t="s">
        <v>139</v>
      </c>
      <c r="B84" s="3" t="s">
        <v>258</v>
      </c>
      <c r="C84" s="1" t="str">
        <f>Data_base_case!$D$10</f>
        <v>MeOH plant CCU</v>
      </c>
      <c r="D84" s="1" t="str">
        <f>Data_base_case!$Q$4</f>
        <v>Load min (% of max capacity)</v>
      </c>
      <c r="E84" s="1" t="str">
        <f t="shared" si="1"/>
        <v>2030</v>
      </c>
      <c r="F84" s="1">
        <v>0.3</v>
      </c>
      <c r="G84" s="1">
        <v>2030</v>
      </c>
      <c r="H84" s="17">
        <f>INDEX(Data_base_case!$D$8:$AC$89,MATCH(Scenarios_definition!C84,Data_base_case!$D$8:$D$89,0),MATCH(Scenarios_definition!D84&amp;Scenarios_definition!G84,Data_base_case!$D$7:$AC$7,0))</f>
        <v>0.2</v>
      </c>
    </row>
    <row r="85" spans="1:8" x14ac:dyDescent="0.35">
      <c r="A85" s="17" t="s">
        <v>139</v>
      </c>
      <c r="B85" s="3" t="s">
        <v>259</v>
      </c>
      <c r="C85" s="1" t="str">
        <f>Data_base_case!$D$10</f>
        <v>MeOH plant CCU</v>
      </c>
      <c r="D85" s="1" t="str">
        <f>Data_base_case!$Q$4</f>
        <v>Load min (% of max capacity)</v>
      </c>
      <c r="E85" s="1" t="str">
        <f t="shared" si="1"/>
        <v>2030</v>
      </c>
      <c r="F85" s="1">
        <v>0.4</v>
      </c>
      <c r="G85" s="1">
        <v>2030</v>
      </c>
      <c r="H85" s="17">
        <f>INDEX(Data_base_case!$D$8:$AC$89,MATCH(Scenarios_definition!C85,Data_base_case!$D$8:$D$89,0),MATCH(Scenarios_definition!D85&amp;Scenarios_definition!G85,Data_base_case!$D$7:$AC$7,0))</f>
        <v>0.2</v>
      </c>
    </row>
    <row r="86" spans="1:8" x14ac:dyDescent="0.35">
      <c r="A86" s="17" t="s">
        <v>139</v>
      </c>
      <c r="B86" s="3" t="s">
        <v>260</v>
      </c>
      <c r="C86" s="1" t="str">
        <f>Data_base_case!$D$10</f>
        <v>MeOH plant CCU</v>
      </c>
      <c r="D86" s="1" t="str">
        <f>Data_base_case!$Q$4</f>
        <v>Load min (% of max capacity)</v>
      </c>
      <c r="E86" s="1" t="str">
        <f t="shared" si="1"/>
        <v>2030</v>
      </c>
      <c r="F86" s="1">
        <v>0.5</v>
      </c>
      <c r="G86" s="1">
        <v>2030</v>
      </c>
      <c r="H86" s="17">
        <f>INDEX(Data_base_case!$D$8:$AC$89,MATCH(Scenarios_definition!C86,Data_base_case!$D$8:$D$89,0),MATCH(Scenarios_definition!D86&amp;Scenarios_definition!G86,Data_base_case!$D$7:$AC$7,0))</f>
        <v>0.2</v>
      </c>
    </row>
    <row r="87" spans="1:8" x14ac:dyDescent="0.35">
      <c r="A87" s="17" t="s">
        <v>139</v>
      </c>
      <c r="B87" s="3" t="s">
        <v>261</v>
      </c>
      <c r="C87" s="1" t="str">
        <f>Data_base_case!$D$10</f>
        <v>MeOH plant CCU</v>
      </c>
      <c r="D87" s="1" t="str">
        <f>Data_base_case!$Q$4</f>
        <v>Load min (% of max capacity)</v>
      </c>
      <c r="E87" s="1" t="str">
        <f t="shared" si="1"/>
        <v>2030</v>
      </c>
      <c r="F87" s="1">
        <v>0.6</v>
      </c>
      <c r="G87" s="1">
        <v>2030</v>
      </c>
      <c r="H87" s="17">
        <f>INDEX(Data_base_case!$D$8:$AC$89,MATCH(Scenarios_definition!C87,Data_base_case!$D$8:$D$89,0),MATCH(Scenarios_definition!D87&amp;Scenarios_definition!G87,Data_base_case!$D$7:$AC$7,0))</f>
        <v>0.2</v>
      </c>
    </row>
    <row r="88" spans="1:8" x14ac:dyDescent="0.35">
      <c r="A88" s="17" t="s">
        <v>139</v>
      </c>
      <c r="B88" s="3" t="s">
        <v>262</v>
      </c>
      <c r="C88" s="1" t="str">
        <f>Data_base_case!$D$10</f>
        <v>MeOH plant CCU</v>
      </c>
      <c r="D88" s="1" t="str">
        <f>Data_base_case!$Q$4</f>
        <v>Load min (% of max capacity)</v>
      </c>
      <c r="E88" s="1" t="str">
        <f t="shared" si="1"/>
        <v>2030</v>
      </c>
      <c r="F88" s="1">
        <v>0.7</v>
      </c>
      <c r="G88" s="1">
        <v>2030</v>
      </c>
      <c r="H88" s="17">
        <f>INDEX(Data_base_case!$D$8:$AC$89,MATCH(Scenarios_definition!C88,Data_base_case!$D$8:$D$89,0),MATCH(Scenarios_definition!D88&amp;Scenarios_definition!G88,Data_base_case!$D$7:$AC$7,0))</f>
        <v>0.2</v>
      </c>
    </row>
    <row r="89" spans="1:8" x14ac:dyDescent="0.35">
      <c r="A89" s="17" t="s">
        <v>139</v>
      </c>
      <c r="B89" s="3" t="s">
        <v>263</v>
      </c>
      <c r="C89" s="1" t="str">
        <f>Data_base_case!$D$10</f>
        <v>MeOH plant CCU</v>
      </c>
      <c r="D89" s="1" t="str">
        <f>Data_base_case!$Q$4</f>
        <v>Load min (% of max capacity)</v>
      </c>
      <c r="E89" s="1" t="str">
        <f t="shared" si="1"/>
        <v>2030</v>
      </c>
      <c r="F89" s="1">
        <v>0.8</v>
      </c>
      <c r="G89" s="1">
        <v>2030</v>
      </c>
      <c r="H89" s="17">
        <f>INDEX(Data_base_case!$D$8:$AC$89,MATCH(Scenarios_definition!C89,Data_base_case!$D$8:$D$89,0),MATCH(Scenarios_definition!D89&amp;Scenarios_definition!G89,Data_base_case!$D$7:$AC$7,0))</f>
        <v>0.2</v>
      </c>
    </row>
    <row r="90" spans="1:8" x14ac:dyDescent="0.35">
      <c r="A90" s="17" t="s">
        <v>139</v>
      </c>
      <c r="B90" s="3" t="s">
        <v>264</v>
      </c>
      <c r="C90" s="1" t="str">
        <f>Data_base_case!$D$10</f>
        <v>MeOH plant CCU</v>
      </c>
      <c r="D90" s="1" t="str">
        <f>Data_base_case!$Q$4</f>
        <v>Load min (% of max capacity)</v>
      </c>
      <c r="E90" s="1" t="str">
        <f t="shared" si="1"/>
        <v>2030</v>
      </c>
      <c r="F90" s="1">
        <v>0.9</v>
      </c>
      <c r="G90" s="1">
        <v>2030</v>
      </c>
      <c r="H90" s="17">
        <f>INDEX(Data_base_case!$D$8:$AC$89,MATCH(Scenarios_definition!C90,Data_base_case!$D$8:$D$89,0),MATCH(Scenarios_definition!D90&amp;Scenarios_definition!G90,Data_base_case!$D$7:$AC$7,0))</f>
        <v>0.2</v>
      </c>
    </row>
    <row r="91" spans="1:8" x14ac:dyDescent="0.35">
      <c r="A91" s="17" t="s">
        <v>139</v>
      </c>
      <c r="B91" s="3" t="s">
        <v>265</v>
      </c>
      <c r="C91" s="1" t="str">
        <f>Data_base_case!$D$10</f>
        <v>MeOH plant CCU</v>
      </c>
      <c r="D91" s="1" t="str">
        <f>Data_base_case!$Q$4</f>
        <v>Load min (% of max capacity)</v>
      </c>
      <c r="E91" s="1" t="str">
        <f t="shared" si="1"/>
        <v>2030</v>
      </c>
      <c r="F91" s="1">
        <v>1</v>
      </c>
      <c r="G91" s="1">
        <v>2030</v>
      </c>
      <c r="H91" s="17">
        <f>INDEX(Data_base_case!$D$8:$AC$89,MATCH(Scenarios_definition!C91,Data_base_case!$D$8:$D$89,0),MATCH(Scenarios_definition!D91&amp;Scenarios_definition!G91,Data_base_case!$D$7:$AC$7,0))</f>
        <v>0.2</v>
      </c>
    </row>
    <row r="92" spans="1:8" x14ac:dyDescent="0.35">
      <c r="A92" s="17" t="s">
        <v>139</v>
      </c>
      <c r="B92" s="3" t="s">
        <v>303</v>
      </c>
      <c r="C92" s="1" t="str">
        <f>Data_base_case!D11</f>
        <v>Biomass (pyrolysis unit)</v>
      </c>
      <c r="D92" s="1" t="str">
        <f>Data_base_case!$Q$4</f>
        <v>Load min (% of max capacity)</v>
      </c>
      <c r="E92" s="1" t="str">
        <f t="shared" si="1"/>
        <v>2030</v>
      </c>
      <c r="F92" s="1">
        <v>0</v>
      </c>
      <c r="G92" s="1">
        <v>2030</v>
      </c>
      <c r="H92" s="17">
        <f>INDEX(Data_base_case!$D$8:$AC$89,MATCH(Scenarios_definition!C92,Data_base_case!$D$8:$D$89,0),MATCH(Scenarios_definition!D92&amp;Scenarios_definition!G92,Data_base_case!$D$7:$AC$7,0))</f>
        <v>0.2</v>
      </c>
    </row>
    <row r="93" spans="1:8" x14ac:dyDescent="0.35">
      <c r="A93" s="17" t="s">
        <v>139</v>
      </c>
      <c r="B93" s="3" t="s">
        <v>306</v>
      </c>
      <c r="C93" s="1" t="str">
        <f>Data_base_case!D11</f>
        <v>Biomass (pyrolysis unit)</v>
      </c>
      <c r="D93" s="1" t="str">
        <f>Data_base_case!$Q$4</f>
        <v>Load min (% of max capacity)</v>
      </c>
      <c r="E93" s="1" t="str">
        <f t="shared" si="1"/>
        <v>2030</v>
      </c>
      <c r="F93" s="1">
        <v>0.1</v>
      </c>
      <c r="G93" s="1">
        <v>2030</v>
      </c>
      <c r="H93" s="17">
        <f>INDEX(Data_base_case!$D$8:$AC$89,MATCH(Scenarios_definition!C93,Data_base_case!$D$8:$D$89,0),MATCH(Scenarios_definition!D93&amp;Scenarios_definition!G93,Data_base_case!$D$7:$AC$7,0))</f>
        <v>0.2</v>
      </c>
    </row>
    <row r="94" spans="1:8" x14ac:dyDescent="0.35">
      <c r="A94" s="17" t="s">
        <v>139</v>
      </c>
      <c r="B94" s="3" t="s">
        <v>266</v>
      </c>
      <c r="C94" s="1" t="str">
        <f>Data_base_case!D11</f>
        <v>Biomass (pyrolysis unit)</v>
      </c>
      <c r="D94" s="1" t="str">
        <f>Data_base_case!$Q$4</f>
        <v>Load min (% of max capacity)</v>
      </c>
      <c r="E94" s="1" t="str">
        <f t="shared" si="1"/>
        <v>2030</v>
      </c>
      <c r="F94" s="1">
        <v>0.3</v>
      </c>
      <c r="G94" s="1">
        <v>2030</v>
      </c>
      <c r="H94" s="17">
        <f>INDEX(Data_base_case!$D$8:$AC$89,MATCH(Scenarios_definition!C94,Data_base_case!$D$8:$D$89,0),MATCH(Scenarios_definition!D94&amp;Scenarios_definition!G94,Data_base_case!$D$7:$AC$7,0))</f>
        <v>0.2</v>
      </c>
    </row>
    <row r="95" spans="1:8" x14ac:dyDescent="0.35">
      <c r="A95" s="17" t="s">
        <v>139</v>
      </c>
      <c r="B95" s="3" t="s">
        <v>267</v>
      </c>
      <c r="C95" s="1" t="str">
        <f>Data_base_case!$D$11</f>
        <v>Biomass (pyrolysis unit)</v>
      </c>
      <c r="D95" s="1" t="str">
        <f>Data_base_case!$Q$4</f>
        <v>Load min (% of max capacity)</v>
      </c>
      <c r="E95" s="1" t="str">
        <f t="shared" si="1"/>
        <v>2030</v>
      </c>
      <c r="F95" s="1">
        <v>0.4</v>
      </c>
      <c r="G95" s="1">
        <v>2030</v>
      </c>
      <c r="H95" s="17">
        <f>INDEX(Data_base_case!$D$8:$AC$89,MATCH(Scenarios_definition!C95,Data_base_case!$D$8:$D$89,0),MATCH(Scenarios_definition!D95&amp;Scenarios_definition!G95,Data_base_case!$D$7:$AC$7,0))</f>
        <v>0.2</v>
      </c>
    </row>
    <row r="96" spans="1:8" x14ac:dyDescent="0.35">
      <c r="A96" s="17" t="s">
        <v>139</v>
      </c>
      <c r="B96" s="3" t="s">
        <v>268</v>
      </c>
      <c r="C96" s="1" t="str">
        <f>Data_base_case!$D$11</f>
        <v>Biomass (pyrolysis unit)</v>
      </c>
      <c r="D96" s="1" t="str">
        <f>Data_base_case!$Q$4</f>
        <v>Load min (% of max capacity)</v>
      </c>
      <c r="E96" s="1" t="str">
        <f t="shared" si="1"/>
        <v>2030</v>
      </c>
      <c r="F96" s="1">
        <v>0.5</v>
      </c>
      <c r="G96" s="1">
        <v>2030</v>
      </c>
      <c r="H96" s="17">
        <f>INDEX(Data_base_case!$D$8:$AC$89,MATCH(Scenarios_definition!C96,Data_base_case!$D$8:$D$89,0),MATCH(Scenarios_definition!D96&amp;Scenarios_definition!G96,Data_base_case!$D$7:$AC$7,0))</f>
        <v>0.2</v>
      </c>
    </row>
    <row r="97" spans="1:8" x14ac:dyDescent="0.35">
      <c r="A97" s="17" t="s">
        <v>139</v>
      </c>
      <c r="B97" s="3" t="s">
        <v>269</v>
      </c>
      <c r="C97" s="1" t="str">
        <f>Data_base_case!$D$11</f>
        <v>Biomass (pyrolysis unit)</v>
      </c>
      <c r="D97" s="1" t="str">
        <f>Data_base_case!$Q$4</f>
        <v>Load min (% of max capacity)</v>
      </c>
      <c r="E97" s="1" t="str">
        <f t="shared" si="1"/>
        <v>2030</v>
      </c>
      <c r="F97" s="1">
        <v>0.6</v>
      </c>
      <c r="G97" s="1">
        <v>2030</v>
      </c>
      <c r="H97" s="17">
        <f>INDEX(Data_base_case!$D$8:$AC$89,MATCH(Scenarios_definition!C97,Data_base_case!$D$8:$D$89,0),MATCH(Scenarios_definition!D97&amp;Scenarios_definition!G97,Data_base_case!$D$7:$AC$7,0))</f>
        <v>0.2</v>
      </c>
    </row>
    <row r="98" spans="1:8" x14ac:dyDescent="0.35">
      <c r="A98" s="17" t="s">
        <v>139</v>
      </c>
      <c r="B98" s="3" t="s">
        <v>270</v>
      </c>
      <c r="C98" s="1" t="str">
        <f>Data_base_case!$D$11</f>
        <v>Biomass (pyrolysis unit)</v>
      </c>
      <c r="D98" s="1" t="str">
        <f>Data_base_case!$Q$4</f>
        <v>Load min (% of max capacity)</v>
      </c>
      <c r="E98" s="1" t="str">
        <f t="shared" si="1"/>
        <v>2030</v>
      </c>
      <c r="F98" s="1">
        <v>0.7</v>
      </c>
      <c r="G98" s="1">
        <v>2030</v>
      </c>
      <c r="H98" s="17">
        <f>INDEX(Data_base_case!$D$8:$AC$89,MATCH(Scenarios_definition!C98,Data_base_case!$D$8:$D$89,0),MATCH(Scenarios_definition!D98&amp;Scenarios_definition!G98,Data_base_case!$D$7:$AC$7,0))</f>
        <v>0.2</v>
      </c>
    </row>
    <row r="99" spans="1:8" x14ac:dyDescent="0.35">
      <c r="A99" s="17" t="s">
        <v>139</v>
      </c>
      <c r="B99" s="3" t="s">
        <v>271</v>
      </c>
      <c r="C99" s="1" t="str">
        <f>Data_base_case!$D$11</f>
        <v>Biomass (pyrolysis unit)</v>
      </c>
      <c r="D99" s="1" t="str">
        <f>Data_base_case!$Q$4</f>
        <v>Load min (% of max capacity)</v>
      </c>
      <c r="E99" s="1" t="str">
        <f t="shared" si="1"/>
        <v>2030</v>
      </c>
      <c r="F99" s="1">
        <v>0.8</v>
      </c>
      <c r="G99" s="1">
        <v>2030</v>
      </c>
      <c r="H99" s="17">
        <f>INDEX(Data_base_case!$D$8:$AC$89,MATCH(Scenarios_definition!C99,Data_base_case!$D$8:$D$89,0),MATCH(Scenarios_definition!D99&amp;Scenarios_definition!G99,Data_base_case!$D$7:$AC$7,0))</f>
        <v>0.2</v>
      </c>
    </row>
    <row r="100" spans="1:8" x14ac:dyDescent="0.35">
      <c r="A100" s="17" t="s">
        <v>139</v>
      </c>
      <c r="B100" s="3" t="s">
        <v>272</v>
      </c>
      <c r="C100" s="1" t="str">
        <f>Data_base_case!$D$11</f>
        <v>Biomass (pyrolysis unit)</v>
      </c>
      <c r="D100" s="1" t="str">
        <f>Data_base_case!$Q$4</f>
        <v>Load min (% of max capacity)</v>
      </c>
      <c r="E100" s="1" t="str">
        <f t="shared" si="1"/>
        <v>2030</v>
      </c>
      <c r="F100" s="1">
        <v>0.9</v>
      </c>
      <c r="G100" s="1">
        <v>2030</v>
      </c>
      <c r="H100" s="17">
        <f>INDEX(Data_base_case!$D$8:$AC$89,MATCH(Scenarios_definition!C100,Data_base_case!$D$8:$D$89,0),MATCH(Scenarios_definition!D100&amp;Scenarios_definition!G100,Data_base_case!$D$7:$AC$7,0))</f>
        <v>0.2</v>
      </c>
    </row>
    <row r="101" spans="1:8" x14ac:dyDescent="0.35">
      <c r="A101" s="17" t="s">
        <v>139</v>
      </c>
      <c r="B101" s="3" t="s">
        <v>273</v>
      </c>
      <c r="C101" s="1" t="str">
        <f>Data_base_case!$D$11</f>
        <v>Biomass (pyrolysis unit)</v>
      </c>
      <c r="D101" s="1" t="str">
        <f>Data_base_case!$Q$4</f>
        <v>Load min (% of max capacity)</v>
      </c>
      <c r="E101" s="1" t="str">
        <f t="shared" si="1"/>
        <v>2030</v>
      </c>
      <c r="F101" s="1">
        <v>1</v>
      </c>
      <c r="G101" s="1">
        <v>2030</v>
      </c>
      <c r="H101" s="17">
        <f>INDEX(Data_base_case!$D$8:$AC$89,MATCH(Scenarios_definition!C101,Data_base_case!$D$8:$D$89,0),MATCH(Scenarios_definition!D101&amp;Scenarios_definition!G101,Data_base_case!$D$7:$AC$7,0))</f>
        <v>0.2</v>
      </c>
    </row>
    <row r="102" spans="1:8" x14ac:dyDescent="0.35">
      <c r="A102" s="17" t="s">
        <v>139</v>
      </c>
      <c r="B102" s="123" t="s">
        <v>274</v>
      </c>
      <c r="C102" s="1" t="str">
        <f>Data_base_case!$D$25</f>
        <v>Sale of oxygen</v>
      </c>
      <c r="D102" s="1" t="str">
        <f>Data_base_case!$X$4</f>
        <v>Fuel selling price (EUR/output)</v>
      </c>
      <c r="E102" s="1" t="str">
        <f t="shared" si="1"/>
        <v>2030</v>
      </c>
      <c r="F102" s="1">
        <v>2.7E-2</v>
      </c>
      <c r="G102" s="1">
        <v>2030</v>
      </c>
      <c r="H102" s="17">
        <f>INDEX(Data_base_case!$D$8:$AC$89,MATCH(Scenarios_definition!C102,Data_base_case!$D$8:$D$89,0),MATCH(Scenarios_definition!D102&amp;Scenarios_definition!G102,Data_base_case!$D$7:$AC$7,0))</f>
        <v>0.1</v>
      </c>
    </row>
    <row r="103" spans="1:8" x14ac:dyDescent="0.35">
      <c r="A103" s="17" t="s">
        <v>139</v>
      </c>
      <c r="B103" s="123" t="s">
        <v>275</v>
      </c>
      <c r="C103" s="1" t="str">
        <f>Data_base_case!$D$25</f>
        <v>Sale of oxygen</v>
      </c>
      <c r="D103" s="1" t="str">
        <f>Data_base_case!$X$4</f>
        <v>Fuel selling price (EUR/output)</v>
      </c>
      <c r="E103" s="1" t="str">
        <f t="shared" si="1"/>
        <v>2030</v>
      </c>
      <c r="F103" s="1">
        <v>5.1999999999999998E-2</v>
      </c>
      <c r="G103" s="1">
        <v>2030</v>
      </c>
      <c r="H103" s="17">
        <f>INDEX(Data_base_case!$D$8:$AC$89,MATCH(Scenarios_definition!C103,Data_base_case!$D$8:$D$89,0),MATCH(Scenarios_definition!D103&amp;Scenarios_definition!G103,Data_base_case!$D$7:$AC$7,0))</f>
        <v>0.1</v>
      </c>
    </row>
    <row r="104" spans="1:8" x14ac:dyDescent="0.35">
      <c r="A104" s="17" t="s">
        <v>139</v>
      </c>
      <c r="B104" s="123" t="s">
        <v>276</v>
      </c>
      <c r="C104" s="1" t="str">
        <f>Data_base_case!$D$25</f>
        <v>Sale of oxygen</v>
      </c>
      <c r="D104" s="1" t="str">
        <f>Data_base_case!$X$4</f>
        <v>Fuel selling price (EUR/output)</v>
      </c>
      <c r="E104" s="1" t="str">
        <f t="shared" si="1"/>
        <v>2030</v>
      </c>
      <c r="F104" s="1">
        <v>7.6999999999999999E-2</v>
      </c>
      <c r="G104" s="1">
        <v>2030</v>
      </c>
      <c r="H104" s="17">
        <f>INDEX(Data_base_case!$D$8:$AC$89,MATCH(Scenarios_definition!C104,Data_base_case!$D$8:$D$89,0),MATCH(Scenarios_definition!D104&amp;Scenarios_definition!G104,Data_base_case!$D$7:$AC$7,0))</f>
        <v>0.1</v>
      </c>
    </row>
    <row r="105" spans="1:8" x14ac:dyDescent="0.35">
      <c r="A105" s="17" t="s">
        <v>139</v>
      </c>
      <c r="B105" s="123" t="s">
        <v>277</v>
      </c>
      <c r="C105" s="1" t="str">
        <f>Data_base_case!$D$25</f>
        <v>Sale of oxygen</v>
      </c>
      <c r="D105" s="1" t="str">
        <f>Data_base_case!$X$4</f>
        <v>Fuel selling price (EUR/output)</v>
      </c>
      <c r="E105" s="1" t="str">
        <f t="shared" si="1"/>
        <v>2030</v>
      </c>
      <c r="F105" s="1">
        <v>0.10199999999999999</v>
      </c>
      <c r="G105" s="1">
        <v>2030</v>
      </c>
      <c r="H105" s="17">
        <f>INDEX(Data_base_case!$D$8:$AC$89,MATCH(Scenarios_definition!C105,Data_base_case!$D$8:$D$89,0),MATCH(Scenarios_definition!D105&amp;Scenarios_definition!G105,Data_base_case!$D$7:$AC$7,0))</f>
        <v>0.1</v>
      </c>
    </row>
    <row r="106" spans="1:8" x14ac:dyDescent="0.35">
      <c r="A106" s="17" t="s">
        <v>139</v>
      </c>
      <c r="B106" s="123" t="s">
        <v>278</v>
      </c>
      <c r="C106" s="1" t="str">
        <f>Data_base_case!$D$25</f>
        <v>Sale of oxygen</v>
      </c>
      <c r="D106" s="1" t="str">
        <f>Data_base_case!$X$4</f>
        <v>Fuel selling price (EUR/output)</v>
      </c>
      <c r="E106" s="1" t="str">
        <f t="shared" si="1"/>
        <v>2030</v>
      </c>
      <c r="F106" s="1">
        <v>0.127</v>
      </c>
      <c r="G106" s="1">
        <v>2030</v>
      </c>
      <c r="H106" s="17">
        <f>INDEX(Data_base_case!$D$8:$AC$89,MATCH(Scenarios_definition!C106,Data_base_case!$D$8:$D$89,0),MATCH(Scenarios_definition!D106&amp;Scenarios_definition!G106,Data_base_case!$D$7:$AC$7,0))</f>
        <v>0.1</v>
      </c>
    </row>
    <row r="107" spans="1:8" x14ac:dyDescent="0.35">
      <c r="A107" s="17" t="s">
        <v>139</v>
      </c>
      <c r="B107" s="123" t="s">
        <v>279</v>
      </c>
      <c r="C107" s="1" t="str">
        <f>Data_base_case!$D$25</f>
        <v>Sale of oxygen</v>
      </c>
      <c r="D107" s="1" t="str">
        <f>Data_base_case!$X$4</f>
        <v>Fuel selling price (EUR/output)</v>
      </c>
      <c r="E107" s="1" t="str">
        <f t="shared" si="1"/>
        <v>2030</v>
      </c>
      <c r="F107" s="1">
        <v>0.15</v>
      </c>
      <c r="G107" s="1">
        <v>2030</v>
      </c>
      <c r="H107" s="17">
        <f>INDEX(Data_base_case!$D$8:$AC$89,MATCH(Scenarios_definition!C107,Data_base_case!$D$8:$D$89,0),MATCH(Scenarios_definition!D107&amp;Scenarios_definition!G107,Data_base_case!$D$7:$AC$7,0))</f>
        <v>0.1</v>
      </c>
    </row>
    <row r="108" spans="1:8" x14ac:dyDescent="0.35">
      <c r="A108" s="17" t="s">
        <v>139</v>
      </c>
      <c r="B108" s="124" t="s">
        <v>298</v>
      </c>
      <c r="C108" s="1" t="str">
        <f>Data_base_case!$D$24</f>
        <v>Heat sent to district heating</v>
      </c>
      <c r="D108" s="1" t="str">
        <f>Data_base_case!$X$4</f>
        <v>Fuel selling price (EUR/output)</v>
      </c>
      <c r="E108" s="1" t="str">
        <f t="shared" si="1"/>
        <v>2030</v>
      </c>
      <c r="F108" s="1">
        <v>2.3E-2</v>
      </c>
      <c r="G108" s="1">
        <v>2030</v>
      </c>
      <c r="H108" s="17">
        <f>INDEX(Data_base_case!$D$8:$AC$89,MATCH(Scenarios_definition!C108,Data_base_case!$D$8:$D$89,0),MATCH(Scenarios_definition!D108&amp;Scenarios_definition!G108,Data_base_case!$D$7:$AC$7,0))</f>
        <v>0.02</v>
      </c>
    </row>
    <row r="109" spans="1:8" x14ac:dyDescent="0.35">
      <c r="A109" s="17" t="s">
        <v>139</v>
      </c>
      <c r="B109" s="124" t="s">
        <v>299</v>
      </c>
      <c r="C109" s="1" t="str">
        <f>Data_base_case!$D$24</f>
        <v>Heat sent to district heating</v>
      </c>
      <c r="D109" s="1" t="str">
        <f>Data_base_case!$X$4</f>
        <v>Fuel selling price (EUR/output)</v>
      </c>
      <c r="E109" s="1" t="str">
        <f t="shared" si="1"/>
        <v>2030</v>
      </c>
      <c r="F109" s="1">
        <v>0.03</v>
      </c>
      <c r="G109" s="1">
        <v>2030</v>
      </c>
      <c r="H109" s="17">
        <f>INDEX(Data_base_case!$D$8:$AC$89,MATCH(Scenarios_definition!C109,Data_base_case!$D$8:$D$89,0),MATCH(Scenarios_definition!D109&amp;Scenarios_definition!G109,Data_base_case!$D$7:$AC$7,0))</f>
        <v>0.02</v>
      </c>
    </row>
    <row r="110" spans="1:8" x14ac:dyDescent="0.35">
      <c r="A110" s="17" t="s">
        <v>139</v>
      </c>
      <c r="B110" s="124" t="s">
        <v>300</v>
      </c>
      <c r="C110" s="1" t="str">
        <f>Data_base_case!$D$24</f>
        <v>Heat sent to district heating</v>
      </c>
      <c r="D110" s="1" t="str">
        <f>Data_base_case!$X$4</f>
        <v>Fuel selling price (EUR/output)</v>
      </c>
      <c r="E110" s="1" t="str">
        <f t="shared" si="1"/>
        <v>2030</v>
      </c>
      <c r="F110" s="1">
        <v>3.6999999999999998E-2</v>
      </c>
      <c r="G110" s="1">
        <v>2030</v>
      </c>
      <c r="H110" s="17">
        <f>INDEX(Data_base_case!$D$8:$AC$89,MATCH(Scenarios_definition!C110,Data_base_case!$D$8:$D$89,0),MATCH(Scenarios_definition!D110&amp;Scenarios_definition!G110,Data_base_case!$D$7:$AC$7,0))</f>
        <v>0.02</v>
      </c>
    </row>
    <row r="111" spans="1:8" x14ac:dyDescent="0.35">
      <c r="A111" s="17" t="s">
        <v>139</v>
      </c>
      <c r="B111" s="124" t="s">
        <v>280</v>
      </c>
      <c r="C111" s="1" t="str">
        <f>Data_base_case!$D$24</f>
        <v>Heat sent to district heating</v>
      </c>
      <c r="D111" s="1" t="str">
        <f>Data_base_case!$X$4</f>
        <v>Fuel selling price (EUR/output)</v>
      </c>
      <c r="E111" s="1" t="str">
        <f t="shared" si="1"/>
        <v>2030</v>
      </c>
      <c r="F111" s="1">
        <v>4.3999999999999997E-2</v>
      </c>
      <c r="G111" s="1">
        <v>2030</v>
      </c>
      <c r="H111" s="17">
        <f>INDEX(Data_base_case!$D$8:$AC$89,MATCH(Scenarios_definition!C111,Data_base_case!$D$8:$D$89,0),MATCH(Scenarios_definition!D111&amp;Scenarios_definition!G111,Data_base_case!$D$7:$AC$7,0))</f>
        <v>0.02</v>
      </c>
    </row>
    <row r="112" spans="1:8" x14ac:dyDescent="0.35">
      <c r="A112" s="17" t="s">
        <v>139</v>
      </c>
      <c r="B112" s="124" t="s">
        <v>301</v>
      </c>
      <c r="C112" s="1" t="str">
        <f>Data_base_case!$D$24</f>
        <v>Heat sent to district heating</v>
      </c>
      <c r="D112" s="1" t="str">
        <f>Data_base_case!$X$4</f>
        <v>Fuel selling price (EUR/output)</v>
      </c>
      <c r="E112" s="1" t="str">
        <f t="shared" si="1"/>
        <v>2030</v>
      </c>
      <c r="F112" s="1">
        <v>5.0999999999999997E-2</v>
      </c>
      <c r="G112" s="1">
        <v>2030</v>
      </c>
      <c r="H112" s="17">
        <f>INDEX(Data_base_case!$D$8:$AC$89,MATCH(Scenarios_definition!C112,Data_base_case!$D$8:$D$89,0),MATCH(Scenarios_definition!D112&amp;Scenarios_definition!G112,Data_base_case!$D$7:$AC$7,0))</f>
        <v>0.02</v>
      </c>
    </row>
    <row r="113" spans="1:8" x14ac:dyDescent="0.35">
      <c r="A113" s="17" t="s">
        <v>139</v>
      </c>
      <c r="B113" s="124" t="s">
        <v>302</v>
      </c>
      <c r="C113" s="1" t="str">
        <f>Data_base_case!$D$24</f>
        <v>Heat sent to district heating</v>
      </c>
      <c r="D113" s="1" t="str">
        <f>Data_base_case!$X$4</f>
        <v>Fuel selling price (EUR/output)</v>
      </c>
      <c r="E113" s="1" t="str">
        <f t="shared" si="1"/>
        <v>2030</v>
      </c>
      <c r="F113" s="1">
        <v>5.8999999999999997E-2</v>
      </c>
      <c r="G113" s="1">
        <v>2030</v>
      </c>
      <c r="H113" s="17">
        <f>INDEX(Data_base_case!$D$8:$AC$89,MATCH(Scenarios_definition!C113,Data_base_case!$D$8:$D$89,0),MATCH(Scenarios_definition!D113&amp;Scenarios_definition!G113,Data_base_case!$D$7:$AC$7,0))</f>
        <v>0.02</v>
      </c>
    </row>
    <row r="114" spans="1:8" x14ac:dyDescent="0.35">
      <c r="A114" s="17" t="s">
        <v>139</v>
      </c>
      <c r="B114" s="125" t="s">
        <v>281</v>
      </c>
      <c r="C114" s="1" t="str">
        <f>Data_base_case!$D$12</f>
        <v>Sale of biochar</v>
      </c>
      <c r="D114" s="1" t="str">
        <f>Data_base_case!$X$4</f>
        <v>Fuel selling price (EUR/output)</v>
      </c>
      <c r="E114" s="1" t="str">
        <f t="shared" si="1"/>
        <v>2030</v>
      </c>
      <c r="F114" s="1">
        <v>0.21</v>
      </c>
      <c r="G114" s="1">
        <v>2030</v>
      </c>
      <c r="H114" s="17">
        <f>INDEX(Data_base_case!$D$8:$AC$89,MATCH(Scenarios_definition!C114,Data_base_case!$D$8:$D$89,0),MATCH(Scenarios_definition!D114&amp;Scenarios_definition!G114,Data_base_case!$D$7:$AC$7,0))</f>
        <v>0.26</v>
      </c>
    </row>
    <row r="115" spans="1:8" x14ac:dyDescent="0.35">
      <c r="A115" s="17" t="s">
        <v>139</v>
      </c>
      <c r="B115" s="125" t="s">
        <v>282</v>
      </c>
      <c r="C115" s="1" t="str">
        <f>Data_base_case!$D$12</f>
        <v>Sale of biochar</v>
      </c>
      <c r="D115" s="1" t="str">
        <f>Data_base_case!$X$4</f>
        <v>Fuel selling price (EUR/output)</v>
      </c>
      <c r="E115" s="1" t="str">
        <f t="shared" si="1"/>
        <v>2030</v>
      </c>
      <c r="F115" s="1">
        <v>0.24</v>
      </c>
      <c r="G115" s="1">
        <v>2030</v>
      </c>
      <c r="H115" s="17">
        <f>INDEX(Data_base_case!$D$8:$AC$89,MATCH(Scenarios_definition!C115,Data_base_case!$D$8:$D$89,0),MATCH(Scenarios_definition!D115&amp;Scenarios_definition!G115,Data_base_case!$D$7:$AC$7,0))</f>
        <v>0.26</v>
      </c>
    </row>
    <row r="116" spans="1:8" x14ac:dyDescent="0.35">
      <c r="A116" s="17" t="s">
        <v>139</v>
      </c>
      <c r="B116" s="125" t="s">
        <v>283</v>
      </c>
      <c r="C116" s="1" t="str">
        <f>Data_base_case!$D$12</f>
        <v>Sale of biochar</v>
      </c>
      <c r="D116" s="1" t="str">
        <f>Data_base_case!$X$4</f>
        <v>Fuel selling price (EUR/output)</v>
      </c>
      <c r="E116" s="1" t="str">
        <f t="shared" si="1"/>
        <v>2030</v>
      </c>
      <c r="F116" s="1">
        <v>0.28000000000000003</v>
      </c>
      <c r="G116" s="1">
        <v>2030</v>
      </c>
      <c r="H116" s="17">
        <f>INDEX(Data_base_case!$D$8:$AC$89,MATCH(Scenarios_definition!C116,Data_base_case!$D$8:$D$89,0),MATCH(Scenarios_definition!D116&amp;Scenarios_definition!G116,Data_base_case!$D$7:$AC$7,0))</f>
        <v>0.26</v>
      </c>
    </row>
    <row r="117" spans="1:8" x14ac:dyDescent="0.35">
      <c r="A117" s="17" t="s">
        <v>139</v>
      </c>
      <c r="B117" s="125" t="s">
        <v>284</v>
      </c>
      <c r="C117" s="1" t="str">
        <f>Data_base_case!$D$12</f>
        <v>Sale of biochar</v>
      </c>
      <c r="D117" s="1" t="str">
        <f>Data_base_case!$X$4</f>
        <v>Fuel selling price (EUR/output)</v>
      </c>
      <c r="E117" s="1" t="str">
        <f t="shared" si="1"/>
        <v>2030</v>
      </c>
      <c r="F117" s="1">
        <v>0.32</v>
      </c>
      <c r="G117" s="1">
        <v>2030</v>
      </c>
      <c r="H117" s="17">
        <f>INDEX(Data_base_case!$D$8:$AC$89,MATCH(Scenarios_definition!C117,Data_base_case!$D$8:$D$89,0),MATCH(Scenarios_definition!D117&amp;Scenarios_definition!G117,Data_base_case!$D$7:$AC$7,0))</f>
        <v>0.26</v>
      </c>
    </row>
    <row r="118" spans="1:8" x14ac:dyDescent="0.35">
      <c r="A118" s="17" t="s">
        <v>139</v>
      </c>
      <c r="B118" s="125" t="s">
        <v>285</v>
      </c>
      <c r="C118" s="1" t="str">
        <f>Data_base_case!$D$12</f>
        <v>Sale of biochar</v>
      </c>
      <c r="D118" s="1" t="str">
        <f>Data_base_case!$X$4</f>
        <v>Fuel selling price (EUR/output)</v>
      </c>
      <c r="E118" s="1" t="str">
        <f t="shared" si="1"/>
        <v>2030</v>
      </c>
      <c r="F118" s="1">
        <v>0.35</v>
      </c>
      <c r="G118" s="1">
        <v>2030</v>
      </c>
      <c r="H118" s="17">
        <f>INDEX(Data_base_case!$D$8:$AC$89,MATCH(Scenarios_definition!C118,Data_base_case!$D$8:$D$89,0),MATCH(Scenarios_definition!D118&amp;Scenarios_definition!G118,Data_base_case!$D$7:$AC$7,0))</f>
        <v>0.26</v>
      </c>
    </row>
    <row r="119" spans="1:8" x14ac:dyDescent="0.35">
      <c r="A119" s="17" t="s">
        <v>139</v>
      </c>
      <c r="B119" s="125" t="s">
        <v>286</v>
      </c>
      <c r="C119" s="1" t="str">
        <f>Data_base_case!$D$12</f>
        <v>Sale of biochar</v>
      </c>
      <c r="D119" s="1" t="str">
        <f>Data_base_case!$X$4</f>
        <v>Fuel selling price (EUR/output)</v>
      </c>
      <c r="E119" s="1" t="str">
        <f t="shared" si="1"/>
        <v>2030</v>
      </c>
      <c r="F119" s="1">
        <v>0.39</v>
      </c>
      <c r="G119" s="1">
        <v>2030</v>
      </c>
      <c r="H119" s="17">
        <f>INDEX(Data_base_case!$D$8:$AC$89,MATCH(Scenarios_definition!C119,Data_base_case!$D$8:$D$89,0),MATCH(Scenarios_definition!D119&amp;Scenarios_definition!G119,Data_base_case!$D$7:$AC$7,0))</f>
        <v>0.26</v>
      </c>
    </row>
  </sheetData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E204"/>
  <sheetViews>
    <sheetView topLeftCell="C1" workbookViewId="0">
      <selection activeCell="I9" sqref="I9"/>
    </sheetView>
  </sheetViews>
  <sheetFormatPr defaultRowHeight="14.5" x14ac:dyDescent="0.35"/>
  <cols>
    <col min="1" max="1" width="15.1796875" bestFit="1" customWidth="1"/>
    <col min="2" max="2" width="27" customWidth="1"/>
    <col min="3" max="3" width="23.54296875" style="14" customWidth="1"/>
    <col min="4" max="4" width="22.1796875" style="14" customWidth="1"/>
    <col min="5" max="5" width="10.54296875" style="14" customWidth="1"/>
    <col min="6" max="6" width="11.7265625" style="14" customWidth="1"/>
    <col min="7" max="7" width="10.453125" style="14" customWidth="1"/>
    <col min="8" max="8" width="16.453125" style="14" customWidth="1"/>
    <col min="9" max="9" width="12.26953125" style="14" customWidth="1"/>
    <col min="10" max="10" width="11.1796875" style="14" customWidth="1"/>
    <col min="11" max="11" width="12.54296875" style="14" customWidth="1"/>
    <col min="12" max="12" width="13.453125" style="14" customWidth="1"/>
    <col min="13" max="13" width="15.7265625" style="14" customWidth="1"/>
    <col min="14" max="15" width="13.453125" style="14" customWidth="1"/>
    <col min="16" max="17" width="21.453125" customWidth="1"/>
    <col min="18" max="18" width="23.81640625" customWidth="1"/>
    <col min="19" max="19" width="10" style="18" bestFit="1" customWidth="1"/>
    <col min="20" max="20" width="7.81640625" bestFit="1" customWidth="1"/>
    <col min="21" max="21" width="11.7265625" bestFit="1" customWidth="1"/>
    <col min="22" max="22" width="8.1796875" bestFit="1" customWidth="1"/>
    <col min="23" max="23" width="19.1796875" bestFit="1" customWidth="1"/>
    <col min="24" max="24" width="20.26953125" customWidth="1"/>
    <col min="25" max="25" width="14.7265625" customWidth="1"/>
    <col min="26" max="26" width="13.54296875" customWidth="1"/>
    <col min="27" max="27" width="16" customWidth="1"/>
    <col min="28" max="28" width="14.54296875" style="19" bestFit="1" customWidth="1"/>
    <col min="29" max="29" width="12.26953125" bestFit="1" customWidth="1"/>
    <col min="30" max="30" width="8.1796875" bestFit="1" customWidth="1"/>
    <col min="31" max="31" width="5.54296875" bestFit="1" customWidth="1"/>
  </cols>
  <sheetData>
    <row r="1" spans="1:31" x14ac:dyDescent="0.35">
      <c r="C1" s="14" t="s">
        <v>136</v>
      </c>
      <c r="P1" s="14"/>
      <c r="Q1" s="14"/>
      <c r="R1" s="37"/>
    </row>
    <row r="2" spans="1:31" ht="16.5" customHeight="1" x14ac:dyDescent="0.35">
      <c r="B2" s="136" t="s">
        <v>143</v>
      </c>
      <c r="C2" s="137" t="s">
        <v>135</v>
      </c>
      <c r="D2" s="2" t="s">
        <v>185</v>
      </c>
      <c r="E2" s="2" t="s">
        <v>91</v>
      </c>
      <c r="F2" s="2" t="s">
        <v>112</v>
      </c>
      <c r="G2" s="2">
        <v>2020</v>
      </c>
      <c r="H2" s="138" t="s">
        <v>165</v>
      </c>
      <c r="I2" s="138" t="s">
        <v>164</v>
      </c>
      <c r="J2" s="2" t="s">
        <v>80</v>
      </c>
      <c r="K2" s="2" t="s">
        <v>153</v>
      </c>
      <c r="L2" s="2" t="s">
        <v>153</v>
      </c>
      <c r="M2" s="2" t="s">
        <v>181</v>
      </c>
      <c r="N2" s="138" t="s">
        <v>158</v>
      </c>
      <c r="O2" s="138" t="s">
        <v>159</v>
      </c>
      <c r="P2" s="2" t="s">
        <v>174</v>
      </c>
      <c r="Q2" s="2" t="s">
        <v>174</v>
      </c>
      <c r="R2" s="2" t="s">
        <v>137</v>
      </c>
    </row>
    <row r="3" spans="1:31" x14ac:dyDescent="0.35">
      <c r="B3" s="136"/>
      <c r="C3" s="137"/>
      <c r="D3" s="2"/>
      <c r="E3" s="2" t="s">
        <v>108</v>
      </c>
      <c r="F3" s="2" t="s">
        <v>83</v>
      </c>
      <c r="G3" s="2">
        <v>2030</v>
      </c>
      <c r="H3" s="138"/>
      <c r="I3" s="138"/>
      <c r="J3" s="2" t="s">
        <v>92</v>
      </c>
      <c r="M3" s="138" t="s">
        <v>180</v>
      </c>
      <c r="N3" s="138"/>
      <c r="O3" s="138"/>
      <c r="P3" s="2"/>
      <c r="Q3" s="2"/>
      <c r="R3" s="2"/>
    </row>
    <row r="4" spans="1:31" x14ac:dyDescent="0.35">
      <c r="B4" s="136"/>
      <c r="C4" s="137"/>
      <c r="D4" s="2"/>
      <c r="E4" s="2" t="s">
        <v>86</v>
      </c>
      <c r="F4" s="2" t="s">
        <v>110</v>
      </c>
      <c r="G4" s="2">
        <v>2050</v>
      </c>
      <c r="H4" s="2"/>
      <c r="I4" s="138"/>
      <c r="J4" s="2" t="s">
        <v>188</v>
      </c>
      <c r="K4" s="2"/>
      <c r="L4" s="2"/>
      <c r="M4" s="138"/>
      <c r="N4" s="138"/>
      <c r="O4" s="138"/>
      <c r="P4" s="2"/>
      <c r="Q4" s="2"/>
      <c r="R4" s="2"/>
    </row>
    <row r="5" spans="1:31" x14ac:dyDescent="0.35">
      <c r="B5" s="136"/>
      <c r="C5" s="137"/>
      <c r="E5" s="2"/>
      <c r="F5" s="2"/>
      <c r="G5" s="2"/>
      <c r="H5" s="2"/>
      <c r="I5" s="2"/>
      <c r="J5" s="2"/>
      <c r="K5" s="2"/>
      <c r="L5" s="2"/>
      <c r="M5" s="2"/>
      <c r="N5" s="138"/>
      <c r="O5" s="138"/>
      <c r="P5" s="16"/>
      <c r="Q5" s="16"/>
      <c r="R5" s="16"/>
      <c r="T5" s="28" t="s">
        <v>134</v>
      </c>
      <c r="U5" s="16"/>
      <c r="V5" s="16"/>
      <c r="W5" s="16"/>
      <c r="X5" s="16"/>
      <c r="Y5" s="16"/>
      <c r="Z5" s="16"/>
      <c r="AA5" s="16"/>
      <c r="AB5" s="27"/>
      <c r="AC5" s="135" t="s">
        <v>138</v>
      </c>
      <c r="AD5" s="132"/>
      <c r="AE5" s="132"/>
    </row>
    <row r="6" spans="1:31" x14ac:dyDescent="0.35">
      <c r="P6" s="14"/>
      <c r="Q6" s="14"/>
      <c r="R6" s="14"/>
      <c r="T6" s="16"/>
      <c r="U6" s="16"/>
      <c r="V6" s="16"/>
      <c r="W6" s="16"/>
      <c r="X6" s="16"/>
      <c r="Y6" s="16"/>
      <c r="Z6" s="16"/>
      <c r="AA6" s="16"/>
      <c r="AB6" s="27"/>
      <c r="AC6" s="16"/>
      <c r="AD6" s="16"/>
    </row>
    <row r="7" spans="1:31" s="26" customFormat="1" x14ac:dyDescent="0.35">
      <c r="A7" s="26" t="s">
        <v>93</v>
      </c>
      <c r="B7" s="26" t="s">
        <v>142</v>
      </c>
      <c r="C7" s="26" t="s">
        <v>141</v>
      </c>
      <c r="D7" s="26" t="s">
        <v>176</v>
      </c>
      <c r="E7" s="26" t="s">
        <v>94</v>
      </c>
      <c r="F7" s="26" t="s">
        <v>109</v>
      </c>
      <c r="G7" s="26" t="s">
        <v>162</v>
      </c>
      <c r="H7" s="26" t="s">
        <v>163</v>
      </c>
      <c r="I7" s="26" t="s">
        <v>97</v>
      </c>
      <c r="J7" s="26" t="s">
        <v>95</v>
      </c>
      <c r="K7" s="26" t="s">
        <v>154</v>
      </c>
      <c r="L7" s="26" t="s">
        <v>152</v>
      </c>
      <c r="M7" s="26" t="s">
        <v>179</v>
      </c>
      <c r="N7" s="26" t="s">
        <v>157</v>
      </c>
      <c r="O7" s="26" t="s">
        <v>160</v>
      </c>
      <c r="P7" s="26" t="s">
        <v>96</v>
      </c>
      <c r="Q7" s="26" t="s">
        <v>173</v>
      </c>
      <c r="R7" s="26" t="s">
        <v>98</v>
      </c>
      <c r="S7" s="24" t="s">
        <v>99</v>
      </c>
      <c r="T7" s="26" t="s">
        <v>100</v>
      </c>
      <c r="U7" s="26" t="s">
        <v>101</v>
      </c>
      <c r="V7" s="26" t="s">
        <v>102</v>
      </c>
      <c r="W7" s="26" t="s">
        <v>103</v>
      </c>
      <c r="X7" s="26" t="s">
        <v>114</v>
      </c>
      <c r="Y7" s="26" t="s">
        <v>115</v>
      </c>
      <c r="Z7" s="26" t="s">
        <v>116</v>
      </c>
      <c r="AA7" s="26" t="s">
        <v>117</v>
      </c>
      <c r="AB7" s="25" t="s">
        <v>104</v>
      </c>
      <c r="AC7" s="26" t="s">
        <v>105</v>
      </c>
      <c r="AD7" s="26" t="s">
        <v>106</v>
      </c>
      <c r="AE7" s="26" t="s">
        <v>107</v>
      </c>
    </row>
    <row r="8" spans="1:31" x14ac:dyDescent="0.35">
      <c r="A8" s="2">
        <f>ROW(A8)-ROW($A$7)</f>
        <v>1</v>
      </c>
      <c r="B8" s="2" t="s">
        <v>191</v>
      </c>
      <c r="C8" s="14" t="s">
        <v>139</v>
      </c>
      <c r="D8" t="s">
        <v>185</v>
      </c>
      <c r="E8" s="119" t="s">
        <v>91</v>
      </c>
      <c r="F8" t="s">
        <v>112</v>
      </c>
      <c r="G8" s="14" t="str">
        <f t="shared" ref="G8:G71" si="0">"2030"</f>
        <v>2030</v>
      </c>
      <c r="H8" s="14" t="s">
        <v>185</v>
      </c>
      <c r="I8" s="14" t="str">
        <f>"2018"</f>
        <v>2018</v>
      </c>
      <c r="J8" s="14" t="s">
        <v>80</v>
      </c>
      <c r="K8" s="14">
        <v>0</v>
      </c>
      <c r="L8" s="14">
        <v>0</v>
      </c>
      <c r="M8" s="14">
        <v>-1</v>
      </c>
      <c r="N8" s="14">
        <v>1</v>
      </c>
      <c r="O8" s="14">
        <v>0</v>
      </c>
      <c r="P8" t="s">
        <v>177</v>
      </c>
      <c r="Q8" t="s">
        <v>178</v>
      </c>
      <c r="R8" s="104" t="s">
        <v>307</v>
      </c>
      <c r="S8" s="18" t="b">
        <v>0</v>
      </c>
      <c r="T8" t="b">
        <v>1</v>
      </c>
      <c r="U8" s="18" t="b">
        <v>0</v>
      </c>
      <c r="V8" t="b">
        <v>0</v>
      </c>
      <c r="W8" t="b">
        <v>1</v>
      </c>
      <c r="X8" t="b">
        <v>0</v>
      </c>
      <c r="Y8" t="b">
        <v>0</v>
      </c>
      <c r="Z8" t="b">
        <v>1</v>
      </c>
      <c r="AA8" t="b">
        <v>1</v>
      </c>
      <c r="AB8" s="19" t="b">
        <v>0</v>
      </c>
      <c r="AC8" t="b">
        <v>1</v>
      </c>
      <c r="AD8" t="b">
        <v>1</v>
      </c>
      <c r="AE8" t="b">
        <v>1</v>
      </c>
    </row>
    <row r="9" spans="1:31" x14ac:dyDescent="0.35">
      <c r="A9" s="2">
        <f>ROW(A9)-ROW($A$7)</f>
        <v>2</v>
      </c>
      <c r="B9" s="2" t="s">
        <v>192</v>
      </c>
      <c r="C9" s="14" t="s">
        <v>139</v>
      </c>
      <c r="D9" t="s">
        <v>185</v>
      </c>
      <c r="E9" s="119" t="s">
        <v>193</v>
      </c>
      <c r="F9" t="s">
        <v>112</v>
      </c>
      <c r="G9" s="14" t="str">
        <f t="shared" si="0"/>
        <v>2030</v>
      </c>
      <c r="H9" s="14" t="s">
        <v>185</v>
      </c>
      <c r="I9" s="14" t="str">
        <f>"2018"</f>
        <v>2018</v>
      </c>
      <c r="J9" s="14" t="s">
        <v>80</v>
      </c>
      <c r="K9" s="14">
        <v>0</v>
      </c>
      <c r="L9" s="14">
        <v>0</v>
      </c>
      <c r="M9" s="14">
        <v>-1</v>
      </c>
      <c r="N9" s="14">
        <v>1</v>
      </c>
      <c r="O9" s="14">
        <v>0</v>
      </c>
      <c r="P9" t="s">
        <v>177</v>
      </c>
      <c r="Q9" t="s">
        <v>178</v>
      </c>
      <c r="R9" s="104" t="s">
        <v>307</v>
      </c>
      <c r="S9" s="18" t="b">
        <v>0</v>
      </c>
      <c r="T9" t="b">
        <v>1</v>
      </c>
      <c r="U9" s="18" t="b">
        <v>0</v>
      </c>
      <c r="V9" t="b">
        <v>0</v>
      </c>
      <c r="W9" t="b">
        <v>1</v>
      </c>
      <c r="X9" t="b">
        <v>0</v>
      </c>
      <c r="Y9" t="b">
        <v>0</v>
      </c>
      <c r="Z9" t="b">
        <v>1</v>
      </c>
      <c r="AA9" t="b">
        <v>1</v>
      </c>
      <c r="AB9" s="19" t="b">
        <v>0</v>
      </c>
      <c r="AC9" t="b">
        <v>1</v>
      </c>
      <c r="AD9" t="b">
        <v>1</v>
      </c>
      <c r="AE9" t="b">
        <v>1</v>
      </c>
    </row>
    <row r="10" spans="1:31" x14ac:dyDescent="0.35">
      <c r="A10" s="2">
        <v>4</v>
      </c>
      <c r="B10" s="2" t="s">
        <v>218</v>
      </c>
      <c r="C10" s="14" t="s">
        <v>139</v>
      </c>
      <c r="D10" t="s">
        <v>185</v>
      </c>
      <c r="E10" s="119" t="s">
        <v>91</v>
      </c>
      <c r="F10" t="s">
        <v>112</v>
      </c>
      <c r="G10" s="14" t="str">
        <f t="shared" si="0"/>
        <v>2030</v>
      </c>
      <c r="H10" s="14" t="s">
        <v>185</v>
      </c>
      <c r="I10" s="14" t="str">
        <f>"2018"</f>
        <v>2018</v>
      </c>
      <c r="J10" s="14" t="s">
        <v>92</v>
      </c>
      <c r="K10" s="14">
        <v>0</v>
      </c>
      <c r="L10" s="14">
        <v>0</v>
      </c>
      <c r="M10" s="14">
        <v>-1</v>
      </c>
      <c r="N10" s="14">
        <v>1</v>
      </c>
      <c r="O10" s="14">
        <v>0</v>
      </c>
      <c r="P10" t="s">
        <v>177</v>
      </c>
      <c r="Q10" t="s">
        <v>178</v>
      </c>
      <c r="R10" s="104" t="s">
        <v>307</v>
      </c>
      <c r="S10" s="18" t="b">
        <v>0</v>
      </c>
      <c r="T10" t="b">
        <v>1</v>
      </c>
      <c r="U10" s="18" t="b">
        <v>0</v>
      </c>
      <c r="V10" t="b">
        <v>0</v>
      </c>
      <c r="W10" t="b">
        <v>1</v>
      </c>
      <c r="X10" t="b">
        <v>0</v>
      </c>
      <c r="Y10" t="b">
        <v>0</v>
      </c>
      <c r="Z10" t="b">
        <v>1</v>
      </c>
      <c r="AA10" t="b">
        <v>1</v>
      </c>
      <c r="AB10" s="19" t="b">
        <v>0</v>
      </c>
      <c r="AC10" t="b">
        <v>1</v>
      </c>
      <c r="AD10" t="b">
        <v>1</v>
      </c>
      <c r="AE10" t="b">
        <v>1</v>
      </c>
    </row>
    <row r="11" spans="1:31" x14ac:dyDescent="0.35">
      <c r="A11" s="2">
        <f>ROW(A11)-ROW($A$7)</f>
        <v>4</v>
      </c>
      <c r="B11" s="2" t="s">
        <v>194</v>
      </c>
      <c r="C11" s="14" t="s">
        <v>139</v>
      </c>
      <c r="D11" t="s">
        <v>185</v>
      </c>
      <c r="E11" s="119" t="s">
        <v>193</v>
      </c>
      <c r="F11" t="s">
        <v>112</v>
      </c>
      <c r="G11" s="14" t="str">
        <f t="shared" si="0"/>
        <v>2030</v>
      </c>
      <c r="H11" s="14" t="s">
        <v>185</v>
      </c>
      <c r="I11" s="14" t="str">
        <f>"2018"</f>
        <v>2018</v>
      </c>
      <c r="J11" s="14" t="s">
        <v>92</v>
      </c>
      <c r="K11" s="14">
        <v>0</v>
      </c>
      <c r="L11" s="14">
        <v>0</v>
      </c>
      <c r="M11" s="14">
        <v>-1</v>
      </c>
      <c r="N11" s="14">
        <v>1</v>
      </c>
      <c r="O11" s="14">
        <v>0</v>
      </c>
      <c r="P11" t="s">
        <v>177</v>
      </c>
      <c r="Q11" t="s">
        <v>178</v>
      </c>
      <c r="R11" s="104" t="s">
        <v>307</v>
      </c>
      <c r="S11" s="18" t="b">
        <v>0</v>
      </c>
      <c r="T11" t="b">
        <v>1</v>
      </c>
      <c r="U11" s="18" t="b">
        <v>0</v>
      </c>
      <c r="V11" t="b">
        <v>0</v>
      </c>
      <c r="W11" t="b">
        <v>1</v>
      </c>
      <c r="X11" t="b">
        <v>0</v>
      </c>
      <c r="Y11" t="b">
        <v>0</v>
      </c>
      <c r="Z11" t="b">
        <v>1</v>
      </c>
      <c r="AA11" t="b">
        <v>1</v>
      </c>
      <c r="AB11" s="19" t="b">
        <v>0</v>
      </c>
      <c r="AC11" t="b">
        <v>1</v>
      </c>
      <c r="AD11" t="b">
        <v>1</v>
      </c>
      <c r="AE11" t="b">
        <v>1</v>
      </c>
    </row>
    <row r="12" spans="1:31" x14ac:dyDescent="0.35">
      <c r="A12" s="2">
        <f t="shared" ref="A12:A75" si="1">ROW(A12)-ROW($A$7)</f>
        <v>5</v>
      </c>
      <c r="B12" s="11" t="str">
        <f t="shared" ref="B12:B17" si="2">CONCATENATE($B$8,"-",C12)</f>
        <v>MeOH-AEC-eff-aec-45</v>
      </c>
      <c r="C12" s="113" t="str">
        <f>Scenarios_definition!B10</f>
        <v>eff-aec-45</v>
      </c>
      <c r="D12" t="s">
        <v>185</v>
      </c>
      <c r="E12" s="120" t="s">
        <v>91</v>
      </c>
      <c r="F12" t="s">
        <v>112</v>
      </c>
      <c r="G12" s="14" t="str">
        <f t="shared" si="0"/>
        <v>2030</v>
      </c>
      <c r="H12" s="14" t="s">
        <v>185</v>
      </c>
      <c r="I12" s="14" t="str">
        <f t="shared" ref="I12:I71" si="3">"2018"</f>
        <v>2018</v>
      </c>
      <c r="J12" s="14" t="s">
        <v>80</v>
      </c>
      <c r="K12" s="14">
        <v>0</v>
      </c>
      <c r="L12" s="14">
        <v>0</v>
      </c>
      <c r="M12" s="14">
        <v>-1</v>
      </c>
      <c r="N12" s="14">
        <v>1</v>
      </c>
      <c r="O12" s="14">
        <v>0</v>
      </c>
      <c r="P12" t="s">
        <v>177</v>
      </c>
      <c r="Q12" t="s">
        <v>178</v>
      </c>
      <c r="R12" s="104" t="s">
        <v>307</v>
      </c>
      <c r="S12" s="18" t="b">
        <v>0</v>
      </c>
      <c r="T12" t="b">
        <v>1</v>
      </c>
      <c r="U12" s="18" t="b">
        <v>0</v>
      </c>
      <c r="V12" t="b">
        <v>0</v>
      </c>
      <c r="W12" t="b">
        <v>1</v>
      </c>
      <c r="X12" t="b">
        <v>0</v>
      </c>
      <c r="Y12" t="b">
        <v>0</v>
      </c>
      <c r="Z12" t="b">
        <v>1</v>
      </c>
      <c r="AA12" t="b">
        <v>1</v>
      </c>
      <c r="AB12" s="19" t="b">
        <v>0</v>
      </c>
      <c r="AC12" t="b">
        <v>1</v>
      </c>
      <c r="AD12" t="b">
        <v>1</v>
      </c>
      <c r="AE12" t="b">
        <v>1</v>
      </c>
    </row>
    <row r="13" spans="1:31" x14ac:dyDescent="0.35">
      <c r="A13" s="2">
        <f t="shared" si="1"/>
        <v>6</v>
      </c>
      <c r="B13" s="11" t="str">
        <f t="shared" si="2"/>
        <v>MeOH-AEC-eff-aec-47</v>
      </c>
      <c r="C13" s="113" t="str">
        <f>Scenarios_definition!B11</f>
        <v>eff-aec-47</v>
      </c>
      <c r="D13" t="s">
        <v>185</v>
      </c>
      <c r="E13" s="120" t="s">
        <v>91</v>
      </c>
      <c r="F13" t="s">
        <v>112</v>
      </c>
      <c r="G13" s="14" t="str">
        <f t="shared" si="0"/>
        <v>2030</v>
      </c>
      <c r="H13" s="14" t="s">
        <v>185</v>
      </c>
      <c r="I13" s="14" t="str">
        <f t="shared" si="3"/>
        <v>2018</v>
      </c>
      <c r="J13" s="14" t="s">
        <v>80</v>
      </c>
      <c r="K13" s="14">
        <v>0</v>
      </c>
      <c r="L13" s="14">
        <v>0</v>
      </c>
      <c r="M13" s="14">
        <v>-1</v>
      </c>
      <c r="N13" s="14">
        <v>1</v>
      </c>
      <c r="O13" s="14">
        <v>0</v>
      </c>
      <c r="P13" t="s">
        <v>177</v>
      </c>
      <c r="Q13" t="s">
        <v>178</v>
      </c>
      <c r="R13" s="104" t="s">
        <v>307</v>
      </c>
      <c r="S13" s="18" t="b">
        <v>0</v>
      </c>
      <c r="T13" t="b">
        <v>1</v>
      </c>
      <c r="U13" s="18" t="b">
        <v>0</v>
      </c>
      <c r="V13" t="b">
        <v>0</v>
      </c>
      <c r="W13" t="b">
        <v>1</v>
      </c>
      <c r="X13" t="b">
        <v>0</v>
      </c>
      <c r="Y13" t="b">
        <v>0</v>
      </c>
      <c r="Z13" t="b">
        <v>1</v>
      </c>
      <c r="AA13" t="b">
        <v>1</v>
      </c>
      <c r="AB13" s="19" t="b">
        <v>0</v>
      </c>
      <c r="AC13" t="b">
        <v>1</v>
      </c>
      <c r="AD13" t="b">
        <v>1</v>
      </c>
      <c r="AE13" t="b">
        <v>1</v>
      </c>
    </row>
    <row r="14" spans="1:31" x14ac:dyDescent="0.35">
      <c r="A14" s="2">
        <f t="shared" si="1"/>
        <v>7</v>
      </c>
      <c r="B14" s="11" t="str">
        <f t="shared" si="2"/>
        <v>MeOH-AEC-eff-aec-51</v>
      </c>
      <c r="C14" s="113" t="str">
        <f>Scenarios_definition!B12</f>
        <v>eff-aec-51</v>
      </c>
      <c r="D14" t="s">
        <v>185</v>
      </c>
      <c r="E14" s="120" t="s">
        <v>91</v>
      </c>
      <c r="F14" t="s">
        <v>112</v>
      </c>
      <c r="G14" s="14" t="str">
        <f t="shared" si="0"/>
        <v>2030</v>
      </c>
      <c r="H14" s="14" t="s">
        <v>185</v>
      </c>
      <c r="I14" s="14" t="str">
        <f t="shared" si="3"/>
        <v>2018</v>
      </c>
      <c r="J14" s="14" t="s">
        <v>80</v>
      </c>
      <c r="K14" s="14">
        <v>0</v>
      </c>
      <c r="L14" s="14">
        <v>0</v>
      </c>
      <c r="M14" s="14">
        <v>-1</v>
      </c>
      <c r="N14" s="14">
        <v>1</v>
      </c>
      <c r="O14" s="14">
        <v>0</v>
      </c>
      <c r="P14" t="s">
        <v>177</v>
      </c>
      <c r="Q14" t="s">
        <v>178</v>
      </c>
      <c r="R14" s="104" t="s">
        <v>307</v>
      </c>
      <c r="S14" s="18" t="b">
        <v>0</v>
      </c>
      <c r="T14" t="b">
        <v>1</v>
      </c>
      <c r="U14" s="18" t="b">
        <v>0</v>
      </c>
      <c r="V14" t="b">
        <v>0</v>
      </c>
      <c r="W14" t="b">
        <v>1</v>
      </c>
      <c r="X14" t="b">
        <v>0</v>
      </c>
      <c r="Y14" t="b">
        <v>0</v>
      </c>
      <c r="Z14" t="b">
        <v>1</v>
      </c>
      <c r="AA14" t="b">
        <v>1</v>
      </c>
      <c r="AB14" s="19" t="b">
        <v>0</v>
      </c>
      <c r="AC14" t="b">
        <v>1</v>
      </c>
      <c r="AD14" t="b">
        <v>1</v>
      </c>
      <c r="AE14" t="b">
        <v>1</v>
      </c>
    </row>
    <row r="15" spans="1:31" x14ac:dyDescent="0.35">
      <c r="A15" s="2">
        <f t="shared" si="1"/>
        <v>8</v>
      </c>
      <c r="B15" s="11" t="str">
        <f t="shared" si="2"/>
        <v>MeOH-AEC-eff-aec-53</v>
      </c>
      <c r="C15" s="113" t="str">
        <f>Scenarios_definition!B13</f>
        <v>eff-aec-53</v>
      </c>
      <c r="D15" t="s">
        <v>185</v>
      </c>
      <c r="E15" s="120" t="s">
        <v>91</v>
      </c>
      <c r="F15" t="s">
        <v>112</v>
      </c>
      <c r="G15" s="14" t="str">
        <f t="shared" si="0"/>
        <v>2030</v>
      </c>
      <c r="H15" s="14" t="s">
        <v>185</v>
      </c>
      <c r="I15" s="14" t="str">
        <f t="shared" si="3"/>
        <v>2018</v>
      </c>
      <c r="J15" s="14" t="s">
        <v>80</v>
      </c>
      <c r="K15" s="14">
        <v>0</v>
      </c>
      <c r="L15" s="14">
        <v>0</v>
      </c>
      <c r="M15" s="14">
        <v>-1</v>
      </c>
      <c r="N15" s="14">
        <v>1</v>
      </c>
      <c r="O15" s="14">
        <v>0</v>
      </c>
      <c r="P15" t="s">
        <v>177</v>
      </c>
      <c r="Q15" t="s">
        <v>178</v>
      </c>
      <c r="R15" s="104" t="s">
        <v>307</v>
      </c>
      <c r="S15" s="18" t="b">
        <v>0</v>
      </c>
      <c r="T15" t="b">
        <v>1</v>
      </c>
      <c r="U15" s="18" t="b">
        <v>0</v>
      </c>
      <c r="V15" t="b">
        <v>0</v>
      </c>
      <c r="W15" t="b">
        <v>1</v>
      </c>
      <c r="X15" t="b">
        <v>0</v>
      </c>
      <c r="Y15" t="b">
        <v>0</v>
      </c>
      <c r="Z15" t="b">
        <v>1</v>
      </c>
      <c r="AA15" t="b">
        <v>1</v>
      </c>
      <c r="AB15" s="19" t="b">
        <v>0</v>
      </c>
      <c r="AC15" t="b">
        <v>1</v>
      </c>
      <c r="AD15" t="b">
        <v>1</v>
      </c>
      <c r="AE15" t="b">
        <v>1</v>
      </c>
    </row>
    <row r="16" spans="1:31" x14ac:dyDescent="0.35">
      <c r="A16" s="2">
        <f t="shared" si="1"/>
        <v>9</v>
      </c>
      <c r="B16" s="11" t="str">
        <f t="shared" si="2"/>
        <v>MeOH-AEC-eff-aec-55</v>
      </c>
      <c r="C16" s="113" t="str">
        <f>Scenarios_definition!B14</f>
        <v>eff-aec-55</v>
      </c>
      <c r="D16" t="s">
        <v>185</v>
      </c>
      <c r="E16" s="120" t="s">
        <v>91</v>
      </c>
      <c r="F16" t="s">
        <v>112</v>
      </c>
      <c r="G16" s="14" t="str">
        <f t="shared" si="0"/>
        <v>2030</v>
      </c>
      <c r="H16" s="14" t="s">
        <v>185</v>
      </c>
      <c r="I16" s="14" t="str">
        <f t="shared" si="3"/>
        <v>2018</v>
      </c>
      <c r="J16" s="14" t="s">
        <v>80</v>
      </c>
      <c r="K16" s="14">
        <v>0</v>
      </c>
      <c r="L16" s="14">
        <v>0</v>
      </c>
      <c r="M16" s="14">
        <v>-1</v>
      </c>
      <c r="N16" s="14">
        <v>1</v>
      </c>
      <c r="O16" s="14">
        <v>0</v>
      </c>
      <c r="P16" t="s">
        <v>177</v>
      </c>
      <c r="Q16" t="s">
        <v>178</v>
      </c>
      <c r="R16" s="104" t="s">
        <v>307</v>
      </c>
      <c r="S16" s="18" t="b">
        <v>0</v>
      </c>
      <c r="T16" t="b">
        <v>1</v>
      </c>
      <c r="U16" s="18" t="b">
        <v>0</v>
      </c>
      <c r="V16" t="b">
        <v>0</v>
      </c>
      <c r="W16" t="b">
        <v>1</v>
      </c>
      <c r="X16" t="b">
        <v>0</v>
      </c>
      <c r="Y16" t="b">
        <v>0</v>
      </c>
      <c r="Z16" t="b">
        <v>1</v>
      </c>
      <c r="AA16" t="b">
        <v>1</v>
      </c>
      <c r="AB16" s="19" t="b">
        <v>0</v>
      </c>
      <c r="AC16" t="b">
        <v>1</v>
      </c>
      <c r="AD16" t="b">
        <v>1</v>
      </c>
      <c r="AE16" t="b">
        <v>1</v>
      </c>
    </row>
    <row r="17" spans="1:31" x14ac:dyDescent="0.35">
      <c r="A17" s="2">
        <f t="shared" si="1"/>
        <v>10</v>
      </c>
      <c r="B17" s="11" t="str">
        <f t="shared" si="2"/>
        <v>MeOH-AEC-eff-aec-57</v>
      </c>
      <c r="C17" s="113" t="str">
        <f>Scenarios_definition!B15</f>
        <v>eff-aec-57</v>
      </c>
      <c r="D17" t="s">
        <v>185</v>
      </c>
      <c r="E17" s="120" t="s">
        <v>91</v>
      </c>
      <c r="F17" t="s">
        <v>112</v>
      </c>
      <c r="G17" s="14" t="str">
        <f t="shared" si="0"/>
        <v>2030</v>
      </c>
      <c r="H17" s="14" t="s">
        <v>185</v>
      </c>
      <c r="I17" s="14" t="str">
        <f t="shared" si="3"/>
        <v>2018</v>
      </c>
      <c r="J17" s="14" t="s">
        <v>80</v>
      </c>
      <c r="K17" s="14">
        <v>0</v>
      </c>
      <c r="L17" s="14">
        <v>0</v>
      </c>
      <c r="M17" s="14">
        <v>-1</v>
      </c>
      <c r="N17" s="14">
        <v>1</v>
      </c>
      <c r="O17" s="14">
        <v>0</v>
      </c>
      <c r="P17" t="s">
        <v>177</v>
      </c>
      <c r="Q17" t="s">
        <v>178</v>
      </c>
      <c r="R17" s="104" t="s">
        <v>307</v>
      </c>
      <c r="S17" s="18" t="b">
        <v>0</v>
      </c>
      <c r="T17" t="b">
        <v>1</v>
      </c>
      <c r="U17" s="18" t="b">
        <v>0</v>
      </c>
      <c r="V17" t="b">
        <v>0</v>
      </c>
      <c r="W17" t="b">
        <v>1</v>
      </c>
      <c r="X17" t="b">
        <v>0</v>
      </c>
      <c r="Y17" t="b">
        <v>0</v>
      </c>
      <c r="Z17" t="b">
        <v>1</v>
      </c>
      <c r="AA17" t="b">
        <v>1</v>
      </c>
      <c r="AB17" s="19" t="b">
        <v>0</v>
      </c>
      <c r="AC17" t="b">
        <v>1</v>
      </c>
      <c r="AD17" t="b">
        <v>1</v>
      </c>
      <c r="AE17" t="b">
        <v>1</v>
      </c>
    </row>
    <row r="18" spans="1:31" x14ac:dyDescent="0.35">
      <c r="A18" s="2">
        <f t="shared" si="1"/>
        <v>11</v>
      </c>
      <c r="B18" s="11" t="str">
        <f t="shared" ref="B18:B23" si="4">CONCATENATE($B$9,"-",C18)</f>
        <v>Biofuel-AEC-eff-aec-45</v>
      </c>
      <c r="C18" s="113" t="str">
        <f t="shared" ref="C18:C23" si="5">C12</f>
        <v>eff-aec-45</v>
      </c>
      <c r="D18" t="s">
        <v>185</v>
      </c>
      <c r="E18" s="120" t="s">
        <v>193</v>
      </c>
      <c r="F18" t="s">
        <v>112</v>
      </c>
      <c r="G18" s="14" t="str">
        <f t="shared" si="0"/>
        <v>2030</v>
      </c>
      <c r="H18" s="14" t="s">
        <v>185</v>
      </c>
      <c r="I18" s="14" t="str">
        <f t="shared" si="3"/>
        <v>2018</v>
      </c>
      <c r="J18" s="14" t="s">
        <v>80</v>
      </c>
      <c r="K18" s="14">
        <v>0</v>
      </c>
      <c r="L18" s="14">
        <v>0</v>
      </c>
      <c r="M18" s="14">
        <v>-1</v>
      </c>
      <c r="N18" s="14">
        <v>1</v>
      </c>
      <c r="O18" s="14">
        <v>0</v>
      </c>
      <c r="P18" t="s">
        <v>177</v>
      </c>
      <c r="Q18" t="s">
        <v>178</v>
      </c>
      <c r="R18" s="104" t="s">
        <v>307</v>
      </c>
      <c r="S18" s="18" t="b">
        <v>0</v>
      </c>
      <c r="T18" t="b">
        <v>1</v>
      </c>
      <c r="U18" s="18" t="b">
        <v>0</v>
      </c>
      <c r="V18" t="b">
        <v>0</v>
      </c>
      <c r="W18" t="b">
        <v>1</v>
      </c>
      <c r="X18" t="b">
        <v>0</v>
      </c>
      <c r="Y18" t="b">
        <v>0</v>
      </c>
      <c r="Z18" t="b">
        <v>1</v>
      </c>
      <c r="AA18" t="b">
        <v>1</v>
      </c>
      <c r="AB18" s="19" t="b">
        <v>0</v>
      </c>
      <c r="AC18" t="b">
        <v>1</v>
      </c>
      <c r="AD18" t="b">
        <v>1</v>
      </c>
      <c r="AE18" t="b">
        <v>1</v>
      </c>
    </row>
    <row r="19" spans="1:31" x14ac:dyDescent="0.35">
      <c r="A19" s="2">
        <f t="shared" si="1"/>
        <v>12</v>
      </c>
      <c r="B19" s="11" t="str">
        <f t="shared" si="4"/>
        <v>Biofuel-AEC-eff-aec-47</v>
      </c>
      <c r="C19" s="113" t="str">
        <f t="shared" si="5"/>
        <v>eff-aec-47</v>
      </c>
      <c r="D19" t="s">
        <v>185</v>
      </c>
      <c r="E19" s="120" t="s">
        <v>193</v>
      </c>
      <c r="F19" t="s">
        <v>112</v>
      </c>
      <c r="G19" s="14" t="str">
        <f t="shared" si="0"/>
        <v>2030</v>
      </c>
      <c r="H19" s="14" t="s">
        <v>185</v>
      </c>
      <c r="I19" s="14" t="str">
        <f t="shared" si="3"/>
        <v>2018</v>
      </c>
      <c r="J19" s="14" t="s">
        <v>80</v>
      </c>
      <c r="K19" s="14">
        <v>0</v>
      </c>
      <c r="L19" s="14">
        <v>0</v>
      </c>
      <c r="M19" s="14">
        <v>-1</v>
      </c>
      <c r="N19" s="14">
        <v>1</v>
      </c>
      <c r="O19" s="14">
        <v>0</v>
      </c>
      <c r="P19" t="s">
        <v>177</v>
      </c>
      <c r="Q19" t="s">
        <v>178</v>
      </c>
      <c r="R19" s="104" t="s">
        <v>307</v>
      </c>
      <c r="S19" s="18" t="b">
        <v>0</v>
      </c>
      <c r="T19" t="b">
        <v>1</v>
      </c>
      <c r="U19" s="18" t="b">
        <v>0</v>
      </c>
      <c r="V19" t="b">
        <v>0</v>
      </c>
      <c r="W19" t="b">
        <v>1</v>
      </c>
      <c r="X19" t="b">
        <v>0</v>
      </c>
      <c r="Y19" t="b">
        <v>0</v>
      </c>
      <c r="Z19" t="b">
        <v>1</v>
      </c>
      <c r="AA19" t="b">
        <v>1</v>
      </c>
      <c r="AB19" s="19" t="b">
        <v>0</v>
      </c>
      <c r="AC19" t="b">
        <v>1</v>
      </c>
      <c r="AD19" t="b">
        <v>1</v>
      </c>
      <c r="AE19" t="b">
        <v>1</v>
      </c>
    </row>
    <row r="20" spans="1:31" x14ac:dyDescent="0.35">
      <c r="A20" s="2">
        <f t="shared" si="1"/>
        <v>13</v>
      </c>
      <c r="B20" s="11" t="str">
        <f t="shared" si="4"/>
        <v>Biofuel-AEC-eff-aec-51</v>
      </c>
      <c r="C20" s="113" t="str">
        <f t="shared" si="5"/>
        <v>eff-aec-51</v>
      </c>
      <c r="D20" t="s">
        <v>185</v>
      </c>
      <c r="E20" s="120" t="s">
        <v>193</v>
      </c>
      <c r="F20" t="s">
        <v>112</v>
      </c>
      <c r="G20" s="14" t="str">
        <f t="shared" si="0"/>
        <v>2030</v>
      </c>
      <c r="H20" s="14" t="s">
        <v>185</v>
      </c>
      <c r="I20" s="14" t="str">
        <f t="shared" si="3"/>
        <v>2018</v>
      </c>
      <c r="J20" s="14" t="s">
        <v>80</v>
      </c>
      <c r="K20" s="14">
        <v>0</v>
      </c>
      <c r="L20" s="14">
        <v>0</v>
      </c>
      <c r="M20" s="14">
        <v>-1</v>
      </c>
      <c r="N20" s="14">
        <v>1</v>
      </c>
      <c r="O20" s="14">
        <v>0</v>
      </c>
      <c r="P20" t="s">
        <v>177</v>
      </c>
      <c r="Q20" t="s">
        <v>178</v>
      </c>
      <c r="R20" s="104" t="s">
        <v>307</v>
      </c>
      <c r="S20" s="18" t="b">
        <v>0</v>
      </c>
      <c r="T20" t="b">
        <v>1</v>
      </c>
      <c r="U20" s="18" t="b">
        <v>0</v>
      </c>
      <c r="V20" t="b">
        <v>0</v>
      </c>
      <c r="W20" t="b">
        <v>1</v>
      </c>
      <c r="X20" t="b">
        <v>0</v>
      </c>
      <c r="Y20" t="b">
        <v>0</v>
      </c>
      <c r="Z20" t="b">
        <v>1</v>
      </c>
      <c r="AA20" t="b">
        <v>1</v>
      </c>
      <c r="AB20" s="19" t="b">
        <v>0</v>
      </c>
      <c r="AC20" t="b">
        <v>1</v>
      </c>
      <c r="AD20" t="b">
        <v>1</v>
      </c>
      <c r="AE20" t="b">
        <v>1</v>
      </c>
    </row>
    <row r="21" spans="1:31" x14ac:dyDescent="0.35">
      <c r="A21" s="2">
        <f t="shared" si="1"/>
        <v>14</v>
      </c>
      <c r="B21" s="11" t="str">
        <f t="shared" si="4"/>
        <v>Biofuel-AEC-eff-aec-53</v>
      </c>
      <c r="C21" s="113" t="str">
        <f t="shared" si="5"/>
        <v>eff-aec-53</v>
      </c>
      <c r="D21" t="s">
        <v>185</v>
      </c>
      <c r="E21" s="120" t="s">
        <v>193</v>
      </c>
      <c r="F21" t="s">
        <v>112</v>
      </c>
      <c r="G21" s="14" t="str">
        <f t="shared" si="0"/>
        <v>2030</v>
      </c>
      <c r="H21" s="14" t="s">
        <v>185</v>
      </c>
      <c r="I21" s="14" t="str">
        <f t="shared" si="3"/>
        <v>2018</v>
      </c>
      <c r="J21" s="14" t="s">
        <v>80</v>
      </c>
      <c r="K21" s="14">
        <v>0</v>
      </c>
      <c r="L21" s="14">
        <v>0</v>
      </c>
      <c r="M21" s="14">
        <v>-1</v>
      </c>
      <c r="N21" s="14">
        <v>1</v>
      </c>
      <c r="O21" s="14">
        <v>0</v>
      </c>
      <c r="P21" t="s">
        <v>177</v>
      </c>
      <c r="Q21" t="s">
        <v>178</v>
      </c>
      <c r="R21" s="104" t="s">
        <v>307</v>
      </c>
      <c r="S21" s="18" t="b">
        <v>0</v>
      </c>
      <c r="T21" t="b">
        <v>1</v>
      </c>
      <c r="U21" s="18" t="b">
        <v>0</v>
      </c>
      <c r="V21" t="b">
        <v>0</v>
      </c>
      <c r="W21" t="b">
        <v>1</v>
      </c>
      <c r="X21" t="b">
        <v>0</v>
      </c>
      <c r="Y21" t="b">
        <v>0</v>
      </c>
      <c r="Z21" t="b">
        <v>1</v>
      </c>
      <c r="AA21" t="b">
        <v>1</v>
      </c>
      <c r="AB21" s="19" t="b">
        <v>0</v>
      </c>
      <c r="AC21" t="b">
        <v>1</v>
      </c>
      <c r="AD21" t="b">
        <v>1</v>
      </c>
      <c r="AE21" t="b">
        <v>1</v>
      </c>
    </row>
    <row r="22" spans="1:31" x14ac:dyDescent="0.35">
      <c r="A22" s="2">
        <f t="shared" si="1"/>
        <v>15</v>
      </c>
      <c r="B22" s="11" t="str">
        <f t="shared" si="4"/>
        <v>Biofuel-AEC-eff-aec-55</v>
      </c>
      <c r="C22" s="113" t="str">
        <f t="shared" si="5"/>
        <v>eff-aec-55</v>
      </c>
      <c r="D22" t="s">
        <v>185</v>
      </c>
      <c r="E22" s="120" t="s">
        <v>193</v>
      </c>
      <c r="F22" t="s">
        <v>112</v>
      </c>
      <c r="G22" s="14" t="str">
        <f t="shared" si="0"/>
        <v>2030</v>
      </c>
      <c r="H22" s="14" t="s">
        <v>185</v>
      </c>
      <c r="I22" s="14" t="str">
        <f t="shared" si="3"/>
        <v>2018</v>
      </c>
      <c r="J22" s="14" t="s">
        <v>80</v>
      </c>
      <c r="K22" s="14">
        <v>0</v>
      </c>
      <c r="L22" s="14">
        <v>0</v>
      </c>
      <c r="M22" s="14">
        <v>-1</v>
      </c>
      <c r="N22" s="14">
        <v>1</v>
      </c>
      <c r="O22" s="14">
        <v>0</v>
      </c>
      <c r="P22" t="s">
        <v>177</v>
      </c>
      <c r="Q22" t="s">
        <v>178</v>
      </c>
      <c r="R22" s="104" t="s">
        <v>307</v>
      </c>
      <c r="S22" s="18" t="b">
        <v>0</v>
      </c>
      <c r="T22" t="b">
        <v>1</v>
      </c>
      <c r="U22" s="18" t="b">
        <v>0</v>
      </c>
      <c r="V22" t="b">
        <v>0</v>
      </c>
      <c r="W22" t="b">
        <v>1</v>
      </c>
      <c r="X22" t="b">
        <v>0</v>
      </c>
      <c r="Y22" t="b">
        <v>0</v>
      </c>
      <c r="Z22" t="b">
        <v>1</v>
      </c>
      <c r="AA22" t="b">
        <v>1</v>
      </c>
      <c r="AB22" s="19" t="b">
        <v>0</v>
      </c>
      <c r="AC22" t="b">
        <v>1</v>
      </c>
      <c r="AD22" t="b">
        <v>1</v>
      </c>
      <c r="AE22" t="b">
        <v>1</v>
      </c>
    </row>
    <row r="23" spans="1:31" x14ac:dyDescent="0.35">
      <c r="A23" s="2">
        <f t="shared" si="1"/>
        <v>16</v>
      </c>
      <c r="B23" s="11" t="str">
        <f t="shared" si="4"/>
        <v>Biofuel-AEC-eff-aec-57</v>
      </c>
      <c r="C23" s="113" t="str">
        <f t="shared" si="5"/>
        <v>eff-aec-57</v>
      </c>
      <c r="D23" t="s">
        <v>185</v>
      </c>
      <c r="E23" s="120" t="s">
        <v>193</v>
      </c>
      <c r="F23" t="s">
        <v>112</v>
      </c>
      <c r="G23" s="14" t="str">
        <f t="shared" si="0"/>
        <v>2030</v>
      </c>
      <c r="H23" s="14" t="s">
        <v>185</v>
      </c>
      <c r="I23" s="14" t="str">
        <f t="shared" si="3"/>
        <v>2018</v>
      </c>
      <c r="J23" s="14" t="s">
        <v>80</v>
      </c>
      <c r="K23" s="14">
        <v>0</v>
      </c>
      <c r="L23" s="14">
        <v>0</v>
      </c>
      <c r="M23" s="14">
        <v>-1</v>
      </c>
      <c r="N23" s="14">
        <v>1</v>
      </c>
      <c r="O23" s="14">
        <v>0</v>
      </c>
      <c r="P23" t="s">
        <v>177</v>
      </c>
      <c r="Q23" t="s">
        <v>178</v>
      </c>
      <c r="R23" s="104" t="s">
        <v>307</v>
      </c>
      <c r="S23" s="18" t="b">
        <v>0</v>
      </c>
      <c r="T23" t="b">
        <v>1</v>
      </c>
      <c r="U23" s="18" t="b">
        <v>0</v>
      </c>
      <c r="V23" t="b">
        <v>0</v>
      </c>
      <c r="W23" t="b">
        <v>1</v>
      </c>
      <c r="X23" t="b">
        <v>0</v>
      </c>
      <c r="Y23" t="b">
        <v>0</v>
      </c>
      <c r="Z23" t="b">
        <v>1</v>
      </c>
      <c r="AA23" t="b">
        <v>1</v>
      </c>
      <c r="AB23" s="19" t="b">
        <v>0</v>
      </c>
      <c r="AC23" t="b">
        <v>1</v>
      </c>
      <c r="AD23" t="b">
        <v>1</v>
      </c>
      <c r="AE23" t="b">
        <v>1</v>
      </c>
    </row>
    <row r="24" spans="1:31" x14ac:dyDescent="0.35">
      <c r="A24" s="2">
        <f t="shared" si="1"/>
        <v>17</v>
      </c>
      <c r="B24" s="11" t="str">
        <f t="shared" ref="B24:B29" si="6">CONCATENATE($B$10,"-",C24)</f>
        <v>MeOH-SOEC-eff-soec-35</v>
      </c>
      <c r="C24" s="114" t="str">
        <f>Scenarios_definition!B16</f>
        <v>eff-soec-35</v>
      </c>
      <c r="D24" t="s">
        <v>185</v>
      </c>
      <c r="E24" s="120" t="s">
        <v>91</v>
      </c>
      <c r="F24" t="s">
        <v>112</v>
      </c>
      <c r="G24" s="14" t="str">
        <f t="shared" si="0"/>
        <v>2030</v>
      </c>
      <c r="H24" s="14" t="s">
        <v>185</v>
      </c>
      <c r="I24" s="14" t="str">
        <f t="shared" si="3"/>
        <v>2018</v>
      </c>
      <c r="J24" s="14" t="s">
        <v>92</v>
      </c>
      <c r="K24" s="14">
        <v>0</v>
      </c>
      <c r="L24" s="14">
        <v>0</v>
      </c>
      <c r="M24" s="14">
        <v>-1</v>
      </c>
      <c r="N24" s="14">
        <v>1</v>
      </c>
      <c r="O24" s="14">
        <v>0</v>
      </c>
      <c r="P24" t="s">
        <v>177</v>
      </c>
      <c r="Q24" t="s">
        <v>178</v>
      </c>
      <c r="R24" s="104" t="s">
        <v>307</v>
      </c>
      <c r="S24" s="18" t="b">
        <v>0</v>
      </c>
      <c r="T24" t="b">
        <v>1</v>
      </c>
      <c r="U24" s="18" t="b">
        <v>0</v>
      </c>
      <c r="V24" t="b">
        <v>0</v>
      </c>
      <c r="W24" t="b">
        <v>1</v>
      </c>
      <c r="X24" t="b">
        <v>0</v>
      </c>
      <c r="Y24" t="b">
        <v>0</v>
      </c>
      <c r="Z24" t="b">
        <v>1</v>
      </c>
      <c r="AA24" t="b">
        <v>1</v>
      </c>
      <c r="AB24" s="19" t="b">
        <v>0</v>
      </c>
      <c r="AC24" t="b">
        <v>1</v>
      </c>
      <c r="AD24" t="b">
        <v>1</v>
      </c>
      <c r="AE24" t="b">
        <v>1</v>
      </c>
    </row>
    <row r="25" spans="1:31" x14ac:dyDescent="0.35">
      <c r="A25" s="2">
        <f t="shared" si="1"/>
        <v>18</v>
      </c>
      <c r="B25" s="11" t="str">
        <f t="shared" si="6"/>
        <v>MeOH-SOEC-eff-soec-37</v>
      </c>
      <c r="C25" s="114" t="str">
        <f>Scenarios_definition!B17</f>
        <v>eff-soec-37</v>
      </c>
      <c r="D25" t="s">
        <v>185</v>
      </c>
      <c r="E25" s="120" t="s">
        <v>91</v>
      </c>
      <c r="F25" t="s">
        <v>112</v>
      </c>
      <c r="G25" s="14" t="str">
        <f t="shared" si="0"/>
        <v>2030</v>
      </c>
      <c r="H25" s="14" t="s">
        <v>185</v>
      </c>
      <c r="I25" s="14" t="str">
        <f t="shared" si="3"/>
        <v>2018</v>
      </c>
      <c r="J25" s="14" t="s">
        <v>92</v>
      </c>
      <c r="K25" s="14">
        <v>0</v>
      </c>
      <c r="L25" s="14">
        <v>0</v>
      </c>
      <c r="M25" s="14">
        <v>-1</v>
      </c>
      <c r="N25" s="14">
        <v>1</v>
      </c>
      <c r="O25" s="14">
        <v>0</v>
      </c>
      <c r="P25" t="s">
        <v>177</v>
      </c>
      <c r="Q25" t="s">
        <v>178</v>
      </c>
      <c r="R25" s="104" t="s">
        <v>307</v>
      </c>
      <c r="S25" s="18" t="b">
        <v>0</v>
      </c>
      <c r="T25" t="b">
        <v>1</v>
      </c>
      <c r="U25" s="18" t="b">
        <v>0</v>
      </c>
      <c r="V25" t="b">
        <v>0</v>
      </c>
      <c r="W25" t="b">
        <v>1</v>
      </c>
      <c r="X25" t="b">
        <v>0</v>
      </c>
      <c r="Y25" t="b">
        <v>0</v>
      </c>
      <c r="Z25" t="b">
        <v>1</v>
      </c>
      <c r="AA25" t="b">
        <v>1</v>
      </c>
      <c r="AB25" s="19" t="b">
        <v>0</v>
      </c>
      <c r="AC25" t="b">
        <v>1</v>
      </c>
      <c r="AD25" t="b">
        <v>1</v>
      </c>
      <c r="AE25" t="b">
        <v>1</v>
      </c>
    </row>
    <row r="26" spans="1:31" x14ac:dyDescent="0.35">
      <c r="A26" s="2">
        <f t="shared" si="1"/>
        <v>19</v>
      </c>
      <c r="B26" s="11" t="str">
        <f t="shared" si="6"/>
        <v>MeOH-SOEC-eff-soec-39</v>
      </c>
      <c r="C26" s="114" t="str">
        <f>Scenarios_definition!B18</f>
        <v>eff-soec-39</v>
      </c>
      <c r="D26" t="s">
        <v>185</v>
      </c>
      <c r="E26" s="120" t="s">
        <v>91</v>
      </c>
      <c r="F26" t="s">
        <v>112</v>
      </c>
      <c r="G26" s="14" t="str">
        <f t="shared" si="0"/>
        <v>2030</v>
      </c>
      <c r="H26" s="14" t="s">
        <v>185</v>
      </c>
      <c r="I26" s="14" t="str">
        <f t="shared" si="3"/>
        <v>2018</v>
      </c>
      <c r="J26" s="14" t="s">
        <v>92</v>
      </c>
      <c r="K26" s="14">
        <v>0</v>
      </c>
      <c r="L26" s="14">
        <v>0</v>
      </c>
      <c r="M26" s="14">
        <v>-1</v>
      </c>
      <c r="N26" s="14">
        <v>1</v>
      </c>
      <c r="O26" s="14">
        <v>0</v>
      </c>
      <c r="P26" t="s">
        <v>177</v>
      </c>
      <c r="Q26" t="s">
        <v>178</v>
      </c>
      <c r="R26" s="104" t="s">
        <v>307</v>
      </c>
      <c r="S26" s="18" t="b">
        <v>0</v>
      </c>
      <c r="T26" t="b">
        <v>1</v>
      </c>
      <c r="U26" s="18" t="b">
        <v>0</v>
      </c>
      <c r="V26" t="b">
        <v>0</v>
      </c>
      <c r="W26" t="b">
        <v>1</v>
      </c>
      <c r="X26" t="b">
        <v>0</v>
      </c>
      <c r="Y26" t="b">
        <v>0</v>
      </c>
      <c r="Z26" t="b">
        <v>1</v>
      </c>
      <c r="AA26" t="b">
        <v>1</v>
      </c>
      <c r="AB26" s="19" t="b">
        <v>0</v>
      </c>
      <c r="AC26" t="b">
        <v>1</v>
      </c>
      <c r="AD26" t="b">
        <v>1</v>
      </c>
      <c r="AE26" t="b">
        <v>1</v>
      </c>
    </row>
    <row r="27" spans="1:31" x14ac:dyDescent="0.35">
      <c r="A27" s="2">
        <f t="shared" si="1"/>
        <v>20</v>
      </c>
      <c r="B27" s="11" t="str">
        <f t="shared" si="6"/>
        <v>MeOH-SOEC-eff-soec-43</v>
      </c>
      <c r="C27" s="114" t="str">
        <f>Scenarios_definition!B19</f>
        <v>eff-soec-43</v>
      </c>
      <c r="D27" t="s">
        <v>185</v>
      </c>
      <c r="E27" s="120" t="s">
        <v>91</v>
      </c>
      <c r="F27" t="s">
        <v>112</v>
      </c>
      <c r="G27" s="14" t="str">
        <f t="shared" si="0"/>
        <v>2030</v>
      </c>
      <c r="H27" s="14" t="s">
        <v>185</v>
      </c>
      <c r="I27" s="14" t="str">
        <f t="shared" si="3"/>
        <v>2018</v>
      </c>
      <c r="J27" s="14" t="s">
        <v>92</v>
      </c>
      <c r="K27" s="14">
        <v>0</v>
      </c>
      <c r="L27" s="14">
        <v>0</v>
      </c>
      <c r="M27" s="14">
        <v>-1</v>
      </c>
      <c r="N27" s="14">
        <v>1</v>
      </c>
      <c r="O27" s="14">
        <v>0</v>
      </c>
      <c r="P27" t="s">
        <v>177</v>
      </c>
      <c r="Q27" t="s">
        <v>178</v>
      </c>
      <c r="R27" s="104" t="s">
        <v>307</v>
      </c>
      <c r="S27" s="18" t="b">
        <v>0</v>
      </c>
      <c r="T27" t="b">
        <v>1</v>
      </c>
      <c r="U27" s="18" t="b">
        <v>0</v>
      </c>
      <c r="V27" t="b">
        <v>0</v>
      </c>
      <c r="W27" t="b">
        <v>1</v>
      </c>
      <c r="X27" t="b">
        <v>0</v>
      </c>
      <c r="Y27" t="b">
        <v>0</v>
      </c>
      <c r="Z27" t="b">
        <v>1</v>
      </c>
      <c r="AA27" t="b">
        <v>1</v>
      </c>
      <c r="AB27" s="19" t="b">
        <v>0</v>
      </c>
      <c r="AC27" t="b">
        <v>1</v>
      </c>
      <c r="AD27" t="b">
        <v>1</v>
      </c>
      <c r="AE27" t="b">
        <v>1</v>
      </c>
    </row>
    <row r="28" spans="1:31" x14ac:dyDescent="0.35">
      <c r="A28" s="2">
        <f t="shared" si="1"/>
        <v>21</v>
      </c>
      <c r="B28" s="11" t="str">
        <f t="shared" si="6"/>
        <v>MeOH-SOEC-eff-soec-45</v>
      </c>
      <c r="C28" s="114" t="str">
        <f>Scenarios_definition!B20</f>
        <v>eff-soec-45</v>
      </c>
      <c r="D28" t="s">
        <v>185</v>
      </c>
      <c r="E28" s="120" t="s">
        <v>91</v>
      </c>
      <c r="F28" t="s">
        <v>112</v>
      </c>
      <c r="G28" s="14" t="str">
        <f t="shared" si="0"/>
        <v>2030</v>
      </c>
      <c r="H28" s="14" t="s">
        <v>185</v>
      </c>
      <c r="I28" s="14" t="str">
        <f t="shared" si="3"/>
        <v>2018</v>
      </c>
      <c r="J28" s="14" t="s">
        <v>92</v>
      </c>
      <c r="K28" s="14">
        <v>0</v>
      </c>
      <c r="L28" s="14">
        <v>0</v>
      </c>
      <c r="M28" s="14">
        <v>-1</v>
      </c>
      <c r="N28" s="14">
        <v>1</v>
      </c>
      <c r="O28" s="14">
        <v>0</v>
      </c>
      <c r="P28" t="s">
        <v>177</v>
      </c>
      <c r="Q28" t="s">
        <v>178</v>
      </c>
      <c r="R28" s="104" t="s">
        <v>307</v>
      </c>
      <c r="S28" s="18" t="b">
        <v>0</v>
      </c>
      <c r="T28" t="b">
        <v>1</v>
      </c>
      <c r="U28" s="18" t="b">
        <v>0</v>
      </c>
      <c r="V28" t="b">
        <v>0</v>
      </c>
      <c r="W28" t="b">
        <v>1</v>
      </c>
      <c r="X28" t="b">
        <v>0</v>
      </c>
      <c r="Y28" t="b">
        <v>0</v>
      </c>
      <c r="Z28" t="b">
        <v>1</v>
      </c>
      <c r="AA28" t="b">
        <v>1</v>
      </c>
      <c r="AB28" s="19" t="b">
        <v>0</v>
      </c>
      <c r="AC28" t="b">
        <v>1</v>
      </c>
      <c r="AD28" t="b">
        <v>1</v>
      </c>
      <c r="AE28" t="b">
        <v>1</v>
      </c>
    </row>
    <row r="29" spans="1:31" x14ac:dyDescent="0.35">
      <c r="A29" s="2">
        <f t="shared" si="1"/>
        <v>22</v>
      </c>
      <c r="B29" s="11" t="str">
        <f t="shared" si="6"/>
        <v>MeOH-SOEC-eff-soec-49</v>
      </c>
      <c r="C29" s="114" t="str">
        <f>Scenarios_definition!B21</f>
        <v>eff-soec-49</v>
      </c>
      <c r="D29" t="s">
        <v>185</v>
      </c>
      <c r="E29" s="120" t="s">
        <v>91</v>
      </c>
      <c r="F29" t="s">
        <v>112</v>
      </c>
      <c r="G29" s="14" t="str">
        <f t="shared" si="0"/>
        <v>2030</v>
      </c>
      <c r="H29" s="14" t="s">
        <v>185</v>
      </c>
      <c r="I29" s="14" t="str">
        <f t="shared" si="3"/>
        <v>2018</v>
      </c>
      <c r="J29" s="14" t="s">
        <v>92</v>
      </c>
      <c r="K29" s="14">
        <v>0</v>
      </c>
      <c r="L29" s="14">
        <v>0</v>
      </c>
      <c r="M29" s="14">
        <v>-1</v>
      </c>
      <c r="N29" s="14">
        <v>1</v>
      </c>
      <c r="O29" s="14">
        <v>0</v>
      </c>
      <c r="P29" t="s">
        <v>177</v>
      </c>
      <c r="Q29" t="s">
        <v>178</v>
      </c>
      <c r="R29" s="104" t="s">
        <v>307</v>
      </c>
      <c r="S29" s="18" t="b">
        <v>0</v>
      </c>
      <c r="T29" t="b">
        <v>1</v>
      </c>
      <c r="U29" s="18" t="b">
        <v>0</v>
      </c>
      <c r="V29" t="b">
        <v>0</v>
      </c>
      <c r="W29" t="b">
        <v>1</v>
      </c>
      <c r="X29" t="b">
        <v>0</v>
      </c>
      <c r="Y29" t="b">
        <v>0</v>
      </c>
      <c r="Z29" t="b">
        <v>1</v>
      </c>
      <c r="AA29" t="b">
        <v>1</v>
      </c>
      <c r="AB29" s="19" t="b">
        <v>0</v>
      </c>
      <c r="AC29" t="b">
        <v>1</v>
      </c>
      <c r="AD29" t="b">
        <v>1</v>
      </c>
      <c r="AE29" t="b">
        <v>1</v>
      </c>
    </row>
    <row r="30" spans="1:31" x14ac:dyDescent="0.35">
      <c r="A30" s="2">
        <f t="shared" si="1"/>
        <v>23</v>
      </c>
      <c r="B30" s="11" t="str">
        <f t="shared" ref="B30:B35" si="7">CONCATENATE($B$11,"-",C30)</f>
        <v>Biofuel-SOEC-eff-soec-35</v>
      </c>
      <c r="C30" s="114" t="str">
        <f t="shared" ref="C30:C35" si="8">C24</f>
        <v>eff-soec-35</v>
      </c>
      <c r="D30" t="s">
        <v>185</v>
      </c>
      <c r="E30" s="120" t="s">
        <v>193</v>
      </c>
      <c r="F30" t="s">
        <v>112</v>
      </c>
      <c r="G30" s="14" t="str">
        <f t="shared" si="0"/>
        <v>2030</v>
      </c>
      <c r="H30" s="14" t="s">
        <v>185</v>
      </c>
      <c r="I30" s="14" t="str">
        <f t="shared" si="3"/>
        <v>2018</v>
      </c>
      <c r="J30" s="14" t="s">
        <v>92</v>
      </c>
      <c r="K30" s="14">
        <v>0</v>
      </c>
      <c r="L30" s="14">
        <v>0</v>
      </c>
      <c r="M30" s="14">
        <v>-1</v>
      </c>
      <c r="N30" s="14">
        <v>1</v>
      </c>
      <c r="O30" s="14">
        <v>0</v>
      </c>
      <c r="P30" t="s">
        <v>177</v>
      </c>
      <c r="Q30" t="s">
        <v>178</v>
      </c>
      <c r="R30" s="104" t="s">
        <v>307</v>
      </c>
      <c r="S30" s="18" t="b">
        <v>0</v>
      </c>
      <c r="T30" t="b">
        <v>1</v>
      </c>
      <c r="U30" s="18" t="b">
        <v>0</v>
      </c>
      <c r="V30" t="b">
        <v>0</v>
      </c>
      <c r="W30" t="b">
        <v>1</v>
      </c>
      <c r="X30" t="b">
        <v>0</v>
      </c>
      <c r="Y30" t="b">
        <v>0</v>
      </c>
      <c r="Z30" t="b">
        <v>1</v>
      </c>
      <c r="AA30" t="b">
        <v>1</v>
      </c>
      <c r="AB30" s="19" t="b">
        <v>0</v>
      </c>
      <c r="AC30" t="b">
        <v>1</v>
      </c>
      <c r="AD30" t="b">
        <v>1</v>
      </c>
      <c r="AE30" t="b">
        <v>1</v>
      </c>
    </row>
    <row r="31" spans="1:31" x14ac:dyDescent="0.35">
      <c r="A31" s="2">
        <f t="shared" si="1"/>
        <v>24</v>
      </c>
      <c r="B31" s="11" t="str">
        <f t="shared" si="7"/>
        <v>Biofuel-SOEC-eff-soec-37</v>
      </c>
      <c r="C31" s="114" t="str">
        <f t="shared" si="8"/>
        <v>eff-soec-37</v>
      </c>
      <c r="D31" t="s">
        <v>185</v>
      </c>
      <c r="E31" s="120" t="s">
        <v>193</v>
      </c>
      <c r="F31" t="s">
        <v>112</v>
      </c>
      <c r="G31" s="14" t="str">
        <f t="shared" si="0"/>
        <v>2030</v>
      </c>
      <c r="H31" s="14" t="s">
        <v>185</v>
      </c>
      <c r="I31" s="14" t="str">
        <f t="shared" si="3"/>
        <v>2018</v>
      </c>
      <c r="J31" s="14" t="s">
        <v>92</v>
      </c>
      <c r="K31" s="14">
        <v>0</v>
      </c>
      <c r="L31" s="14">
        <v>0</v>
      </c>
      <c r="M31" s="14">
        <v>-1</v>
      </c>
      <c r="N31" s="14">
        <v>1</v>
      </c>
      <c r="O31" s="14">
        <v>0</v>
      </c>
      <c r="P31" t="s">
        <v>177</v>
      </c>
      <c r="Q31" t="s">
        <v>178</v>
      </c>
      <c r="R31" s="104" t="s">
        <v>307</v>
      </c>
      <c r="S31" s="18" t="b">
        <v>0</v>
      </c>
      <c r="T31" t="b">
        <v>1</v>
      </c>
      <c r="U31" s="18" t="b">
        <v>0</v>
      </c>
      <c r="V31" t="b">
        <v>0</v>
      </c>
      <c r="W31" t="b">
        <v>1</v>
      </c>
      <c r="X31" t="b">
        <v>0</v>
      </c>
      <c r="Y31" t="b">
        <v>0</v>
      </c>
      <c r="Z31" t="b">
        <v>1</v>
      </c>
      <c r="AA31" t="b">
        <v>1</v>
      </c>
      <c r="AB31" s="19" t="b">
        <v>0</v>
      </c>
      <c r="AC31" t="b">
        <v>1</v>
      </c>
      <c r="AD31" t="b">
        <v>1</v>
      </c>
      <c r="AE31" t="b">
        <v>1</v>
      </c>
    </row>
    <row r="32" spans="1:31" x14ac:dyDescent="0.35">
      <c r="A32" s="2">
        <f t="shared" si="1"/>
        <v>25</v>
      </c>
      <c r="B32" s="11" t="str">
        <f t="shared" si="7"/>
        <v>Biofuel-SOEC-eff-soec-39</v>
      </c>
      <c r="C32" s="114" t="str">
        <f t="shared" si="8"/>
        <v>eff-soec-39</v>
      </c>
      <c r="D32" t="s">
        <v>185</v>
      </c>
      <c r="E32" s="120" t="s">
        <v>193</v>
      </c>
      <c r="F32" t="s">
        <v>112</v>
      </c>
      <c r="G32" s="14" t="str">
        <f t="shared" si="0"/>
        <v>2030</v>
      </c>
      <c r="H32" s="14" t="s">
        <v>185</v>
      </c>
      <c r="I32" s="14" t="str">
        <f t="shared" si="3"/>
        <v>2018</v>
      </c>
      <c r="J32" s="14" t="s">
        <v>92</v>
      </c>
      <c r="K32" s="14">
        <v>0</v>
      </c>
      <c r="L32" s="14">
        <v>0</v>
      </c>
      <c r="M32" s="14">
        <v>-1</v>
      </c>
      <c r="N32" s="14">
        <v>1</v>
      </c>
      <c r="O32" s="14">
        <v>0</v>
      </c>
      <c r="P32" t="s">
        <v>177</v>
      </c>
      <c r="Q32" t="s">
        <v>178</v>
      </c>
      <c r="R32" s="104" t="s">
        <v>307</v>
      </c>
      <c r="S32" s="18" t="b">
        <v>0</v>
      </c>
      <c r="T32" t="b">
        <v>1</v>
      </c>
      <c r="U32" s="18" t="b">
        <v>0</v>
      </c>
      <c r="V32" t="b">
        <v>0</v>
      </c>
      <c r="W32" t="b">
        <v>1</v>
      </c>
      <c r="X32" t="b">
        <v>0</v>
      </c>
      <c r="Y32" t="b">
        <v>0</v>
      </c>
      <c r="Z32" t="b">
        <v>1</v>
      </c>
      <c r="AA32" t="b">
        <v>1</v>
      </c>
      <c r="AB32" s="19" t="b">
        <v>0</v>
      </c>
      <c r="AC32" t="b">
        <v>1</v>
      </c>
      <c r="AD32" t="b">
        <v>1</v>
      </c>
      <c r="AE32" t="b">
        <v>1</v>
      </c>
    </row>
    <row r="33" spans="1:31" x14ac:dyDescent="0.35">
      <c r="A33" s="2">
        <f t="shared" si="1"/>
        <v>26</v>
      </c>
      <c r="B33" s="11" t="str">
        <f t="shared" si="7"/>
        <v>Biofuel-SOEC-eff-soec-43</v>
      </c>
      <c r="C33" s="114" t="str">
        <f t="shared" si="8"/>
        <v>eff-soec-43</v>
      </c>
      <c r="D33" t="s">
        <v>185</v>
      </c>
      <c r="E33" s="120" t="s">
        <v>193</v>
      </c>
      <c r="F33" t="s">
        <v>112</v>
      </c>
      <c r="G33" s="14" t="str">
        <f t="shared" si="0"/>
        <v>2030</v>
      </c>
      <c r="H33" s="14" t="s">
        <v>185</v>
      </c>
      <c r="I33" s="14" t="str">
        <f t="shared" si="3"/>
        <v>2018</v>
      </c>
      <c r="J33" s="14" t="s">
        <v>92</v>
      </c>
      <c r="K33" s="14">
        <v>0</v>
      </c>
      <c r="L33" s="14">
        <v>0</v>
      </c>
      <c r="M33" s="14">
        <v>-1</v>
      </c>
      <c r="N33" s="14">
        <v>1</v>
      </c>
      <c r="O33" s="14">
        <v>0</v>
      </c>
      <c r="P33" t="s">
        <v>177</v>
      </c>
      <c r="Q33" t="s">
        <v>178</v>
      </c>
      <c r="R33" s="104" t="s">
        <v>307</v>
      </c>
      <c r="S33" s="18" t="b">
        <v>0</v>
      </c>
      <c r="T33" t="b">
        <v>1</v>
      </c>
      <c r="U33" s="18" t="b">
        <v>0</v>
      </c>
      <c r="V33" t="b">
        <v>0</v>
      </c>
      <c r="W33" t="b">
        <v>1</v>
      </c>
      <c r="X33" t="b">
        <v>0</v>
      </c>
      <c r="Y33" t="b">
        <v>0</v>
      </c>
      <c r="Z33" t="b">
        <v>1</v>
      </c>
      <c r="AA33" t="b">
        <v>1</v>
      </c>
      <c r="AB33" s="19" t="b">
        <v>0</v>
      </c>
      <c r="AC33" t="b">
        <v>1</v>
      </c>
      <c r="AD33" t="b">
        <v>1</v>
      </c>
      <c r="AE33" t="b">
        <v>1</v>
      </c>
    </row>
    <row r="34" spans="1:31" x14ac:dyDescent="0.35">
      <c r="A34" s="2">
        <f t="shared" si="1"/>
        <v>27</v>
      </c>
      <c r="B34" s="11" t="str">
        <f t="shared" si="7"/>
        <v>Biofuel-SOEC-eff-soec-45</v>
      </c>
      <c r="C34" s="114" t="str">
        <f t="shared" si="8"/>
        <v>eff-soec-45</v>
      </c>
      <c r="D34" t="s">
        <v>185</v>
      </c>
      <c r="E34" s="120" t="s">
        <v>193</v>
      </c>
      <c r="F34" t="s">
        <v>112</v>
      </c>
      <c r="G34" s="14" t="str">
        <f t="shared" si="0"/>
        <v>2030</v>
      </c>
      <c r="H34" s="14" t="s">
        <v>185</v>
      </c>
      <c r="I34" s="14" t="str">
        <f t="shared" si="3"/>
        <v>2018</v>
      </c>
      <c r="J34" s="14" t="s">
        <v>92</v>
      </c>
      <c r="K34" s="14">
        <v>0</v>
      </c>
      <c r="L34" s="14">
        <v>0</v>
      </c>
      <c r="M34" s="14">
        <v>-1</v>
      </c>
      <c r="N34" s="14">
        <v>1</v>
      </c>
      <c r="O34" s="14">
        <v>0</v>
      </c>
      <c r="P34" t="s">
        <v>177</v>
      </c>
      <c r="Q34" t="s">
        <v>178</v>
      </c>
      <c r="R34" s="104" t="s">
        <v>307</v>
      </c>
      <c r="S34" s="18" t="b">
        <v>0</v>
      </c>
      <c r="T34" t="b">
        <v>1</v>
      </c>
      <c r="U34" s="18" t="b">
        <v>0</v>
      </c>
      <c r="V34" t="b">
        <v>0</v>
      </c>
      <c r="W34" t="b">
        <v>1</v>
      </c>
      <c r="X34" t="b">
        <v>0</v>
      </c>
      <c r="Y34" t="b">
        <v>0</v>
      </c>
      <c r="Z34" t="b">
        <v>1</v>
      </c>
      <c r="AA34" t="b">
        <v>1</v>
      </c>
      <c r="AB34" s="19" t="b">
        <v>0</v>
      </c>
      <c r="AC34" t="b">
        <v>1</v>
      </c>
      <c r="AD34" t="b">
        <v>1</v>
      </c>
      <c r="AE34" t="b">
        <v>1</v>
      </c>
    </row>
    <row r="35" spans="1:31" x14ac:dyDescent="0.35">
      <c r="A35" s="2">
        <f t="shared" si="1"/>
        <v>28</v>
      </c>
      <c r="B35" s="11" t="str">
        <f t="shared" si="7"/>
        <v>Biofuel-SOEC-eff-soec-49</v>
      </c>
      <c r="C35" s="114" t="str">
        <f t="shared" si="8"/>
        <v>eff-soec-49</v>
      </c>
      <c r="D35" t="s">
        <v>185</v>
      </c>
      <c r="E35" s="120" t="s">
        <v>193</v>
      </c>
      <c r="F35" t="s">
        <v>112</v>
      </c>
      <c r="G35" s="14" t="str">
        <f t="shared" si="0"/>
        <v>2030</v>
      </c>
      <c r="H35" s="14" t="s">
        <v>185</v>
      </c>
      <c r="I35" s="14" t="str">
        <f t="shared" si="3"/>
        <v>2018</v>
      </c>
      <c r="J35" s="14" t="s">
        <v>92</v>
      </c>
      <c r="K35" s="14">
        <v>0</v>
      </c>
      <c r="L35" s="14">
        <v>0</v>
      </c>
      <c r="M35" s="14">
        <v>-1</v>
      </c>
      <c r="N35" s="14">
        <v>1</v>
      </c>
      <c r="O35" s="14">
        <v>0</v>
      </c>
      <c r="P35" t="s">
        <v>177</v>
      </c>
      <c r="Q35" t="s">
        <v>178</v>
      </c>
      <c r="R35" s="104" t="s">
        <v>307</v>
      </c>
      <c r="S35" s="18" t="b">
        <v>0</v>
      </c>
      <c r="T35" t="b">
        <v>1</v>
      </c>
      <c r="U35" s="18" t="b">
        <v>0</v>
      </c>
      <c r="V35" t="b">
        <v>0</v>
      </c>
      <c r="W35" t="b">
        <v>1</v>
      </c>
      <c r="X35" t="b">
        <v>0</v>
      </c>
      <c r="Y35" t="b">
        <v>0</v>
      </c>
      <c r="Z35" t="b">
        <v>1</v>
      </c>
      <c r="AA35" t="b">
        <v>1</v>
      </c>
      <c r="AB35" s="19" t="b">
        <v>0</v>
      </c>
      <c r="AC35" t="b">
        <v>1</v>
      </c>
      <c r="AD35" t="b">
        <v>1</v>
      </c>
      <c r="AE35" t="b">
        <v>1</v>
      </c>
    </row>
    <row r="36" spans="1:31" x14ac:dyDescent="0.35">
      <c r="A36" s="2">
        <f t="shared" si="1"/>
        <v>29</v>
      </c>
      <c r="B36" s="11" t="str">
        <f t="shared" ref="B36:B41" si="9">CONCATENATE($B$8,"-",C36)</f>
        <v>MeOH-AEC-cost-aec-945</v>
      </c>
      <c r="C36" s="115" t="str">
        <f>Scenarios_definition!B22</f>
        <v>cost-aec-945</v>
      </c>
      <c r="D36" t="s">
        <v>185</v>
      </c>
      <c r="E36" s="120" t="s">
        <v>91</v>
      </c>
      <c r="F36" t="s">
        <v>112</v>
      </c>
      <c r="G36" s="14" t="str">
        <f t="shared" si="0"/>
        <v>2030</v>
      </c>
      <c r="H36" s="14" t="s">
        <v>185</v>
      </c>
      <c r="I36" s="14" t="str">
        <f t="shared" si="3"/>
        <v>2018</v>
      </c>
      <c r="J36" s="14" t="s">
        <v>80</v>
      </c>
      <c r="K36" s="14">
        <v>0</v>
      </c>
      <c r="L36" s="14">
        <v>0</v>
      </c>
      <c r="M36" s="14">
        <v>-1</v>
      </c>
      <c r="N36" s="14">
        <v>1</v>
      </c>
      <c r="O36" s="14">
        <v>0</v>
      </c>
      <c r="P36" t="s">
        <v>177</v>
      </c>
      <c r="Q36" t="s">
        <v>178</v>
      </c>
      <c r="R36" s="104" t="s">
        <v>307</v>
      </c>
      <c r="S36" s="18" t="b">
        <v>0</v>
      </c>
      <c r="T36" t="b">
        <v>1</v>
      </c>
      <c r="U36" s="18" t="b">
        <v>0</v>
      </c>
      <c r="V36" t="b">
        <v>0</v>
      </c>
      <c r="W36" t="b">
        <v>1</v>
      </c>
      <c r="X36" t="b">
        <v>0</v>
      </c>
      <c r="Y36" t="b">
        <v>0</v>
      </c>
      <c r="Z36" t="b">
        <v>1</v>
      </c>
      <c r="AA36" t="b">
        <v>1</v>
      </c>
      <c r="AB36" s="19" t="b">
        <v>0</v>
      </c>
      <c r="AC36" t="b">
        <v>1</v>
      </c>
      <c r="AD36" t="b">
        <v>1</v>
      </c>
      <c r="AE36" t="b">
        <v>1</v>
      </c>
    </row>
    <row r="37" spans="1:31" x14ac:dyDescent="0.35">
      <c r="A37" s="2">
        <f t="shared" si="1"/>
        <v>30</v>
      </c>
      <c r="B37" s="11" t="str">
        <f t="shared" si="9"/>
        <v>MeOH-AEC-cost-aec-1033</v>
      </c>
      <c r="C37" s="115" t="str">
        <f>Scenarios_definition!B24</f>
        <v>cost-aec-1033</v>
      </c>
      <c r="D37" t="s">
        <v>185</v>
      </c>
      <c r="E37" s="120" t="s">
        <v>91</v>
      </c>
      <c r="F37" t="s">
        <v>112</v>
      </c>
      <c r="G37" s="14" t="str">
        <f t="shared" si="0"/>
        <v>2030</v>
      </c>
      <c r="H37" s="14" t="s">
        <v>185</v>
      </c>
      <c r="I37" s="14" t="str">
        <f t="shared" si="3"/>
        <v>2018</v>
      </c>
      <c r="J37" s="14" t="s">
        <v>80</v>
      </c>
      <c r="K37" s="14">
        <v>0</v>
      </c>
      <c r="L37" s="14">
        <v>0</v>
      </c>
      <c r="M37" s="14">
        <v>-1</v>
      </c>
      <c r="N37" s="14">
        <v>1</v>
      </c>
      <c r="O37" s="14">
        <v>0</v>
      </c>
      <c r="P37" t="s">
        <v>177</v>
      </c>
      <c r="Q37" t="s">
        <v>178</v>
      </c>
      <c r="R37" s="104" t="s">
        <v>307</v>
      </c>
      <c r="S37" s="18" t="b">
        <v>0</v>
      </c>
      <c r="T37" t="b">
        <v>1</v>
      </c>
      <c r="U37" s="18" t="b">
        <v>0</v>
      </c>
      <c r="V37" t="b">
        <v>0</v>
      </c>
      <c r="W37" t="b">
        <v>1</v>
      </c>
      <c r="X37" t="b">
        <v>0</v>
      </c>
      <c r="Y37" t="b">
        <v>0</v>
      </c>
      <c r="Z37" t="b">
        <v>1</v>
      </c>
      <c r="AA37" t="b">
        <v>1</v>
      </c>
      <c r="AB37" s="19" t="b">
        <v>0</v>
      </c>
      <c r="AC37" t="b">
        <v>1</v>
      </c>
      <c r="AD37" t="b">
        <v>1</v>
      </c>
      <c r="AE37" t="b">
        <v>1</v>
      </c>
    </row>
    <row r="38" spans="1:31" x14ac:dyDescent="0.35">
      <c r="A38" s="2">
        <f t="shared" si="1"/>
        <v>31</v>
      </c>
      <c r="B38" s="11" t="str">
        <f t="shared" si="9"/>
        <v>MeOH-AEC-cost-aec-1120</v>
      </c>
      <c r="C38" s="115" t="str">
        <f>Scenarios_definition!B26</f>
        <v>cost-aec-1120</v>
      </c>
      <c r="D38" t="s">
        <v>185</v>
      </c>
      <c r="E38" s="120" t="s">
        <v>91</v>
      </c>
      <c r="F38" t="s">
        <v>112</v>
      </c>
      <c r="G38" s="14" t="str">
        <f t="shared" si="0"/>
        <v>2030</v>
      </c>
      <c r="H38" s="14" t="s">
        <v>185</v>
      </c>
      <c r="I38" s="14" t="str">
        <f t="shared" si="3"/>
        <v>2018</v>
      </c>
      <c r="J38" s="14" t="s">
        <v>80</v>
      </c>
      <c r="K38" s="14">
        <v>0</v>
      </c>
      <c r="L38" s="14">
        <v>0</v>
      </c>
      <c r="M38" s="14">
        <v>-1</v>
      </c>
      <c r="N38" s="14">
        <v>1</v>
      </c>
      <c r="O38" s="14">
        <v>0</v>
      </c>
      <c r="P38" t="s">
        <v>177</v>
      </c>
      <c r="Q38" t="s">
        <v>178</v>
      </c>
      <c r="R38" s="104" t="s">
        <v>307</v>
      </c>
      <c r="S38" s="18" t="b">
        <v>0</v>
      </c>
      <c r="T38" t="b">
        <v>1</v>
      </c>
      <c r="U38" s="18" t="b">
        <v>0</v>
      </c>
      <c r="V38" t="b">
        <v>0</v>
      </c>
      <c r="W38" t="b">
        <v>1</v>
      </c>
      <c r="X38" t="b">
        <v>0</v>
      </c>
      <c r="Y38" t="b">
        <v>0</v>
      </c>
      <c r="Z38" t="b">
        <v>1</v>
      </c>
      <c r="AA38" t="b">
        <v>1</v>
      </c>
      <c r="AB38" s="19" t="b">
        <v>0</v>
      </c>
      <c r="AC38" t="b">
        <v>1</v>
      </c>
      <c r="AD38" t="b">
        <v>1</v>
      </c>
      <c r="AE38" t="b">
        <v>1</v>
      </c>
    </row>
    <row r="39" spans="1:31" x14ac:dyDescent="0.35">
      <c r="A39" s="2">
        <f t="shared" si="1"/>
        <v>32</v>
      </c>
      <c r="B39" s="11" t="str">
        <f t="shared" si="9"/>
        <v>MeOH-AEC-cost-aec-1208</v>
      </c>
      <c r="C39" s="115" t="str">
        <f>Scenarios_definition!B28</f>
        <v>cost-aec-1208</v>
      </c>
      <c r="D39" t="s">
        <v>185</v>
      </c>
      <c r="E39" s="120" t="s">
        <v>91</v>
      </c>
      <c r="F39" t="s">
        <v>112</v>
      </c>
      <c r="G39" s="14" t="str">
        <f t="shared" si="0"/>
        <v>2030</v>
      </c>
      <c r="H39" s="14" t="s">
        <v>185</v>
      </c>
      <c r="I39" s="14" t="str">
        <f t="shared" si="3"/>
        <v>2018</v>
      </c>
      <c r="J39" s="14" t="s">
        <v>80</v>
      </c>
      <c r="K39" s="14">
        <v>0</v>
      </c>
      <c r="L39" s="14">
        <v>0</v>
      </c>
      <c r="M39" s="14">
        <v>-1</v>
      </c>
      <c r="N39" s="14">
        <v>1</v>
      </c>
      <c r="O39" s="14">
        <v>0</v>
      </c>
      <c r="P39" t="s">
        <v>177</v>
      </c>
      <c r="Q39" t="s">
        <v>178</v>
      </c>
      <c r="R39" s="104" t="s">
        <v>307</v>
      </c>
      <c r="S39" s="18" t="b">
        <v>0</v>
      </c>
      <c r="T39" t="b">
        <v>1</v>
      </c>
      <c r="U39" s="18" t="b">
        <v>0</v>
      </c>
      <c r="V39" t="b">
        <v>0</v>
      </c>
      <c r="W39" t="b">
        <v>1</v>
      </c>
      <c r="X39" t="b">
        <v>0</v>
      </c>
      <c r="Y39" t="b">
        <v>0</v>
      </c>
      <c r="Z39" t="b">
        <v>1</v>
      </c>
      <c r="AA39" t="b">
        <v>1</v>
      </c>
      <c r="AB39" s="19" t="b">
        <v>0</v>
      </c>
      <c r="AC39" t="b">
        <v>1</v>
      </c>
      <c r="AD39" t="b">
        <v>1</v>
      </c>
      <c r="AE39" t="b">
        <v>1</v>
      </c>
    </row>
    <row r="40" spans="1:31" x14ac:dyDescent="0.35">
      <c r="A40" s="2">
        <f t="shared" si="1"/>
        <v>33</v>
      </c>
      <c r="B40" s="11" t="str">
        <f t="shared" si="9"/>
        <v>MeOH-AEC-cost-aec-1295</v>
      </c>
      <c r="C40" s="115" t="str">
        <f>Scenarios_definition!B30</f>
        <v>cost-aec-1295</v>
      </c>
      <c r="D40" t="s">
        <v>185</v>
      </c>
      <c r="E40" s="120" t="s">
        <v>91</v>
      </c>
      <c r="F40" t="s">
        <v>112</v>
      </c>
      <c r="G40" s="14" t="str">
        <f t="shared" si="0"/>
        <v>2030</v>
      </c>
      <c r="H40" s="14" t="s">
        <v>185</v>
      </c>
      <c r="I40" s="14" t="str">
        <f t="shared" si="3"/>
        <v>2018</v>
      </c>
      <c r="J40" s="14" t="s">
        <v>80</v>
      </c>
      <c r="K40" s="14">
        <v>0</v>
      </c>
      <c r="L40" s="14">
        <v>0</v>
      </c>
      <c r="M40" s="14">
        <v>-1</v>
      </c>
      <c r="N40" s="14">
        <v>1</v>
      </c>
      <c r="O40" s="14">
        <v>0</v>
      </c>
      <c r="P40" t="s">
        <v>177</v>
      </c>
      <c r="Q40" t="s">
        <v>178</v>
      </c>
      <c r="R40" s="104" t="s">
        <v>307</v>
      </c>
      <c r="S40" s="18" t="b">
        <v>0</v>
      </c>
      <c r="T40" t="b">
        <v>1</v>
      </c>
      <c r="U40" s="18" t="b">
        <v>0</v>
      </c>
      <c r="V40" t="b">
        <v>0</v>
      </c>
      <c r="W40" t="b">
        <v>1</v>
      </c>
      <c r="X40" t="b">
        <v>0</v>
      </c>
      <c r="Y40" t="b">
        <v>0</v>
      </c>
      <c r="Z40" t="b">
        <v>1</v>
      </c>
      <c r="AA40" t="b">
        <v>1</v>
      </c>
      <c r="AB40" s="19" t="b">
        <v>0</v>
      </c>
      <c r="AC40" t="b">
        <v>1</v>
      </c>
      <c r="AD40" t="b">
        <v>1</v>
      </c>
      <c r="AE40" t="b">
        <v>1</v>
      </c>
    </row>
    <row r="41" spans="1:31" x14ac:dyDescent="0.35">
      <c r="A41" s="2">
        <f t="shared" si="1"/>
        <v>34</v>
      </c>
      <c r="B41" s="11" t="str">
        <f t="shared" si="9"/>
        <v>MeOH-AEC-cost-aec-1382</v>
      </c>
      <c r="C41" s="115" t="str">
        <f>Scenarios_definition!B32</f>
        <v>cost-aec-1382</v>
      </c>
      <c r="D41" t="s">
        <v>185</v>
      </c>
      <c r="E41" s="120" t="s">
        <v>91</v>
      </c>
      <c r="F41" t="s">
        <v>112</v>
      </c>
      <c r="G41" s="14" t="str">
        <f t="shared" si="0"/>
        <v>2030</v>
      </c>
      <c r="H41" s="14" t="s">
        <v>185</v>
      </c>
      <c r="I41" s="14" t="str">
        <f t="shared" si="3"/>
        <v>2018</v>
      </c>
      <c r="J41" s="14" t="s">
        <v>80</v>
      </c>
      <c r="K41" s="14">
        <v>0</v>
      </c>
      <c r="L41" s="14">
        <v>0</v>
      </c>
      <c r="M41" s="14">
        <v>-1</v>
      </c>
      <c r="N41" s="14">
        <v>1</v>
      </c>
      <c r="O41" s="14">
        <v>0</v>
      </c>
      <c r="P41" t="s">
        <v>177</v>
      </c>
      <c r="Q41" t="s">
        <v>178</v>
      </c>
      <c r="R41" s="104" t="s">
        <v>307</v>
      </c>
      <c r="S41" s="18" t="b">
        <v>0</v>
      </c>
      <c r="T41" t="b">
        <v>1</v>
      </c>
      <c r="U41" s="18" t="b">
        <v>0</v>
      </c>
      <c r="V41" t="b">
        <v>0</v>
      </c>
      <c r="W41" t="b">
        <v>1</v>
      </c>
      <c r="X41" t="b">
        <v>0</v>
      </c>
      <c r="Y41" t="b">
        <v>0</v>
      </c>
      <c r="Z41" t="b">
        <v>1</v>
      </c>
      <c r="AA41" t="b">
        <v>1</v>
      </c>
      <c r="AB41" s="19" t="b">
        <v>0</v>
      </c>
      <c r="AC41" t="b">
        <v>1</v>
      </c>
      <c r="AD41" t="b">
        <v>1</v>
      </c>
      <c r="AE41" t="b">
        <v>1</v>
      </c>
    </row>
    <row r="42" spans="1:31" x14ac:dyDescent="0.35">
      <c r="A42" s="2">
        <f t="shared" si="1"/>
        <v>35</v>
      </c>
      <c r="B42" s="11" t="str">
        <f t="shared" ref="B42:B47" si="10">CONCATENATE($B$10,"-",C42)</f>
        <v>MeOH-SOEC-cost-soec-1018</v>
      </c>
      <c r="C42" s="116" t="str">
        <f>Scenarios_definition!B34</f>
        <v>cost-soec-1018</v>
      </c>
      <c r="D42" t="s">
        <v>185</v>
      </c>
      <c r="E42" s="120" t="s">
        <v>91</v>
      </c>
      <c r="F42" t="s">
        <v>112</v>
      </c>
      <c r="G42" s="14" t="str">
        <f t="shared" si="0"/>
        <v>2030</v>
      </c>
      <c r="H42" s="14" t="s">
        <v>185</v>
      </c>
      <c r="I42" s="14" t="str">
        <f t="shared" si="3"/>
        <v>2018</v>
      </c>
      <c r="J42" s="14" t="s">
        <v>92</v>
      </c>
      <c r="K42" s="14">
        <v>0</v>
      </c>
      <c r="L42" s="14">
        <v>0</v>
      </c>
      <c r="M42" s="14">
        <v>-1</v>
      </c>
      <c r="N42" s="14">
        <v>1</v>
      </c>
      <c r="O42" s="14">
        <v>0</v>
      </c>
      <c r="P42" t="s">
        <v>177</v>
      </c>
      <c r="Q42" t="s">
        <v>178</v>
      </c>
      <c r="R42" s="104" t="s">
        <v>307</v>
      </c>
      <c r="S42" s="18" t="b">
        <v>0</v>
      </c>
      <c r="T42" t="b">
        <v>1</v>
      </c>
      <c r="U42" s="18" t="b">
        <v>0</v>
      </c>
      <c r="V42" t="b">
        <v>0</v>
      </c>
      <c r="W42" t="b">
        <v>1</v>
      </c>
      <c r="X42" t="b">
        <v>0</v>
      </c>
      <c r="Y42" t="b">
        <v>0</v>
      </c>
      <c r="Z42" t="b">
        <v>1</v>
      </c>
      <c r="AA42" t="b">
        <v>1</v>
      </c>
      <c r="AB42" s="19" t="b">
        <v>0</v>
      </c>
      <c r="AC42" t="b">
        <v>1</v>
      </c>
      <c r="AD42" t="b">
        <v>1</v>
      </c>
      <c r="AE42" t="b">
        <v>1</v>
      </c>
    </row>
    <row r="43" spans="1:31" x14ac:dyDescent="0.35">
      <c r="A43" s="2">
        <f t="shared" si="1"/>
        <v>36</v>
      </c>
      <c r="B43" s="11" t="str">
        <f t="shared" si="10"/>
        <v>MeOH-SOEC-cost-soec-1193</v>
      </c>
      <c r="C43" s="116" t="str">
        <f>Scenarios_definition!B36</f>
        <v>cost-soec-1193</v>
      </c>
      <c r="D43" t="s">
        <v>185</v>
      </c>
      <c r="E43" s="120" t="s">
        <v>91</v>
      </c>
      <c r="F43" t="s">
        <v>112</v>
      </c>
      <c r="G43" s="14" t="str">
        <f t="shared" si="0"/>
        <v>2030</v>
      </c>
      <c r="H43" s="14" t="s">
        <v>185</v>
      </c>
      <c r="I43" s="14" t="str">
        <f t="shared" si="3"/>
        <v>2018</v>
      </c>
      <c r="J43" s="14" t="s">
        <v>92</v>
      </c>
      <c r="K43" s="14">
        <v>0</v>
      </c>
      <c r="L43" s="14">
        <v>0</v>
      </c>
      <c r="M43" s="14">
        <v>-1</v>
      </c>
      <c r="N43" s="14">
        <v>1</v>
      </c>
      <c r="O43" s="14">
        <v>0</v>
      </c>
      <c r="P43" t="s">
        <v>177</v>
      </c>
      <c r="Q43" t="s">
        <v>178</v>
      </c>
      <c r="R43" s="104" t="s">
        <v>307</v>
      </c>
      <c r="S43" s="18" t="b">
        <v>0</v>
      </c>
      <c r="T43" t="b">
        <v>1</v>
      </c>
      <c r="U43" s="18" t="b">
        <v>0</v>
      </c>
      <c r="V43" t="b">
        <v>0</v>
      </c>
      <c r="W43" t="b">
        <v>1</v>
      </c>
      <c r="X43" t="b">
        <v>0</v>
      </c>
      <c r="Y43" t="b">
        <v>0</v>
      </c>
      <c r="Z43" t="b">
        <v>1</v>
      </c>
      <c r="AA43" t="b">
        <v>1</v>
      </c>
      <c r="AB43" s="19" t="b">
        <v>0</v>
      </c>
      <c r="AC43" t="b">
        <v>1</v>
      </c>
      <c r="AD43" t="b">
        <v>1</v>
      </c>
      <c r="AE43" t="b">
        <v>1</v>
      </c>
    </row>
    <row r="44" spans="1:31" x14ac:dyDescent="0.35">
      <c r="A44" s="2">
        <f t="shared" si="1"/>
        <v>37</v>
      </c>
      <c r="B44" s="11" t="str">
        <f t="shared" si="10"/>
        <v>MeOH-SOEC-cost-soec-1368</v>
      </c>
      <c r="C44" s="116" t="str">
        <f>Scenarios_definition!B38</f>
        <v>cost-soec-1368</v>
      </c>
      <c r="D44" t="s">
        <v>185</v>
      </c>
      <c r="E44" s="120" t="s">
        <v>91</v>
      </c>
      <c r="F44" t="s">
        <v>112</v>
      </c>
      <c r="G44" s="14" t="str">
        <f t="shared" si="0"/>
        <v>2030</v>
      </c>
      <c r="H44" s="14" t="s">
        <v>185</v>
      </c>
      <c r="I44" s="14" t="str">
        <f t="shared" si="3"/>
        <v>2018</v>
      </c>
      <c r="J44" s="14" t="s">
        <v>92</v>
      </c>
      <c r="K44" s="14">
        <v>0</v>
      </c>
      <c r="L44" s="14">
        <v>0</v>
      </c>
      <c r="M44" s="14">
        <v>-1</v>
      </c>
      <c r="N44" s="14">
        <v>1</v>
      </c>
      <c r="O44" s="14">
        <v>0</v>
      </c>
      <c r="P44" t="s">
        <v>177</v>
      </c>
      <c r="Q44" t="s">
        <v>178</v>
      </c>
      <c r="R44" s="104" t="s">
        <v>307</v>
      </c>
      <c r="S44" s="18" t="b">
        <v>0</v>
      </c>
      <c r="T44" t="b">
        <v>1</v>
      </c>
      <c r="U44" s="18" t="b">
        <v>0</v>
      </c>
      <c r="V44" t="b">
        <v>0</v>
      </c>
      <c r="W44" t="b">
        <v>1</v>
      </c>
      <c r="X44" t="b">
        <v>0</v>
      </c>
      <c r="Y44" t="b">
        <v>0</v>
      </c>
      <c r="Z44" t="b">
        <v>1</v>
      </c>
      <c r="AA44" t="b">
        <v>1</v>
      </c>
      <c r="AB44" s="19" t="b">
        <v>0</v>
      </c>
      <c r="AC44" t="b">
        <v>1</v>
      </c>
      <c r="AD44" t="b">
        <v>1</v>
      </c>
      <c r="AE44" t="b">
        <v>1</v>
      </c>
    </row>
    <row r="45" spans="1:31" x14ac:dyDescent="0.35">
      <c r="A45" s="2">
        <f t="shared" si="1"/>
        <v>38</v>
      </c>
      <c r="B45" s="11" t="str">
        <f t="shared" si="10"/>
        <v>MeOH-SOEC-cost-soec-1543</v>
      </c>
      <c r="C45" s="116" t="str">
        <f>Scenarios_definition!B40</f>
        <v>cost-soec-1543</v>
      </c>
      <c r="D45" t="s">
        <v>185</v>
      </c>
      <c r="E45" s="120" t="s">
        <v>91</v>
      </c>
      <c r="F45" t="s">
        <v>112</v>
      </c>
      <c r="G45" s="14" t="str">
        <f t="shared" si="0"/>
        <v>2030</v>
      </c>
      <c r="H45" s="14" t="s">
        <v>185</v>
      </c>
      <c r="I45" s="14" t="str">
        <f t="shared" si="3"/>
        <v>2018</v>
      </c>
      <c r="J45" s="14" t="s">
        <v>92</v>
      </c>
      <c r="K45" s="14">
        <v>0</v>
      </c>
      <c r="L45" s="14">
        <v>0</v>
      </c>
      <c r="M45" s="14">
        <v>-1</v>
      </c>
      <c r="N45" s="14">
        <v>1</v>
      </c>
      <c r="O45" s="14">
        <v>0</v>
      </c>
      <c r="P45" t="s">
        <v>177</v>
      </c>
      <c r="Q45" t="s">
        <v>178</v>
      </c>
      <c r="R45" s="104" t="s">
        <v>307</v>
      </c>
      <c r="S45" s="18" t="b">
        <v>0</v>
      </c>
      <c r="T45" t="b">
        <v>1</v>
      </c>
      <c r="U45" s="18" t="b">
        <v>0</v>
      </c>
      <c r="V45" t="b">
        <v>0</v>
      </c>
      <c r="W45" t="b">
        <v>1</v>
      </c>
      <c r="X45" t="b">
        <v>0</v>
      </c>
      <c r="Y45" t="b">
        <v>0</v>
      </c>
      <c r="Z45" t="b">
        <v>1</v>
      </c>
      <c r="AA45" t="b">
        <v>1</v>
      </c>
      <c r="AB45" s="19" t="b">
        <v>0</v>
      </c>
      <c r="AC45" t="b">
        <v>1</v>
      </c>
      <c r="AD45" t="b">
        <v>1</v>
      </c>
      <c r="AE45" t="b">
        <v>1</v>
      </c>
    </row>
    <row r="46" spans="1:31" x14ac:dyDescent="0.35">
      <c r="A46" s="2">
        <f t="shared" si="1"/>
        <v>39</v>
      </c>
      <c r="B46" s="11" t="str">
        <f t="shared" si="10"/>
        <v>MeOH-SOEC-cost-soec-1718</v>
      </c>
      <c r="C46" s="116" t="str">
        <f>Scenarios_definition!B42</f>
        <v>cost-soec-1718</v>
      </c>
      <c r="D46" t="s">
        <v>185</v>
      </c>
      <c r="E46" s="120" t="s">
        <v>91</v>
      </c>
      <c r="F46" t="s">
        <v>112</v>
      </c>
      <c r="G46" s="14" t="str">
        <f t="shared" si="0"/>
        <v>2030</v>
      </c>
      <c r="H46" s="14" t="s">
        <v>185</v>
      </c>
      <c r="I46" s="14" t="str">
        <f t="shared" si="3"/>
        <v>2018</v>
      </c>
      <c r="J46" s="14" t="s">
        <v>92</v>
      </c>
      <c r="K46" s="14">
        <v>0</v>
      </c>
      <c r="L46" s="14">
        <v>0</v>
      </c>
      <c r="M46" s="14">
        <v>-1</v>
      </c>
      <c r="N46" s="14">
        <v>1</v>
      </c>
      <c r="O46" s="14">
        <v>0</v>
      </c>
      <c r="P46" t="s">
        <v>177</v>
      </c>
      <c r="Q46" t="s">
        <v>178</v>
      </c>
      <c r="R46" s="104" t="s">
        <v>307</v>
      </c>
      <c r="S46" s="18" t="b">
        <v>0</v>
      </c>
      <c r="T46" t="b">
        <v>1</v>
      </c>
      <c r="U46" s="18" t="b">
        <v>0</v>
      </c>
      <c r="V46" t="b">
        <v>0</v>
      </c>
      <c r="W46" t="b">
        <v>1</v>
      </c>
      <c r="X46" t="b">
        <v>0</v>
      </c>
      <c r="Y46" t="b">
        <v>0</v>
      </c>
      <c r="Z46" t="b">
        <v>1</v>
      </c>
      <c r="AA46" t="b">
        <v>1</v>
      </c>
      <c r="AB46" s="19" t="b">
        <v>0</v>
      </c>
      <c r="AC46" t="b">
        <v>1</v>
      </c>
      <c r="AD46" t="b">
        <v>1</v>
      </c>
      <c r="AE46" t="b">
        <v>1</v>
      </c>
    </row>
    <row r="47" spans="1:31" x14ac:dyDescent="0.35">
      <c r="A47" s="2">
        <f t="shared" si="1"/>
        <v>40</v>
      </c>
      <c r="B47" s="11" t="str">
        <f t="shared" si="10"/>
        <v>MeOH-SOEC-cost-soec-1891</v>
      </c>
      <c r="C47" s="116" t="str">
        <f>Scenarios_definition!B44</f>
        <v>cost-soec-1891</v>
      </c>
      <c r="D47" t="s">
        <v>185</v>
      </c>
      <c r="E47" s="120" t="s">
        <v>91</v>
      </c>
      <c r="F47" t="s">
        <v>112</v>
      </c>
      <c r="G47" s="14" t="str">
        <f t="shared" si="0"/>
        <v>2030</v>
      </c>
      <c r="H47" s="14" t="s">
        <v>185</v>
      </c>
      <c r="I47" s="14" t="str">
        <f t="shared" si="3"/>
        <v>2018</v>
      </c>
      <c r="J47" s="14" t="s">
        <v>92</v>
      </c>
      <c r="K47" s="14">
        <v>0</v>
      </c>
      <c r="L47" s="14">
        <v>0</v>
      </c>
      <c r="M47" s="14">
        <v>-1</v>
      </c>
      <c r="N47" s="14">
        <v>1</v>
      </c>
      <c r="O47" s="14">
        <v>0</v>
      </c>
      <c r="P47" t="s">
        <v>177</v>
      </c>
      <c r="Q47" t="s">
        <v>178</v>
      </c>
      <c r="R47" s="104" t="s">
        <v>307</v>
      </c>
      <c r="S47" s="18" t="b">
        <v>0</v>
      </c>
      <c r="T47" t="b">
        <v>1</v>
      </c>
      <c r="U47" s="18" t="b">
        <v>0</v>
      </c>
      <c r="V47" t="b">
        <v>0</v>
      </c>
      <c r="W47" t="b">
        <v>1</v>
      </c>
      <c r="X47" t="b">
        <v>0</v>
      </c>
      <c r="Y47" t="b">
        <v>0</v>
      </c>
      <c r="Z47" t="b">
        <v>1</v>
      </c>
      <c r="AA47" t="b">
        <v>1</v>
      </c>
      <c r="AB47" s="19" t="b">
        <v>0</v>
      </c>
      <c r="AC47" t="b">
        <v>1</v>
      </c>
      <c r="AD47" t="b">
        <v>1</v>
      </c>
      <c r="AE47" t="b">
        <v>1</v>
      </c>
    </row>
    <row r="48" spans="1:31" x14ac:dyDescent="0.35">
      <c r="A48" s="2">
        <f t="shared" si="1"/>
        <v>41</v>
      </c>
      <c r="B48" s="11" t="str">
        <f t="shared" ref="B48:B53" si="11">CONCATENATE($B$9,"-",C48)</f>
        <v>Biofuel-AEC-cost-aec-945</v>
      </c>
      <c r="C48" s="115" t="str">
        <f>C36</f>
        <v>cost-aec-945</v>
      </c>
      <c r="D48" t="s">
        <v>185</v>
      </c>
      <c r="E48" s="119" t="s">
        <v>193</v>
      </c>
      <c r="F48" t="s">
        <v>112</v>
      </c>
      <c r="G48" s="14" t="str">
        <f t="shared" si="0"/>
        <v>2030</v>
      </c>
      <c r="H48" s="14" t="s">
        <v>185</v>
      </c>
      <c r="I48" s="14" t="str">
        <f t="shared" si="3"/>
        <v>2018</v>
      </c>
      <c r="J48" s="14" t="s">
        <v>80</v>
      </c>
      <c r="K48" s="14">
        <v>0</v>
      </c>
      <c r="L48" s="14">
        <v>0</v>
      </c>
      <c r="M48" s="14">
        <v>-1</v>
      </c>
      <c r="N48" s="14">
        <v>1</v>
      </c>
      <c r="O48" s="14">
        <v>0</v>
      </c>
      <c r="P48" t="s">
        <v>177</v>
      </c>
      <c r="Q48" t="s">
        <v>178</v>
      </c>
      <c r="R48" s="104" t="s">
        <v>307</v>
      </c>
      <c r="S48" s="18" t="b">
        <v>0</v>
      </c>
      <c r="T48" t="b">
        <v>1</v>
      </c>
      <c r="U48" s="18" t="b">
        <v>0</v>
      </c>
      <c r="V48" t="b">
        <v>0</v>
      </c>
      <c r="W48" t="b">
        <v>1</v>
      </c>
      <c r="X48" t="b">
        <v>0</v>
      </c>
      <c r="Y48" t="b">
        <v>0</v>
      </c>
      <c r="Z48" t="b">
        <v>1</v>
      </c>
      <c r="AA48" t="b">
        <v>1</v>
      </c>
      <c r="AB48" s="19" t="b">
        <v>0</v>
      </c>
      <c r="AC48" t="b">
        <v>1</v>
      </c>
      <c r="AD48" t="b">
        <v>1</v>
      </c>
      <c r="AE48" t="b">
        <v>1</v>
      </c>
    </row>
    <row r="49" spans="1:31" x14ac:dyDescent="0.35">
      <c r="A49" s="2">
        <f t="shared" si="1"/>
        <v>42</v>
      </c>
      <c r="B49" s="11" t="str">
        <f t="shared" si="11"/>
        <v>Biofuel-AEC-cost-aec-1033</v>
      </c>
      <c r="C49" s="115" t="str">
        <f t="shared" ref="C49:C59" si="12">C37</f>
        <v>cost-aec-1033</v>
      </c>
      <c r="D49" t="s">
        <v>185</v>
      </c>
      <c r="E49" s="119" t="s">
        <v>193</v>
      </c>
      <c r="F49" t="s">
        <v>112</v>
      </c>
      <c r="G49" s="14" t="str">
        <f t="shared" si="0"/>
        <v>2030</v>
      </c>
      <c r="H49" s="14" t="s">
        <v>185</v>
      </c>
      <c r="I49" s="14" t="str">
        <f t="shared" si="3"/>
        <v>2018</v>
      </c>
      <c r="J49" s="14" t="s">
        <v>80</v>
      </c>
      <c r="K49" s="14">
        <v>0</v>
      </c>
      <c r="L49" s="14">
        <v>0</v>
      </c>
      <c r="M49" s="14">
        <v>-1</v>
      </c>
      <c r="N49" s="14">
        <v>1</v>
      </c>
      <c r="O49" s="14">
        <v>0</v>
      </c>
      <c r="P49" t="s">
        <v>177</v>
      </c>
      <c r="Q49" t="s">
        <v>178</v>
      </c>
      <c r="R49" s="104" t="s">
        <v>307</v>
      </c>
      <c r="S49" s="18" t="b">
        <v>0</v>
      </c>
      <c r="T49" t="b">
        <v>1</v>
      </c>
      <c r="U49" s="18" t="b">
        <v>0</v>
      </c>
      <c r="V49" t="b">
        <v>0</v>
      </c>
      <c r="W49" t="b">
        <v>1</v>
      </c>
      <c r="X49" t="b">
        <v>0</v>
      </c>
      <c r="Y49" t="b">
        <v>0</v>
      </c>
      <c r="Z49" t="b">
        <v>1</v>
      </c>
      <c r="AA49" t="b">
        <v>1</v>
      </c>
      <c r="AB49" s="19" t="b">
        <v>0</v>
      </c>
      <c r="AC49" t="b">
        <v>1</v>
      </c>
      <c r="AD49" t="b">
        <v>1</v>
      </c>
      <c r="AE49" t="b">
        <v>1</v>
      </c>
    </row>
    <row r="50" spans="1:31" x14ac:dyDescent="0.35">
      <c r="A50" s="2">
        <f t="shared" si="1"/>
        <v>43</v>
      </c>
      <c r="B50" s="11" t="str">
        <f t="shared" si="11"/>
        <v>Biofuel-AEC-cost-aec-1120</v>
      </c>
      <c r="C50" s="115" t="str">
        <f t="shared" si="12"/>
        <v>cost-aec-1120</v>
      </c>
      <c r="D50" t="s">
        <v>185</v>
      </c>
      <c r="E50" s="119" t="s">
        <v>193</v>
      </c>
      <c r="F50" t="s">
        <v>112</v>
      </c>
      <c r="G50" s="14" t="str">
        <f t="shared" si="0"/>
        <v>2030</v>
      </c>
      <c r="H50" s="14" t="s">
        <v>185</v>
      </c>
      <c r="I50" s="14" t="str">
        <f t="shared" si="3"/>
        <v>2018</v>
      </c>
      <c r="J50" s="14" t="s">
        <v>80</v>
      </c>
      <c r="K50" s="14">
        <v>0</v>
      </c>
      <c r="L50" s="14">
        <v>0</v>
      </c>
      <c r="M50" s="14">
        <v>-1</v>
      </c>
      <c r="N50" s="14">
        <v>1</v>
      </c>
      <c r="O50" s="14">
        <v>0</v>
      </c>
      <c r="P50" t="s">
        <v>177</v>
      </c>
      <c r="Q50" t="s">
        <v>178</v>
      </c>
      <c r="R50" s="104" t="s">
        <v>307</v>
      </c>
      <c r="S50" s="18" t="b">
        <v>0</v>
      </c>
      <c r="T50" t="b">
        <v>1</v>
      </c>
      <c r="U50" s="18" t="b">
        <v>0</v>
      </c>
      <c r="V50" t="b">
        <v>0</v>
      </c>
      <c r="W50" t="b">
        <v>1</v>
      </c>
      <c r="X50" t="b">
        <v>0</v>
      </c>
      <c r="Y50" t="b">
        <v>0</v>
      </c>
      <c r="Z50" t="b">
        <v>1</v>
      </c>
      <c r="AA50" t="b">
        <v>1</v>
      </c>
      <c r="AB50" s="19" t="b">
        <v>0</v>
      </c>
      <c r="AC50" t="b">
        <v>1</v>
      </c>
      <c r="AD50" t="b">
        <v>1</v>
      </c>
      <c r="AE50" t="b">
        <v>1</v>
      </c>
    </row>
    <row r="51" spans="1:31" x14ac:dyDescent="0.35">
      <c r="A51" s="2">
        <f t="shared" si="1"/>
        <v>44</v>
      </c>
      <c r="B51" s="11" t="str">
        <f t="shared" si="11"/>
        <v>Biofuel-AEC-cost-aec-1208</v>
      </c>
      <c r="C51" s="115" t="str">
        <f t="shared" si="12"/>
        <v>cost-aec-1208</v>
      </c>
      <c r="D51" t="s">
        <v>185</v>
      </c>
      <c r="E51" s="119" t="s">
        <v>193</v>
      </c>
      <c r="F51" t="s">
        <v>112</v>
      </c>
      <c r="G51" s="14" t="str">
        <f t="shared" si="0"/>
        <v>2030</v>
      </c>
      <c r="H51" s="14" t="s">
        <v>185</v>
      </c>
      <c r="I51" s="14" t="str">
        <f t="shared" si="3"/>
        <v>2018</v>
      </c>
      <c r="J51" s="14" t="s">
        <v>80</v>
      </c>
      <c r="K51" s="14">
        <v>0</v>
      </c>
      <c r="L51" s="14">
        <v>0</v>
      </c>
      <c r="M51" s="14">
        <v>-1</v>
      </c>
      <c r="N51" s="14">
        <v>1</v>
      </c>
      <c r="O51" s="14">
        <v>0</v>
      </c>
      <c r="P51" t="s">
        <v>177</v>
      </c>
      <c r="Q51" t="s">
        <v>178</v>
      </c>
      <c r="R51" s="104" t="s">
        <v>307</v>
      </c>
      <c r="S51" s="18" t="b">
        <v>0</v>
      </c>
      <c r="T51" t="b">
        <v>1</v>
      </c>
      <c r="U51" s="18" t="b">
        <v>0</v>
      </c>
      <c r="V51" t="b">
        <v>0</v>
      </c>
      <c r="W51" t="b">
        <v>1</v>
      </c>
      <c r="X51" t="b">
        <v>0</v>
      </c>
      <c r="Y51" t="b">
        <v>0</v>
      </c>
      <c r="Z51" t="b">
        <v>1</v>
      </c>
      <c r="AA51" t="b">
        <v>1</v>
      </c>
      <c r="AB51" s="19" t="b">
        <v>0</v>
      </c>
      <c r="AC51" t="b">
        <v>1</v>
      </c>
      <c r="AD51" t="b">
        <v>1</v>
      </c>
      <c r="AE51" t="b">
        <v>1</v>
      </c>
    </row>
    <row r="52" spans="1:31" x14ac:dyDescent="0.35">
      <c r="A52" s="2">
        <f t="shared" si="1"/>
        <v>45</v>
      </c>
      <c r="B52" s="11" t="str">
        <f t="shared" si="11"/>
        <v>Biofuel-AEC-cost-aec-1295</v>
      </c>
      <c r="C52" s="115" t="str">
        <f t="shared" si="12"/>
        <v>cost-aec-1295</v>
      </c>
      <c r="D52" t="s">
        <v>185</v>
      </c>
      <c r="E52" s="119" t="s">
        <v>193</v>
      </c>
      <c r="F52" t="s">
        <v>112</v>
      </c>
      <c r="G52" s="14" t="str">
        <f t="shared" si="0"/>
        <v>2030</v>
      </c>
      <c r="H52" s="14" t="s">
        <v>185</v>
      </c>
      <c r="I52" s="14" t="str">
        <f t="shared" si="3"/>
        <v>2018</v>
      </c>
      <c r="J52" s="14" t="s">
        <v>80</v>
      </c>
      <c r="K52" s="14">
        <v>0</v>
      </c>
      <c r="L52" s="14">
        <v>0</v>
      </c>
      <c r="M52" s="14">
        <v>-1</v>
      </c>
      <c r="N52" s="14">
        <v>1</v>
      </c>
      <c r="O52" s="14">
        <v>0</v>
      </c>
      <c r="P52" t="s">
        <v>177</v>
      </c>
      <c r="Q52" t="s">
        <v>178</v>
      </c>
      <c r="R52" s="104" t="s">
        <v>307</v>
      </c>
      <c r="S52" s="18" t="b">
        <v>0</v>
      </c>
      <c r="T52" t="b">
        <v>1</v>
      </c>
      <c r="U52" s="18" t="b">
        <v>0</v>
      </c>
      <c r="V52" t="b">
        <v>0</v>
      </c>
      <c r="W52" t="b">
        <v>1</v>
      </c>
      <c r="X52" t="b">
        <v>0</v>
      </c>
      <c r="Y52" t="b">
        <v>0</v>
      </c>
      <c r="Z52" t="b">
        <v>1</v>
      </c>
      <c r="AA52" t="b">
        <v>1</v>
      </c>
      <c r="AB52" s="19" t="b">
        <v>0</v>
      </c>
      <c r="AC52" t="b">
        <v>1</v>
      </c>
      <c r="AD52" t="b">
        <v>1</v>
      </c>
      <c r="AE52" t="b">
        <v>1</v>
      </c>
    </row>
    <row r="53" spans="1:31" x14ac:dyDescent="0.35">
      <c r="A53" s="2">
        <f t="shared" si="1"/>
        <v>46</v>
      </c>
      <c r="B53" s="11" t="str">
        <f t="shared" si="11"/>
        <v>Biofuel-AEC-cost-aec-1382</v>
      </c>
      <c r="C53" s="115" t="str">
        <f t="shared" si="12"/>
        <v>cost-aec-1382</v>
      </c>
      <c r="D53" t="s">
        <v>185</v>
      </c>
      <c r="E53" s="119" t="s">
        <v>193</v>
      </c>
      <c r="F53" t="s">
        <v>112</v>
      </c>
      <c r="G53" s="14" t="str">
        <f t="shared" si="0"/>
        <v>2030</v>
      </c>
      <c r="H53" s="14" t="s">
        <v>185</v>
      </c>
      <c r="I53" s="14" t="str">
        <f t="shared" si="3"/>
        <v>2018</v>
      </c>
      <c r="J53" s="14" t="s">
        <v>80</v>
      </c>
      <c r="K53" s="14">
        <v>0</v>
      </c>
      <c r="L53" s="14">
        <v>0</v>
      </c>
      <c r="M53" s="14">
        <v>-1</v>
      </c>
      <c r="N53" s="14">
        <v>1</v>
      </c>
      <c r="O53" s="14">
        <v>0</v>
      </c>
      <c r="P53" t="s">
        <v>177</v>
      </c>
      <c r="Q53" t="s">
        <v>178</v>
      </c>
      <c r="R53" s="104" t="s">
        <v>307</v>
      </c>
      <c r="S53" s="18" t="b">
        <v>0</v>
      </c>
      <c r="T53" t="b">
        <v>1</v>
      </c>
      <c r="U53" s="18" t="b">
        <v>0</v>
      </c>
      <c r="V53" t="b">
        <v>0</v>
      </c>
      <c r="W53" t="b">
        <v>1</v>
      </c>
      <c r="X53" t="b">
        <v>0</v>
      </c>
      <c r="Y53" t="b">
        <v>0</v>
      </c>
      <c r="Z53" t="b">
        <v>1</v>
      </c>
      <c r="AA53" t="b">
        <v>1</v>
      </c>
      <c r="AB53" s="19" t="b">
        <v>0</v>
      </c>
      <c r="AC53" t="b">
        <v>1</v>
      </c>
      <c r="AD53" t="b">
        <v>1</v>
      </c>
      <c r="AE53" t="b">
        <v>1</v>
      </c>
    </row>
    <row r="54" spans="1:31" x14ac:dyDescent="0.35">
      <c r="A54" s="2">
        <f t="shared" si="1"/>
        <v>47</v>
      </c>
      <c r="B54" s="11" t="str">
        <f t="shared" ref="B54:B59" si="13">CONCATENATE($B$11,"-",C54)</f>
        <v>Biofuel-SOEC-cost-soec-1018</v>
      </c>
      <c r="C54" s="115" t="str">
        <f t="shared" si="12"/>
        <v>cost-soec-1018</v>
      </c>
      <c r="D54" t="s">
        <v>185</v>
      </c>
      <c r="E54" s="119" t="s">
        <v>193</v>
      </c>
      <c r="F54" t="s">
        <v>112</v>
      </c>
      <c r="G54" s="14" t="str">
        <f t="shared" si="0"/>
        <v>2030</v>
      </c>
      <c r="H54" s="14" t="s">
        <v>185</v>
      </c>
      <c r="I54" s="14" t="str">
        <f t="shared" si="3"/>
        <v>2018</v>
      </c>
      <c r="J54" s="14" t="s">
        <v>92</v>
      </c>
      <c r="K54" s="14">
        <v>0</v>
      </c>
      <c r="L54" s="14">
        <v>0</v>
      </c>
      <c r="M54" s="14">
        <v>-1</v>
      </c>
      <c r="N54" s="14">
        <v>1</v>
      </c>
      <c r="O54" s="14">
        <v>0</v>
      </c>
      <c r="P54" t="s">
        <v>177</v>
      </c>
      <c r="Q54" t="s">
        <v>178</v>
      </c>
      <c r="R54" s="104" t="s">
        <v>307</v>
      </c>
      <c r="S54" s="18" t="b">
        <v>0</v>
      </c>
      <c r="T54" t="b">
        <v>1</v>
      </c>
      <c r="U54" s="18" t="b">
        <v>0</v>
      </c>
      <c r="V54" t="b">
        <v>0</v>
      </c>
      <c r="W54" t="b">
        <v>1</v>
      </c>
      <c r="X54" t="b">
        <v>0</v>
      </c>
      <c r="Y54" t="b">
        <v>0</v>
      </c>
      <c r="Z54" t="b">
        <v>1</v>
      </c>
      <c r="AA54" t="b">
        <v>1</v>
      </c>
      <c r="AB54" s="19" t="b">
        <v>0</v>
      </c>
      <c r="AC54" t="b">
        <v>1</v>
      </c>
      <c r="AD54" t="b">
        <v>1</v>
      </c>
      <c r="AE54" t="b">
        <v>1</v>
      </c>
    </row>
    <row r="55" spans="1:31" x14ac:dyDescent="0.35">
      <c r="A55" s="2">
        <f t="shared" si="1"/>
        <v>48</v>
      </c>
      <c r="B55" s="11" t="str">
        <f t="shared" si="13"/>
        <v>Biofuel-SOEC-cost-soec-1193</v>
      </c>
      <c r="C55" s="115" t="str">
        <f t="shared" si="12"/>
        <v>cost-soec-1193</v>
      </c>
      <c r="D55" t="s">
        <v>185</v>
      </c>
      <c r="E55" s="119" t="s">
        <v>193</v>
      </c>
      <c r="F55" t="s">
        <v>112</v>
      </c>
      <c r="G55" s="14" t="str">
        <f t="shared" si="0"/>
        <v>2030</v>
      </c>
      <c r="H55" s="14" t="s">
        <v>185</v>
      </c>
      <c r="I55" s="14" t="str">
        <f t="shared" si="3"/>
        <v>2018</v>
      </c>
      <c r="J55" s="14" t="s">
        <v>92</v>
      </c>
      <c r="K55" s="14">
        <v>0</v>
      </c>
      <c r="L55" s="14">
        <v>0</v>
      </c>
      <c r="M55" s="14">
        <v>-1</v>
      </c>
      <c r="N55" s="14">
        <v>1</v>
      </c>
      <c r="O55" s="14">
        <v>0</v>
      </c>
      <c r="P55" t="s">
        <v>177</v>
      </c>
      <c r="Q55" t="s">
        <v>178</v>
      </c>
      <c r="R55" s="104" t="s">
        <v>307</v>
      </c>
      <c r="S55" s="18" t="b">
        <v>0</v>
      </c>
      <c r="T55" t="b">
        <v>1</v>
      </c>
      <c r="U55" s="18" t="b">
        <v>0</v>
      </c>
      <c r="V55" t="b">
        <v>0</v>
      </c>
      <c r="W55" t="b">
        <v>1</v>
      </c>
      <c r="X55" t="b">
        <v>0</v>
      </c>
      <c r="Y55" t="b">
        <v>0</v>
      </c>
      <c r="Z55" t="b">
        <v>1</v>
      </c>
      <c r="AA55" t="b">
        <v>1</v>
      </c>
      <c r="AB55" s="19" t="b">
        <v>0</v>
      </c>
      <c r="AC55" t="b">
        <v>1</v>
      </c>
      <c r="AD55" t="b">
        <v>1</v>
      </c>
      <c r="AE55" t="b">
        <v>1</v>
      </c>
    </row>
    <row r="56" spans="1:31" x14ac:dyDescent="0.35">
      <c r="A56" s="2">
        <f t="shared" si="1"/>
        <v>49</v>
      </c>
      <c r="B56" s="11" t="str">
        <f t="shared" si="13"/>
        <v>Biofuel-SOEC-cost-soec-1368</v>
      </c>
      <c r="C56" s="115" t="str">
        <f t="shared" si="12"/>
        <v>cost-soec-1368</v>
      </c>
      <c r="D56" t="s">
        <v>185</v>
      </c>
      <c r="E56" s="119" t="s">
        <v>193</v>
      </c>
      <c r="F56" t="s">
        <v>112</v>
      </c>
      <c r="G56" s="14" t="str">
        <f t="shared" si="0"/>
        <v>2030</v>
      </c>
      <c r="H56" s="14" t="s">
        <v>185</v>
      </c>
      <c r="I56" s="14" t="str">
        <f t="shared" si="3"/>
        <v>2018</v>
      </c>
      <c r="J56" s="14" t="s">
        <v>92</v>
      </c>
      <c r="K56" s="14">
        <v>0</v>
      </c>
      <c r="L56" s="14">
        <v>0</v>
      </c>
      <c r="M56" s="14">
        <v>-1</v>
      </c>
      <c r="N56" s="14">
        <v>1</v>
      </c>
      <c r="O56" s="14">
        <v>0</v>
      </c>
      <c r="P56" t="s">
        <v>177</v>
      </c>
      <c r="Q56" t="s">
        <v>178</v>
      </c>
      <c r="R56" s="104" t="s">
        <v>307</v>
      </c>
      <c r="S56" s="18" t="b">
        <v>0</v>
      </c>
      <c r="T56" t="b">
        <v>1</v>
      </c>
      <c r="U56" s="18" t="b">
        <v>0</v>
      </c>
      <c r="V56" t="b">
        <v>0</v>
      </c>
      <c r="W56" t="b">
        <v>1</v>
      </c>
      <c r="X56" t="b">
        <v>0</v>
      </c>
      <c r="Y56" t="b">
        <v>0</v>
      </c>
      <c r="Z56" t="b">
        <v>1</v>
      </c>
      <c r="AA56" t="b">
        <v>1</v>
      </c>
      <c r="AB56" s="19" t="b">
        <v>0</v>
      </c>
      <c r="AC56" t="b">
        <v>1</v>
      </c>
      <c r="AD56" t="b">
        <v>1</v>
      </c>
      <c r="AE56" t="b">
        <v>1</v>
      </c>
    </row>
    <row r="57" spans="1:31" x14ac:dyDescent="0.35">
      <c r="A57" s="2">
        <f t="shared" si="1"/>
        <v>50</v>
      </c>
      <c r="B57" s="11" t="str">
        <f t="shared" si="13"/>
        <v>Biofuel-SOEC-cost-soec-1543</v>
      </c>
      <c r="C57" s="115" t="str">
        <f t="shared" si="12"/>
        <v>cost-soec-1543</v>
      </c>
      <c r="D57" t="s">
        <v>185</v>
      </c>
      <c r="E57" s="119" t="s">
        <v>193</v>
      </c>
      <c r="F57" t="s">
        <v>112</v>
      </c>
      <c r="G57" s="14" t="str">
        <f t="shared" si="0"/>
        <v>2030</v>
      </c>
      <c r="H57" s="14" t="s">
        <v>185</v>
      </c>
      <c r="I57" s="14" t="str">
        <f t="shared" si="3"/>
        <v>2018</v>
      </c>
      <c r="J57" s="14" t="s">
        <v>92</v>
      </c>
      <c r="K57" s="14">
        <v>0</v>
      </c>
      <c r="L57" s="14">
        <v>0</v>
      </c>
      <c r="M57" s="14">
        <v>-1</v>
      </c>
      <c r="N57" s="14">
        <v>1</v>
      </c>
      <c r="O57" s="14">
        <v>0</v>
      </c>
      <c r="P57" t="s">
        <v>177</v>
      </c>
      <c r="Q57" t="s">
        <v>178</v>
      </c>
      <c r="R57" s="104" t="s">
        <v>307</v>
      </c>
      <c r="S57" s="18" t="b">
        <v>0</v>
      </c>
      <c r="T57" t="b">
        <v>1</v>
      </c>
      <c r="U57" s="18" t="b">
        <v>0</v>
      </c>
      <c r="V57" t="b">
        <v>0</v>
      </c>
      <c r="W57" t="b">
        <v>1</v>
      </c>
      <c r="X57" t="b">
        <v>0</v>
      </c>
      <c r="Y57" t="b">
        <v>0</v>
      </c>
      <c r="Z57" t="b">
        <v>1</v>
      </c>
      <c r="AA57" t="b">
        <v>1</v>
      </c>
      <c r="AB57" s="19" t="b">
        <v>0</v>
      </c>
      <c r="AC57" t="b">
        <v>1</v>
      </c>
      <c r="AD57" t="b">
        <v>1</v>
      </c>
      <c r="AE57" t="b">
        <v>1</v>
      </c>
    </row>
    <row r="58" spans="1:31" x14ac:dyDescent="0.35">
      <c r="A58" s="2">
        <f t="shared" si="1"/>
        <v>51</v>
      </c>
      <c r="B58" s="11" t="str">
        <f t="shared" si="13"/>
        <v>Biofuel-SOEC-cost-soec-1718</v>
      </c>
      <c r="C58" s="115" t="str">
        <f t="shared" si="12"/>
        <v>cost-soec-1718</v>
      </c>
      <c r="D58" t="s">
        <v>185</v>
      </c>
      <c r="E58" s="119" t="s">
        <v>193</v>
      </c>
      <c r="F58" t="s">
        <v>112</v>
      </c>
      <c r="G58" s="14" t="str">
        <f t="shared" si="0"/>
        <v>2030</v>
      </c>
      <c r="H58" s="14" t="s">
        <v>185</v>
      </c>
      <c r="I58" s="14" t="str">
        <f t="shared" si="3"/>
        <v>2018</v>
      </c>
      <c r="J58" s="14" t="s">
        <v>92</v>
      </c>
      <c r="K58" s="14">
        <v>0</v>
      </c>
      <c r="L58" s="14">
        <v>0</v>
      </c>
      <c r="M58" s="14">
        <v>-1</v>
      </c>
      <c r="N58" s="14">
        <v>1</v>
      </c>
      <c r="O58" s="14">
        <v>0</v>
      </c>
      <c r="P58" t="s">
        <v>177</v>
      </c>
      <c r="Q58" t="s">
        <v>178</v>
      </c>
      <c r="R58" s="104" t="s">
        <v>307</v>
      </c>
      <c r="S58" s="18" t="b">
        <v>0</v>
      </c>
      <c r="T58" t="b">
        <v>1</v>
      </c>
      <c r="U58" s="18" t="b">
        <v>0</v>
      </c>
      <c r="V58" t="b">
        <v>0</v>
      </c>
      <c r="W58" t="b">
        <v>1</v>
      </c>
      <c r="X58" t="b">
        <v>0</v>
      </c>
      <c r="Y58" t="b">
        <v>0</v>
      </c>
      <c r="Z58" t="b">
        <v>1</v>
      </c>
      <c r="AA58" t="b">
        <v>1</v>
      </c>
      <c r="AB58" s="19" t="b">
        <v>0</v>
      </c>
      <c r="AC58" t="b">
        <v>1</v>
      </c>
      <c r="AD58" t="b">
        <v>1</v>
      </c>
      <c r="AE58" t="b">
        <v>1</v>
      </c>
    </row>
    <row r="59" spans="1:31" x14ac:dyDescent="0.35">
      <c r="A59" s="2">
        <f t="shared" si="1"/>
        <v>52</v>
      </c>
      <c r="B59" s="11" t="str">
        <f t="shared" si="13"/>
        <v>Biofuel-SOEC-cost-soec-1891</v>
      </c>
      <c r="C59" s="115" t="str">
        <f t="shared" si="12"/>
        <v>cost-soec-1891</v>
      </c>
      <c r="D59" t="s">
        <v>185</v>
      </c>
      <c r="E59" s="119" t="s">
        <v>193</v>
      </c>
      <c r="F59" t="s">
        <v>112</v>
      </c>
      <c r="G59" s="14" t="str">
        <f t="shared" si="0"/>
        <v>2030</v>
      </c>
      <c r="H59" s="14" t="s">
        <v>185</v>
      </c>
      <c r="I59" s="14" t="str">
        <f t="shared" si="3"/>
        <v>2018</v>
      </c>
      <c r="J59" s="14" t="s">
        <v>92</v>
      </c>
      <c r="K59" s="14">
        <v>0</v>
      </c>
      <c r="L59" s="14">
        <v>0</v>
      </c>
      <c r="M59" s="14">
        <v>-1</v>
      </c>
      <c r="N59" s="14">
        <v>1</v>
      </c>
      <c r="O59" s="14">
        <v>0</v>
      </c>
      <c r="P59" t="s">
        <v>177</v>
      </c>
      <c r="Q59" t="s">
        <v>178</v>
      </c>
      <c r="R59" s="104" t="s">
        <v>307</v>
      </c>
      <c r="S59" s="18" t="b">
        <v>0</v>
      </c>
      <c r="T59" t="b">
        <v>1</v>
      </c>
      <c r="U59" s="18" t="b">
        <v>0</v>
      </c>
      <c r="V59" t="b">
        <v>0</v>
      </c>
      <c r="W59" t="b">
        <v>1</v>
      </c>
      <c r="X59" t="b">
        <v>0</v>
      </c>
      <c r="Y59" t="b">
        <v>0</v>
      </c>
      <c r="Z59" t="b">
        <v>1</v>
      </c>
      <c r="AA59" t="b">
        <v>1</v>
      </c>
      <c r="AB59" s="19" t="b">
        <v>0</v>
      </c>
      <c r="AC59" t="b">
        <v>1</v>
      </c>
      <c r="AD59" t="b">
        <v>1</v>
      </c>
      <c r="AE59" t="b">
        <v>1</v>
      </c>
    </row>
    <row r="60" spans="1:31" x14ac:dyDescent="0.35">
      <c r="A60" s="2">
        <f t="shared" si="1"/>
        <v>53</v>
      </c>
      <c r="B60" s="11" t="str">
        <f t="shared" ref="B60:B65" si="14">CONCATENATE($B$8,"-",C60)</f>
        <v>MeOH-AEC-cost-meoh-10600</v>
      </c>
      <c r="C60" s="118" t="str">
        <f>Scenarios_definition!B46</f>
        <v>cost-meoh-10600</v>
      </c>
      <c r="D60" t="s">
        <v>185</v>
      </c>
      <c r="E60" s="120" t="s">
        <v>91</v>
      </c>
      <c r="F60" t="s">
        <v>112</v>
      </c>
      <c r="G60" s="14" t="str">
        <f t="shared" si="0"/>
        <v>2030</v>
      </c>
      <c r="H60" s="14" t="s">
        <v>185</v>
      </c>
      <c r="I60" s="14" t="str">
        <f t="shared" si="3"/>
        <v>2018</v>
      </c>
      <c r="J60" s="14" t="s">
        <v>80</v>
      </c>
      <c r="K60" s="14">
        <v>0</v>
      </c>
      <c r="L60" s="14">
        <v>0</v>
      </c>
      <c r="M60" s="14">
        <v>-1</v>
      </c>
      <c r="N60" s="14">
        <v>1</v>
      </c>
      <c r="O60" s="14">
        <v>0</v>
      </c>
      <c r="P60" t="s">
        <v>177</v>
      </c>
      <c r="Q60" t="s">
        <v>178</v>
      </c>
      <c r="R60" s="104" t="s">
        <v>307</v>
      </c>
      <c r="S60" s="18" t="b">
        <v>0</v>
      </c>
      <c r="T60" t="b">
        <v>1</v>
      </c>
      <c r="U60" s="18" t="b">
        <v>0</v>
      </c>
      <c r="V60" t="b">
        <v>0</v>
      </c>
      <c r="W60" t="b">
        <v>1</v>
      </c>
      <c r="X60" t="b">
        <v>0</v>
      </c>
      <c r="Y60" t="b">
        <v>0</v>
      </c>
      <c r="Z60" t="b">
        <v>1</v>
      </c>
      <c r="AA60" t="b">
        <v>1</v>
      </c>
      <c r="AB60" s="19" t="b">
        <v>0</v>
      </c>
      <c r="AC60" t="b">
        <v>1</v>
      </c>
      <c r="AD60" t="b">
        <v>1</v>
      </c>
      <c r="AE60" t="b">
        <v>1</v>
      </c>
    </row>
    <row r="61" spans="1:31" x14ac:dyDescent="0.35">
      <c r="A61" s="2">
        <f t="shared" si="1"/>
        <v>54</v>
      </c>
      <c r="B61" s="11" t="str">
        <f t="shared" si="14"/>
        <v>MeOH-AEC-cost-meoh-11280</v>
      </c>
      <c r="C61" s="118" t="str">
        <f>Scenarios_definition!B48</f>
        <v>cost-meoh-11280</v>
      </c>
      <c r="D61" t="s">
        <v>185</v>
      </c>
      <c r="E61" s="120" t="s">
        <v>91</v>
      </c>
      <c r="F61" t="s">
        <v>112</v>
      </c>
      <c r="G61" s="14" t="str">
        <f t="shared" si="0"/>
        <v>2030</v>
      </c>
      <c r="H61" s="14" t="s">
        <v>185</v>
      </c>
      <c r="I61" s="14" t="str">
        <f t="shared" si="3"/>
        <v>2018</v>
      </c>
      <c r="J61" s="14" t="s">
        <v>80</v>
      </c>
      <c r="K61" s="14">
        <v>0</v>
      </c>
      <c r="L61" s="14">
        <v>0</v>
      </c>
      <c r="M61" s="14">
        <v>-1</v>
      </c>
      <c r="N61" s="14">
        <v>1</v>
      </c>
      <c r="O61" s="14">
        <v>0</v>
      </c>
      <c r="P61" t="s">
        <v>177</v>
      </c>
      <c r="Q61" t="s">
        <v>178</v>
      </c>
      <c r="R61" s="104" t="s">
        <v>307</v>
      </c>
      <c r="S61" s="18" t="b">
        <v>0</v>
      </c>
      <c r="T61" t="b">
        <v>1</v>
      </c>
      <c r="U61" s="18" t="b">
        <v>0</v>
      </c>
      <c r="V61" t="b">
        <v>0</v>
      </c>
      <c r="W61" t="b">
        <v>1</v>
      </c>
      <c r="X61" t="b">
        <v>0</v>
      </c>
      <c r="Y61" t="b">
        <v>0</v>
      </c>
      <c r="Z61" t="b">
        <v>1</v>
      </c>
      <c r="AA61" t="b">
        <v>1</v>
      </c>
      <c r="AB61" s="19" t="b">
        <v>0</v>
      </c>
      <c r="AC61" t="b">
        <v>1</v>
      </c>
      <c r="AD61" t="b">
        <v>1</v>
      </c>
      <c r="AE61" t="b">
        <v>1</v>
      </c>
    </row>
    <row r="62" spans="1:31" x14ac:dyDescent="0.35">
      <c r="A62" s="2">
        <f t="shared" si="1"/>
        <v>55</v>
      </c>
      <c r="B62" s="11" t="str">
        <f t="shared" si="14"/>
        <v>MeOH-AEC-cost-meoh-11960</v>
      </c>
      <c r="C62" s="118" t="str">
        <f>Scenarios_definition!B50</f>
        <v>cost-meoh-11960</v>
      </c>
      <c r="D62" t="s">
        <v>185</v>
      </c>
      <c r="E62" s="120" t="s">
        <v>91</v>
      </c>
      <c r="F62" t="s">
        <v>112</v>
      </c>
      <c r="G62" s="14" t="str">
        <f t="shared" si="0"/>
        <v>2030</v>
      </c>
      <c r="H62" s="14" t="s">
        <v>185</v>
      </c>
      <c r="I62" s="14" t="str">
        <f t="shared" si="3"/>
        <v>2018</v>
      </c>
      <c r="J62" s="14" t="s">
        <v>80</v>
      </c>
      <c r="K62" s="14">
        <v>0</v>
      </c>
      <c r="L62" s="14">
        <v>0</v>
      </c>
      <c r="M62" s="14">
        <v>-1</v>
      </c>
      <c r="N62" s="14">
        <v>1</v>
      </c>
      <c r="O62" s="14">
        <v>0</v>
      </c>
      <c r="P62" t="s">
        <v>177</v>
      </c>
      <c r="Q62" t="s">
        <v>178</v>
      </c>
      <c r="R62" s="104" t="s">
        <v>307</v>
      </c>
      <c r="S62" s="18" t="b">
        <v>0</v>
      </c>
      <c r="T62" t="b">
        <v>1</v>
      </c>
      <c r="U62" s="18" t="b">
        <v>0</v>
      </c>
      <c r="V62" t="b">
        <v>0</v>
      </c>
      <c r="W62" t="b">
        <v>1</v>
      </c>
      <c r="X62" t="b">
        <v>0</v>
      </c>
      <c r="Y62" t="b">
        <v>0</v>
      </c>
      <c r="Z62" t="b">
        <v>1</v>
      </c>
      <c r="AA62" t="b">
        <v>1</v>
      </c>
      <c r="AB62" s="19" t="b">
        <v>0</v>
      </c>
      <c r="AC62" t="b">
        <v>1</v>
      </c>
      <c r="AD62" t="b">
        <v>1</v>
      </c>
      <c r="AE62" t="b">
        <v>1</v>
      </c>
    </row>
    <row r="63" spans="1:31" x14ac:dyDescent="0.35">
      <c r="A63" s="2">
        <f t="shared" si="1"/>
        <v>56</v>
      </c>
      <c r="B63" s="11" t="str">
        <f t="shared" si="14"/>
        <v>MeOH-AEC-cost-meoh-12640</v>
      </c>
      <c r="C63" s="118" t="str">
        <f>Scenarios_definition!B52</f>
        <v>cost-meoh-12640</v>
      </c>
      <c r="D63" t="s">
        <v>185</v>
      </c>
      <c r="E63" s="120" t="s">
        <v>91</v>
      </c>
      <c r="F63" t="s">
        <v>112</v>
      </c>
      <c r="G63" s="14" t="str">
        <f t="shared" si="0"/>
        <v>2030</v>
      </c>
      <c r="H63" s="14" t="s">
        <v>185</v>
      </c>
      <c r="I63" s="14" t="str">
        <f t="shared" si="3"/>
        <v>2018</v>
      </c>
      <c r="J63" s="14" t="s">
        <v>80</v>
      </c>
      <c r="K63" s="14">
        <v>0</v>
      </c>
      <c r="L63" s="14">
        <v>0</v>
      </c>
      <c r="M63" s="14">
        <v>-1</v>
      </c>
      <c r="N63" s="14">
        <v>1</v>
      </c>
      <c r="O63" s="14">
        <v>0</v>
      </c>
      <c r="P63" t="s">
        <v>177</v>
      </c>
      <c r="Q63" t="s">
        <v>178</v>
      </c>
      <c r="R63" s="104" t="s">
        <v>307</v>
      </c>
      <c r="S63" s="18" t="b">
        <v>0</v>
      </c>
      <c r="T63" t="b">
        <v>1</v>
      </c>
      <c r="U63" s="18" t="b">
        <v>0</v>
      </c>
      <c r="V63" t="b">
        <v>0</v>
      </c>
      <c r="W63" t="b">
        <v>1</v>
      </c>
      <c r="X63" t="b">
        <v>0</v>
      </c>
      <c r="Y63" t="b">
        <v>0</v>
      </c>
      <c r="Z63" t="b">
        <v>1</v>
      </c>
      <c r="AA63" t="b">
        <v>1</v>
      </c>
      <c r="AB63" s="19" t="b">
        <v>0</v>
      </c>
      <c r="AC63" t="b">
        <v>1</v>
      </c>
      <c r="AD63" t="b">
        <v>1</v>
      </c>
      <c r="AE63" t="b">
        <v>1</v>
      </c>
    </row>
    <row r="64" spans="1:31" x14ac:dyDescent="0.35">
      <c r="A64" s="2">
        <f t="shared" si="1"/>
        <v>57</v>
      </c>
      <c r="B64" s="11" t="str">
        <f t="shared" si="14"/>
        <v>MeOH-AEC-cost-meoh-13320</v>
      </c>
      <c r="C64" s="118" t="str">
        <f>Scenarios_definition!B54</f>
        <v>cost-meoh-13320</v>
      </c>
      <c r="D64" t="s">
        <v>185</v>
      </c>
      <c r="E64" s="120" t="s">
        <v>91</v>
      </c>
      <c r="F64" t="s">
        <v>112</v>
      </c>
      <c r="G64" s="14" t="str">
        <f t="shared" si="0"/>
        <v>2030</v>
      </c>
      <c r="H64" s="14" t="s">
        <v>185</v>
      </c>
      <c r="I64" s="14" t="str">
        <f t="shared" si="3"/>
        <v>2018</v>
      </c>
      <c r="J64" s="14" t="s">
        <v>80</v>
      </c>
      <c r="K64" s="14">
        <v>0</v>
      </c>
      <c r="L64" s="14">
        <v>0</v>
      </c>
      <c r="M64" s="14">
        <v>-1</v>
      </c>
      <c r="N64" s="14">
        <v>1</v>
      </c>
      <c r="O64" s="14">
        <v>0</v>
      </c>
      <c r="P64" t="s">
        <v>177</v>
      </c>
      <c r="Q64" t="s">
        <v>178</v>
      </c>
      <c r="R64" s="104" t="s">
        <v>307</v>
      </c>
      <c r="S64" s="18" t="b">
        <v>0</v>
      </c>
      <c r="T64" t="b">
        <v>1</v>
      </c>
      <c r="U64" s="18" t="b">
        <v>0</v>
      </c>
      <c r="V64" t="b">
        <v>0</v>
      </c>
      <c r="W64" t="b">
        <v>1</v>
      </c>
      <c r="X64" t="b">
        <v>0</v>
      </c>
      <c r="Y64" t="b">
        <v>0</v>
      </c>
      <c r="Z64" t="b">
        <v>1</v>
      </c>
      <c r="AA64" t="b">
        <v>1</v>
      </c>
      <c r="AB64" s="19" t="b">
        <v>0</v>
      </c>
      <c r="AC64" t="b">
        <v>1</v>
      </c>
      <c r="AD64" t="b">
        <v>1</v>
      </c>
      <c r="AE64" t="b">
        <v>1</v>
      </c>
    </row>
    <row r="65" spans="1:31" x14ac:dyDescent="0.35">
      <c r="A65" s="2">
        <f t="shared" si="1"/>
        <v>58</v>
      </c>
      <c r="B65" s="11" t="str">
        <f t="shared" si="14"/>
        <v>MeOH-AEC-cost-meoh-14003</v>
      </c>
      <c r="C65" s="118" t="str">
        <f>Scenarios_definition!B56</f>
        <v>cost-meoh-14003</v>
      </c>
      <c r="D65" t="s">
        <v>185</v>
      </c>
      <c r="E65" s="120" t="s">
        <v>91</v>
      </c>
      <c r="F65" t="s">
        <v>112</v>
      </c>
      <c r="G65" s="14" t="str">
        <f t="shared" si="0"/>
        <v>2030</v>
      </c>
      <c r="H65" s="14" t="s">
        <v>185</v>
      </c>
      <c r="I65" s="14" t="str">
        <f t="shared" si="3"/>
        <v>2018</v>
      </c>
      <c r="J65" s="14" t="s">
        <v>80</v>
      </c>
      <c r="K65" s="14">
        <v>0</v>
      </c>
      <c r="L65" s="14">
        <v>0</v>
      </c>
      <c r="M65" s="14">
        <v>-1</v>
      </c>
      <c r="N65" s="14">
        <v>1</v>
      </c>
      <c r="O65" s="14">
        <v>0</v>
      </c>
      <c r="P65" t="s">
        <v>177</v>
      </c>
      <c r="Q65" t="s">
        <v>178</v>
      </c>
      <c r="R65" s="104" t="s">
        <v>307</v>
      </c>
      <c r="S65" s="18" t="b">
        <v>0</v>
      </c>
      <c r="T65" t="b">
        <v>1</v>
      </c>
      <c r="U65" s="18" t="b">
        <v>0</v>
      </c>
      <c r="V65" t="b">
        <v>0</v>
      </c>
      <c r="W65" t="b">
        <v>1</v>
      </c>
      <c r="X65" t="b">
        <v>0</v>
      </c>
      <c r="Y65" t="b">
        <v>0</v>
      </c>
      <c r="Z65" t="b">
        <v>1</v>
      </c>
      <c r="AA65" t="b">
        <v>1</v>
      </c>
      <c r="AB65" s="19" t="b">
        <v>0</v>
      </c>
      <c r="AC65" t="b">
        <v>1</v>
      </c>
      <c r="AD65" t="b">
        <v>1</v>
      </c>
      <c r="AE65" t="b">
        <v>1</v>
      </c>
    </row>
    <row r="66" spans="1:31" x14ac:dyDescent="0.35">
      <c r="A66" s="2">
        <f t="shared" si="1"/>
        <v>59</v>
      </c>
      <c r="B66" s="11" t="str">
        <f t="shared" ref="B66:B71" si="15">CONCATENATE($B$10,"-",C66)</f>
        <v>MeOH-SOEC-cost-meoh-10600</v>
      </c>
      <c r="C66" s="118" t="str">
        <f t="shared" ref="C66:C71" si="16">C60</f>
        <v>cost-meoh-10600</v>
      </c>
      <c r="D66" t="s">
        <v>185</v>
      </c>
      <c r="E66" s="120" t="s">
        <v>91</v>
      </c>
      <c r="F66" t="s">
        <v>112</v>
      </c>
      <c r="G66" s="14" t="str">
        <f t="shared" si="0"/>
        <v>2030</v>
      </c>
      <c r="H66" s="14" t="s">
        <v>185</v>
      </c>
      <c r="I66" s="14" t="str">
        <f t="shared" si="3"/>
        <v>2018</v>
      </c>
      <c r="J66" s="14" t="s">
        <v>92</v>
      </c>
      <c r="K66" s="14">
        <v>0</v>
      </c>
      <c r="L66" s="14">
        <v>0</v>
      </c>
      <c r="M66" s="14">
        <v>-1</v>
      </c>
      <c r="N66" s="14">
        <v>1</v>
      </c>
      <c r="O66" s="14">
        <v>0</v>
      </c>
      <c r="P66" t="s">
        <v>177</v>
      </c>
      <c r="Q66" t="s">
        <v>178</v>
      </c>
      <c r="R66" s="104" t="s">
        <v>307</v>
      </c>
      <c r="S66" s="18" t="b">
        <v>0</v>
      </c>
      <c r="T66" t="b">
        <v>1</v>
      </c>
      <c r="U66" s="18" t="b">
        <v>0</v>
      </c>
      <c r="V66" t="b">
        <v>0</v>
      </c>
      <c r="W66" t="b">
        <v>1</v>
      </c>
      <c r="X66" t="b">
        <v>0</v>
      </c>
      <c r="Y66" t="b">
        <v>0</v>
      </c>
      <c r="Z66" t="b">
        <v>1</v>
      </c>
      <c r="AA66" t="b">
        <v>1</v>
      </c>
      <c r="AB66" s="19" t="b">
        <v>0</v>
      </c>
      <c r="AC66" t="b">
        <v>1</v>
      </c>
      <c r="AD66" t="b">
        <v>1</v>
      </c>
      <c r="AE66" t="b">
        <v>1</v>
      </c>
    </row>
    <row r="67" spans="1:31" x14ac:dyDescent="0.35">
      <c r="A67" s="2">
        <f t="shared" si="1"/>
        <v>60</v>
      </c>
      <c r="B67" s="11" t="str">
        <f t="shared" si="15"/>
        <v>MeOH-SOEC-cost-meoh-11280</v>
      </c>
      <c r="C67" s="118" t="str">
        <f t="shared" si="16"/>
        <v>cost-meoh-11280</v>
      </c>
      <c r="D67" t="s">
        <v>185</v>
      </c>
      <c r="E67" s="120" t="s">
        <v>91</v>
      </c>
      <c r="F67" t="s">
        <v>112</v>
      </c>
      <c r="G67" s="14" t="str">
        <f t="shared" si="0"/>
        <v>2030</v>
      </c>
      <c r="H67" s="14" t="s">
        <v>185</v>
      </c>
      <c r="I67" s="14" t="str">
        <f t="shared" si="3"/>
        <v>2018</v>
      </c>
      <c r="J67" s="14" t="s">
        <v>92</v>
      </c>
      <c r="K67" s="14">
        <v>0</v>
      </c>
      <c r="L67" s="14">
        <v>0</v>
      </c>
      <c r="M67" s="14">
        <v>-1</v>
      </c>
      <c r="N67" s="14">
        <v>1</v>
      </c>
      <c r="O67" s="14">
        <v>0</v>
      </c>
      <c r="P67" t="s">
        <v>177</v>
      </c>
      <c r="Q67" t="s">
        <v>178</v>
      </c>
      <c r="R67" s="104" t="s">
        <v>307</v>
      </c>
      <c r="S67" s="18" t="b">
        <v>0</v>
      </c>
      <c r="T67" t="b">
        <v>1</v>
      </c>
      <c r="U67" s="18" t="b">
        <v>0</v>
      </c>
      <c r="V67" t="b">
        <v>0</v>
      </c>
      <c r="W67" t="b">
        <v>1</v>
      </c>
      <c r="X67" t="b">
        <v>0</v>
      </c>
      <c r="Y67" t="b">
        <v>0</v>
      </c>
      <c r="Z67" t="b">
        <v>1</v>
      </c>
      <c r="AA67" t="b">
        <v>1</v>
      </c>
      <c r="AB67" s="19" t="b">
        <v>0</v>
      </c>
      <c r="AC67" t="b">
        <v>1</v>
      </c>
      <c r="AD67" t="b">
        <v>1</v>
      </c>
      <c r="AE67" t="b">
        <v>1</v>
      </c>
    </row>
    <row r="68" spans="1:31" x14ac:dyDescent="0.35">
      <c r="A68" s="2">
        <f t="shared" si="1"/>
        <v>61</v>
      </c>
      <c r="B68" s="11" t="str">
        <f t="shared" si="15"/>
        <v>MeOH-SOEC-cost-meoh-11960</v>
      </c>
      <c r="C68" s="118" t="str">
        <f t="shared" si="16"/>
        <v>cost-meoh-11960</v>
      </c>
      <c r="D68" t="s">
        <v>185</v>
      </c>
      <c r="E68" s="120" t="s">
        <v>91</v>
      </c>
      <c r="F68" t="s">
        <v>112</v>
      </c>
      <c r="G68" s="14" t="str">
        <f t="shared" si="0"/>
        <v>2030</v>
      </c>
      <c r="H68" s="14" t="s">
        <v>185</v>
      </c>
      <c r="I68" s="14" t="str">
        <f t="shared" si="3"/>
        <v>2018</v>
      </c>
      <c r="J68" s="14" t="s">
        <v>92</v>
      </c>
      <c r="K68" s="14">
        <v>0</v>
      </c>
      <c r="L68" s="14">
        <v>0</v>
      </c>
      <c r="M68" s="14">
        <v>-1</v>
      </c>
      <c r="N68" s="14">
        <v>1</v>
      </c>
      <c r="O68" s="14">
        <v>0</v>
      </c>
      <c r="P68" t="s">
        <v>177</v>
      </c>
      <c r="Q68" t="s">
        <v>178</v>
      </c>
      <c r="R68" s="104" t="s">
        <v>307</v>
      </c>
      <c r="S68" s="18" t="b">
        <v>0</v>
      </c>
      <c r="T68" t="b">
        <v>1</v>
      </c>
      <c r="U68" s="18" t="b">
        <v>0</v>
      </c>
      <c r="V68" t="b">
        <v>0</v>
      </c>
      <c r="W68" t="b">
        <v>1</v>
      </c>
      <c r="X68" t="b">
        <v>0</v>
      </c>
      <c r="Y68" t="b">
        <v>0</v>
      </c>
      <c r="Z68" t="b">
        <v>1</v>
      </c>
      <c r="AA68" t="b">
        <v>1</v>
      </c>
      <c r="AB68" s="19" t="b">
        <v>0</v>
      </c>
      <c r="AC68" t="b">
        <v>1</v>
      </c>
      <c r="AD68" t="b">
        <v>1</v>
      </c>
      <c r="AE68" t="b">
        <v>1</v>
      </c>
    </row>
    <row r="69" spans="1:31" x14ac:dyDescent="0.35">
      <c r="A69" s="2">
        <f t="shared" si="1"/>
        <v>62</v>
      </c>
      <c r="B69" s="11" t="str">
        <f t="shared" si="15"/>
        <v>MeOH-SOEC-cost-meoh-12640</v>
      </c>
      <c r="C69" s="118" t="str">
        <f t="shared" si="16"/>
        <v>cost-meoh-12640</v>
      </c>
      <c r="D69" t="s">
        <v>185</v>
      </c>
      <c r="E69" s="120" t="s">
        <v>91</v>
      </c>
      <c r="F69" t="s">
        <v>112</v>
      </c>
      <c r="G69" s="14" t="str">
        <f t="shared" si="0"/>
        <v>2030</v>
      </c>
      <c r="H69" s="14" t="s">
        <v>185</v>
      </c>
      <c r="I69" s="14" t="str">
        <f t="shared" si="3"/>
        <v>2018</v>
      </c>
      <c r="J69" s="14" t="s">
        <v>92</v>
      </c>
      <c r="K69" s="14">
        <v>0</v>
      </c>
      <c r="L69" s="14">
        <v>0</v>
      </c>
      <c r="M69" s="14">
        <v>-1</v>
      </c>
      <c r="N69" s="14">
        <v>1</v>
      </c>
      <c r="O69" s="14">
        <v>0</v>
      </c>
      <c r="P69" t="s">
        <v>177</v>
      </c>
      <c r="Q69" t="s">
        <v>178</v>
      </c>
      <c r="R69" s="104" t="s">
        <v>307</v>
      </c>
      <c r="S69" s="18" t="b">
        <v>0</v>
      </c>
      <c r="T69" t="b">
        <v>1</v>
      </c>
      <c r="U69" s="18" t="b">
        <v>0</v>
      </c>
      <c r="V69" t="b">
        <v>0</v>
      </c>
      <c r="W69" t="b">
        <v>1</v>
      </c>
      <c r="X69" t="b">
        <v>0</v>
      </c>
      <c r="Y69" t="b">
        <v>0</v>
      </c>
      <c r="Z69" t="b">
        <v>1</v>
      </c>
      <c r="AA69" t="b">
        <v>1</v>
      </c>
      <c r="AB69" s="19" t="b">
        <v>0</v>
      </c>
      <c r="AC69" t="b">
        <v>1</v>
      </c>
      <c r="AD69" t="b">
        <v>1</v>
      </c>
      <c r="AE69" t="b">
        <v>1</v>
      </c>
    </row>
    <row r="70" spans="1:31" x14ac:dyDescent="0.35">
      <c r="A70" s="2">
        <f t="shared" si="1"/>
        <v>63</v>
      </c>
      <c r="B70" s="11" t="str">
        <f t="shared" si="15"/>
        <v>MeOH-SOEC-cost-meoh-13320</v>
      </c>
      <c r="C70" s="118" t="str">
        <f t="shared" si="16"/>
        <v>cost-meoh-13320</v>
      </c>
      <c r="D70" t="s">
        <v>185</v>
      </c>
      <c r="E70" s="120" t="s">
        <v>91</v>
      </c>
      <c r="F70" t="s">
        <v>112</v>
      </c>
      <c r="G70" s="14" t="str">
        <f t="shared" si="0"/>
        <v>2030</v>
      </c>
      <c r="H70" s="14" t="s">
        <v>185</v>
      </c>
      <c r="I70" s="14" t="str">
        <f t="shared" si="3"/>
        <v>2018</v>
      </c>
      <c r="J70" s="14" t="s">
        <v>92</v>
      </c>
      <c r="K70" s="14">
        <v>0</v>
      </c>
      <c r="L70" s="14">
        <v>0</v>
      </c>
      <c r="M70" s="14">
        <v>-1</v>
      </c>
      <c r="N70" s="14">
        <v>1</v>
      </c>
      <c r="O70" s="14">
        <v>0</v>
      </c>
      <c r="P70" t="s">
        <v>177</v>
      </c>
      <c r="Q70" t="s">
        <v>178</v>
      </c>
      <c r="R70" s="104" t="s">
        <v>307</v>
      </c>
      <c r="S70" s="18" t="b">
        <v>0</v>
      </c>
      <c r="T70" t="b">
        <v>1</v>
      </c>
      <c r="U70" s="18" t="b">
        <v>0</v>
      </c>
      <c r="V70" t="b">
        <v>0</v>
      </c>
      <c r="W70" t="b">
        <v>1</v>
      </c>
      <c r="X70" t="b">
        <v>0</v>
      </c>
      <c r="Y70" t="b">
        <v>0</v>
      </c>
      <c r="Z70" t="b">
        <v>1</v>
      </c>
      <c r="AA70" t="b">
        <v>1</v>
      </c>
      <c r="AB70" s="19" t="b">
        <v>0</v>
      </c>
      <c r="AC70" t="b">
        <v>1</v>
      </c>
      <c r="AD70" t="b">
        <v>1</v>
      </c>
      <c r="AE70" t="b">
        <v>1</v>
      </c>
    </row>
    <row r="71" spans="1:31" x14ac:dyDescent="0.35">
      <c r="A71" s="2">
        <f t="shared" si="1"/>
        <v>64</v>
      </c>
      <c r="B71" s="11" t="str">
        <f t="shared" si="15"/>
        <v>MeOH-SOEC-cost-meoh-14003</v>
      </c>
      <c r="C71" s="118" t="str">
        <f t="shared" si="16"/>
        <v>cost-meoh-14003</v>
      </c>
      <c r="D71" t="s">
        <v>185</v>
      </c>
      <c r="E71" s="120" t="s">
        <v>91</v>
      </c>
      <c r="F71" t="s">
        <v>112</v>
      </c>
      <c r="G71" s="14" t="str">
        <f t="shared" si="0"/>
        <v>2030</v>
      </c>
      <c r="H71" s="14" t="s">
        <v>185</v>
      </c>
      <c r="I71" s="14" t="str">
        <f t="shared" si="3"/>
        <v>2018</v>
      </c>
      <c r="J71" s="14" t="s">
        <v>92</v>
      </c>
      <c r="K71" s="14">
        <v>0</v>
      </c>
      <c r="L71" s="14">
        <v>0</v>
      </c>
      <c r="M71" s="14">
        <v>-1</v>
      </c>
      <c r="N71" s="14">
        <v>1</v>
      </c>
      <c r="O71" s="14">
        <v>0</v>
      </c>
      <c r="P71" t="s">
        <v>177</v>
      </c>
      <c r="Q71" t="s">
        <v>178</v>
      </c>
      <c r="R71" s="104" t="s">
        <v>307</v>
      </c>
      <c r="S71" s="18" t="b">
        <v>0</v>
      </c>
      <c r="T71" t="b">
        <v>1</v>
      </c>
      <c r="U71" s="18" t="b">
        <v>0</v>
      </c>
      <c r="V71" t="b">
        <v>0</v>
      </c>
      <c r="W71" t="b">
        <v>1</v>
      </c>
      <c r="X71" t="b">
        <v>0</v>
      </c>
      <c r="Y71" t="b">
        <v>0</v>
      </c>
      <c r="Z71" t="b">
        <v>1</v>
      </c>
      <c r="AA71" t="b">
        <v>1</v>
      </c>
      <c r="AB71" s="19" t="b">
        <v>0</v>
      </c>
      <c r="AC71" t="b">
        <v>1</v>
      </c>
      <c r="AD71" t="b">
        <v>1</v>
      </c>
      <c r="AE71" t="b">
        <v>1</v>
      </c>
    </row>
    <row r="72" spans="1:31" x14ac:dyDescent="0.35">
      <c r="A72" s="2">
        <f t="shared" si="1"/>
        <v>65</v>
      </c>
      <c r="B72" s="11" t="str">
        <f t="shared" ref="B72:B77" si="17">CONCATENATE($B$9,"-",C72)</f>
        <v>Biofuel-AEC-cost-upgrade-1698</v>
      </c>
      <c r="C72" s="110" t="s">
        <v>250</v>
      </c>
      <c r="D72" t="s">
        <v>185</v>
      </c>
      <c r="E72" s="119" t="s">
        <v>193</v>
      </c>
      <c r="F72" t="s">
        <v>112</v>
      </c>
      <c r="G72" s="14" t="str">
        <f t="shared" ref="G72:G195" si="18">"2030"</f>
        <v>2030</v>
      </c>
      <c r="H72" s="14" t="s">
        <v>185</v>
      </c>
      <c r="I72" s="14" t="str">
        <f t="shared" ref="I72:I195" si="19">"2018"</f>
        <v>2018</v>
      </c>
      <c r="J72" s="14" t="s">
        <v>80</v>
      </c>
      <c r="K72" s="14">
        <v>0</v>
      </c>
      <c r="L72" s="14">
        <v>0</v>
      </c>
      <c r="M72" s="14">
        <v>-1</v>
      </c>
      <c r="N72" s="14">
        <v>1</v>
      </c>
      <c r="O72" s="14">
        <v>0</v>
      </c>
      <c r="P72" t="s">
        <v>177</v>
      </c>
      <c r="Q72" t="s">
        <v>178</v>
      </c>
      <c r="R72" s="104" t="s">
        <v>307</v>
      </c>
      <c r="S72" s="18" t="b">
        <v>0</v>
      </c>
      <c r="T72" t="b">
        <v>1</v>
      </c>
      <c r="U72" s="18" t="b">
        <v>0</v>
      </c>
      <c r="V72" t="b">
        <v>0</v>
      </c>
      <c r="W72" t="b">
        <v>1</v>
      </c>
      <c r="X72" t="b">
        <v>0</v>
      </c>
      <c r="Y72" t="b">
        <v>0</v>
      </c>
      <c r="Z72" t="b">
        <v>1</v>
      </c>
      <c r="AA72" t="b">
        <v>1</v>
      </c>
      <c r="AB72" s="19" t="b">
        <v>0</v>
      </c>
      <c r="AC72" t="b">
        <v>1</v>
      </c>
      <c r="AD72" t="b">
        <v>1</v>
      </c>
      <c r="AE72" t="b">
        <v>1</v>
      </c>
    </row>
    <row r="73" spans="1:31" x14ac:dyDescent="0.35">
      <c r="A73" s="2">
        <f t="shared" si="1"/>
        <v>66</v>
      </c>
      <c r="B73" s="11" t="str">
        <f t="shared" si="17"/>
        <v>Biofuel-AEC-cost-upgrade-2557</v>
      </c>
      <c r="C73" s="110" t="s">
        <v>251</v>
      </c>
      <c r="D73" t="s">
        <v>185</v>
      </c>
      <c r="E73" s="119" t="s">
        <v>193</v>
      </c>
      <c r="F73" t="s">
        <v>112</v>
      </c>
      <c r="G73" s="14" t="str">
        <f t="shared" si="18"/>
        <v>2030</v>
      </c>
      <c r="H73" s="14" t="s">
        <v>185</v>
      </c>
      <c r="I73" s="14" t="str">
        <f t="shared" si="19"/>
        <v>2018</v>
      </c>
      <c r="J73" s="14" t="s">
        <v>80</v>
      </c>
      <c r="K73" s="14">
        <v>0</v>
      </c>
      <c r="L73" s="14">
        <v>0</v>
      </c>
      <c r="M73" s="14">
        <v>-1</v>
      </c>
      <c r="N73" s="14">
        <v>1</v>
      </c>
      <c r="O73" s="14">
        <v>0</v>
      </c>
      <c r="P73" t="s">
        <v>177</v>
      </c>
      <c r="Q73" t="s">
        <v>178</v>
      </c>
      <c r="R73" s="104" t="s">
        <v>307</v>
      </c>
      <c r="S73" s="18" t="b">
        <v>0</v>
      </c>
      <c r="T73" t="b">
        <v>1</v>
      </c>
      <c r="U73" s="18" t="b">
        <v>0</v>
      </c>
      <c r="V73" t="b">
        <v>0</v>
      </c>
      <c r="W73" t="b">
        <v>1</v>
      </c>
      <c r="X73" t="b">
        <v>0</v>
      </c>
      <c r="Y73" t="b">
        <v>0</v>
      </c>
      <c r="Z73" t="b">
        <v>1</v>
      </c>
      <c r="AA73" t="b">
        <v>1</v>
      </c>
      <c r="AB73" s="19" t="b">
        <v>0</v>
      </c>
      <c r="AC73" t="b">
        <v>1</v>
      </c>
      <c r="AD73" t="b">
        <v>1</v>
      </c>
      <c r="AE73" t="b">
        <v>1</v>
      </c>
    </row>
    <row r="74" spans="1:31" x14ac:dyDescent="0.35">
      <c r="A74" s="2">
        <f t="shared" si="1"/>
        <v>67</v>
      </c>
      <c r="B74" s="11" t="str">
        <f t="shared" si="17"/>
        <v>Biofuel-AEC-cost-upgrade-3416</v>
      </c>
      <c r="C74" s="110" t="s">
        <v>252</v>
      </c>
      <c r="D74" t="s">
        <v>185</v>
      </c>
      <c r="E74" s="119" t="s">
        <v>193</v>
      </c>
      <c r="F74" t="s">
        <v>112</v>
      </c>
      <c r="G74" s="14" t="str">
        <f t="shared" si="18"/>
        <v>2030</v>
      </c>
      <c r="H74" s="14" t="s">
        <v>185</v>
      </c>
      <c r="I74" s="14" t="str">
        <f t="shared" si="19"/>
        <v>2018</v>
      </c>
      <c r="J74" s="14" t="s">
        <v>80</v>
      </c>
      <c r="K74" s="14">
        <v>0</v>
      </c>
      <c r="L74" s="14">
        <v>0</v>
      </c>
      <c r="M74" s="14">
        <v>-1</v>
      </c>
      <c r="N74" s="14">
        <v>1</v>
      </c>
      <c r="O74" s="14">
        <v>0</v>
      </c>
      <c r="P74" t="s">
        <v>177</v>
      </c>
      <c r="Q74" t="s">
        <v>178</v>
      </c>
      <c r="R74" s="104" t="s">
        <v>307</v>
      </c>
      <c r="S74" s="18" t="b">
        <v>0</v>
      </c>
      <c r="T74" t="b">
        <v>1</v>
      </c>
      <c r="U74" s="18" t="b">
        <v>0</v>
      </c>
      <c r="V74" t="b">
        <v>0</v>
      </c>
      <c r="W74" t="b">
        <v>1</v>
      </c>
      <c r="X74" t="b">
        <v>0</v>
      </c>
      <c r="Y74" t="b">
        <v>0</v>
      </c>
      <c r="Z74" t="b">
        <v>1</v>
      </c>
      <c r="AA74" t="b">
        <v>1</v>
      </c>
      <c r="AB74" s="19" t="b">
        <v>0</v>
      </c>
      <c r="AC74" t="b">
        <v>1</v>
      </c>
      <c r="AD74" t="b">
        <v>1</v>
      </c>
      <c r="AE74" t="b">
        <v>1</v>
      </c>
    </row>
    <row r="75" spans="1:31" x14ac:dyDescent="0.35">
      <c r="A75" s="2">
        <f t="shared" si="1"/>
        <v>68</v>
      </c>
      <c r="B75" s="11" t="str">
        <f t="shared" si="17"/>
        <v>Biofuel-AEC-cost-upgrade-4275</v>
      </c>
      <c r="C75" s="110" t="s">
        <v>253</v>
      </c>
      <c r="D75" t="s">
        <v>185</v>
      </c>
      <c r="E75" s="119" t="s">
        <v>193</v>
      </c>
      <c r="F75" t="s">
        <v>112</v>
      </c>
      <c r="G75" s="14" t="str">
        <f t="shared" si="18"/>
        <v>2030</v>
      </c>
      <c r="H75" s="14" t="s">
        <v>185</v>
      </c>
      <c r="I75" s="14" t="str">
        <f t="shared" si="19"/>
        <v>2018</v>
      </c>
      <c r="J75" s="14" t="s">
        <v>80</v>
      </c>
      <c r="K75" s="14">
        <v>0</v>
      </c>
      <c r="L75" s="14">
        <v>0</v>
      </c>
      <c r="M75" s="14">
        <v>-1</v>
      </c>
      <c r="N75" s="14">
        <v>1</v>
      </c>
      <c r="O75" s="14">
        <v>0</v>
      </c>
      <c r="P75" t="s">
        <v>177</v>
      </c>
      <c r="Q75" t="s">
        <v>178</v>
      </c>
      <c r="R75" s="104" t="s">
        <v>307</v>
      </c>
      <c r="S75" s="18" t="b">
        <v>0</v>
      </c>
      <c r="T75" t="b">
        <v>1</v>
      </c>
      <c r="U75" s="18" t="b">
        <v>0</v>
      </c>
      <c r="V75" t="b">
        <v>0</v>
      </c>
      <c r="W75" t="b">
        <v>1</v>
      </c>
      <c r="X75" t="b">
        <v>0</v>
      </c>
      <c r="Y75" t="b">
        <v>0</v>
      </c>
      <c r="Z75" t="b">
        <v>1</v>
      </c>
      <c r="AA75" t="b">
        <v>1</v>
      </c>
      <c r="AB75" s="19" t="b">
        <v>0</v>
      </c>
      <c r="AC75" t="b">
        <v>1</v>
      </c>
      <c r="AD75" t="b">
        <v>1</v>
      </c>
      <c r="AE75" t="b">
        <v>1</v>
      </c>
    </row>
    <row r="76" spans="1:31" x14ac:dyDescent="0.35">
      <c r="A76" s="2">
        <f t="shared" ref="A76:A108" si="20">ROW(A76)-ROW($A$7)</f>
        <v>69</v>
      </c>
      <c r="B76" s="11" t="str">
        <f t="shared" si="17"/>
        <v>Biofuel-AEC-cost-upgrade-5134</v>
      </c>
      <c r="C76" s="110" t="s">
        <v>254</v>
      </c>
      <c r="D76" t="s">
        <v>185</v>
      </c>
      <c r="E76" s="119" t="s">
        <v>193</v>
      </c>
      <c r="F76" t="s">
        <v>112</v>
      </c>
      <c r="G76" s="14" t="str">
        <f t="shared" si="18"/>
        <v>2030</v>
      </c>
      <c r="H76" s="14" t="s">
        <v>185</v>
      </c>
      <c r="I76" s="14" t="str">
        <f t="shared" si="19"/>
        <v>2018</v>
      </c>
      <c r="J76" s="14" t="s">
        <v>80</v>
      </c>
      <c r="K76" s="14">
        <v>0</v>
      </c>
      <c r="L76" s="14">
        <v>0</v>
      </c>
      <c r="M76" s="14">
        <v>-1</v>
      </c>
      <c r="N76" s="14">
        <v>1</v>
      </c>
      <c r="O76" s="14">
        <v>0</v>
      </c>
      <c r="P76" t="s">
        <v>177</v>
      </c>
      <c r="Q76" t="s">
        <v>178</v>
      </c>
      <c r="R76" s="104" t="s">
        <v>307</v>
      </c>
      <c r="S76" s="18" t="b">
        <v>0</v>
      </c>
      <c r="T76" t="b">
        <v>1</v>
      </c>
      <c r="U76" s="18" t="b">
        <v>0</v>
      </c>
      <c r="V76" t="b">
        <v>0</v>
      </c>
      <c r="W76" t="b">
        <v>1</v>
      </c>
      <c r="X76" t="b">
        <v>0</v>
      </c>
      <c r="Y76" t="b">
        <v>0</v>
      </c>
      <c r="Z76" t="b">
        <v>1</v>
      </c>
      <c r="AA76" t="b">
        <v>1</v>
      </c>
      <c r="AB76" s="19" t="b">
        <v>0</v>
      </c>
      <c r="AC76" t="b">
        <v>1</v>
      </c>
      <c r="AD76" t="b">
        <v>1</v>
      </c>
      <c r="AE76" t="b">
        <v>1</v>
      </c>
    </row>
    <row r="77" spans="1:31" x14ac:dyDescent="0.35">
      <c r="A77" s="2">
        <f t="shared" si="20"/>
        <v>70</v>
      </c>
      <c r="B77" s="11" t="str">
        <f t="shared" si="17"/>
        <v>Biofuel-AEC-cost-upgrade-5993</v>
      </c>
      <c r="C77" s="110" t="s">
        <v>255</v>
      </c>
      <c r="D77" t="s">
        <v>185</v>
      </c>
      <c r="E77" s="119" t="s">
        <v>193</v>
      </c>
      <c r="F77" t="s">
        <v>112</v>
      </c>
      <c r="G77" s="14" t="str">
        <f t="shared" si="18"/>
        <v>2030</v>
      </c>
      <c r="H77" s="14" t="s">
        <v>185</v>
      </c>
      <c r="I77" s="14" t="str">
        <f t="shared" si="19"/>
        <v>2018</v>
      </c>
      <c r="J77" s="14" t="s">
        <v>80</v>
      </c>
      <c r="K77" s="14">
        <v>0</v>
      </c>
      <c r="L77" s="14">
        <v>0</v>
      </c>
      <c r="M77" s="14">
        <v>-1</v>
      </c>
      <c r="N77" s="14">
        <v>1</v>
      </c>
      <c r="O77" s="14">
        <v>0</v>
      </c>
      <c r="P77" t="s">
        <v>177</v>
      </c>
      <c r="Q77" t="s">
        <v>178</v>
      </c>
      <c r="R77" s="104" t="s">
        <v>307</v>
      </c>
      <c r="S77" s="18" t="b">
        <v>0</v>
      </c>
      <c r="T77" t="b">
        <v>1</v>
      </c>
      <c r="U77" s="18" t="b">
        <v>0</v>
      </c>
      <c r="V77" t="b">
        <v>0</v>
      </c>
      <c r="W77" t="b">
        <v>1</v>
      </c>
      <c r="X77" t="b">
        <v>0</v>
      </c>
      <c r="Y77" t="b">
        <v>0</v>
      </c>
      <c r="Z77" t="b">
        <v>1</v>
      </c>
      <c r="AA77" t="b">
        <v>1</v>
      </c>
      <c r="AB77" s="19" t="b">
        <v>0</v>
      </c>
      <c r="AC77" t="b">
        <v>1</v>
      </c>
      <c r="AD77" t="b">
        <v>1</v>
      </c>
      <c r="AE77" t="b">
        <v>1</v>
      </c>
    </row>
    <row r="78" spans="1:31" x14ac:dyDescent="0.35">
      <c r="A78" s="2">
        <f t="shared" si="20"/>
        <v>71</v>
      </c>
      <c r="B78" s="11" t="str">
        <f t="shared" ref="B78:B83" si="21">CONCATENATE($B$11,"-",C78)</f>
        <v>Biofuel-SOEC-cost-upgrade-1698</v>
      </c>
      <c r="C78" s="110" t="str">
        <f t="shared" ref="C78:C83" si="22">C72</f>
        <v>cost-upgrade-1698</v>
      </c>
      <c r="D78" t="s">
        <v>185</v>
      </c>
      <c r="E78" s="119" t="s">
        <v>193</v>
      </c>
      <c r="F78" t="s">
        <v>112</v>
      </c>
      <c r="G78" s="14" t="str">
        <f t="shared" si="18"/>
        <v>2030</v>
      </c>
      <c r="H78" s="14" t="s">
        <v>185</v>
      </c>
      <c r="I78" s="14" t="str">
        <f t="shared" si="19"/>
        <v>2018</v>
      </c>
      <c r="J78" s="14" t="s">
        <v>92</v>
      </c>
      <c r="K78" s="14">
        <v>0</v>
      </c>
      <c r="L78" s="14">
        <v>0</v>
      </c>
      <c r="M78" s="14">
        <v>-1</v>
      </c>
      <c r="N78" s="14">
        <v>1</v>
      </c>
      <c r="O78" s="14">
        <v>0</v>
      </c>
      <c r="P78" t="s">
        <v>177</v>
      </c>
      <c r="Q78" t="s">
        <v>178</v>
      </c>
      <c r="R78" s="104" t="s">
        <v>307</v>
      </c>
      <c r="S78" s="18" t="b">
        <v>0</v>
      </c>
      <c r="T78" t="b">
        <v>1</v>
      </c>
      <c r="U78" s="18" t="b">
        <v>0</v>
      </c>
      <c r="V78" t="b">
        <v>0</v>
      </c>
      <c r="W78" t="b">
        <v>1</v>
      </c>
      <c r="X78" t="b">
        <v>0</v>
      </c>
      <c r="Y78" t="b">
        <v>0</v>
      </c>
      <c r="Z78" t="b">
        <v>1</v>
      </c>
      <c r="AA78" t="b">
        <v>1</v>
      </c>
      <c r="AB78" s="19" t="b">
        <v>0</v>
      </c>
      <c r="AC78" t="b">
        <v>1</v>
      </c>
      <c r="AD78" t="b">
        <v>1</v>
      </c>
      <c r="AE78" t="b">
        <v>1</v>
      </c>
    </row>
    <row r="79" spans="1:31" x14ac:dyDescent="0.35">
      <c r="A79" s="2">
        <f t="shared" si="20"/>
        <v>72</v>
      </c>
      <c r="B79" s="11" t="str">
        <f t="shared" si="21"/>
        <v>Biofuel-SOEC-cost-upgrade-2557</v>
      </c>
      <c r="C79" s="110" t="str">
        <f t="shared" si="22"/>
        <v>cost-upgrade-2557</v>
      </c>
      <c r="D79" t="s">
        <v>185</v>
      </c>
      <c r="E79" s="119" t="s">
        <v>193</v>
      </c>
      <c r="F79" t="s">
        <v>112</v>
      </c>
      <c r="G79" s="14" t="str">
        <f t="shared" si="18"/>
        <v>2030</v>
      </c>
      <c r="H79" s="14" t="s">
        <v>185</v>
      </c>
      <c r="I79" s="14" t="str">
        <f t="shared" si="19"/>
        <v>2018</v>
      </c>
      <c r="J79" s="14" t="s">
        <v>92</v>
      </c>
      <c r="K79" s="14">
        <v>0</v>
      </c>
      <c r="L79" s="14">
        <v>0</v>
      </c>
      <c r="M79" s="14">
        <v>-1</v>
      </c>
      <c r="N79" s="14">
        <v>1</v>
      </c>
      <c r="O79" s="14">
        <v>0</v>
      </c>
      <c r="P79" t="s">
        <v>177</v>
      </c>
      <c r="Q79" t="s">
        <v>178</v>
      </c>
      <c r="R79" s="104" t="s">
        <v>307</v>
      </c>
      <c r="S79" s="18" t="b">
        <v>0</v>
      </c>
      <c r="T79" t="b">
        <v>1</v>
      </c>
      <c r="U79" s="18" t="b">
        <v>0</v>
      </c>
      <c r="V79" t="b">
        <v>0</v>
      </c>
      <c r="W79" t="b">
        <v>1</v>
      </c>
      <c r="X79" t="b">
        <v>0</v>
      </c>
      <c r="Y79" t="b">
        <v>0</v>
      </c>
      <c r="Z79" t="b">
        <v>1</v>
      </c>
      <c r="AA79" t="b">
        <v>1</v>
      </c>
      <c r="AB79" s="19" t="b">
        <v>0</v>
      </c>
      <c r="AC79" t="b">
        <v>1</v>
      </c>
      <c r="AD79" t="b">
        <v>1</v>
      </c>
      <c r="AE79" t="b">
        <v>1</v>
      </c>
    </row>
    <row r="80" spans="1:31" x14ac:dyDescent="0.35">
      <c r="A80" s="2">
        <f t="shared" si="20"/>
        <v>73</v>
      </c>
      <c r="B80" s="11" t="str">
        <f t="shared" si="21"/>
        <v>Biofuel-SOEC-cost-upgrade-3416</v>
      </c>
      <c r="C80" s="110" t="str">
        <f t="shared" si="22"/>
        <v>cost-upgrade-3416</v>
      </c>
      <c r="D80" t="s">
        <v>185</v>
      </c>
      <c r="E80" s="119" t="s">
        <v>193</v>
      </c>
      <c r="F80" t="s">
        <v>112</v>
      </c>
      <c r="G80" s="14" t="str">
        <f t="shared" si="18"/>
        <v>2030</v>
      </c>
      <c r="H80" s="14" t="s">
        <v>185</v>
      </c>
      <c r="I80" s="14" t="str">
        <f t="shared" si="19"/>
        <v>2018</v>
      </c>
      <c r="J80" s="14" t="s">
        <v>92</v>
      </c>
      <c r="K80" s="14">
        <v>0</v>
      </c>
      <c r="L80" s="14">
        <v>0</v>
      </c>
      <c r="M80" s="14">
        <v>-1</v>
      </c>
      <c r="N80" s="14">
        <v>1</v>
      </c>
      <c r="O80" s="14">
        <v>0</v>
      </c>
      <c r="P80" t="s">
        <v>177</v>
      </c>
      <c r="Q80" t="s">
        <v>178</v>
      </c>
      <c r="R80" s="104" t="s">
        <v>307</v>
      </c>
      <c r="S80" s="18" t="b">
        <v>0</v>
      </c>
      <c r="T80" t="b">
        <v>1</v>
      </c>
      <c r="U80" s="18" t="b">
        <v>0</v>
      </c>
      <c r="V80" t="b">
        <v>0</v>
      </c>
      <c r="W80" t="b">
        <v>1</v>
      </c>
      <c r="X80" t="b">
        <v>0</v>
      </c>
      <c r="Y80" t="b">
        <v>0</v>
      </c>
      <c r="Z80" t="b">
        <v>1</v>
      </c>
      <c r="AA80" t="b">
        <v>1</v>
      </c>
      <c r="AB80" s="19" t="b">
        <v>0</v>
      </c>
      <c r="AC80" t="b">
        <v>1</v>
      </c>
      <c r="AD80" t="b">
        <v>1</v>
      </c>
      <c r="AE80" t="b">
        <v>1</v>
      </c>
    </row>
    <row r="81" spans="1:31" x14ac:dyDescent="0.35">
      <c r="A81" s="2">
        <f t="shared" si="20"/>
        <v>74</v>
      </c>
      <c r="B81" s="11" t="str">
        <f t="shared" si="21"/>
        <v>Biofuel-SOEC-cost-upgrade-4275</v>
      </c>
      <c r="C81" s="110" t="str">
        <f t="shared" si="22"/>
        <v>cost-upgrade-4275</v>
      </c>
      <c r="D81" t="s">
        <v>185</v>
      </c>
      <c r="E81" s="119" t="s">
        <v>193</v>
      </c>
      <c r="F81" t="s">
        <v>112</v>
      </c>
      <c r="G81" s="14" t="str">
        <f t="shared" si="18"/>
        <v>2030</v>
      </c>
      <c r="H81" s="14" t="s">
        <v>185</v>
      </c>
      <c r="I81" s="14" t="str">
        <f t="shared" si="19"/>
        <v>2018</v>
      </c>
      <c r="J81" s="14" t="s">
        <v>92</v>
      </c>
      <c r="K81" s="14">
        <v>0</v>
      </c>
      <c r="L81" s="14">
        <v>0</v>
      </c>
      <c r="M81" s="14">
        <v>-1</v>
      </c>
      <c r="N81" s="14">
        <v>1</v>
      </c>
      <c r="O81" s="14">
        <v>0</v>
      </c>
      <c r="P81" t="s">
        <v>177</v>
      </c>
      <c r="Q81" t="s">
        <v>178</v>
      </c>
      <c r="R81" s="104" t="s">
        <v>307</v>
      </c>
      <c r="S81" s="18" t="b">
        <v>0</v>
      </c>
      <c r="T81" t="b">
        <v>1</v>
      </c>
      <c r="U81" s="18" t="b">
        <v>0</v>
      </c>
      <c r="V81" t="b">
        <v>0</v>
      </c>
      <c r="W81" t="b">
        <v>1</v>
      </c>
      <c r="X81" t="b">
        <v>0</v>
      </c>
      <c r="Y81" t="b">
        <v>0</v>
      </c>
      <c r="Z81" t="b">
        <v>1</v>
      </c>
      <c r="AA81" t="b">
        <v>1</v>
      </c>
      <c r="AB81" s="19" t="b">
        <v>0</v>
      </c>
      <c r="AC81" t="b">
        <v>1</v>
      </c>
      <c r="AD81" t="b">
        <v>1</v>
      </c>
      <c r="AE81" t="b">
        <v>1</v>
      </c>
    </row>
    <row r="82" spans="1:31" x14ac:dyDescent="0.35">
      <c r="A82" s="2">
        <f t="shared" si="20"/>
        <v>75</v>
      </c>
      <c r="B82" s="11" t="str">
        <f t="shared" si="21"/>
        <v>Biofuel-SOEC-cost-upgrade-5134</v>
      </c>
      <c r="C82" s="110" t="str">
        <f t="shared" si="22"/>
        <v>cost-upgrade-5134</v>
      </c>
      <c r="D82" t="s">
        <v>185</v>
      </c>
      <c r="E82" s="119" t="s">
        <v>193</v>
      </c>
      <c r="F82" t="s">
        <v>112</v>
      </c>
      <c r="G82" s="14" t="str">
        <f t="shared" si="18"/>
        <v>2030</v>
      </c>
      <c r="H82" s="14" t="s">
        <v>185</v>
      </c>
      <c r="I82" s="14" t="str">
        <f t="shared" si="19"/>
        <v>2018</v>
      </c>
      <c r="J82" s="14" t="s">
        <v>92</v>
      </c>
      <c r="K82" s="14">
        <v>0</v>
      </c>
      <c r="L82" s="14">
        <v>0</v>
      </c>
      <c r="M82" s="14">
        <v>-1</v>
      </c>
      <c r="N82" s="14">
        <v>1</v>
      </c>
      <c r="O82" s="14">
        <v>0</v>
      </c>
      <c r="P82" t="s">
        <v>177</v>
      </c>
      <c r="Q82" t="s">
        <v>178</v>
      </c>
      <c r="R82" s="104" t="s">
        <v>307</v>
      </c>
      <c r="S82" s="18" t="b">
        <v>0</v>
      </c>
      <c r="T82" t="b">
        <v>1</v>
      </c>
      <c r="U82" s="18" t="b">
        <v>0</v>
      </c>
      <c r="V82" t="b">
        <v>0</v>
      </c>
      <c r="W82" t="b">
        <v>1</v>
      </c>
      <c r="X82" t="b">
        <v>0</v>
      </c>
      <c r="Y82" t="b">
        <v>0</v>
      </c>
      <c r="Z82" t="b">
        <v>1</v>
      </c>
      <c r="AA82" t="b">
        <v>1</v>
      </c>
      <c r="AB82" s="19" t="b">
        <v>0</v>
      </c>
      <c r="AC82" t="b">
        <v>1</v>
      </c>
      <c r="AD82" t="b">
        <v>1</v>
      </c>
      <c r="AE82" t="b">
        <v>1</v>
      </c>
    </row>
    <row r="83" spans="1:31" x14ac:dyDescent="0.35">
      <c r="A83" s="2">
        <f t="shared" si="20"/>
        <v>76</v>
      </c>
      <c r="B83" s="11" t="str">
        <f t="shared" si="21"/>
        <v>Biofuel-SOEC-cost-upgrade-5993</v>
      </c>
      <c r="C83" s="110" t="str">
        <f t="shared" si="22"/>
        <v>cost-upgrade-5993</v>
      </c>
      <c r="D83" t="s">
        <v>185</v>
      </c>
      <c r="E83" s="119" t="s">
        <v>193</v>
      </c>
      <c r="F83" t="s">
        <v>112</v>
      </c>
      <c r="G83" s="14" t="str">
        <f t="shared" si="18"/>
        <v>2030</v>
      </c>
      <c r="H83" s="14" t="s">
        <v>185</v>
      </c>
      <c r="I83" s="14" t="str">
        <f t="shared" si="19"/>
        <v>2018</v>
      </c>
      <c r="J83" s="14" t="s">
        <v>92</v>
      </c>
      <c r="K83" s="14">
        <v>0</v>
      </c>
      <c r="L83" s="14">
        <v>0</v>
      </c>
      <c r="M83" s="14">
        <v>-1</v>
      </c>
      <c r="N83" s="14">
        <v>1</v>
      </c>
      <c r="O83" s="14">
        <v>0</v>
      </c>
      <c r="P83" t="s">
        <v>177</v>
      </c>
      <c r="Q83" t="s">
        <v>178</v>
      </c>
      <c r="R83" s="104" t="s">
        <v>307</v>
      </c>
      <c r="S83" s="18" t="b">
        <v>0</v>
      </c>
      <c r="T83" t="b">
        <v>1</v>
      </c>
      <c r="U83" s="18" t="b">
        <v>0</v>
      </c>
      <c r="V83" t="b">
        <v>0</v>
      </c>
      <c r="W83" t="b">
        <v>1</v>
      </c>
      <c r="X83" t="b">
        <v>0</v>
      </c>
      <c r="Y83" t="b">
        <v>0</v>
      </c>
      <c r="Z83" t="b">
        <v>1</v>
      </c>
      <c r="AA83" t="b">
        <v>1</v>
      </c>
      <c r="AB83" s="19" t="b">
        <v>0</v>
      </c>
      <c r="AC83" t="b">
        <v>1</v>
      </c>
      <c r="AD83" t="b">
        <v>1</v>
      </c>
      <c r="AE83" t="b">
        <v>1</v>
      </c>
    </row>
    <row r="84" spans="1:31" x14ac:dyDescent="0.35">
      <c r="A84" s="2">
        <f t="shared" si="20"/>
        <v>77</v>
      </c>
      <c r="B84" t="s">
        <v>256</v>
      </c>
      <c r="C84" s="14" t="s">
        <v>256</v>
      </c>
      <c r="D84" t="s">
        <v>185</v>
      </c>
      <c r="E84" s="119" t="s">
        <v>193</v>
      </c>
      <c r="F84" t="s">
        <v>112</v>
      </c>
      <c r="G84" s="14" t="str">
        <f t="shared" si="18"/>
        <v>2030</v>
      </c>
      <c r="H84" s="14" t="s">
        <v>185</v>
      </c>
      <c r="I84" s="14" t="str">
        <f t="shared" si="19"/>
        <v>2018</v>
      </c>
      <c r="J84" s="14" t="s">
        <v>80</v>
      </c>
      <c r="K84" s="14">
        <v>0</v>
      </c>
      <c r="L84" s="14">
        <v>0</v>
      </c>
      <c r="M84" s="14">
        <v>-1</v>
      </c>
      <c r="N84" s="14">
        <v>1</v>
      </c>
      <c r="O84" s="14">
        <v>0</v>
      </c>
      <c r="P84" t="s">
        <v>177</v>
      </c>
      <c r="Q84" t="s">
        <v>178</v>
      </c>
      <c r="R84" s="104" t="s">
        <v>307</v>
      </c>
      <c r="S84" s="18" t="b">
        <v>0</v>
      </c>
      <c r="T84" t="b">
        <v>1</v>
      </c>
      <c r="U84" s="18" t="b">
        <v>0</v>
      </c>
      <c r="V84" t="b">
        <v>0</v>
      </c>
      <c r="W84" t="b">
        <v>1</v>
      </c>
      <c r="X84" t="b">
        <v>0</v>
      </c>
      <c r="Y84" t="b">
        <v>0</v>
      </c>
      <c r="Z84" t="b">
        <v>1</v>
      </c>
      <c r="AA84" t="b">
        <v>1</v>
      </c>
      <c r="AB84" s="19" t="b">
        <v>0</v>
      </c>
      <c r="AC84" t="b">
        <v>1</v>
      </c>
      <c r="AD84" t="b">
        <v>1</v>
      </c>
      <c r="AE84" t="b">
        <v>1</v>
      </c>
    </row>
    <row r="85" spans="1:31" x14ac:dyDescent="0.35">
      <c r="A85" s="2">
        <f t="shared" si="20"/>
        <v>78</v>
      </c>
      <c r="B85" s="11" t="str">
        <f t="shared" ref="B85:B90" si="23">CONCATENATE($B$8,"-",C85)</f>
        <v>MeOH-AEC-cost-CO2-80</v>
      </c>
      <c r="C85" s="126" t="s">
        <v>287</v>
      </c>
      <c r="D85" t="s">
        <v>185</v>
      </c>
      <c r="E85" s="120" t="s">
        <v>91</v>
      </c>
      <c r="F85" t="s">
        <v>112</v>
      </c>
      <c r="G85" s="14" t="str">
        <f t="shared" si="18"/>
        <v>2030</v>
      </c>
      <c r="H85" s="14" t="s">
        <v>185</v>
      </c>
      <c r="I85" s="14" t="str">
        <f t="shared" si="19"/>
        <v>2018</v>
      </c>
      <c r="J85" s="14" t="s">
        <v>80</v>
      </c>
      <c r="K85" s="14">
        <v>0</v>
      </c>
      <c r="L85" s="14">
        <v>0</v>
      </c>
      <c r="M85" s="14">
        <v>-1</v>
      </c>
      <c r="N85" s="14">
        <v>1</v>
      </c>
      <c r="O85" s="14">
        <v>0</v>
      </c>
      <c r="P85" t="s">
        <v>177</v>
      </c>
      <c r="Q85" t="s">
        <v>178</v>
      </c>
      <c r="R85" s="104" t="s">
        <v>307</v>
      </c>
      <c r="S85" s="18" t="b">
        <v>0</v>
      </c>
      <c r="T85" t="b">
        <v>1</v>
      </c>
      <c r="U85" s="18" t="b">
        <v>0</v>
      </c>
      <c r="V85" t="b">
        <v>0</v>
      </c>
      <c r="W85" t="b">
        <v>1</v>
      </c>
      <c r="X85" t="b">
        <v>0</v>
      </c>
      <c r="Y85" t="b">
        <v>0</v>
      </c>
      <c r="Z85" t="b">
        <v>1</v>
      </c>
      <c r="AA85" t="b">
        <v>1</v>
      </c>
      <c r="AB85" s="19" t="b">
        <v>0</v>
      </c>
      <c r="AC85" t="b">
        <v>1</v>
      </c>
      <c r="AD85" t="b">
        <v>1</v>
      </c>
      <c r="AE85" t="b">
        <v>1</v>
      </c>
    </row>
    <row r="86" spans="1:31" x14ac:dyDescent="0.35">
      <c r="A86" s="2">
        <f t="shared" si="20"/>
        <v>79</v>
      </c>
      <c r="B86" s="11" t="str">
        <f t="shared" si="23"/>
        <v>MeOH-AEC-cost-CO2-94</v>
      </c>
      <c r="C86" s="126" t="s">
        <v>288</v>
      </c>
      <c r="D86" t="s">
        <v>185</v>
      </c>
      <c r="E86" s="120" t="s">
        <v>91</v>
      </c>
      <c r="F86" t="s">
        <v>112</v>
      </c>
      <c r="G86" s="14" t="str">
        <f t="shared" si="18"/>
        <v>2030</v>
      </c>
      <c r="H86" s="14" t="s">
        <v>185</v>
      </c>
      <c r="I86" s="14" t="str">
        <f t="shared" si="19"/>
        <v>2018</v>
      </c>
      <c r="J86" s="14" t="s">
        <v>80</v>
      </c>
      <c r="K86" s="14">
        <v>0</v>
      </c>
      <c r="L86" s="14">
        <v>0</v>
      </c>
      <c r="M86" s="14">
        <v>-1</v>
      </c>
      <c r="N86" s="14">
        <v>1</v>
      </c>
      <c r="O86" s="14">
        <v>0</v>
      </c>
      <c r="P86" t="s">
        <v>177</v>
      </c>
      <c r="Q86" t="s">
        <v>178</v>
      </c>
      <c r="R86" s="104" t="s">
        <v>307</v>
      </c>
      <c r="S86" s="18" t="b">
        <v>0</v>
      </c>
      <c r="T86" t="b">
        <v>1</v>
      </c>
      <c r="U86" s="18" t="b">
        <v>0</v>
      </c>
      <c r="V86" t="b">
        <v>0</v>
      </c>
      <c r="W86" t="b">
        <v>1</v>
      </c>
      <c r="X86" t="b">
        <v>0</v>
      </c>
      <c r="Y86" t="b">
        <v>0</v>
      </c>
      <c r="Z86" t="b">
        <v>1</v>
      </c>
      <c r="AA86" t="b">
        <v>1</v>
      </c>
      <c r="AB86" s="19" t="b">
        <v>0</v>
      </c>
      <c r="AC86" t="b">
        <v>1</v>
      </c>
      <c r="AD86" t="b">
        <v>1</v>
      </c>
      <c r="AE86" t="b">
        <v>1</v>
      </c>
    </row>
    <row r="87" spans="1:31" x14ac:dyDescent="0.35">
      <c r="A87" s="2">
        <f t="shared" si="20"/>
        <v>80</v>
      </c>
      <c r="B87" s="11" t="str">
        <f t="shared" si="23"/>
        <v>MeOH-AEC-cost-CO2-108</v>
      </c>
      <c r="C87" s="126" t="s">
        <v>289</v>
      </c>
      <c r="D87" t="s">
        <v>185</v>
      </c>
      <c r="E87" s="120" t="s">
        <v>91</v>
      </c>
      <c r="F87" t="s">
        <v>112</v>
      </c>
      <c r="G87" s="14" t="str">
        <f t="shared" si="18"/>
        <v>2030</v>
      </c>
      <c r="H87" s="14" t="s">
        <v>185</v>
      </c>
      <c r="I87" s="14" t="str">
        <f t="shared" si="19"/>
        <v>2018</v>
      </c>
      <c r="J87" s="14" t="s">
        <v>80</v>
      </c>
      <c r="K87" s="14">
        <v>0</v>
      </c>
      <c r="L87" s="14">
        <v>0</v>
      </c>
      <c r="M87" s="14">
        <v>-1</v>
      </c>
      <c r="N87" s="14">
        <v>1</v>
      </c>
      <c r="O87" s="14">
        <v>0</v>
      </c>
      <c r="P87" t="s">
        <v>177</v>
      </c>
      <c r="Q87" t="s">
        <v>178</v>
      </c>
      <c r="R87" s="104" t="s">
        <v>307</v>
      </c>
      <c r="S87" s="18" t="b">
        <v>0</v>
      </c>
      <c r="T87" t="b">
        <v>1</v>
      </c>
      <c r="U87" s="18" t="b">
        <v>0</v>
      </c>
      <c r="V87" t="b">
        <v>0</v>
      </c>
      <c r="W87" t="b">
        <v>1</v>
      </c>
      <c r="X87" t="b">
        <v>0</v>
      </c>
      <c r="Y87" t="b">
        <v>0</v>
      </c>
      <c r="Z87" t="b">
        <v>1</v>
      </c>
      <c r="AA87" t="b">
        <v>1</v>
      </c>
      <c r="AB87" s="19" t="b">
        <v>0</v>
      </c>
      <c r="AC87" t="b">
        <v>1</v>
      </c>
      <c r="AD87" t="b">
        <v>1</v>
      </c>
      <c r="AE87" t="b">
        <v>1</v>
      </c>
    </row>
    <row r="88" spans="1:31" x14ac:dyDescent="0.35">
      <c r="A88" s="2">
        <f t="shared" si="20"/>
        <v>81</v>
      </c>
      <c r="B88" s="11" t="str">
        <f t="shared" si="23"/>
        <v>MeOH-AEC-cost-CO2-122</v>
      </c>
      <c r="C88" s="126" t="s">
        <v>290</v>
      </c>
      <c r="D88" t="s">
        <v>185</v>
      </c>
      <c r="E88" s="120" t="s">
        <v>91</v>
      </c>
      <c r="F88" t="s">
        <v>112</v>
      </c>
      <c r="G88" s="14" t="str">
        <f t="shared" si="18"/>
        <v>2030</v>
      </c>
      <c r="H88" s="14" t="s">
        <v>185</v>
      </c>
      <c r="I88" s="14" t="str">
        <f t="shared" si="19"/>
        <v>2018</v>
      </c>
      <c r="J88" s="14" t="s">
        <v>80</v>
      </c>
      <c r="K88" s="14">
        <v>0</v>
      </c>
      <c r="L88" s="14">
        <v>0</v>
      </c>
      <c r="M88" s="14">
        <v>-1</v>
      </c>
      <c r="N88" s="14">
        <v>1</v>
      </c>
      <c r="O88" s="14">
        <v>0</v>
      </c>
      <c r="P88" t="s">
        <v>177</v>
      </c>
      <c r="Q88" t="s">
        <v>178</v>
      </c>
      <c r="R88" s="104" t="s">
        <v>307</v>
      </c>
      <c r="S88" s="18" t="b">
        <v>0</v>
      </c>
      <c r="T88" t="b">
        <v>1</v>
      </c>
      <c r="U88" s="18" t="b">
        <v>0</v>
      </c>
      <c r="V88" t="b">
        <v>0</v>
      </c>
      <c r="W88" t="b">
        <v>1</v>
      </c>
      <c r="X88" t="b">
        <v>0</v>
      </c>
      <c r="Y88" t="b">
        <v>0</v>
      </c>
      <c r="Z88" t="b">
        <v>1</v>
      </c>
      <c r="AA88" t="b">
        <v>1</v>
      </c>
      <c r="AB88" s="19" t="b">
        <v>0</v>
      </c>
      <c r="AC88" t="b">
        <v>1</v>
      </c>
      <c r="AD88" t="b">
        <v>1</v>
      </c>
      <c r="AE88" t="b">
        <v>1</v>
      </c>
    </row>
    <row r="89" spans="1:31" x14ac:dyDescent="0.35">
      <c r="A89" s="2">
        <f t="shared" si="20"/>
        <v>82</v>
      </c>
      <c r="B89" s="11" t="str">
        <f t="shared" si="23"/>
        <v>MeOH-AEC-cost-CO2-136</v>
      </c>
      <c r="C89" s="126" t="s">
        <v>291</v>
      </c>
      <c r="D89" t="s">
        <v>185</v>
      </c>
      <c r="E89" s="120" t="s">
        <v>91</v>
      </c>
      <c r="F89" t="s">
        <v>112</v>
      </c>
      <c r="G89" s="14" t="str">
        <f t="shared" si="18"/>
        <v>2030</v>
      </c>
      <c r="H89" s="14" t="s">
        <v>185</v>
      </c>
      <c r="I89" s="14" t="str">
        <f t="shared" si="19"/>
        <v>2018</v>
      </c>
      <c r="J89" s="14" t="s">
        <v>80</v>
      </c>
      <c r="K89" s="14">
        <v>0</v>
      </c>
      <c r="L89" s="14">
        <v>0</v>
      </c>
      <c r="M89" s="14">
        <v>-1</v>
      </c>
      <c r="N89" s="14">
        <v>1</v>
      </c>
      <c r="O89" s="14">
        <v>0</v>
      </c>
      <c r="P89" t="s">
        <v>177</v>
      </c>
      <c r="Q89" t="s">
        <v>178</v>
      </c>
      <c r="R89" s="104" t="s">
        <v>307</v>
      </c>
      <c r="S89" s="18" t="b">
        <v>0</v>
      </c>
      <c r="T89" t="b">
        <v>1</v>
      </c>
      <c r="U89" s="18" t="b">
        <v>0</v>
      </c>
      <c r="V89" t="b">
        <v>0</v>
      </c>
      <c r="W89" t="b">
        <v>1</v>
      </c>
      <c r="X89" t="b">
        <v>0</v>
      </c>
      <c r="Y89" t="b">
        <v>0</v>
      </c>
      <c r="Z89" t="b">
        <v>1</v>
      </c>
      <c r="AA89" t="b">
        <v>1</v>
      </c>
      <c r="AB89" s="19" t="b">
        <v>0</v>
      </c>
      <c r="AC89" t="b">
        <v>1</v>
      </c>
      <c r="AD89" t="b">
        <v>1</v>
      </c>
      <c r="AE89" t="b">
        <v>1</v>
      </c>
    </row>
    <row r="90" spans="1:31" x14ac:dyDescent="0.35">
      <c r="A90" s="2">
        <f t="shared" si="20"/>
        <v>83</v>
      </c>
      <c r="B90" s="11" t="str">
        <f t="shared" si="23"/>
        <v>MeOH-AEC-cost-CO2-150</v>
      </c>
      <c r="C90" s="126" t="s">
        <v>257</v>
      </c>
      <c r="D90" t="s">
        <v>185</v>
      </c>
      <c r="E90" s="120" t="s">
        <v>91</v>
      </c>
      <c r="F90" t="s">
        <v>112</v>
      </c>
      <c r="G90" s="14" t="str">
        <f t="shared" si="18"/>
        <v>2030</v>
      </c>
      <c r="H90" s="14" t="s">
        <v>185</v>
      </c>
      <c r="I90" s="14" t="str">
        <f t="shared" si="19"/>
        <v>2018</v>
      </c>
      <c r="J90" s="14" t="s">
        <v>80</v>
      </c>
      <c r="K90" s="14">
        <v>0</v>
      </c>
      <c r="L90" s="14">
        <v>0</v>
      </c>
      <c r="M90" s="14">
        <v>-1</v>
      </c>
      <c r="N90" s="14">
        <v>1</v>
      </c>
      <c r="O90" s="14">
        <v>0</v>
      </c>
      <c r="P90" t="s">
        <v>177</v>
      </c>
      <c r="Q90" t="s">
        <v>178</v>
      </c>
      <c r="R90" s="104" t="s">
        <v>307</v>
      </c>
      <c r="S90" s="18" t="b">
        <v>0</v>
      </c>
      <c r="T90" t="b">
        <v>1</v>
      </c>
      <c r="U90" s="18" t="b">
        <v>0</v>
      </c>
      <c r="V90" t="b">
        <v>0</v>
      </c>
      <c r="W90" t="b">
        <v>1</v>
      </c>
      <c r="X90" t="b">
        <v>0</v>
      </c>
      <c r="Y90" t="b">
        <v>0</v>
      </c>
      <c r="Z90" t="b">
        <v>1</v>
      </c>
      <c r="AA90" t="b">
        <v>1</v>
      </c>
      <c r="AB90" s="19" t="b">
        <v>0</v>
      </c>
      <c r="AC90" t="b">
        <v>1</v>
      </c>
      <c r="AD90" t="b">
        <v>1</v>
      </c>
      <c r="AE90" t="b">
        <v>1</v>
      </c>
    </row>
    <row r="91" spans="1:31" x14ac:dyDescent="0.35">
      <c r="A91" s="2">
        <f t="shared" si="20"/>
        <v>84</v>
      </c>
      <c r="B91" s="11" t="str">
        <f t="shared" ref="B91:B96" si="24">CONCATENATE($B$10,"-",C91)</f>
        <v>MeOH-SOEC-cost-CO2-80</v>
      </c>
      <c r="C91" s="126" t="s">
        <v>287</v>
      </c>
      <c r="D91" t="s">
        <v>185</v>
      </c>
      <c r="E91" s="120" t="s">
        <v>91</v>
      </c>
      <c r="F91" t="s">
        <v>112</v>
      </c>
      <c r="G91" s="14" t="str">
        <f t="shared" si="18"/>
        <v>2030</v>
      </c>
      <c r="H91" s="14" t="s">
        <v>185</v>
      </c>
      <c r="I91" s="14" t="str">
        <f t="shared" si="19"/>
        <v>2018</v>
      </c>
      <c r="J91" s="14" t="s">
        <v>92</v>
      </c>
      <c r="K91" s="14">
        <v>0</v>
      </c>
      <c r="L91" s="14">
        <v>0</v>
      </c>
      <c r="M91" s="14">
        <v>-1</v>
      </c>
      <c r="N91" s="14">
        <v>1</v>
      </c>
      <c r="O91" s="14">
        <v>0</v>
      </c>
      <c r="P91" t="s">
        <v>177</v>
      </c>
      <c r="Q91" t="s">
        <v>178</v>
      </c>
      <c r="R91" s="104" t="s">
        <v>307</v>
      </c>
      <c r="S91" s="18" t="b">
        <v>0</v>
      </c>
      <c r="T91" t="b">
        <v>1</v>
      </c>
      <c r="U91" s="18" t="b">
        <v>0</v>
      </c>
      <c r="V91" t="b">
        <v>0</v>
      </c>
      <c r="W91" t="b">
        <v>1</v>
      </c>
      <c r="X91" t="b">
        <v>0</v>
      </c>
      <c r="Y91" t="b">
        <v>0</v>
      </c>
      <c r="Z91" t="b">
        <v>1</v>
      </c>
      <c r="AA91" t="b">
        <v>1</v>
      </c>
      <c r="AB91" s="19" t="b">
        <v>0</v>
      </c>
      <c r="AC91" t="b">
        <v>1</v>
      </c>
      <c r="AD91" t="b">
        <v>1</v>
      </c>
      <c r="AE91" t="b">
        <v>1</v>
      </c>
    </row>
    <row r="92" spans="1:31" x14ac:dyDescent="0.35">
      <c r="A92" s="2">
        <f t="shared" si="20"/>
        <v>85</v>
      </c>
      <c r="B92" s="11" t="str">
        <f t="shared" si="24"/>
        <v>MeOH-SOEC-cost-CO2-94</v>
      </c>
      <c r="C92" s="126" t="s">
        <v>288</v>
      </c>
      <c r="D92" t="s">
        <v>185</v>
      </c>
      <c r="E92" s="120" t="s">
        <v>91</v>
      </c>
      <c r="F92" t="s">
        <v>112</v>
      </c>
      <c r="G92" s="14" t="str">
        <f t="shared" si="18"/>
        <v>2030</v>
      </c>
      <c r="H92" s="14" t="s">
        <v>185</v>
      </c>
      <c r="I92" s="14" t="str">
        <f t="shared" si="19"/>
        <v>2018</v>
      </c>
      <c r="J92" s="14" t="s">
        <v>92</v>
      </c>
      <c r="K92" s="14">
        <v>0</v>
      </c>
      <c r="L92" s="14">
        <v>0</v>
      </c>
      <c r="M92" s="14">
        <v>-1</v>
      </c>
      <c r="N92" s="14">
        <v>1</v>
      </c>
      <c r="O92" s="14">
        <v>0</v>
      </c>
      <c r="P92" t="s">
        <v>177</v>
      </c>
      <c r="Q92" t="s">
        <v>178</v>
      </c>
      <c r="R92" s="104" t="s">
        <v>307</v>
      </c>
      <c r="S92" s="18" t="b">
        <v>0</v>
      </c>
      <c r="T92" t="b">
        <v>1</v>
      </c>
      <c r="U92" s="18" t="b">
        <v>0</v>
      </c>
      <c r="V92" t="b">
        <v>0</v>
      </c>
      <c r="W92" t="b">
        <v>1</v>
      </c>
      <c r="X92" t="b">
        <v>0</v>
      </c>
      <c r="Y92" t="b">
        <v>0</v>
      </c>
      <c r="Z92" t="b">
        <v>1</v>
      </c>
      <c r="AA92" t="b">
        <v>1</v>
      </c>
      <c r="AB92" s="19" t="b">
        <v>0</v>
      </c>
      <c r="AC92" t="b">
        <v>1</v>
      </c>
      <c r="AD92" t="b">
        <v>1</v>
      </c>
      <c r="AE92" t="b">
        <v>1</v>
      </c>
    </row>
    <row r="93" spans="1:31" x14ac:dyDescent="0.35">
      <c r="A93" s="2">
        <f t="shared" si="20"/>
        <v>86</v>
      </c>
      <c r="B93" s="11" t="str">
        <f t="shared" si="24"/>
        <v>MeOH-SOEC-cost-CO2-108</v>
      </c>
      <c r="C93" s="126" t="s">
        <v>289</v>
      </c>
      <c r="D93" t="s">
        <v>185</v>
      </c>
      <c r="E93" s="120" t="s">
        <v>91</v>
      </c>
      <c r="F93" t="s">
        <v>112</v>
      </c>
      <c r="G93" s="14" t="str">
        <f t="shared" si="18"/>
        <v>2030</v>
      </c>
      <c r="H93" s="14" t="s">
        <v>185</v>
      </c>
      <c r="I93" s="14" t="str">
        <f t="shared" si="19"/>
        <v>2018</v>
      </c>
      <c r="J93" s="14" t="s">
        <v>92</v>
      </c>
      <c r="K93" s="14">
        <v>0</v>
      </c>
      <c r="L93" s="14">
        <v>0</v>
      </c>
      <c r="M93" s="14">
        <v>-1</v>
      </c>
      <c r="N93" s="14">
        <v>1</v>
      </c>
      <c r="O93" s="14">
        <v>0</v>
      </c>
      <c r="P93" t="s">
        <v>177</v>
      </c>
      <c r="Q93" t="s">
        <v>178</v>
      </c>
      <c r="R93" s="104" t="s">
        <v>307</v>
      </c>
      <c r="S93" s="18" t="b">
        <v>0</v>
      </c>
      <c r="T93" t="b">
        <v>1</v>
      </c>
      <c r="U93" s="18" t="b">
        <v>0</v>
      </c>
      <c r="V93" t="b">
        <v>0</v>
      </c>
      <c r="W93" t="b">
        <v>1</v>
      </c>
      <c r="X93" t="b">
        <v>0</v>
      </c>
      <c r="Y93" t="b">
        <v>0</v>
      </c>
      <c r="Z93" t="b">
        <v>1</v>
      </c>
      <c r="AA93" t="b">
        <v>1</v>
      </c>
      <c r="AB93" s="19" t="b">
        <v>0</v>
      </c>
      <c r="AC93" t="b">
        <v>1</v>
      </c>
      <c r="AD93" t="b">
        <v>1</v>
      </c>
      <c r="AE93" t="b">
        <v>1</v>
      </c>
    </row>
    <row r="94" spans="1:31" x14ac:dyDescent="0.35">
      <c r="A94" s="2">
        <f t="shared" si="20"/>
        <v>87</v>
      </c>
      <c r="B94" s="11" t="str">
        <f t="shared" si="24"/>
        <v>MeOH-SOEC-cost-CO2-122</v>
      </c>
      <c r="C94" s="126" t="s">
        <v>290</v>
      </c>
      <c r="D94" t="s">
        <v>185</v>
      </c>
      <c r="E94" s="120" t="s">
        <v>91</v>
      </c>
      <c r="F94" t="s">
        <v>112</v>
      </c>
      <c r="G94" s="14" t="str">
        <f t="shared" si="18"/>
        <v>2030</v>
      </c>
      <c r="H94" s="14" t="s">
        <v>185</v>
      </c>
      <c r="I94" s="14" t="str">
        <f t="shared" si="19"/>
        <v>2018</v>
      </c>
      <c r="J94" s="14" t="s">
        <v>92</v>
      </c>
      <c r="K94" s="14">
        <v>0</v>
      </c>
      <c r="L94" s="14">
        <v>0</v>
      </c>
      <c r="M94" s="14">
        <v>-1</v>
      </c>
      <c r="N94" s="14">
        <v>1</v>
      </c>
      <c r="O94" s="14">
        <v>0</v>
      </c>
      <c r="P94" t="s">
        <v>177</v>
      </c>
      <c r="Q94" t="s">
        <v>178</v>
      </c>
      <c r="R94" s="104" t="s">
        <v>307</v>
      </c>
      <c r="S94" s="18" t="b">
        <v>0</v>
      </c>
      <c r="T94" t="b">
        <v>1</v>
      </c>
      <c r="U94" s="18" t="b">
        <v>0</v>
      </c>
      <c r="V94" t="b">
        <v>0</v>
      </c>
      <c r="W94" t="b">
        <v>1</v>
      </c>
      <c r="X94" t="b">
        <v>0</v>
      </c>
      <c r="Y94" t="b">
        <v>0</v>
      </c>
      <c r="Z94" t="b">
        <v>1</v>
      </c>
      <c r="AA94" t="b">
        <v>1</v>
      </c>
      <c r="AB94" s="19" t="b">
        <v>0</v>
      </c>
      <c r="AC94" t="b">
        <v>1</v>
      </c>
      <c r="AD94" t="b">
        <v>1</v>
      </c>
      <c r="AE94" t="b">
        <v>1</v>
      </c>
    </row>
    <row r="95" spans="1:31" x14ac:dyDescent="0.35">
      <c r="A95" s="2">
        <f t="shared" si="20"/>
        <v>88</v>
      </c>
      <c r="B95" s="11" t="str">
        <f t="shared" si="24"/>
        <v>MeOH-SOEC-cost-CO2-136</v>
      </c>
      <c r="C95" s="126" t="s">
        <v>291</v>
      </c>
      <c r="D95" t="s">
        <v>185</v>
      </c>
      <c r="E95" s="120" t="s">
        <v>91</v>
      </c>
      <c r="F95" t="s">
        <v>112</v>
      </c>
      <c r="G95" s="14" t="str">
        <f t="shared" si="18"/>
        <v>2030</v>
      </c>
      <c r="H95" s="14" t="s">
        <v>185</v>
      </c>
      <c r="I95" s="14" t="str">
        <f t="shared" si="19"/>
        <v>2018</v>
      </c>
      <c r="J95" s="14" t="s">
        <v>92</v>
      </c>
      <c r="K95" s="14">
        <v>0</v>
      </c>
      <c r="L95" s="14">
        <v>0</v>
      </c>
      <c r="M95" s="14">
        <v>-1</v>
      </c>
      <c r="N95" s="14">
        <v>1</v>
      </c>
      <c r="O95" s="14">
        <v>0</v>
      </c>
      <c r="P95" t="s">
        <v>177</v>
      </c>
      <c r="Q95" t="s">
        <v>178</v>
      </c>
      <c r="R95" s="104" t="s">
        <v>307</v>
      </c>
      <c r="S95" s="18" t="b">
        <v>0</v>
      </c>
      <c r="T95" t="b">
        <v>1</v>
      </c>
      <c r="U95" s="18" t="b">
        <v>0</v>
      </c>
      <c r="V95" t="b">
        <v>0</v>
      </c>
      <c r="W95" t="b">
        <v>1</v>
      </c>
      <c r="X95" t="b">
        <v>0</v>
      </c>
      <c r="Y95" t="b">
        <v>0</v>
      </c>
      <c r="Z95" t="b">
        <v>1</v>
      </c>
      <c r="AA95" t="b">
        <v>1</v>
      </c>
      <c r="AB95" s="19" t="b">
        <v>0</v>
      </c>
      <c r="AC95" t="b">
        <v>1</v>
      </c>
      <c r="AD95" t="b">
        <v>1</v>
      </c>
      <c r="AE95" t="b">
        <v>1</v>
      </c>
    </row>
    <row r="96" spans="1:31" x14ac:dyDescent="0.35">
      <c r="A96" s="2">
        <f t="shared" si="20"/>
        <v>89</v>
      </c>
      <c r="B96" s="11" t="str">
        <f t="shared" si="24"/>
        <v>MeOH-SOEC-cost-CO2-150</v>
      </c>
      <c r="C96" s="126" t="s">
        <v>257</v>
      </c>
      <c r="D96" t="s">
        <v>185</v>
      </c>
      <c r="E96" s="120" t="s">
        <v>91</v>
      </c>
      <c r="F96" t="s">
        <v>112</v>
      </c>
      <c r="G96" s="14" t="str">
        <f t="shared" si="18"/>
        <v>2030</v>
      </c>
      <c r="H96" s="14" t="s">
        <v>185</v>
      </c>
      <c r="I96" s="14" t="str">
        <f t="shared" si="19"/>
        <v>2018</v>
      </c>
      <c r="J96" s="14" t="s">
        <v>92</v>
      </c>
      <c r="K96" s="14">
        <v>0</v>
      </c>
      <c r="L96" s="14">
        <v>0</v>
      </c>
      <c r="M96" s="14">
        <v>-1</v>
      </c>
      <c r="N96" s="14">
        <v>1</v>
      </c>
      <c r="O96" s="14">
        <v>0</v>
      </c>
      <c r="P96" t="s">
        <v>177</v>
      </c>
      <c r="Q96" t="s">
        <v>178</v>
      </c>
      <c r="R96" s="104" t="s">
        <v>307</v>
      </c>
      <c r="S96" s="18" t="b">
        <v>0</v>
      </c>
      <c r="T96" t="b">
        <v>1</v>
      </c>
      <c r="U96" s="18" t="b">
        <v>0</v>
      </c>
      <c r="V96" t="b">
        <v>0</v>
      </c>
      <c r="W96" t="b">
        <v>1</v>
      </c>
      <c r="X96" t="b">
        <v>0</v>
      </c>
      <c r="Y96" t="b">
        <v>0</v>
      </c>
      <c r="Z96" t="b">
        <v>1</v>
      </c>
      <c r="AA96" t="b">
        <v>1</v>
      </c>
      <c r="AB96" s="19" t="b">
        <v>0</v>
      </c>
      <c r="AC96" t="b">
        <v>1</v>
      </c>
      <c r="AD96" t="b">
        <v>1</v>
      </c>
      <c r="AE96" t="b">
        <v>1</v>
      </c>
    </row>
    <row r="97" spans="1:31" x14ac:dyDescent="0.35">
      <c r="A97" s="2">
        <f t="shared" si="20"/>
        <v>90</v>
      </c>
      <c r="B97" s="11" t="str">
        <f t="shared" ref="B97:B102" si="25">CONCATENATE($B$9,"-",C97)</f>
        <v>Biofuel-AEC-cost-biomass-81</v>
      </c>
      <c r="C97" s="126" t="s">
        <v>292</v>
      </c>
      <c r="D97" t="s">
        <v>185</v>
      </c>
      <c r="E97" s="119" t="s">
        <v>193</v>
      </c>
      <c r="F97" t="s">
        <v>112</v>
      </c>
      <c r="G97" s="14" t="str">
        <f t="shared" si="18"/>
        <v>2030</v>
      </c>
      <c r="H97" s="14" t="s">
        <v>185</v>
      </c>
      <c r="I97" s="14" t="str">
        <f t="shared" si="19"/>
        <v>2018</v>
      </c>
      <c r="J97" s="14" t="s">
        <v>80</v>
      </c>
      <c r="K97" s="14">
        <v>0</v>
      </c>
      <c r="L97" s="14">
        <v>0</v>
      </c>
      <c r="M97" s="14">
        <v>-1</v>
      </c>
      <c r="N97" s="14">
        <v>1</v>
      </c>
      <c r="O97" s="14">
        <v>0</v>
      </c>
      <c r="P97" t="s">
        <v>177</v>
      </c>
      <c r="Q97" t="s">
        <v>178</v>
      </c>
      <c r="R97" s="104" t="s">
        <v>307</v>
      </c>
      <c r="S97" s="18" t="b">
        <v>0</v>
      </c>
      <c r="T97" t="b">
        <v>1</v>
      </c>
      <c r="U97" s="18" t="b">
        <v>0</v>
      </c>
      <c r="V97" t="b">
        <v>0</v>
      </c>
      <c r="W97" t="b">
        <v>1</v>
      </c>
      <c r="X97" t="b">
        <v>0</v>
      </c>
      <c r="Y97" t="b">
        <v>0</v>
      </c>
      <c r="Z97" t="b">
        <v>1</v>
      </c>
      <c r="AA97" t="b">
        <v>1</v>
      </c>
      <c r="AB97" s="19" t="b">
        <v>0</v>
      </c>
      <c r="AC97" t="b">
        <v>1</v>
      </c>
      <c r="AD97" t="b">
        <v>1</v>
      </c>
      <c r="AE97" t="b">
        <v>1</v>
      </c>
    </row>
    <row r="98" spans="1:31" x14ac:dyDescent="0.35">
      <c r="A98" s="2">
        <f t="shared" si="20"/>
        <v>91</v>
      </c>
      <c r="B98" s="11" t="str">
        <f t="shared" si="25"/>
        <v>Biofuel-AEC-cost-biomass-87</v>
      </c>
      <c r="C98" s="126" t="s">
        <v>293</v>
      </c>
      <c r="D98" t="s">
        <v>185</v>
      </c>
      <c r="E98" s="119" t="s">
        <v>193</v>
      </c>
      <c r="F98" t="s">
        <v>112</v>
      </c>
      <c r="G98" s="14" t="str">
        <f t="shared" si="18"/>
        <v>2030</v>
      </c>
      <c r="H98" s="14" t="s">
        <v>185</v>
      </c>
      <c r="I98" s="14" t="str">
        <f t="shared" si="19"/>
        <v>2018</v>
      </c>
      <c r="J98" s="14" t="s">
        <v>80</v>
      </c>
      <c r="K98" s="14">
        <v>0</v>
      </c>
      <c r="L98" s="14">
        <v>0</v>
      </c>
      <c r="M98" s="14">
        <v>-1</v>
      </c>
      <c r="N98" s="14">
        <v>1</v>
      </c>
      <c r="O98" s="14">
        <v>0</v>
      </c>
      <c r="P98" t="s">
        <v>177</v>
      </c>
      <c r="Q98" t="s">
        <v>178</v>
      </c>
      <c r="R98" s="104" t="s">
        <v>307</v>
      </c>
      <c r="S98" s="18" t="b">
        <v>0</v>
      </c>
      <c r="T98" t="b">
        <v>1</v>
      </c>
      <c r="U98" s="18" t="b">
        <v>0</v>
      </c>
      <c r="V98" t="b">
        <v>0</v>
      </c>
      <c r="W98" t="b">
        <v>1</v>
      </c>
      <c r="X98" t="b">
        <v>0</v>
      </c>
      <c r="Y98" t="b">
        <v>0</v>
      </c>
      <c r="Z98" t="b">
        <v>1</v>
      </c>
      <c r="AA98" t="b">
        <v>1</v>
      </c>
      <c r="AB98" s="19" t="b">
        <v>0</v>
      </c>
      <c r="AC98" t="b">
        <v>1</v>
      </c>
      <c r="AD98" t="b">
        <v>1</v>
      </c>
      <c r="AE98" t="b">
        <v>1</v>
      </c>
    </row>
    <row r="99" spans="1:31" x14ac:dyDescent="0.35">
      <c r="A99" s="2">
        <f t="shared" si="20"/>
        <v>92</v>
      </c>
      <c r="B99" s="11" t="str">
        <f t="shared" si="25"/>
        <v>Biofuel-AEC-cost-biomass-93</v>
      </c>
      <c r="C99" s="126" t="s">
        <v>294</v>
      </c>
      <c r="D99" t="s">
        <v>185</v>
      </c>
      <c r="E99" s="119" t="s">
        <v>193</v>
      </c>
      <c r="F99" t="s">
        <v>112</v>
      </c>
      <c r="G99" s="14" t="str">
        <f t="shared" si="18"/>
        <v>2030</v>
      </c>
      <c r="H99" s="14" t="s">
        <v>185</v>
      </c>
      <c r="I99" s="14" t="str">
        <f t="shared" si="19"/>
        <v>2018</v>
      </c>
      <c r="J99" s="14" t="s">
        <v>80</v>
      </c>
      <c r="K99" s="14">
        <v>0</v>
      </c>
      <c r="L99" s="14">
        <v>0</v>
      </c>
      <c r="M99" s="14">
        <v>-1</v>
      </c>
      <c r="N99" s="14">
        <v>1</v>
      </c>
      <c r="O99" s="14">
        <v>0</v>
      </c>
      <c r="P99" t="s">
        <v>177</v>
      </c>
      <c r="Q99" t="s">
        <v>178</v>
      </c>
      <c r="R99" s="104" t="s">
        <v>307</v>
      </c>
      <c r="S99" s="18" t="b">
        <v>0</v>
      </c>
      <c r="T99" t="b">
        <v>1</v>
      </c>
      <c r="U99" s="18" t="b">
        <v>0</v>
      </c>
      <c r="V99" t="b">
        <v>0</v>
      </c>
      <c r="W99" t="b">
        <v>1</v>
      </c>
      <c r="X99" t="b">
        <v>0</v>
      </c>
      <c r="Y99" t="b">
        <v>0</v>
      </c>
      <c r="Z99" t="b">
        <v>1</v>
      </c>
      <c r="AA99" t="b">
        <v>1</v>
      </c>
      <c r="AB99" s="19" t="b">
        <v>0</v>
      </c>
      <c r="AC99" t="b">
        <v>1</v>
      </c>
      <c r="AD99" t="b">
        <v>1</v>
      </c>
      <c r="AE99" t="b">
        <v>1</v>
      </c>
    </row>
    <row r="100" spans="1:31" x14ac:dyDescent="0.35">
      <c r="A100" s="2">
        <f t="shared" si="20"/>
        <v>93</v>
      </c>
      <c r="B100" s="11" t="str">
        <f t="shared" si="25"/>
        <v>Biofuel-AEC-cost-biomass-99</v>
      </c>
      <c r="C100" s="126" t="s">
        <v>295</v>
      </c>
      <c r="D100" t="s">
        <v>185</v>
      </c>
      <c r="E100" s="119" t="s">
        <v>193</v>
      </c>
      <c r="F100" t="s">
        <v>112</v>
      </c>
      <c r="G100" s="14" t="str">
        <f t="shared" si="18"/>
        <v>2030</v>
      </c>
      <c r="H100" s="14" t="s">
        <v>185</v>
      </c>
      <c r="I100" s="14" t="str">
        <f t="shared" si="19"/>
        <v>2018</v>
      </c>
      <c r="J100" s="14" t="s">
        <v>80</v>
      </c>
      <c r="K100" s="14">
        <v>0</v>
      </c>
      <c r="L100" s="14">
        <v>0</v>
      </c>
      <c r="M100" s="14">
        <v>-1</v>
      </c>
      <c r="N100" s="14">
        <v>1</v>
      </c>
      <c r="O100" s="14">
        <v>0</v>
      </c>
      <c r="P100" t="s">
        <v>177</v>
      </c>
      <c r="Q100" t="s">
        <v>178</v>
      </c>
      <c r="R100" s="104" t="s">
        <v>307</v>
      </c>
      <c r="S100" s="18" t="b">
        <v>0</v>
      </c>
      <c r="T100" t="b">
        <v>1</v>
      </c>
      <c r="U100" s="18" t="b">
        <v>0</v>
      </c>
      <c r="V100" t="b">
        <v>0</v>
      </c>
      <c r="W100" t="b">
        <v>1</v>
      </c>
      <c r="X100" t="b">
        <v>0</v>
      </c>
      <c r="Y100" t="b">
        <v>0</v>
      </c>
      <c r="Z100" t="b">
        <v>1</v>
      </c>
      <c r="AA100" t="b">
        <v>1</v>
      </c>
      <c r="AB100" s="19" t="b">
        <v>0</v>
      </c>
      <c r="AC100" t="b">
        <v>1</v>
      </c>
      <c r="AD100" t="b">
        <v>1</v>
      </c>
      <c r="AE100" t="b">
        <v>1</v>
      </c>
    </row>
    <row r="101" spans="1:31" x14ac:dyDescent="0.35">
      <c r="A101" s="2">
        <f t="shared" si="20"/>
        <v>94</v>
      </c>
      <c r="B101" s="11" t="str">
        <f t="shared" si="25"/>
        <v>Biofuel-AEC-cost-biomass-106</v>
      </c>
      <c r="C101" s="126" t="s">
        <v>296</v>
      </c>
      <c r="D101" t="s">
        <v>185</v>
      </c>
      <c r="E101" s="119" t="s">
        <v>193</v>
      </c>
      <c r="F101" t="s">
        <v>112</v>
      </c>
      <c r="G101" s="14" t="str">
        <f t="shared" si="18"/>
        <v>2030</v>
      </c>
      <c r="H101" s="14" t="s">
        <v>185</v>
      </c>
      <c r="I101" s="14" t="str">
        <f t="shared" si="19"/>
        <v>2018</v>
      </c>
      <c r="J101" s="14" t="s">
        <v>80</v>
      </c>
      <c r="K101" s="14">
        <v>0</v>
      </c>
      <c r="L101" s="14">
        <v>0</v>
      </c>
      <c r="M101" s="14">
        <v>-1</v>
      </c>
      <c r="N101" s="14">
        <v>1</v>
      </c>
      <c r="O101" s="14">
        <v>0</v>
      </c>
      <c r="P101" t="s">
        <v>177</v>
      </c>
      <c r="Q101" t="s">
        <v>178</v>
      </c>
      <c r="R101" s="104" t="s">
        <v>307</v>
      </c>
      <c r="S101" s="18" t="b">
        <v>0</v>
      </c>
      <c r="T101" t="b">
        <v>1</v>
      </c>
      <c r="U101" s="18" t="b">
        <v>0</v>
      </c>
      <c r="V101" t="b">
        <v>0</v>
      </c>
      <c r="W101" t="b">
        <v>1</v>
      </c>
      <c r="X101" t="b">
        <v>0</v>
      </c>
      <c r="Y101" t="b">
        <v>0</v>
      </c>
      <c r="Z101" t="b">
        <v>1</v>
      </c>
      <c r="AA101" t="b">
        <v>1</v>
      </c>
      <c r="AB101" s="19" t="b">
        <v>0</v>
      </c>
      <c r="AC101" t="b">
        <v>1</v>
      </c>
      <c r="AD101" t="b">
        <v>1</v>
      </c>
      <c r="AE101" t="b">
        <v>1</v>
      </c>
    </row>
    <row r="102" spans="1:31" x14ac:dyDescent="0.35">
      <c r="A102" s="2">
        <f t="shared" si="20"/>
        <v>95</v>
      </c>
      <c r="B102" s="11" t="str">
        <f t="shared" si="25"/>
        <v>Biofuel-AEC-cost-biomass-110</v>
      </c>
      <c r="C102" s="126" t="s">
        <v>297</v>
      </c>
      <c r="D102" t="s">
        <v>185</v>
      </c>
      <c r="E102" s="119" t="s">
        <v>193</v>
      </c>
      <c r="F102" t="s">
        <v>112</v>
      </c>
      <c r="G102" s="14" t="str">
        <f t="shared" si="18"/>
        <v>2030</v>
      </c>
      <c r="H102" s="14" t="s">
        <v>185</v>
      </c>
      <c r="I102" s="14" t="str">
        <f t="shared" si="19"/>
        <v>2018</v>
      </c>
      <c r="J102" s="14" t="s">
        <v>80</v>
      </c>
      <c r="K102" s="14">
        <v>0</v>
      </c>
      <c r="L102" s="14">
        <v>0</v>
      </c>
      <c r="M102" s="14">
        <v>-1</v>
      </c>
      <c r="N102" s="14">
        <v>1</v>
      </c>
      <c r="O102" s="14">
        <v>0</v>
      </c>
      <c r="P102" t="s">
        <v>177</v>
      </c>
      <c r="Q102" t="s">
        <v>178</v>
      </c>
      <c r="R102" s="104" t="s">
        <v>307</v>
      </c>
      <c r="S102" s="18" t="b">
        <v>0</v>
      </c>
      <c r="T102" t="b">
        <v>1</v>
      </c>
      <c r="U102" s="18" t="b">
        <v>0</v>
      </c>
      <c r="V102" t="b">
        <v>0</v>
      </c>
      <c r="W102" t="b">
        <v>1</v>
      </c>
      <c r="X102" t="b">
        <v>0</v>
      </c>
      <c r="Y102" t="b">
        <v>0</v>
      </c>
      <c r="Z102" t="b">
        <v>1</v>
      </c>
      <c r="AA102" t="b">
        <v>1</v>
      </c>
      <c r="AB102" s="19" t="b">
        <v>0</v>
      </c>
      <c r="AC102" t="b">
        <v>1</v>
      </c>
      <c r="AD102" t="b">
        <v>1</v>
      </c>
      <c r="AE102" t="b">
        <v>1</v>
      </c>
    </row>
    <row r="103" spans="1:31" x14ac:dyDescent="0.35">
      <c r="A103" s="2">
        <f t="shared" si="20"/>
        <v>96</v>
      </c>
      <c r="B103" s="11" t="str">
        <f t="shared" ref="B103:B108" si="26">CONCATENATE($B$11,"-",C103)</f>
        <v>Biofuel-SOEC-cost-biomass-81</v>
      </c>
      <c r="C103" s="126" t="s">
        <v>292</v>
      </c>
      <c r="D103" t="s">
        <v>185</v>
      </c>
      <c r="E103" s="119" t="s">
        <v>193</v>
      </c>
      <c r="F103" t="s">
        <v>112</v>
      </c>
      <c r="G103" s="14" t="str">
        <f t="shared" si="18"/>
        <v>2030</v>
      </c>
      <c r="H103" s="14" t="s">
        <v>185</v>
      </c>
      <c r="I103" s="14" t="str">
        <f t="shared" si="19"/>
        <v>2018</v>
      </c>
      <c r="J103" s="14" t="s">
        <v>92</v>
      </c>
      <c r="K103" s="14">
        <v>0</v>
      </c>
      <c r="L103" s="14">
        <v>0</v>
      </c>
      <c r="M103" s="14">
        <v>-1</v>
      </c>
      <c r="N103" s="14">
        <v>1</v>
      </c>
      <c r="O103" s="14">
        <v>0</v>
      </c>
      <c r="P103" t="s">
        <v>177</v>
      </c>
      <c r="Q103" t="s">
        <v>178</v>
      </c>
      <c r="R103" s="104" t="s">
        <v>307</v>
      </c>
      <c r="S103" s="18" t="b">
        <v>0</v>
      </c>
      <c r="T103" t="b">
        <v>1</v>
      </c>
      <c r="U103" s="18" t="b">
        <v>0</v>
      </c>
      <c r="V103" t="b">
        <v>0</v>
      </c>
      <c r="W103" t="b">
        <v>1</v>
      </c>
      <c r="X103" t="b">
        <v>0</v>
      </c>
      <c r="Y103" t="b">
        <v>0</v>
      </c>
      <c r="Z103" t="b">
        <v>1</v>
      </c>
      <c r="AA103" t="b">
        <v>1</v>
      </c>
      <c r="AB103" s="19" t="b">
        <v>0</v>
      </c>
      <c r="AC103" t="b">
        <v>1</v>
      </c>
      <c r="AD103" t="b">
        <v>1</v>
      </c>
      <c r="AE103" t="b">
        <v>1</v>
      </c>
    </row>
    <row r="104" spans="1:31" x14ac:dyDescent="0.35">
      <c r="A104" s="2">
        <f t="shared" si="20"/>
        <v>97</v>
      </c>
      <c r="B104" s="11" t="str">
        <f t="shared" si="26"/>
        <v>Biofuel-SOEC-cost-biomass-87</v>
      </c>
      <c r="C104" s="126" t="s">
        <v>293</v>
      </c>
      <c r="D104" t="s">
        <v>185</v>
      </c>
      <c r="E104" s="119" t="s">
        <v>193</v>
      </c>
      <c r="F104" t="s">
        <v>112</v>
      </c>
      <c r="G104" s="14" t="str">
        <f t="shared" si="18"/>
        <v>2030</v>
      </c>
      <c r="H104" s="14" t="s">
        <v>185</v>
      </c>
      <c r="I104" s="14" t="str">
        <f t="shared" si="19"/>
        <v>2018</v>
      </c>
      <c r="J104" s="14" t="s">
        <v>92</v>
      </c>
      <c r="K104" s="14">
        <v>0</v>
      </c>
      <c r="L104" s="14">
        <v>0</v>
      </c>
      <c r="M104" s="14">
        <v>-1</v>
      </c>
      <c r="N104" s="14">
        <v>1</v>
      </c>
      <c r="O104" s="14">
        <v>0</v>
      </c>
      <c r="P104" t="s">
        <v>177</v>
      </c>
      <c r="Q104" t="s">
        <v>178</v>
      </c>
      <c r="R104" s="104" t="s">
        <v>307</v>
      </c>
      <c r="S104" s="18" t="b">
        <v>0</v>
      </c>
      <c r="T104" t="b">
        <v>1</v>
      </c>
      <c r="U104" s="18" t="b">
        <v>0</v>
      </c>
      <c r="V104" t="b">
        <v>0</v>
      </c>
      <c r="W104" t="b">
        <v>1</v>
      </c>
      <c r="X104" t="b">
        <v>0</v>
      </c>
      <c r="Y104" t="b">
        <v>0</v>
      </c>
      <c r="Z104" t="b">
        <v>1</v>
      </c>
      <c r="AA104" t="b">
        <v>1</v>
      </c>
      <c r="AB104" s="19" t="b">
        <v>0</v>
      </c>
      <c r="AC104" t="b">
        <v>1</v>
      </c>
      <c r="AD104" t="b">
        <v>1</v>
      </c>
      <c r="AE104" t="b">
        <v>1</v>
      </c>
    </row>
    <row r="105" spans="1:31" x14ac:dyDescent="0.35">
      <c r="A105" s="2">
        <f t="shared" si="20"/>
        <v>98</v>
      </c>
      <c r="B105" s="11" t="str">
        <f t="shared" si="26"/>
        <v>Biofuel-SOEC-cost-biomass-93</v>
      </c>
      <c r="C105" s="126" t="s">
        <v>294</v>
      </c>
      <c r="D105" t="s">
        <v>185</v>
      </c>
      <c r="E105" s="119" t="s">
        <v>193</v>
      </c>
      <c r="F105" t="s">
        <v>112</v>
      </c>
      <c r="G105" s="14" t="str">
        <f t="shared" si="18"/>
        <v>2030</v>
      </c>
      <c r="H105" s="14" t="s">
        <v>185</v>
      </c>
      <c r="I105" s="14" t="str">
        <f t="shared" si="19"/>
        <v>2018</v>
      </c>
      <c r="J105" s="14" t="s">
        <v>92</v>
      </c>
      <c r="K105" s="14">
        <v>0</v>
      </c>
      <c r="L105" s="14">
        <v>0</v>
      </c>
      <c r="M105" s="14">
        <v>-1</v>
      </c>
      <c r="N105" s="14">
        <v>1</v>
      </c>
      <c r="O105" s="14">
        <v>0</v>
      </c>
      <c r="P105" t="s">
        <v>177</v>
      </c>
      <c r="Q105" t="s">
        <v>178</v>
      </c>
      <c r="R105" s="104" t="s">
        <v>307</v>
      </c>
      <c r="S105" s="18" t="b">
        <v>0</v>
      </c>
      <c r="T105" t="b">
        <v>1</v>
      </c>
      <c r="U105" s="18" t="b">
        <v>0</v>
      </c>
      <c r="V105" t="b">
        <v>0</v>
      </c>
      <c r="W105" t="b">
        <v>1</v>
      </c>
      <c r="X105" t="b">
        <v>0</v>
      </c>
      <c r="Y105" t="b">
        <v>0</v>
      </c>
      <c r="Z105" t="b">
        <v>1</v>
      </c>
      <c r="AA105" t="b">
        <v>1</v>
      </c>
      <c r="AB105" s="19" t="b">
        <v>0</v>
      </c>
      <c r="AC105" t="b">
        <v>1</v>
      </c>
      <c r="AD105" t="b">
        <v>1</v>
      </c>
      <c r="AE105" t="b">
        <v>1</v>
      </c>
    </row>
    <row r="106" spans="1:31" x14ac:dyDescent="0.35">
      <c r="A106" s="2">
        <f t="shared" si="20"/>
        <v>99</v>
      </c>
      <c r="B106" s="11" t="str">
        <f t="shared" si="26"/>
        <v>Biofuel-SOEC-cost-biomass-99</v>
      </c>
      <c r="C106" s="126" t="s">
        <v>295</v>
      </c>
      <c r="D106" t="s">
        <v>185</v>
      </c>
      <c r="E106" s="119" t="s">
        <v>193</v>
      </c>
      <c r="F106" t="s">
        <v>112</v>
      </c>
      <c r="G106" s="14" t="str">
        <f t="shared" si="18"/>
        <v>2030</v>
      </c>
      <c r="H106" s="14" t="s">
        <v>185</v>
      </c>
      <c r="I106" s="14" t="str">
        <f t="shared" si="19"/>
        <v>2018</v>
      </c>
      <c r="J106" s="14" t="s">
        <v>92</v>
      </c>
      <c r="K106" s="14">
        <v>0</v>
      </c>
      <c r="L106" s="14">
        <v>0</v>
      </c>
      <c r="M106" s="14">
        <v>-1</v>
      </c>
      <c r="N106" s="14">
        <v>1</v>
      </c>
      <c r="O106" s="14">
        <v>0</v>
      </c>
      <c r="P106" t="s">
        <v>177</v>
      </c>
      <c r="Q106" t="s">
        <v>178</v>
      </c>
      <c r="R106" s="104" t="s">
        <v>307</v>
      </c>
      <c r="S106" s="18" t="b">
        <v>0</v>
      </c>
      <c r="T106" t="b">
        <v>1</v>
      </c>
      <c r="U106" s="18" t="b">
        <v>0</v>
      </c>
      <c r="V106" t="b">
        <v>0</v>
      </c>
      <c r="W106" t="b">
        <v>1</v>
      </c>
      <c r="X106" t="b">
        <v>0</v>
      </c>
      <c r="Y106" t="b">
        <v>0</v>
      </c>
      <c r="Z106" t="b">
        <v>1</v>
      </c>
      <c r="AA106" t="b">
        <v>1</v>
      </c>
      <c r="AB106" s="19" t="b">
        <v>0</v>
      </c>
      <c r="AC106" t="b">
        <v>1</v>
      </c>
      <c r="AD106" t="b">
        <v>1</v>
      </c>
      <c r="AE106" t="b">
        <v>1</v>
      </c>
    </row>
    <row r="107" spans="1:31" x14ac:dyDescent="0.35">
      <c r="A107" s="2">
        <f t="shared" si="20"/>
        <v>100</v>
      </c>
      <c r="B107" s="11" t="str">
        <f t="shared" si="26"/>
        <v>Biofuel-SOEC-cost-biomass-106</v>
      </c>
      <c r="C107" s="126" t="s">
        <v>296</v>
      </c>
      <c r="D107" t="s">
        <v>185</v>
      </c>
      <c r="E107" s="119" t="s">
        <v>193</v>
      </c>
      <c r="F107" t="s">
        <v>112</v>
      </c>
      <c r="G107" s="14" t="str">
        <f t="shared" si="18"/>
        <v>2030</v>
      </c>
      <c r="H107" s="14" t="s">
        <v>185</v>
      </c>
      <c r="I107" s="14" t="str">
        <f t="shared" si="19"/>
        <v>2018</v>
      </c>
      <c r="J107" s="14" t="s">
        <v>92</v>
      </c>
      <c r="K107" s="14">
        <v>0</v>
      </c>
      <c r="L107" s="14">
        <v>0</v>
      </c>
      <c r="M107" s="14">
        <v>-1</v>
      </c>
      <c r="N107" s="14">
        <v>1</v>
      </c>
      <c r="O107" s="14">
        <v>0</v>
      </c>
      <c r="P107" t="s">
        <v>177</v>
      </c>
      <c r="Q107" t="s">
        <v>178</v>
      </c>
      <c r="R107" s="104" t="s">
        <v>307</v>
      </c>
      <c r="S107" s="18" t="b">
        <v>0</v>
      </c>
      <c r="T107" t="b">
        <v>1</v>
      </c>
      <c r="U107" s="18" t="b">
        <v>0</v>
      </c>
      <c r="V107" t="b">
        <v>0</v>
      </c>
      <c r="W107" t="b">
        <v>1</v>
      </c>
      <c r="X107" t="b">
        <v>0</v>
      </c>
      <c r="Y107" t="b">
        <v>0</v>
      </c>
      <c r="Z107" t="b">
        <v>1</v>
      </c>
      <c r="AA107" t="b">
        <v>1</v>
      </c>
      <c r="AB107" s="19" t="b">
        <v>0</v>
      </c>
      <c r="AC107" t="b">
        <v>1</v>
      </c>
      <c r="AD107" t="b">
        <v>1</v>
      </c>
      <c r="AE107" t="b">
        <v>1</v>
      </c>
    </row>
    <row r="108" spans="1:31" x14ac:dyDescent="0.35">
      <c r="A108" s="2">
        <f t="shared" si="20"/>
        <v>101</v>
      </c>
      <c r="B108" s="11" t="str">
        <f t="shared" si="26"/>
        <v>Biofuel-SOEC-cost-biomass-110</v>
      </c>
      <c r="C108" s="126" t="s">
        <v>297</v>
      </c>
      <c r="D108" t="s">
        <v>185</v>
      </c>
      <c r="E108" s="119" t="s">
        <v>193</v>
      </c>
      <c r="F108" t="s">
        <v>112</v>
      </c>
      <c r="G108" s="14" t="str">
        <f t="shared" si="18"/>
        <v>2030</v>
      </c>
      <c r="H108" s="14" t="s">
        <v>185</v>
      </c>
      <c r="I108" s="14" t="str">
        <f t="shared" si="19"/>
        <v>2018</v>
      </c>
      <c r="J108" s="14" t="s">
        <v>92</v>
      </c>
      <c r="K108" s="14">
        <v>0</v>
      </c>
      <c r="L108" s="14">
        <v>0</v>
      </c>
      <c r="M108" s="14">
        <v>-1</v>
      </c>
      <c r="N108" s="14">
        <v>1</v>
      </c>
      <c r="O108" s="14">
        <v>0</v>
      </c>
      <c r="P108" t="s">
        <v>177</v>
      </c>
      <c r="Q108" t="s">
        <v>178</v>
      </c>
      <c r="R108" s="104" t="s">
        <v>307</v>
      </c>
      <c r="S108" s="18" t="b">
        <v>0</v>
      </c>
      <c r="T108" t="b">
        <v>1</v>
      </c>
      <c r="U108" s="18" t="b">
        <v>0</v>
      </c>
      <c r="V108" t="b">
        <v>0</v>
      </c>
      <c r="W108" t="b">
        <v>1</v>
      </c>
      <c r="X108" t="b">
        <v>0</v>
      </c>
      <c r="Y108" t="b">
        <v>0</v>
      </c>
      <c r="Z108" t="b">
        <v>1</v>
      </c>
      <c r="AA108" t="b">
        <v>1</v>
      </c>
      <c r="AB108" s="19" t="b">
        <v>0</v>
      </c>
      <c r="AC108" t="b">
        <v>1</v>
      </c>
      <c r="AD108" t="b">
        <v>1</v>
      </c>
      <c r="AE108" t="b">
        <v>1</v>
      </c>
    </row>
    <row r="109" spans="1:31" x14ac:dyDescent="0.35">
      <c r="A109" s="2">
        <f t="shared" ref="A109:A166" si="27">ROW(A109)-ROW($A$7)</f>
        <v>102</v>
      </c>
      <c r="B109" s="11" t="str">
        <f t="shared" ref="B109:B114" si="28">CONCATENATE($B$8,"-",C109)</f>
        <v>MeOH-AEC-price-o2-0.027</v>
      </c>
      <c r="C109" s="127" t="s">
        <v>274</v>
      </c>
      <c r="D109" t="s">
        <v>185</v>
      </c>
      <c r="E109" s="120" t="s">
        <v>91</v>
      </c>
      <c r="F109" t="s">
        <v>112</v>
      </c>
      <c r="G109" s="14" t="str">
        <f t="shared" ref="G109:G202" si="29">"2030"</f>
        <v>2030</v>
      </c>
      <c r="H109" s="14" t="s">
        <v>185</v>
      </c>
      <c r="I109" s="14" t="str">
        <f t="shared" ref="I109:I202" si="30">"2018"</f>
        <v>2018</v>
      </c>
      <c r="J109" s="14" t="s">
        <v>80</v>
      </c>
      <c r="K109" s="14">
        <v>0</v>
      </c>
      <c r="L109" s="14">
        <v>0</v>
      </c>
      <c r="M109" s="14">
        <v>-1</v>
      </c>
      <c r="N109" s="14">
        <v>1</v>
      </c>
      <c r="O109" s="14">
        <v>0</v>
      </c>
      <c r="P109" t="s">
        <v>177</v>
      </c>
      <c r="Q109" t="s">
        <v>178</v>
      </c>
      <c r="R109" s="104" t="s">
        <v>307</v>
      </c>
      <c r="S109" s="18" t="b">
        <v>0</v>
      </c>
      <c r="T109" t="b">
        <v>1</v>
      </c>
      <c r="U109" s="18" t="b">
        <v>0</v>
      </c>
      <c r="V109" t="b">
        <v>0</v>
      </c>
      <c r="W109" t="b">
        <v>1</v>
      </c>
      <c r="X109" t="b">
        <v>0</v>
      </c>
      <c r="Y109" t="b">
        <v>0</v>
      </c>
      <c r="Z109" t="b">
        <v>1</v>
      </c>
      <c r="AA109" t="b">
        <v>1</v>
      </c>
      <c r="AB109" s="19" t="b">
        <v>0</v>
      </c>
      <c r="AC109" t="b">
        <v>1</v>
      </c>
      <c r="AD109" t="b">
        <v>1</v>
      </c>
      <c r="AE109" t="b">
        <v>1</v>
      </c>
    </row>
    <row r="110" spans="1:31" x14ac:dyDescent="0.35">
      <c r="A110" s="2">
        <f t="shared" si="27"/>
        <v>103</v>
      </c>
      <c r="B110" s="11" t="str">
        <f t="shared" si="28"/>
        <v>MeOH-AEC-price-o2-0.052</v>
      </c>
      <c r="C110" s="127" t="s">
        <v>275</v>
      </c>
      <c r="D110" t="s">
        <v>185</v>
      </c>
      <c r="E110" s="120" t="s">
        <v>91</v>
      </c>
      <c r="F110" t="s">
        <v>112</v>
      </c>
      <c r="G110" s="14" t="str">
        <f t="shared" si="29"/>
        <v>2030</v>
      </c>
      <c r="H110" s="14" t="s">
        <v>185</v>
      </c>
      <c r="I110" s="14" t="str">
        <f t="shared" si="30"/>
        <v>2018</v>
      </c>
      <c r="J110" s="14" t="s">
        <v>80</v>
      </c>
      <c r="K110" s="14">
        <v>0</v>
      </c>
      <c r="L110" s="14">
        <v>0</v>
      </c>
      <c r="M110" s="14">
        <v>-1</v>
      </c>
      <c r="N110" s="14">
        <v>1</v>
      </c>
      <c r="O110" s="14">
        <v>0</v>
      </c>
      <c r="P110" t="s">
        <v>177</v>
      </c>
      <c r="Q110" t="s">
        <v>178</v>
      </c>
      <c r="R110" s="104" t="s">
        <v>307</v>
      </c>
      <c r="S110" s="18" t="b">
        <v>0</v>
      </c>
      <c r="T110" t="b">
        <v>1</v>
      </c>
      <c r="U110" s="18" t="b">
        <v>0</v>
      </c>
      <c r="V110" t="b">
        <v>0</v>
      </c>
      <c r="W110" t="b">
        <v>1</v>
      </c>
      <c r="X110" t="b">
        <v>0</v>
      </c>
      <c r="Y110" t="b">
        <v>0</v>
      </c>
      <c r="Z110" t="b">
        <v>1</v>
      </c>
      <c r="AA110" t="b">
        <v>1</v>
      </c>
      <c r="AB110" s="19" t="b">
        <v>0</v>
      </c>
      <c r="AC110" t="b">
        <v>1</v>
      </c>
      <c r="AD110" t="b">
        <v>1</v>
      </c>
      <c r="AE110" t="b">
        <v>1</v>
      </c>
    </row>
    <row r="111" spans="1:31" x14ac:dyDescent="0.35">
      <c r="A111" s="2">
        <f t="shared" si="27"/>
        <v>104</v>
      </c>
      <c r="B111" s="11" t="str">
        <f t="shared" si="28"/>
        <v>MeOH-AEC-price-o2-0.077</v>
      </c>
      <c r="C111" s="127" t="s">
        <v>276</v>
      </c>
      <c r="D111" t="s">
        <v>185</v>
      </c>
      <c r="E111" s="120" t="s">
        <v>91</v>
      </c>
      <c r="F111" t="s">
        <v>112</v>
      </c>
      <c r="G111" s="14" t="str">
        <f t="shared" si="29"/>
        <v>2030</v>
      </c>
      <c r="H111" s="14" t="s">
        <v>185</v>
      </c>
      <c r="I111" s="14" t="str">
        <f t="shared" si="30"/>
        <v>2018</v>
      </c>
      <c r="J111" s="14" t="s">
        <v>80</v>
      </c>
      <c r="K111" s="14">
        <v>0</v>
      </c>
      <c r="L111" s="14">
        <v>0</v>
      </c>
      <c r="M111" s="14">
        <v>-1</v>
      </c>
      <c r="N111" s="14">
        <v>1</v>
      </c>
      <c r="O111" s="14">
        <v>0</v>
      </c>
      <c r="P111" t="s">
        <v>177</v>
      </c>
      <c r="Q111" t="s">
        <v>178</v>
      </c>
      <c r="R111" s="104" t="s">
        <v>307</v>
      </c>
      <c r="S111" s="18" t="b">
        <v>0</v>
      </c>
      <c r="T111" t="b">
        <v>1</v>
      </c>
      <c r="U111" s="18" t="b">
        <v>0</v>
      </c>
      <c r="V111" t="b">
        <v>0</v>
      </c>
      <c r="W111" t="b">
        <v>1</v>
      </c>
      <c r="X111" t="b">
        <v>0</v>
      </c>
      <c r="Y111" t="b">
        <v>0</v>
      </c>
      <c r="Z111" t="b">
        <v>1</v>
      </c>
      <c r="AA111" t="b">
        <v>1</v>
      </c>
      <c r="AB111" s="19" t="b">
        <v>0</v>
      </c>
      <c r="AC111" t="b">
        <v>1</v>
      </c>
      <c r="AD111" t="b">
        <v>1</v>
      </c>
      <c r="AE111" t="b">
        <v>1</v>
      </c>
    </row>
    <row r="112" spans="1:31" x14ac:dyDescent="0.35">
      <c r="A112" s="2">
        <f t="shared" si="27"/>
        <v>105</v>
      </c>
      <c r="B112" s="11" t="str">
        <f t="shared" si="28"/>
        <v>MeOH-AEC-price-o2-0.102</v>
      </c>
      <c r="C112" s="127" t="s">
        <v>277</v>
      </c>
      <c r="D112" t="s">
        <v>185</v>
      </c>
      <c r="E112" s="120" t="s">
        <v>91</v>
      </c>
      <c r="F112" t="s">
        <v>112</v>
      </c>
      <c r="G112" s="14" t="str">
        <f t="shared" si="29"/>
        <v>2030</v>
      </c>
      <c r="H112" s="14" t="s">
        <v>185</v>
      </c>
      <c r="I112" s="14" t="str">
        <f t="shared" si="30"/>
        <v>2018</v>
      </c>
      <c r="J112" s="14" t="s">
        <v>80</v>
      </c>
      <c r="K112" s="14">
        <v>0</v>
      </c>
      <c r="L112" s="14">
        <v>0</v>
      </c>
      <c r="M112" s="14">
        <v>-1</v>
      </c>
      <c r="N112" s="14">
        <v>1</v>
      </c>
      <c r="O112" s="14">
        <v>0</v>
      </c>
      <c r="P112" t="s">
        <v>177</v>
      </c>
      <c r="Q112" t="s">
        <v>178</v>
      </c>
      <c r="R112" s="104" t="s">
        <v>307</v>
      </c>
      <c r="S112" s="18" t="b">
        <v>0</v>
      </c>
      <c r="T112" t="b">
        <v>1</v>
      </c>
      <c r="U112" s="18" t="b">
        <v>0</v>
      </c>
      <c r="V112" t="b">
        <v>0</v>
      </c>
      <c r="W112" t="b">
        <v>1</v>
      </c>
      <c r="X112" t="b">
        <v>0</v>
      </c>
      <c r="Y112" t="b">
        <v>0</v>
      </c>
      <c r="Z112" t="b">
        <v>1</v>
      </c>
      <c r="AA112" t="b">
        <v>1</v>
      </c>
      <c r="AB112" s="19" t="b">
        <v>0</v>
      </c>
      <c r="AC112" t="b">
        <v>1</v>
      </c>
      <c r="AD112" t="b">
        <v>1</v>
      </c>
      <c r="AE112" t="b">
        <v>1</v>
      </c>
    </row>
    <row r="113" spans="1:31" x14ac:dyDescent="0.35">
      <c r="A113" s="2">
        <f t="shared" si="27"/>
        <v>106</v>
      </c>
      <c r="B113" s="11" t="str">
        <f t="shared" si="28"/>
        <v>MeOH-AEC-price-o2-0.127</v>
      </c>
      <c r="C113" s="127" t="s">
        <v>278</v>
      </c>
      <c r="D113" t="s">
        <v>185</v>
      </c>
      <c r="E113" s="120" t="s">
        <v>91</v>
      </c>
      <c r="F113" t="s">
        <v>112</v>
      </c>
      <c r="G113" s="14" t="str">
        <f t="shared" si="29"/>
        <v>2030</v>
      </c>
      <c r="H113" s="14" t="s">
        <v>185</v>
      </c>
      <c r="I113" s="14" t="str">
        <f t="shared" si="30"/>
        <v>2018</v>
      </c>
      <c r="J113" s="14" t="s">
        <v>80</v>
      </c>
      <c r="K113" s="14">
        <v>0</v>
      </c>
      <c r="L113" s="14">
        <v>0</v>
      </c>
      <c r="M113" s="14">
        <v>-1</v>
      </c>
      <c r="N113" s="14">
        <v>1</v>
      </c>
      <c r="O113" s="14">
        <v>0</v>
      </c>
      <c r="P113" t="s">
        <v>177</v>
      </c>
      <c r="Q113" t="s">
        <v>178</v>
      </c>
      <c r="R113" s="104" t="s">
        <v>307</v>
      </c>
      <c r="S113" s="18" t="b">
        <v>0</v>
      </c>
      <c r="T113" t="b">
        <v>1</v>
      </c>
      <c r="U113" s="18" t="b">
        <v>0</v>
      </c>
      <c r="V113" t="b">
        <v>0</v>
      </c>
      <c r="W113" t="b">
        <v>1</v>
      </c>
      <c r="X113" t="b">
        <v>0</v>
      </c>
      <c r="Y113" t="b">
        <v>0</v>
      </c>
      <c r="Z113" t="b">
        <v>1</v>
      </c>
      <c r="AA113" t="b">
        <v>1</v>
      </c>
      <c r="AB113" s="19" t="b">
        <v>0</v>
      </c>
      <c r="AC113" t="b">
        <v>1</v>
      </c>
      <c r="AD113" t="b">
        <v>1</v>
      </c>
      <c r="AE113" t="b">
        <v>1</v>
      </c>
    </row>
    <row r="114" spans="1:31" x14ac:dyDescent="0.35">
      <c r="A114" s="2">
        <f t="shared" si="27"/>
        <v>107</v>
      </c>
      <c r="B114" s="11" t="str">
        <f t="shared" si="28"/>
        <v>MeOH-AEC-price-o2-0.150</v>
      </c>
      <c r="C114" s="127" t="s">
        <v>279</v>
      </c>
      <c r="D114" t="s">
        <v>185</v>
      </c>
      <c r="E114" s="120" t="s">
        <v>91</v>
      </c>
      <c r="F114" t="s">
        <v>112</v>
      </c>
      <c r="G114" s="14" t="str">
        <f t="shared" si="29"/>
        <v>2030</v>
      </c>
      <c r="H114" s="14" t="s">
        <v>185</v>
      </c>
      <c r="I114" s="14" t="str">
        <f t="shared" si="30"/>
        <v>2018</v>
      </c>
      <c r="J114" s="14" t="s">
        <v>80</v>
      </c>
      <c r="K114" s="14">
        <v>0</v>
      </c>
      <c r="L114" s="14">
        <v>0</v>
      </c>
      <c r="M114" s="14">
        <v>-1</v>
      </c>
      <c r="N114" s="14">
        <v>1</v>
      </c>
      <c r="O114" s="14">
        <v>0</v>
      </c>
      <c r="P114" t="s">
        <v>177</v>
      </c>
      <c r="Q114" t="s">
        <v>178</v>
      </c>
      <c r="R114" s="104" t="s">
        <v>307</v>
      </c>
      <c r="S114" s="18" t="b">
        <v>0</v>
      </c>
      <c r="T114" t="b">
        <v>1</v>
      </c>
      <c r="U114" s="18" t="b">
        <v>0</v>
      </c>
      <c r="V114" t="b">
        <v>0</v>
      </c>
      <c r="W114" t="b">
        <v>1</v>
      </c>
      <c r="X114" t="b">
        <v>0</v>
      </c>
      <c r="Y114" t="b">
        <v>0</v>
      </c>
      <c r="Z114" t="b">
        <v>1</v>
      </c>
      <c r="AA114" t="b">
        <v>1</v>
      </c>
      <c r="AB114" s="19" t="b">
        <v>0</v>
      </c>
      <c r="AC114" t="b">
        <v>1</v>
      </c>
      <c r="AD114" t="b">
        <v>1</v>
      </c>
      <c r="AE114" t="b">
        <v>1</v>
      </c>
    </row>
    <row r="115" spans="1:31" x14ac:dyDescent="0.35">
      <c r="A115" s="2">
        <f t="shared" si="27"/>
        <v>108</v>
      </c>
      <c r="B115" s="11" t="str">
        <f t="shared" ref="B115:B120" si="31">CONCATENATE($B$10,"-",C115)</f>
        <v>MeOH-SOEC-price-o2-0.027</v>
      </c>
      <c r="C115" s="127" t="s">
        <v>274</v>
      </c>
      <c r="D115" t="s">
        <v>185</v>
      </c>
      <c r="E115" s="120" t="s">
        <v>91</v>
      </c>
      <c r="F115" t="s">
        <v>112</v>
      </c>
      <c r="G115" s="14" t="str">
        <f t="shared" si="29"/>
        <v>2030</v>
      </c>
      <c r="H115" s="14" t="s">
        <v>185</v>
      </c>
      <c r="I115" s="14" t="str">
        <f t="shared" si="30"/>
        <v>2018</v>
      </c>
      <c r="J115" s="14" t="s">
        <v>92</v>
      </c>
      <c r="K115" s="14">
        <v>0</v>
      </c>
      <c r="L115" s="14">
        <v>0</v>
      </c>
      <c r="M115" s="14">
        <v>-1</v>
      </c>
      <c r="N115" s="14">
        <v>1</v>
      </c>
      <c r="O115" s="14">
        <v>0</v>
      </c>
      <c r="P115" t="s">
        <v>177</v>
      </c>
      <c r="Q115" t="s">
        <v>178</v>
      </c>
      <c r="R115" s="104" t="s">
        <v>307</v>
      </c>
      <c r="S115" s="18" t="b">
        <v>0</v>
      </c>
      <c r="T115" t="b">
        <v>1</v>
      </c>
      <c r="U115" s="18" t="b">
        <v>0</v>
      </c>
      <c r="V115" t="b">
        <v>0</v>
      </c>
      <c r="W115" t="b">
        <v>1</v>
      </c>
      <c r="X115" t="b">
        <v>0</v>
      </c>
      <c r="Y115" t="b">
        <v>0</v>
      </c>
      <c r="Z115" t="b">
        <v>1</v>
      </c>
      <c r="AA115" t="b">
        <v>1</v>
      </c>
      <c r="AB115" s="19" t="b">
        <v>0</v>
      </c>
      <c r="AC115" t="b">
        <v>1</v>
      </c>
      <c r="AD115" t="b">
        <v>1</v>
      </c>
      <c r="AE115" t="b">
        <v>1</v>
      </c>
    </row>
    <row r="116" spans="1:31" x14ac:dyDescent="0.35">
      <c r="A116" s="2">
        <f t="shared" si="27"/>
        <v>109</v>
      </c>
      <c r="B116" s="11" t="str">
        <f t="shared" si="31"/>
        <v>MeOH-SOEC-price-o2-0.052</v>
      </c>
      <c r="C116" s="127" t="s">
        <v>275</v>
      </c>
      <c r="D116" t="s">
        <v>185</v>
      </c>
      <c r="E116" s="120" t="s">
        <v>91</v>
      </c>
      <c r="F116" t="s">
        <v>112</v>
      </c>
      <c r="G116" s="14" t="str">
        <f t="shared" si="29"/>
        <v>2030</v>
      </c>
      <c r="H116" s="14" t="s">
        <v>185</v>
      </c>
      <c r="I116" s="14" t="str">
        <f t="shared" si="30"/>
        <v>2018</v>
      </c>
      <c r="J116" s="14" t="s">
        <v>92</v>
      </c>
      <c r="K116" s="14">
        <v>0</v>
      </c>
      <c r="L116" s="14">
        <v>0</v>
      </c>
      <c r="M116" s="14">
        <v>-1</v>
      </c>
      <c r="N116" s="14">
        <v>1</v>
      </c>
      <c r="O116" s="14">
        <v>0</v>
      </c>
      <c r="P116" t="s">
        <v>177</v>
      </c>
      <c r="Q116" t="s">
        <v>178</v>
      </c>
      <c r="R116" s="104" t="s">
        <v>307</v>
      </c>
      <c r="S116" s="18" t="b">
        <v>0</v>
      </c>
      <c r="T116" t="b">
        <v>1</v>
      </c>
      <c r="U116" s="18" t="b">
        <v>0</v>
      </c>
      <c r="V116" t="b">
        <v>0</v>
      </c>
      <c r="W116" t="b">
        <v>1</v>
      </c>
      <c r="X116" t="b">
        <v>0</v>
      </c>
      <c r="Y116" t="b">
        <v>0</v>
      </c>
      <c r="Z116" t="b">
        <v>1</v>
      </c>
      <c r="AA116" t="b">
        <v>1</v>
      </c>
      <c r="AB116" s="19" t="b">
        <v>0</v>
      </c>
      <c r="AC116" t="b">
        <v>1</v>
      </c>
      <c r="AD116" t="b">
        <v>1</v>
      </c>
      <c r="AE116" t="b">
        <v>1</v>
      </c>
    </row>
    <row r="117" spans="1:31" x14ac:dyDescent="0.35">
      <c r="A117" s="2">
        <f t="shared" si="27"/>
        <v>110</v>
      </c>
      <c r="B117" s="11" t="str">
        <f t="shared" si="31"/>
        <v>MeOH-SOEC-price-o2-0.077</v>
      </c>
      <c r="C117" s="127" t="s">
        <v>276</v>
      </c>
      <c r="D117" t="s">
        <v>185</v>
      </c>
      <c r="E117" s="120" t="s">
        <v>91</v>
      </c>
      <c r="F117" t="s">
        <v>112</v>
      </c>
      <c r="G117" s="14" t="str">
        <f t="shared" si="29"/>
        <v>2030</v>
      </c>
      <c r="H117" s="14" t="s">
        <v>185</v>
      </c>
      <c r="I117" s="14" t="str">
        <f t="shared" si="30"/>
        <v>2018</v>
      </c>
      <c r="J117" s="14" t="s">
        <v>92</v>
      </c>
      <c r="K117" s="14">
        <v>0</v>
      </c>
      <c r="L117" s="14">
        <v>0</v>
      </c>
      <c r="M117" s="14">
        <v>-1</v>
      </c>
      <c r="N117" s="14">
        <v>1</v>
      </c>
      <c r="O117" s="14">
        <v>0</v>
      </c>
      <c r="P117" t="s">
        <v>177</v>
      </c>
      <c r="Q117" t="s">
        <v>178</v>
      </c>
      <c r="R117" s="104" t="s">
        <v>307</v>
      </c>
      <c r="S117" s="18" t="b">
        <v>0</v>
      </c>
      <c r="T117" t="b">
        <v>1</v>
      </c>
      <c r="U117" s="18" t="b">
        <v>0</v>
      </c>
      <c r="V117" t="b">
        <v>0</v>
      </c>
      <c r="W117" t="b">
        <v>1</v>
      </c>
      <c r="X117" t="b">
        <v>0</v>
      </c>
      <c r="Y117" t="b">
        <v>0</v>
      </c>
      <c r="Z117" t="b">
        <v>1</v>
      </c>
      <c r="AA117" t="b">
        <v>1</v>
      </c>
      <c r="AB117" s="19" t="b">
        <v>0</v>
      </c>
      <c r="AC117" t="b">
        <v>1</v>
      </c>
      <c r="AD117" t="b">
        <v>1</v>
      </c>
      <c r="AE117" t="b">
        <v>1</v>
      </c>
    </row>
    <row r="118" spans="1:31" x14ac:dyDescent="0.35">
      <c r="A118" s="2">
        <f t="shared" si="27"/>
        <v>111</v>
      </c>
      <c r="B118" s="11" t="str">
        <f t="shared" si="31"/>
        <v>MeOH-SOEC-price-o2-0.102</v>
      </c>
      <c r="C118" s="127" t="s">
        <v>277</v>
      </c>
      <c r="D118" t="s">
        <v>185</v>
      </c>
      <c r="E118" s="120" t="s">
        <v>91</v>
      </c>
      <c r="F118" t="s">
        <v>112</v>
      </c>
      <c r="G118" s="14" t="str">
        <f t="shared" si="29"/>
        <v>2030</v>
      </c>
      <c r="H118" s="14" t="s">
        <v>185</v>
      </c>
      <c r="I118" s="14" t="str">
        <f t="shared" si="30"/>
        <v>2018</v>
      </c>
      <c r="J118" s="14" t="s">
        <v>92</v>
      </c>
      <c r="K118" s="14">
        <v>0</v>
      </c>
      <c r="L118" s="14">
        <v>0</v>
      </c>
      <c r="M118" s="14">
        <v>-1</v>
      </c>
      <c r="N118" s="14">
        <v>1</v>
      </c>
      <c r="O118" s="14">
        <v>0</v>
      </c>
      <c r="P118" t="s">
        <v>177</v>
      </c>
      <c r="Q118" t="s">
        <v>178</v>
      </c>
      <c r="R118" s="104" t="s">
        <v>307</v>
      </c>
      <c r="S118" s="18" t="b">
        <v>0</v>
      </c>
      <c r="T118" t="b">
        <v>1</v>
      </c>
      <c r="U118" s="18" t="b">
        <v>0</v>
      </c>
      <c r="V118" t="b">
        <v>0</v>
      </c>
      <c r="W118" t="b">
        <v>1</v>
      </c>
      <c r="X118" t="b">
        <v>0</v>
      </c>
      <c r="Y118" t="b">
        <v>0</v>
      </c>
      <c r="Z118" t="b">
        <v>1</v>
      </c>
      <c r="AA118" t="b">
        <v>1</v>
      </c>
      <c r="AB118" s="19" t="b">
        <v>0</v>
      </c>
      <c r="AC118" t="b">
        <v>1</v>
      </c>
      <c r="AD118" t="b">
        <v>1</v>
      </c>
      <c r="AE118" t="b">
        <v>1</v>
      </c>
    </row>
    <row r="119" spans="1:31" x14ac:dyDescent="0.35">
      <c r="A119" s="2">
        <f t="shared" si="27"/>
        <v>112</v>
      </c>
      <c r="B119" s="11" t="str">
        <f t="shared" si="31"/>
        <v>MeOH-SOEC-price-o2-0.127</v>
      </c>
      <c r="C119" s="127" t="s">
        <v>278</v>
      </c>
      <c r="D119" t="s">
        <v>185</v>
      </c>
      <c r="E119" s="120" t="s">
        <v>91</v>
      </c>
      <c r="F119" t="s">
        <v>112</v>
      </c>
      <c r="G119" s="14" t="str">
        <f t="shared" si="29"/>
        <v>2030</v>
      </c>
      <c r="H119" s="14" t="s">
        <v>185</v>
      </c>
      <c r="I119" s="14" t="str">
        <f t="shared" si="30"/>
        <v>2018</v>
      </c>
      <c r="J119" s="14" t="s">
        <v>92</v>
      </c>
      <c r="K119" s="14">
        <v>0</v>
      </c>
      <c r="L119" s="14">
        <v>0</v>
      </c>
      <c r="M119" s="14">
        <v>-1</v>
      </c>
      <c r="N119" s="14">
        <v>1</v>
      </c>
      <c r="O119" s="14">
        <v>0</v>
      </c>
      <c r="P119" t="s">
        <v>177</v>
      </c>
      <c r="Q119" t="s">
        <v>178</v>
      </c>
      <c r="R119" s="104" t="s">
        <v>307</v>
      </c>
      <c r="S119" s="18" t="b">
        <v>0</v>
      </c>
      <c r="T119" t="b">
        <v>1</v>
      </c>
      <c r="U119" s="18" t="b">
        <v>0</v>
      </c>
      <c r="V119" t="b">
        <v>0</v>
      </c>
      <c r="W119" t="b">
        <v>1</v>
      </c>
      <c r="X119" t="b">
        <v>0</v>
      </c>
      <c r="Y119" t="b">
        <v>0</v>
      </c>
      <c r="Z119" t="b">
        <v>1</v>
      </c>
      <c r="AA119" t="b">
        <v>1</v>
      </c>
      <c r="AB119" s="19" t="b">
        <v>0</v>
      </c>
      <c r="AC119" t="b">
        <v>1</v>
      </c>
      <c r="AD119" t="b">
        <v>1</v>
      </c>
      <c r="AE119" t="b">
        <v>1</v>
      </c>
    </row>
    <row r="120" spans="1:31" x14ac:dyDescent="0.35">
      <c r="A120" s="2">
        <f t="shared" si="27"/>
        <v>113</v>
      </c>
      <c r="B120" s="11" t="str">
        <f t="shared" si="31"/>
        <v>MeOH-SOEC-price-o2-0.150</v>
      </c>
      <c r="C120" s="127" t="s">
        <v>279</v>
      </c>
      <c r="D120" t="s">
        <v>185</v>
      </c>
      <c r="E120" s="120" t="s">
        <v>91</v>
      </c>
      <c r="F120" t="s">
        <v>112</v>
      </c>
      <c r="G120" s="14" t="str">
        <f t="shared" si="29"/>
        <v>2030</v>
      </c>
      <c r="H120" s="14" t="s">
        <v>185</v>
      </c>
      <c r="I120" s="14" t="str">
        <f t="shared" si="30"/>
        <v>2018</v>
      </c>
      <c r="J120" s="14" t="s">
        <v>92</v>
      </c>
      <c r="K120" s="14">
        <v>0</v>
      </c>
      <c r="L120" s="14">
        <v>0</v>
      </c>
      <c r="M120" s="14">
        <v>-1</v>
      </c>
      <c r="N120" s="14">
        <v>1</v>
      </c>
      <c r="O120" s="14">
        <v>0</v>
      </c>
      <c r="P120" t="s">
        <v>177</v>
      </c>
      <c r="Q120" t="s">
        <v>178</v>
      </c>
      <c r="R120" s="104" t="s">
        <v>307</v>
      </c>
      <c r="S120" s="18" t="b">
        <v>0</v>
      </c>
      <c r="T120" t="b">
        <v>1</v>
      </c>
      <c r="U120" s="18" t="b">
        <v>0</v>
      </c>
      <c r="V120" t="b">
        <v>0</v>
      </c>
      <c r="W120" t="b">
        <v>1</v>
      </c>
      <c r="X120" t="b">
        <v>0</v>
      </c>
      <c r="Y120" t="b">
        <v>0</v>
      </c>
      <c r="Z120" t="b">
        <v>1</v>
      </c>
      <c r="AA120" t="b">
        <v>1</v>
      </c>
      <c r="AB120" s="19" t="b">
        <v>0</v>
      </c>
      <c r="AC120" t="b">
        <v>1</v>
      </c>
      <c r="AD120" t="b">
        <v>1</v>
      </c>
      <c r="AE120" t="b">
        <v>1</v>
      </c>
    </row>
    <row r="121" spans="1:31" x14ac:dyDescent="0.35">
      <c r="A121" s="2">
        <f t="shared" si="27"/>
        <v>114</v>
      </c>
      <c r="B121" s="11" t="str">
        <f t="shared" ref="B121:B126" si="32">CONCATENATE($B$9,"-",C121)</f>
        <v>Biofuel-AEC-price-o2-0.027</v>
      </c>
      <c r="C121" s="127" t="s">
        <v>274</v>
      </c>
      <c r="D121" t="s">
        <v>185</v>
      </c>
      <c r="E121" s="119" t="s">
        <v>193</v>
      </c>
      <c r="F121" t="s">
        <v>112</v>
      </c>
      <c r="G121" s="14" t="str">
        <f t="shared" si="29"/>
        <v>2030</v>
      </c>
      <c r="H121" s="14" t="s">
        <v>185</v>
      </c>
      <c r="I121" s="14" t="str">
        <f t="shared" si="30"/>
        <v>2018</v>
      </c>
      <c r="J121" s="14" t="s">
        <v>80</v>
      </c>
      <c r="K121" s="14">
        <v>0</v>
      </c>
      <c r="L121" s="14">
        <v>0</v>
      </c>
      <c r="M121" s="14">
        <v>-1</v>
      </c>
      <c r="N121" s="14">
        <v>1</v>
      </c>
      <c r="O121" s="14">
        <v>0</v>
      </c>
      <c r="P121" t="s">
        <v>177</v>
      </c>
      <c r="Q121" t="s">
        <v>178</v>
      </c>
      <c r="R121" s="104" t="s">
        <v>307</v>
      </c>
      <c r="S121" s="18" t="b">
        <v>0</v>
      </c>
      <c r="T121" t="b">
        <v>1</v>
      </c>
      <c r="U121" s="18" t="b">
        <v>0</v>
      </c>
      <c r="V121" t="b">
        <v>0</v>
      </c>
      <c r="W121" t="b">
        <v>1</v>
      </c>
      <c r="X121" t="b">
        <v>0</v>
      </c>
      <c r="Y121" t="b">
        <v>0</v>
      </c>
      <c r="Z121" t="b">
        <v>1</v>
      </c>
      <c r="AA121" t="b">
        <v>1</v>
      </c>
      <c r="AB121" s="19" t="b">
        <v>0</v>
      </c>
      <c r="AC121" t="b">
        <v>1</v>
      </c>
      <c r="AD121" t="b">
        <v>1</v>
      </c>
      <c r="AE121" t="b">
        <v>1</v>
      </c>
    </row>
    <row r="122" spans="1:31" x14ac:dyDescent="0.35">
      <c r="A122" s="2">
        <f t="shared" si="27"/>
        <v>115</v>
      </c>
      <c r="B122" s="11" t="str">
        <f t="shared" si="32"/>
        <v>Biofuel-AEC-price-o2-0.052</v>
      </c>
      <c r="C122" s="127" t="s">
        <v>275</v>
      </c>
      <c r="D122" t="s">
        <v>185</v>
      </c>
      <c r="E122" s="119" t="s">
        <v>193</v>
      </c>
      <c r="F122" t="s">
        <v>112</v>
      </c>
      <c r="G122" s="14" t="str">
        <f t="shared" si="29"/>
        <v>2030</v>
      </c>
      <c r="H122" s="14" t="s">
        <v>185</v>
      </c>
      <c r="I122" s="14" t="str">
        <f t="shared" si="30"/>
        <v>2018</v>
      </c>
      <c r="J122" s="14" t="s">
        <v>80</v>
      </c>
      <c r="K122" s="14">
        <v>0</v>
      </c>
      <c r="L122" s="14">
        <v>0</v>
      </c>
      <c r="M122" s="14">
        <v>-1</v>
      </c>
      <c r="N122" s="14">
        <v>1</v>
      </c>
      <c r="O122" s="14">
        <v>0</v>
      </c>
      <c r="P122" t="s">
        <v>177</v>
      </c>
      <c r="Q122" t="s">
        <v>178</v>
      </c>
      <c r="R122" s="104" t="s">
        <v>307</v>
      </c>
      <c r="S122" s="18" t="b">
        <v>0</v>
      </c>
      <c r="T122" t="b">
        <v>1</v>
      </c>
      <c r="U122" s="18" t="b">
        <v>0</v>
      </c>
      <c r="V122" t="b">
        <v>0</v>
      </c>
      <c r="W122" t="b">
        <v>1</v>
      </c>
      <c r="X122" t="b">
        <v>0</v>
      </c>
      <c r="Y122" t="b">
        <v>0</v>
      </c>
      <c r="Z122" t="b">
        <v>1</v>
      </c>
      <c r="AA122" t="b">
        <v>1</v>
      </c>
      <c r="AB122" s="19" t="b">
        <v>0</v>
      </c>
      <c r="AC122" t="b">
        <v>1</v>
      </c>
      <c r="AD122" t="b">
        <v>1</v>
      </c>
      <c r="AE122" t="b">
        <v>1</v>
      </c>
    </row>
    <row r="123" spans="1:31" x14ac:dyDescent="0.35">
      <c r="A123" s="2">
        <f t="shared" si="27"/>
        <v>116</v>
      </c>
      <c r="B123" s="11" t="str">
        <f t="shared" si="32"/>
        <v>Biofuel-AEC-price-o2-0.077</v>
      </c>
      <c r="C123" s="127" t="s">
        <v>276</v>
      </c>
      <c r="D123" t="s">
        <v>185</v>
      </c>
      <c r="E123" s="119" t="s">
        <v>193</v>
      </c>
      <c r="F123" t="s">
        <v>112</v>
      </c>
      <c r="G123" s="14" t="str">
        <f t="shared" si="29"/>
        <v>2030</v>
      </c>
      <c r="H123" s="14" t="s">
        <v>185</v>
      </c>
      <c r="I123" s="14" t="str">
        <f t="shared" si="30"/>
        <v>2018</v>
      </c>
      <c r="J123" s="14" t="s">
        <v>80</v>
      </c>
      <c r="K123" s="14">
        <v>0</v>
      </c>
      <c r="L123" s="14">
        <v>0</v>
      </c>
      <c r="M123" s="14">
        <v>-1</v>
      </c>
      <c r="N123" s="14">
        <v>1</v>
      </c>
      <c r="O123" s="14">
        <v>0</v>
      </c>
      <c r="P123" t="s">
        <v>177</v>
      </c>
      <c r="Q123" t="s">
        <v>178</v>
      </c>
      <c r="R123" s="104" t="s">
        <v>307</v>
      </c>
      <c r="S123" s="18" t="b">
        <v>0</v>
      </c>
      <c r="T123" t="b">
        <v>1</v>
      </c>
      <c r="U123" s="18" t="b">
        <v>0</v>
      </c>
      <c r="V123" t="b">
        <v>0</v>
      </c>
      <c r="W123" t="b">
        <v>1</v>
      </c>
      <c r="X123" t="b">
        <v>0</v>
      </c>
      <c r="Y123" t="b">
        <v>0</v>
      </c>
      <c r="Z123" t="b">
        <v>1</v>
      </c>
      <c r="AA123" t="b">
        <v>1</v>
      </c>
      <c r="AB123" s="19" t="b">
        <v>0</v>
      </c>
      <c r="AC123" t="b">
        <v>1</v>
      </c>
      <c r="AD123" t="b">
        <v>1</v>
      </c>
      <c r="AE123" t="b">
        <v>1</v>
      </c>
    </row>
    <row r="124" spans="1:31" x14ac:dyDescent="0.35">
      <c r="A124" s="2">
        <f t="shared" si="27"/>
        <v>117</v>
      </c>
      <c r="B124" s="11" t="str">
        <f t="shared" si="32"/>
        <v>Biofuel-AEC-price-o2-0.102</v>
      </c>
      <c r="C124" s="127" t="s">
        <v>277</v>
      </c>
      <c r="D124" t="s">
        <v>185</v>
      </c>
      <c r="E124" s="119" t="s">
        <v>193</v>
      </c>
      <c r="F124" t="s">
        <v>112</v>
      </c>
      <c r="G124" s="14" t="str">
        <f t="shared" si="29"/>
        <v>2030</v>
      </c>
      <c r="H124" s="14" t="s">
        <v>185</v>
      </c>
      <c r="I124" s="14" t="str">
        <f t="shared" si="30"/>
        <v>2018</v>
      </c>
      <c r="J124" s="14" t="s">
        <v>80</v>
      </c>
      <c r="K124" s="14">
        <v>0</v>
      </c>
      <c r="L124" s="14">
        <v>0</v>
      </c>
      <c r="M124" s="14">
        <v>-1</v>
      </c>
      <c r="N124" s="14">
        <v>1</v>
      </c>
      <c r="O124" s="14">
        <v>0</v>
      </c>
      <c r="P124" t="s">
        <v>177</v>
      </c>
      <c r="Q124" t="s">
        <v>178</v>
      </c>
      <c r="R124" s="104" t="s">
        <v>307</v>
      </c>
      <c r="S124" s="18" t="b">
        <v>0</v>
      </c>
      <c r="T124" t="b">
        <v>1</v>
      </c>
      <c r="U124" s="18" t="b">
        <v>0</v>
      </c>
      <c r="V124" t="b">
        <v>0</v>
      </c>
      <c r="W124" t="b">
        <v>1</v>
      </c>
      <c r="X124" t="b">
        <v>0</v>
      </c>
      <c r="Y124" t="b">
        <v>0</v>
      </c>
      <c r="Z124" t="b">
        <v>1</v>
      </c>
      <c r="AA124" t="b">
        <v>1</v>
      </c>
      <c r="AB124" s="19" t="b">
        <v>0</v>
      </c>
      <c r="AC124" t="b">
        <v>1</v>
      </c>
      <c r="AD124" t="b">
        <v>1</v>
      </c>
      <c r="AE124" t="b">
        <v>1</v>
      </c>
    </row>
    <row r="125" spans="1:31" x14ac:dyDescent="0.35">
      <c r="A125" s="2">
        <f t="shared" si="27"/>
        <v>118</v>
      </c>
      <c r="B125" s="11" t="str">
        <f t="shared" si="32"/>
        <v>Biofuel-AEC-price-o2-0.127</v>
      </c>
      <c r="C125" s="127" t="s">
        <v>278</v>
      </c>
      <c r="D125" t="s">
        <v>185</v>
      </c>
      <c r="E125" s="119" t="s">
        <v>193</v>
      </c>
      <c r="F125" t="s">
        <v>112</v>
      </c>
      <c r="G125" s="14" t="str">
        <f t="shared" si="29"/>
        <v>2030</v>
      </c>
      <c r="H125" s="14" t="s">
        <v>185</v>
      </c>
      <c r="I125" s="14" t="str">
        <f t="shared" si="30"/>
        <v>2018</v>
      </c>
      <c r="J125" s="14" t="s">
        <v>80</v>
      </c>
      <c r="K125" s="14">
        <v>0</v>
      </c>
      <c r="L125" s="14">
        <v>0</v>
      </c>
      <c r="M125" s="14">
        <v>-1</v>
      </c>
      <c r="N125" s="14">
        <v>1</v>
      </c>
      <c r="O125" s="14">
        <v>0</v>
      </c>
      <c r="P125" t="s">
        <v>177</v>
      </c>
      <c r="Q125" t="s">
        <v>178</v>
      </c>
      <c r="R125" s="104" t="s">
        <v>307</v>
      </c>
      <c r="S125" s="18" t="b">
        <v>0</v>
      </c>
      <c r="T125" t="b">
        <v>1</v>
      </c>
      <c r="U125" s="18" t="b">
        <v>0</v>
      </c>
      <c r="V125" t="b">
        <v>0</v>
      </c>
      <c r="W125" t="b">
        <v>1</v>
      </c>
      <c r="X125" t="b">
        <v>0</v>
      </c>
      <c r="Y125" t="b">
        <v>0</v>
      </c>
      <c r="Z125" t="b">
        <v>1</v>
      </c>
      <c r="AA125" t="b">
        <v>1</v>
      </c>
      <c r="AB125" s="19" t="b">
        <v>0</v>
      </c>
      <c r="AC125" t="b">
        <v>1</v>
      </c>
      <c r="AD125" t="b">
        <v>1</v>
      </c>
      <c r="AE125" t="b">
        <v>1</v>
      </c>
    </row>
    <row r="126" spans="1:31" x14ac:dyDescent="0.35">
      <c r="A126" s="2">
        <f t="shared" si="27"/>
        <v>119</v>
      </c>
      <c r="B126" s="11" t="str">
        <f t="shared" si="32"/>
        <v>Biofuel-AEC-price-o2-0.150</v>
      </c>
      <c r="C126" s="127" t="s">
        <v>279</v>
      </c>
      <c r="D126" t="s">
        <v>185</v>
      </c>
      <c r="E126" s="119" t="s">
        <v>193</v>
      </c>
      <c r="F126" t="s">
        <v>112</v>
      </c>
      <c r="G126" s="14" t="str">
        <f t="shared" si="29"/>
        <v>2030</v>
      </c>
      <c r="H126" s="14" t="s">
        <v>185</v>
      </c>
      <c r="I126" s="14" t="str">
        <f t="shared" si="30"/>
        <v>2018</v>
      </c>
      <c r="J126" s="14" t="s">
        <v>80</v>
      </c>
      <c r="K126" s="14">
        <v>0</v>
      </c>
      <c r="L126" s="14">
        <v>0</v>
      </c>
      <c r="M126" s="14">
        <v>-1</v>
      </c>
      <c r="N126" s="14">
        <v>1</v>
      </c>
      <c r="O126" s="14">
        <v>0</v>
      </c>
      <c r="P126" t="s">
        <v>177</v>
      </c>
      <c r="Q126" t="s">
        <v>178</v>
      </c>
      <c r="R126" s="104" t="s">
        <v>307</v>
      </c>
      <c r="S126" s="18" t="b">
        <v>0</v>
      </c>
      <c r="T126" t="b">
        <v>1</v>
      </c>
      <c r="U126" s="18" t="b">
        <v>0</v>
      </c>
      <c r="V126" t="b">
        <v>0</v>
      </c>
      <c r="W126" t="b">
        <v>1</v>
      </c>
      <c r="X126" t="b">
        <v>0</v>
      </c>
      <c r="Y126" t="b">
        <v>0</v>
      </c>
      <c r="Z126" t="b">
        <v>1</v>
      </c>
      <c r="AA126" t="b">
        <v>1</v>
      </c>
      <c r="AB126" s="19" t="b">
        <v>0</v>
      </c>
      <c r="AC126" t="b">
        <v>1</v>
      </c>
      <c r="AD126" t="b">
        <v>1</v>
      </c>
      <c r="AE126" t="b">
        <v>1</v>
      </c>
    </row>
    <row r="127" spans="1:31" x14ac:dyDescent="0.35">
      <c r="A127" s="2">
        <f t="shared" si="27"/>
        <v>120</v>
      </c>
      <c r="B127" s="11" t="str">
        <f t="shared" ref="B127:B132" si="33">CONCATENATE($B$11,"-",C127)</f>
        <v>Biofuel-SOEC-price-o2-0.027</v>
      </c>
      <c r="C127" s="127" t="s">
        <v>274</v>
      </c>
      <c r="D127" t="s">
        <v>185</v>
      </c>
      <c r="E127" s="119" t="s">
        <v>193</v>
      </c>
      <c r="F127" t="s">
        <v>112</v>
      </c>
      <c r="G127" s="14" t="str">
        <f t="shared" si="29"/>
        <v>2030</v>
      </c>
      <c r="H127" s="14" t="s">
        <v>185</v>
      </c>
      <c r="I127" s="14" t="str">
        <f t="shared" si="30"/>
        <v>2018</v>
      </c>
      <c r="J127" s="14" t="s">
        <v>92</v>
      </c>
      <c r="K127" s="14">
        <v>0</v>
      </c>
      <c r="L127" s="14">
        <v>0</v>
      </c>
      <c r="M127" s="14">
        <v>-1</v>
      </c>
      <c r="N127" s="14">
        <v>1</v>
      </c>
      <c r="O127" s="14">
        <v>0</v>
      </c>
      <c r="P127" t="s">
        <v>177</v>
      </c>
      <c r="Q127" t="s">
        <v>178</v>
      </c>
      <c r="R127" s="104" t="s">
        <v>307</v>
      </c>
      <c r="S127" s="18" t="b">
        <v>0</v>
      </c>
      <c r="T127" t="b">
        <v>1</v>
      </c>
      <c r="U127" s="18" t="b">
        <v>0</v>
      </c>
      <c r="V127" t="b">
        <v>0</v>
      </c>
      <c r="W127" t="b">
        <v>1</v>
      </c>
      <c r="X127" t="b">
        <v>0</v>
      </c>
      <c r="Y127" t="b">
        <v>0</v>
      </c>
      <c r="Z127" t="b">
        <v>1</v>
      </c>
      <c r="AA127" t="b">
        <v>1</v>
      </c>
      <c r="AB127" s="19" t="b">
        <v>0</v>
      </c>
      <c r="AC127" t="b">
        <v>1</v>
      </c>
      <c r="AD127" t="b">
        <v>1</v>
      </c>
      <c r="AE127" t="b">
        <v>1</v>
      </c>
    </row>
    <row r="128" spans="1:31" x14ac:dyDescent="0.35">
      <c r="A128" s="2">
        <f t="shared" si="27"/>
        <v>121</v>
      </c>
      <c r="B128" s="11" t="str">
        <f t="shared" si="33"/>
        <v>Biofuel-SOEC-price-o2-0.052</v>
      </c>
      <c r="C128" s="127" t="s">
        <v>275</v>
      </c>
      <c r="D128" t="s">
        <v>185</v>
      </c>
      <c r="E128" s="119" t="s">
        <v>193</v>
      </c>
      <c r="F128" t="s">
        <v>112</v>
      </c>
      <c r="G128" s="14" t="str">
        <f t="shared" si="29"/>
        <v>2030</v>
      </c>
      <c r="H128" s="14" t="s">
        <v>185</v>
      </c>
      <c r="I128" s="14" t="str">
        <f t="shared" si="30"/>
        <v>2018</v>
      </c>
      <c r="J128" s="14" t="s">
        <v>92</v>
      </c>
      <c r="K128" s="14">
        <v>0</v>
      </c>
      <c r="L128" s="14">
        <v>0</v>
      </c>
      <c r="M128" s="14">
        <v>-1</v>
      </c>
      <c r="N128" s="14">
        <v>1</v>
      </c>
      <c r="O128" s="14">
        <v>0</v>
      </c>
      <c r="P128" t="s">
        <v>177</v>
      </c>
      <c r="Q128" t="s">
        <v>178</v>
      </c>
      <c r="R128" s="104" t="s">
        <v>307</v>
      </c>
      <c r="S128" s="18" t="b">
        <v>0</v>
      </c>
      <c r="T128" t="b">
        <v>1</v>
      </c>
      <c r="U128" s="18" t="b">
        <v>0</v>
      </c>
      <c r="V128" t="b">
        <v>0</v>
      </c>
      <c r="W128" t="b">
        <v>1</v>
      </c>
      <c r="X128" t="b">
        <v>0</v>
      </c>
      <c r="Y128" t="b">
        <v>0</v>
      </c>
      <c r="Z128" t="b">
        <v>1</v>
      </c>
      <c r="AA128" t="b">
        <v>1</v>
      </c>
      <c r="AB128" s="19" t="b">
        <v>0</v>
      </c>
      <c r="AC128" t="b">
        <v>1</v>
      </c>
      <c r="AD128" t="b">
        <v>1</v>
      </c>
      <c r="AE128" t="b">
        <v>1</v>
      </c>
    </row>
    <row r="129" spans="1:31" x14ac:dyDescent="0.35">
      <c r="A129" s="2">
        <f t="shared" si="27"/>
        <v>122</v>
      </c>
      <c r="B129" s="11" t="str">
        <f t="shared" si="33"/>
        <v>Biofuel-SOEC-price-o2-0.077</v>
      </c>
      <c r="C129" s="127" t="s">
        <v>276</v>
      </c>
      <c r="D129" t="s">
        <v>185</v>
      </c>
      <c r="E129" s="119" t="s">
        <v>193</v>
      </c>
      <c r="F129" t="s">
        <v>112</v>
      </c>
      <c r="G129" s="14" t="str">
        <f t="shared" si="29"/>
        <v>2030</v>
      </c>
      <c r="H129" s="14" t="s">
        <v>185</v>
      </c>
      <c r="I129" s="14" t="str">
        <f t="shared" si="30"/>
        <v>2018</v>
      </c>
      <c r="J129" s="14" t="s">
        <v>92</v>
      </c>
      <c r="K129" s="14">
        <v>0</v>
      </c>
      <c r="L129" s="14">
        <v>0</v>
      </c>
      <c r="M129" s="14">
        <v>-1</v>
      </c>
      <c r="N129" s="14">
        <v>1</v>
      </c>
      <c r="O129" s="14">
        <v>0</v>
      </c>
      <c r="P129" t="s">
        <v>177</v>
      </c>
      <c r="Q129" t="s">
        <v>178</v>
      </c>
      <c r="R129" s="104" t="s">
        <v>307</v>
      </c>
      <c r="S129" s="18" t="b">
        <v>0</v>
      </c>
      <c r="T129" t="b">
        <v>1</v>
      </c>
      <c r="U129" s="18" t="b">
        <v>0</v>
      </c>
      <c r="V129" t="b">
        <v>0</v>
      </c>
      <c r="W129" t="b">
        <v>1</v>
      </c>
      <c r="X129" t="b">
        <v>0</v>
      </c>
      <c r="Y129" t="b">
        <v>0</v>
      </c>
      <c r="Z129" t="b">
        <v>1</v>
      </c>
      <c r="AA129" t="b">
        <v>1</v>
      </c>
      <c r="AB129" s="19" t="b">
        <v>0</v>
      </c>
      <c r="AC129" t="b">
        <v>1</v>
      </c>
      <c r="AD129" t="b">
        <v>1</v>
      </c>
      <c r="AE129" t="b">
        <v>1</v>
      </c>
    </row>
    <row r="130" spans="1:31" x14ac:dyDescent="0.35">
      <c r="A130" s="2">
        <f t="shared" si="27"/>
        <v>123</v>
      </c>
      <c r="B130" s="11" t="str">
        <f t="shared" si="33"/>
        <v>Biofuel-SOEC-price-o2-0.102</v>
      </c>
      <c r="C130" s="127" t="s">
        <v>277</v>
      </c>
      <c r="D130" t="s">
        <v>185</v>
      </c>
      <c r="E130" s="119" t="s">
        <v>193</v>
      </c>
      <c r="F130" t="s">
        <v>112</v>
      </c>
      <c r="G130" s="14" t="str">
        <f t="shared" si="29"/>
        <v>2030</v>
      </c>
      <c r="H130" s="14" t="s">
        <v>185</v>
      </c>
      <c r="I130" s="14" t="str">
        <f t="shared" si="30"/>
        <v>2018</v>
      </c>
      <c r="J130" s="14" t="s">
        <v>92</v>
      </c>
      <c r="K130" s="14">
        <v>0</v>
      </c>
      <c r="L130" s="14">
        <v>0</v>
      </c>
      <c r="M130" s="14">
        <v>-1</v>
      </c>
      <c r="N130" s="14">
        <v>1</v>
      </c>
      <c r="O130" s="14">
        <v>0</v>
      </c>
      <c r="P130" t="s">
        <v>177</v>
      </c>
      <c r="Q130" t="s">
        <v>178</v>
      </c>
      <c r="R130" s="104" t="s">
        <v>307</v>
      </c>
      <c r="S130" s="18" t="b">
        <v>0</v>
      </c>
      <c r="T130" t="b">
        <v>1</v>
      </c>
      <c r="U130" s="18" t="b">
        <v>0</v>
      </c>
      <c r="V130" t="b">
        <v>0</v>
      </c>
      <c r="W130" t="b">
        <v>1</v>
      </c>
      <c r="X130" t="b">
        <v>0</v>
      </c>
      <c r="Y130" t="b">
        <v>0</v>
      </c>
      <c r="Z130" t="b">
        <v>1</v>
      </c>
      <c r="AA130" t="b">
        <v>1</v>
      </c>
      <c r="AB130" s="19" t="b">
        <v>0</v>
      </c>
      <c r="AC130" t="b">
        <v>1</v>
      </c>
      <c r="AD130" t="b">
        <v>1</v>
      </c>
      <c r="AE130" t="b">
        <v>1</v>
      </c>
    </row>
    <row r="131" spans="1:31" x14ac:dyDescent="0.35">
      <c r="A131" s="2">
        <f t="shared" si="27"/>
        <v>124</v>
      </c>
      <c r="B131" s="11" t="str">
        <f t="shared" si="33"/>
        <v>Biofuel-SOEC-price-o2-0.127</v>
      </c>
      <c r="C131" s="127" t="s">
        <v>278</v>
      </c>
      <c r="D131" t="s">
        <v>185</v>
      </c>
      <c r="E131" s="119" t="s">
        <v>193</v>
      </c>
      <c r="F131" t="s">
        <v>112</v>
      </c>
      <c r="G131" s="14" t="str">
        <f t="shared" si="29"/>
        <v>2030</v>
      </c>
      <c r="H131" s="14" t="s">
        <v>185</v>
      </c>
      <c r="I131" s="14" t="str">
        <f t="shared" si="30"/>
        <v>2018</v>
      </c>
      <c r="J131" s="14" t="s">
        <v>92</v>
      </c>
      <c r="K131" s="14">
        <v>0</v>
      </c>
      <c r="L131" s="14">
        <v>0</v>
      </c>
      <c r="M131" s="14">
        <v>-1</v>
      </c>
      <c r="N131" s="14">
        <v>1</v>
      </c>
      <c r="O131" s="14">
        <v>0</v>
      </c>
      <c r="P131" t="s">
        <v>177</v>
      </c>
      <c r="Q131" t="s">
        <v>178</v>
      </c>
      <c r="R131" s="104" t="s">
        <v>307</v>
      </c>
      <c r="S131" s="18" t="b">
        <v>0</v>
      </c>
      <c r="T131" t="b">
        <v>1</v>
      </c>
      <c r="U131" s="18" t="b">
        <v>0</v>
      </c>
      <c r="V131" t="b">
        <v>0</v>
      </c>
      <c r="W131" t="b">
        <v>1</v>
      </c>
      <c r="X131" t="b">
        <v>0</v>
      </c>
      <c r="Y131" t="b">
        <v>0</v>
      </c>
      <c r="Z131" t="b">
        <v>1</v>
      </c>
      <c r="AA131" t="b">
        <v>1</v>
      </c>
      <c r="AB131" s="19" t="b">
        <v>0</v>
      </c>
      <c r="AC131" t="b">
        <v>1</v>
      </c>
      <c r="AD131" t="b">
        <v>1</v>
      </c>
      <c r="AE131" t="b">
        <v>1</v>
      </c>
    </row>
    <row r="132" spans="1:31" x14ac:dyDescent="0.35">
      <c r="A132" s="2">
        <f t="shared" si="27"/>
        <v>125</v>
      </c>
      <c r="B132" s="11" t="str">
        <f t="shared" si="33"/>
        <v>Biofuel-SOEC-price-o2-0.150</v>
      </c>
      <c r="C132" s="127" t="s">
        <v>279</v>
      </c>
      <c r="D132" t="s">
        <v>185</v>
      </c>
      <c r="E132" s="119" t="s">
        <v>193</v>
      </c>
      <c r="F132" t="s">
        <v>112</v>
      </c>
      <c r="G132" s="14" t="str">
        <f t="shared" si="29"/>
        <v>2030</v>
      </c>
      <c r="H132" s="14" t="s">
        <v>185</v>
      </c>
      <c r="I132" s="14" t="str">
        <f t="shared" si="30"/>
        <v>2018</v>
      </c>
      <c r="J132" s="14" t="s">
        <v>92</v>
      </c>
      <c r="K132" s="14">
        <v>0</v>
      </c>
      <c r="L132" s="14">
        <v>0</v>
      </c>
      <c r="M132" s="14">
        <v>-1</v>
      </c>
      <c r="N132" s="14">
        <v>1</v>
      </c>
      <c r="O132" s="14">
        <v>0</v>
      </c>
      <c r="P132" t="s">
        <v>177</v>
      </c>
      <c r="Q132" t="s">
        <v>178</v>
      </c>
      <c r="R132" s="104" t="s">
        <v>307</v>
      </c>
      <c r="S132" s="18" t="b">
        <v>0</v>
      </c>
      <c r="T132" t="b">
        <v>1</v>
      </c>
      <c r="U132" s="18" t="b">
        <v>0</v>
      </c>
      <c r="V132" t="b">
        <v>0</v>
      </c>
      <c r="W132" t="b">
        <v>1</v>
      </c>
      <c r="X132" t="b">
        <v>0</v>
      </c>
      <c r="Y132" t="b">
        <v>0</v>
      </c>
      <c r="Z132" t="b">
        <v>1</v>
      </c>
      <c r="AA132" t="b">
        <v>1</v>
      </c>
      <c r="AB132" s="19" t="b">
        <v>0</v>
      </c>
      <c r="AC132" t="b">
        <v>1</v>
      </c>
      <c r="AD132" t="b">
        <v>1</v>
      </c>
      <c r="AE132" t="b">
        <v>1</v>
      </c>
    </row>
    <row r="133" spans="1:31" x14ac:dyDescent="0.35">
      <c r="A133" s="2">
        <f t="shared" si="27"/>
        <v>126</v>
      </c>
      <c r="B133" s="11" t="str">
        <f t="shared" ref="B133:B138" si="34">CONCATENATE($B$8,"-",C133)</f>
        <v>MeOH-AEC-price-heat-0.023</v>
      </c>
      <c r="C133" s="128" t="s">
        <v>298</v>
      </c>
      <c r="D133" t="s">
        <v>185</v>
      </c>
      <c r="E133" s="120" t="s">
        <v>91</v>
      </c>
      <c r="F133" t="s">
        <v>112</v>
      </c>
      <c r="G133" s="14" t="str">
        <f t="shared" si="29"/>
        <v>2030</v>
      </c>
      <c r="H133" s="14" t="s">
        <v>185</v>
      </c>
      <c r="I133" s="14" t="str">
        <f t="shared" si="30"/>
        <v>2018</v>
      </c>
      <c r="J133" s="14" t="s">
        <v>80</v>
      </c>
      <c r="K133" s="14">
        <v>0</v>
      </c>
      <c r="L133" s="14">
        <v>0</v>
      </c>
      <c r="M133" s="14">
        <v>-1</v>
      </c>
      <c r="N133" s="14">
        <v>1</v>
      </c>
      <c r="O133" s="14">
        <v>0</v>
      </c>
      <c r="P133" t="s">
        <v>177</v>
      </c>
      <c r="Q133" t="s">
        <v>178</v>
      </c>
      <c r="R133" s="104" t="s">
        <v>307</v>
      </c>
      <c r="S133" s="18" t="b">
        <v>0</v>
      </c>
      <c r="T133" t="b">
        <v>1</v>
      </c>
      <c r="U133" s="18" t="b">
        <v>0</v>
      </c>
      <c r="V133" t="b">
        <v>0</v>
      </c>
      <c r="W133" t="b">
        <v>1</v>
      </c>
      <c r="X133" t="b">
        <v>0</v>
      </c>
      <c r="Y133" t="b">
        <v>0</v>
      </c>
      <c r="Z133" t="b">
        <v>1</v>
      </c>
      <c r="AA133" t="b">
        <v>1</v>
      </c>
      <c r="AB133" s="19" t="b">
        <v>0</v>
      </c>
      <c r="AC133" t="b">
        <v>1</v>
      </c>
      <c r="AD133" t="b">
        <v>1</v>
      </c>
      <c r="AE133" t="b">
        <v>1</v>
      </c>
    </row>
    <row r="134" spans="1:31" x14ac:dyDescent="0.35">
      <c r="A134" s="2">
        <f t="shared" si="27"/>
        <v>127</v>
      </c>
      <c r="B134" s="11" t="str">
        <f t="shared" si="34"/>
        <v>MeOH-AEC-price-heat-0.03</v>
      </c>
      <c r="C134" s="128" t="s">
        <v>299</v>
      </c>
      <c r="D134" t="s">
        <v>185</v>
      </c>
      <c r="E134" s="120" t="s">
        <v>91</v>
      </c>
      <c r="F134" t="s">
        <v>112</v>
      </c>
      <c r="G134" s="14" t="str">
        <f t="shared" si="29"/>
        <v>2030</v>
      </c>
      <c r="H134" s="14" t="s">
        <v>185</v>
      </c>
      <c r="I134" s="14" t="str">
        <f t="shared" si="30"/>
        <v>2018</v>
      </c>
      <c r="J134" s="14" t="s">
        <v>80</v>
      </c>
      <c r="K134" s="14">
        <v>0</v>
      </c>
      <c r="L134" s="14">
        <v>0</v>
      </c>
      <c r="M134" s="14">
        <v>-1</v>
      </c>
      <c r="N134" s="14">
        <v>1</v>
      </c>
      <c r="O134" s="14">
        <v>0</v>
      </c>
      <c r="P134" t="s">
        <v>177</v>
      </c>
      <c r="Q134" t="s">
        <v>178</v>
      </c>
      <c r="R134" s="104" t="s">
        <v>307</v>
      </c>
      <c r="S134" s="18" t="b">
        <v>0</v>
      </c>
      <c r="T134" t="b">
        <v>1</v>
      </c>
      <c r="U134" s="18" t="b">
        <v>0</v>
      </c>
      <c r="V134" t="b">
        <v>0</v>
      </c>
      <c r="W134" t="b">
        <v>1</v>
      </c>
      <c r="X134" t="b">
        <v>0</v>
      </c>
      <c r="Y134" t="b">
        <v>0</v>
      </c>
      <c r="Z134" t="b">
        <v>1</v>
      </c>
      <c r="AA134" t="b">
        <v>1</v>
      </c>
      <c r="AB134" s="19" t="b">
        <v>0</v>
      </c>
      <c r="AC134" t="b">
        <v>1</v>
      </c>
      <c r="AD134" t="b">
        <v>1</v>
      </c>
      <c r="AE134" t="b">
        <v>1</v>
      </c>
    </row>
    <row r="135" spans="1:31" x14ac:dyDescent="0.35">
      <c r="A135" s="2">
        <f t="shared" si="27"/>
        <v>128</v>
      </c>
      <c r="B135" s="11" t="str">
        <f t="shared" si="34"/>
        <v>MeOH-AEC-price-heat-0.037</v>
      </c>
      <c r="C135" s="128" t="s">
        <v>300</v>
      </c>
      <c r="D135" t="s">
        <v>185</v>
      </c>
      <c r="E135" s="120" t="s">
        <v>91</v>
      </c>
      <c r="F135" t="s">
        <v>112</v>
      </c>
      <c r="G135" s="14" t="str">
        <f t="shared" si="29"/>
        <v>2030</v>
      </c>
      <c r="H135" s="14" t="s">
        <v>185</v>
      </c>
      <c r="I135" s="14" t="str">
        <f t="shared" si="30"/>
        <v>2018</v>
      </c>
      <c r="J135" s="14" t="s">
        <v>80</v>
      </c>
      <c r="K135" s="14">
        <v>0</v>
      </c>
      <c r="L135" s="14">
        <v>0</v>
      </c>
      <c r="M135" s="14">
        <v>-1</v>
      </c>
      <c r="N135" s="14">
        <v>1</v>
      </c>
      <c r="O135" s="14">
        <v>0</v>
      </c>
      <c r="P135" t="s">
        <v>177</v>
      </c>
      <c r="Q135" t="s">
        <v>178</v>
      </c>
      <c r="R135" s="104" t="s">
        <v>307</v>
      </c>
      <c r="S135" s="18" t="b">
        <v>0</v>
      </c>
      <c r="T135" t="b">
        <v>1</v>
      </c>
      <c r="U135" s="18" t="b">
        <v>0</v>
      </c>
      <c r="V135" t="b">
        <v>0</v>
      </c>
      <c r="W135" t="b">
        <v>1</v>
      </c>
      <c r="X135" t="b">
        <v>0</v>
      </c>
      <c r="Y135" t="b">
        <v>0</v>
      </c>
      <c r="Z135" t="b">
        <v>1</v>
      </c>
      <c r="AA135" t="b">
        <v>1</v>
      </c>
      <c r="AB135" s="19" t="b">
        <v>0</v>
      </c>
      <c r="AC135" t="b">
        <v>1</v>
      </c>
      <c r="AD135" t="b">
        <v>1</v>
      </c>
      <c r="AE135" t="b">
        <v>1</v>
      </c>
    </row>
    <row r="136" spans="1:31" x14ac:dyDescent="0.35">
      <c r="A136" s="2">
        <f t="shared" si="27"/>
        <v>129</v>
      </c>
      <c r="B136" s="11" t="str">
        <f t="shared" si="34"/>
        <v>MeOH-AEC-price-heat-0.044</v>
      </c>
      <c r="C136" s="128" t="s">
        <v>280</v>
      </c>
      <c r="D136" t="s">
        <v>185</v>
      </c>
      <c r="E136" s="120" t="s">
        <v>91</v>
      </c>
      <c r="F136" t="s">
        <v>112</v>
      </c>
      <c r="G136" s="14" t="str">
        <f t="shared" si="29"/>
        <v>2030</v>
      </c>
      <c r="H136" s="14" t="s">
        <v>185</v>
      </c>
      <c r="I136" s="14" t="str">
        <f t="shared" si="30"/>
        <v>2018</v>
      </c>
      <c r="J136" s="14" t="s">
        <v>80</v>
      </c>
      <c r="K136" s="14">
        <v>0</v>
      </c>
      <c r="L136" s="14">
        <v>0</v>
      </c>
      <c r="M136" s="14">
        <v>-1</v>
      </c>
      <c r="N136" s="14">
        <v>1</v>
      </c>
      <c r="O136" s="14">
        <v>0</v>
      </c>
      <c r="P136" t="s">
        <v>177</v>
      </c>
      <c r="Q136" t="s">
        <v>178</v>
      </c>
      <c r="R136" s="104" t="s">
        <v>307</v>
      </c>
      <c r="S136" s="18" t="b">
        <v>0</v>
      </c>
      <c r="T136" t="b">
        <v>1</v>
      </c>
      <c r="U136" s="18" t="b">
        <v>0</v>
      </c>
      <c r="V136" t="b">
        <v>0</v>
      </c>
      <c r="W136" t="b">
        <v>1</v>
      </c>
      <c r="X136" t="b">
        <v>0</v>
      </c>
      <c r="Y136" t="b">
        <v>0</v>
      </c>
      <c r="Z136" t="b">
        <v>1</v>
      </c>
      <c r="AA136" t="b">
        <v>1</v>
      </c>
      <c r="AB136" s="19" t="b">
        <v>0</v>
      </c>
      <c r="AC136" t="b">
        <v>1</v>
      </c>
      <c r="AD136" t="b">
        <v>1</v>
      </c>
      <c r="AE136" t="b">
        <v>1</v>
      </c>
    </row>
    <row r="137" spans="1:31" x14ac:dyDescent="0.35">
      <c r="A137" s="2">
        <f t="shared" si="27"/>
        <v>130</v>
      </c>
      <c r="B137" s="11" t="str">
        <f t="shared" si="34"/>
        <v>MeOH-AEC-price-heat-0.051</v>
      </c>
      <c r="C137" s="128" t="s">
        <v>301</v>
      </c>
      <c r="D137" t="s">
        <v>185</v>
      </c>
      <c r="E137" s="120" t="s">
        <v>91</v>
      </c>
      <c r="F137" t="s">
        <v>112</v>
      </c>
      <c r="G137" s="14" t="str">
        <f t="shared" si="29"/>
        <v>2030</v>
      </c>
      <c r="H137" s="14" t="s">
        <v>185</v>
      </c>
      <c r="I137" s="14" t="str">
        <f t="shared" si="30"/>
        <v>2018</v>
      </c>
      <c r="J137" s="14" t="s">
        <v>80</v>
      </c>
      <c r="K137" s="14">
        <v>0</v>
      </c>
      <c r="L137" s="14">
        <v>0</v>
      </c>
      <c r="M137" s="14">
        <v>-1</v>
      </c>
      <c r="N137" s="14">
        <v>1</v>
      </c>
      <c r="O137" s="14">
        <v>0</v>
      </c>
      <c r="P137" t="s">
        <v>177</v>
      </c>
      <c r="Q137" t="s">
        <v>178</v>
      </c>
      <c r="R137" s="104" t="s">
        <v>307</v>
      </c>
      <c r="S137" s="18" t="b">
        <v>0</v>
      </c>
      <c r="T137" t="b">
        <v>1</v>
      </c>
      <c r="U137" s="18" t="b">
        <v>0</v>
      </c>
      <c r="V137" t="b">
        <v>0</v>
      </c>
      <c r="W137" t="b">
        <v>1</v>
      </c>
      <c r="X137" t="b">
        <v>0</v>
      </c>
      <c r="Y137" t="b">
        <v>0</v>
      </c>
      <c r="Z137" t="b">
        <v>1</v>
      </c>
      <c r="AA137" t="b">
        <v>1</v>
      </c>
      <c r="AB137" s="19" t="b">
        <v>0</v>
      </c>
      <c r="AC137" t="b">
        <v>1</v>
      </c>
      <c r="AD137" t="b">
        <v>1</v>
      </c>
      <c r="AE137" t="b">
        <v>1</v>
      </c>
    </row>
    <row r="138" spans="1:31" x14ac:dyDescent="0.35">
      <c r="A138" s="2">
        <f t="shared" si="27"/>
        <v>131</v>
      </c>
      <c r="B138" s="11" t="str">
        <f t="shared" si="34"/>
        <v>MeOH-AEC-price-heat-0.059</v>
      </c>
      <c r="C138" s="128" t="s">
        <v>302</v>
      </c>
      <c r="D138" t="s">
        <v>185</v>
      </c>
      <c r="E138" s="120" t="s">
        <v>91</v>
      </c>
      <c r="F138" t="s">
        <v>112</v>
      </c>
      <c r="G138" s="14" t="str">
        <f t="shared" si="29"/>
        <v>2030</v>
      </c>
      <c r="H138" s="14" t="s">
        <v>185</v>
      </c>
      <c r="I138" s="14" t="str">
        <f t="shared" si="30"/>
        <v>2018</v>
      </c>
      <c r="J138" s="14" t="s">
        <v>80</v>
      </c>
      <c r="K138" s="14">
        <v>0</v>
      </c>
      <c r="L138" s="14">
        <v>0</v>
      </c>
      <c r="M138" s="14">
        <v>-1</v>
      </c>
      <c r="N138" s="14">
        <v>1</v>
      </c>
      <c r="O138" s="14">
        <v>0</v>
      </c>
      <c r="P138" t="s">
        <v>177</v>
      </c>
      <c r="Q138" t="s">
        <v>178</v>
      </c>
      <c r="R138" s="104" t="s">
        <v>307</v>
      </c>
      <c r="S138" s="18" t="b">
        <v>0</v>
      </c>
      <c r="T138" t="b">
        <v>1</v>
      </c>
      <c r="U138" s="18" t="b">
        <v>0</v>
      </c>
      <c r="V138" t="b">
        <v>0</v>
      </c>
      <c r="W138" t="b">
        <v>1</v>
      </c>
      <c r="X138" t="b">
        <v>0</v>
      </c>
      <c r="Y138" t="b">
        <v>0</v>
      </c>
      <c r="Z138" t="b">
        <v>1</v>
      </c>
      <c r="AA138" t="b">
        <v>1</v>
      </c>
      <c r="AB138" s="19" t="b">
        <v>0</v>
      </c>
      <c r="AC138" t="b">
        <v>1</v>
      </c>
      <c r="AD138" t="b">
        <v>1</v>
      </c>
      <c r="AE138" t="b">
        <v>1</v>
      </c>
    </row>
    <row r="139" spans="1:31" x14ac:dyDescent="0.35">
      <c r="A139" s="2">
        <f t="shared" si="27"/>
        <v>132</v>
      </c>
      <c r="B139" s="11" t="str">
        <f t="shared" ref="B139:B144" si="35">CONCATENATE($B$10,"-",C139)</f>
        <v>MeOH-SOEC-price-heat-0.023</v>
      </c>
      <c r="C139" s="128" t="s">
        <v>298</v>
      </c>
      <c r="D139" t="s">
        <v>185</v>
      </c>
      <c r="E139" s="120" t="s">
        <v>91</v>
      </c>
      <c r="F139" t="s">
        <v>112</v>
      </c>
      <c r="G139" s="14" t="str">
        <f t="shared" si="29"/>
        <v>2030</v>
      </c>
      <c r="H139" s="14" t="s">
        <v>185</v>
      </c>
      <c r="I139" s="14" t="str">
        <f t="shared" si="30"/>
        <v>2018</v>
      </c>
      <c r="J139" s="14" t="s">
        <v>92</v>
      </c>
      <c r="K139" s="14">
        <v>0</v>
      </c>
      <c r="L139" s="14">
        <v>0</v>
      </c>
      <c r="M139" s="14">
        <v>-1</v>
      </c>
      <c r="N139" s="14">
        <v>1</v>
      </c>
      <c r="O139" s="14">
        <v>0</v>
      </c>
      <c r="P139" t="s">
        <v>177</v>
      </c>
      <c r="Q139" t="s">
        <v>178</v>
      </c>
      <c r="R139" s="104" t="s">
        <v>307</v>
      </c>
      <c r="S139" s="18" t="b">
        <v>0</v>
      </c>
      <c r="T139" t="b">
        <v>1</v>
      </c>
      <c r="U139" s="18" t="b">
        <v>0</v>
      </c>
      <c r="V139" t="b">
        <v>0</v>
      </c>
      <c r="W139" t="b">
        <v>1</v>
      </c>
      <c r="X139" t="b">
        <v>0</v>
      </c>
      <c r="Y139" t="b">
        <v>0</v>
      </c>
      <c r="Z139" t="b">
        <v>1</v>
      </c>
      <c r="AA139" t="b">
        <v>1</v>
      </c>
      <c r="AB139" s="19" t="b">
        <v>0</v>
      </c>
      <c r="AC139" t="b">
        <v>1</v>
      </c>
      <c r="AD139" t="b">
        <v>1</v>
      </c>
      <c r="AE139" t="b">
        <v>1</v>
      </c>
    </row>
    <row r="140" spans="1:31" x14ac:dyDescent="0.35">
      <c r="A140" s="2">
        <f t="shared" si="27"/>
        <v>133</v>
      </c>
      <c r="B140" s="11" t="str">
        <f t="shared" si="35"/>
        <v>MeOH-SOEC-price-heat-0.03</v>
      </c>
      <c r="C140" s="128" t="s">
        <v>299</v>
      </c>
      <c r="D140" t="s">
        <v>185</v>
      </c>
      <c r="E140" s="120" t="s">
        <v>91</v>
      </c>
      <c r="F140" t="s">
        <v>112</v>
      </c>
      <c r="G140" s="14" t="str">
        <f t="shared" si="29"/>
        <v>2030</v>
      </c>
      <c r="H140" s="14" t="s">
        <v>185</v>
      </c>
      <c r="I140" s="14" t="str">
        <f t="shared" si="30"/>
        <v>2018</v>
      </c>
      <c r="J140" s="14" t="s">
        <v>92</v>
      </c>
      <c r="K140" s="14">
        <v>0</v>
      </c>
      <c r="L140" s="14">
        <v>0</v>
      </c>
      <c r="M140" s="14">
        <v>-1</v>
      </c>
      <c r="N140" s="14">
        <v>1</v>
      </c>
      <c r="O140" s="14">
        <v>0</v>
      </c>
      <c r="P140" t="s">
        <v>177</v>
      </c>
      <c r="Q140" t="s">
        <v>178</v>
      </c>
      <c r="R140" s="104" t="s">
        <v>307</v>
      </c>
      <c r="S140" s="18" t="b">
        <v>0</v>
      </c>
      <c r="T140" t="b">
        <v>1</v>
      </c>
      <c r="U140" s="18" t="b">
        <v>0</v>
      </c>
      <c r="V140" t="b">
        <v>0</v>
      </c>
      <c r="W140" t="b">
        <v>1</v>
      </c>
      <c r="X140" t="b">
        <v>0</v>
      </c>
      <c r="Y140" t="b">
        <v>0</v>
      </c>
      <c r="Z140" t="b">
        <v>1</v>
      </c>
      <c r="AA140" t="b">
        <v>1</v>
      </c>
      <c r="AB140" s="19" t="b">
        <v>0</v>
      </c>
      <c r="AC140" t="b">
        <v>1</v>
      </c>
      <c r="AD140" t="b">
        <v>1</v>
      </c>
      <c r="AE140" t="b">
        <v>1</v>
      </c>
    </row>
    <row r="141" spans="1:31" x14ac:dyDescent="0.35">
      <c r="A141" s="2">
        <f t="shared" si="27"/>
        <v>134</v>
      </c>
      <c r="B141" s="11" t="str">
        <f t="shared" si="35"/>
        <v>MeOH-SOEC-price-heat-0.037</v>
      </c>
      <c r="C141" s="128" t="s">
        <v>300</v>
      </c>
      <c r="D141" t="s">
        <v>185</v>
      </c>
      <c r="E141" s="120" t="s">
        <v>91</v>
      </c>
      <c r="F141" t="s">
        <v>112</v>
      </c>
      <c r="G141" s="14" t="str">
        <f t="shared" si="29"/>
        <v>2030</v>
      </c>
      <c r="H141" s="14" t="s">
        <v>185</v>
      </c>
      <c r="I141" s="14" t="str">
        <f t="shared" si="30"/>
        <v>2018</v>
      </c>
      <c r="J141" s="14" t="s">
        <v>92</v>
      </c>
      <c r="K141" s="14">
        <v>0</v>
      </c>
      <c r="L141" s="14">
        <v>0</v>
      </c>
      <c r="M141" s="14">
        <v>-1</v>
      </c>
      <c r="N141" s="14">
        <v>1</v>
      </c>
      <c r="O141" s="14">
        <v>0</v>
      </c>
      <c r="P141" t="s">
        <v>177</v>
      </c>
      <c r="Q141" t="s">
        <v>178</v>
      </c>
      <c r="R141" s="104" t="s">
        <v>307</v>
      </c>
      <c r="S141" s="18" t="b">
        <v>0</v>
      </c>
      <c r="T141" t="b">
        <v>1</v>
      </c>
      <c r="U141" s="18" t="b">
        <v>0</v>
      </c>
      <c r="V141" t="b">
        <v>0</v>
      </c>
      <c r="W141" t="b">
        <v>1</v>
      </c>
      <c r="X141" t="b">
        <v>0</v>
      </c>
      <c r="Y141" t="b">
        <v>0</v>
      </c>
      <c r="Z141" t="b">
        <v>1</v>
      </c>
      <c r="AA141" t="b">
        <v>1</v>
      </c>
      <c r="AB141" s="19" t="b">
        <v>0</v>
      </c>
      <c r="AC141" t="b">
        <v>1</v>
      </c>
      <c r="AD141" t="b">
        <v>1</v>
      </c>
      <c r="AE141" t="b">
        <v>1</v>
      </c>
    </row>
    <row r="142" spans="1:31" x14ac:dyDescent="0.35">
      <c r="A142" s="2">
        <f t="shared" si="27"/>
        <v>135</v>
      </c>
      <c r="B142" s="11" t="str">
        <f t="shared" si="35"/>
        <v>MeOH-SOEC-price-heat-0.044</v>
      </c>
      <c r="C142" s="128" t="s">
        <v>280</v>
      </c>
      <c r="D142" t="s">
        <v>185</v>
      </c>
      <c r="E142" s="120" t="s">
        <v>91</v>
      </c>
      <c r="F142" t="s">
        <v>112</v>
      </c>
      <c r="G142" s="14" t="str">
        <f t="shared" si="29"/>
        <v>2030</v>
      </c>
      <c r="H142" s="14" t="s">
        <v>185</v>
      </c>
      <c r="I142" s="14" t="str">
        <f t="shared" si="30"/>
        <v>2018</v>
      </c>
      <c r="J142" s="14" t="s">
        <v>92</v>
      </c>
      <c r="K142" s="14">
        <v>0</v>
      </c>
      <c r="L142" s="14">
        <v>0</v>
      </c>
      <c r="M142" s="14">
        <v>-1</v>
      </c>
      <c r="N142" s="14">
        <v>1</v>
      </c>
      <c r="O142" s="14">
        <v>0</v>
      </c>
      <c r="P142" t="s">
        <v>177</v>
      </c>
      <c r="Q142" t="s">
        <v>178</v>
      </c>
      <c r="R142" s="104" t="s">
        <v>307</v>
      </c>
      <c r="S142" s="18" t="b">
        <v>0</v>
      </c>
      <c r="T142" t="b">
        <v>1</v>
      </c>
      <c r="U142" s="18" t="b">
        <v>0</v>
      </c>
      <c r="V142" t="b">
        <v>0</v>
      </c>
      <c r="W142" t="b">
        <v>1</v>
      </c>
      <c r="X142" t="b">
        <v>0</v>
      </c>
      <c r="Y142" t="b">
        <v>0</v>
      </c>
      <c r="Z142" t="b">
        <v>1</v>
      </c>
      <c r="AA142" t="b">
        <v>1</v>
      </c>
      <c r="AB142" s="19" t="b">
        <v>0</v>
      </c>
      <c r="AC142" t="b">
        <v>1</v>
      </c>
      <c r="AD142" t="b">
        <v>1</v>
      </c>
      <c r="AE142" t="b">
        <v>1</v>
      </c>
    </row>
    <row r="143" spans="1:31" x14ac:dyDescent="0.35">
      <c r="A143" s="2">
        <f t="shared" si="27"/>
        <v>136</v>
      </c>
      <c r="B143" s="11" t="str">
        <f t="shared" si="35"/>
        <v>MeOH-SOEC-price-heat-0.051</v>
      </c>
      <c r="C143" s="128" t="s">
        <v>301</v>
      </c>
      <c r="D143" t="s">
        <v>185</v>
      </c>
      <c r="E143" s="120" t="s">
        <v>91</v>
      </c>
      <c r="F143" t="s">
        <v>112</v>
      </c>
      <c r="G143" s="14" t="str">
        <f t="shared" si="29"/>
        <v>2030</v>
      </c>
      <c r="H143" s="14" t="s">
        <v>185</v>
      </c>
      <c r="I143" s="14" t="str">
        <f t="shared" si="30"/>
        <v>2018</v>
      </c>
      <c r="J143" s="14" t="s">
        <v>92</v>
      </c>
      <c r="K143" s="14">
        <v>0</v>
      </c>
      <c r="L143" s="14">
        <v>0</v>
      </c>
      <c r="M143" s="14">
        <v>-1</v>
      </c>
      <c r="N143" s="14">
        <v>1</v>
      </c>
      <c r="O143" s="14">
        <v>0</v>
      </c>
      <c r="P143" t="s">
        <v>177</v>
      </c>
      <c r="Q143" t="s">
        <v>178</v>
      </c>
      <c r="R143" s="104" t="s">
        <v>307</v>
      </c>
      <c r="S143" s="18" t="b">
        <v>0</v>
      </c>
      <c r="T143" t="b">
        <v>1</v>
      </c>
      <c r="U143" s="18" t="b">
        <v>0</v>
      </c>
      <c r="V143" t="b">
        <v>0</v>
      </c>
      <c r="W143" t="b">
        <v>1</v>
      </c>
      <c r="X143" t="b">
        <v>0</v>
      </c>
      <c r="Y143" t="b">
        <v>0</v>
      </c>
      <c r="Z143" t="b">
        <v>1</v>
      </c>
      <c r="AA143" t="b">
        <v>1</v>
      </c>
      <c r="AB143" s="19" t="b">
        <v>0</v>
      </c>
      <c r="AC143" t="b">
        <v>1</v>
      </c>
      <c r="AD143" t="b">
        <v>1</v>
      </c>
      <c r="AE143" t="b">
        <v>1</v>
      </c>
    </row>
    <row r="144" spans="1:31" x14ac:dyDescent="0.35">
      <c r="A144" s="2">
        <f t="shared" si="27"/>
        <v>137</v>
      </c>
      <c r="B144" s="11" t="str">
        <f t="shared" si="35"/>
        <v>MeOH-SOEC-price-heat-0.059</v>
      </c>
      <c r="C144" s="128" t="s">
        <v>302</v>
      </c>
      <c r="D144" t="s">
        <v>185</v>
      </c>
      <c r="E144" s="120" t="s">
        <v>91</v>
      </c>
      <c r="F144" t="s">
        <v>112</v>
      </c>
      <c r="G144" s="14" t="str">
        <f t="shared" si="29"/>
        <v>2030</v>
      </c>
      <c r="H144" s="14" t="s">
        <v>185</v>
      </c>
      <c r="I144" s="14" t="str">
        <f t="shared" si="30"/>
        <v>2018</v>
      </c>
      <c r="J144" s="14" t="s">
        <v>92</v>
      </c>
      <c r="K144" s="14">
        <v>0</v>
      </c>
      <c r="L144" s="14">
        <v>0</v>
      </c>
      <c r="M144" s="14">
        <v>-1</v>
      </c>
      <c r="N144" s="14">
        <v>1</v>
      </c>
      <c r="O144" s="14">
        <v>0</v>
      </c>
      <c r="P144" t="s">
        <v>177</v>
      </c>
      <c r="Q144" t="s">
        <v>178</v>
      </c>
      <c r="R144" s="104" t="s">
        <v>307</v>
      </c>
      <c r="S144" s="18" t="b">
        <v>0</v>
      </c>
      <c r="T144" t="b">
        <v>1</v>
      </c>
      <c r="U144" s="18" t="b">
        <v>0</v>
      </c>
      <c r="V144" t="b">
        <v>0</v>
      </c>
      <c r="W144" t="b">
        <v>1</v>
      </c>
      <c r="X144" t="b">
        <v>0</v>
      </c>
      <c r="Y144" t="b">
        <v>0</v>
      </c>
      <c r="Z144" t="b">
        <v>1</v>
      </c>
      <c r="AA144" t="b">
        <v>1</v>
      </c>
      <c r="AB144" s="19" t="b">
        <v>0</v>
      </c>
      <c r="AC144" t="b">
        <v>1</v>
      </c>
      <c r="AD144" t="b">
        <v>1</v>
      </c>
      <c r="AE144" t="b">
        <v>1</v>
      </c>
    </row>
    <row r="145" spans="1:31" x14ac:dyDescent="0.35">
      <c r="A145" s="2">
        <f t="shared" si="27"/>
        <v>138</v>
      </c>
      <c r="B145" s="11" t="str">
        <f t="shared" ref="B145:B150" si="36">CONCATENATE($B$9,"-",C145)</f>
        <v>Biofuel-AEC-price-heat-0.023</v>
      </c>
      <c r="C145" s="128" t="s">
        <v>298</v>
      </c>
      <c r="D145" t="s">
        <v>185</v>
      </c>
      <c r="E145" s="119" t="s">
        <v>193</v>
      </c>
      <c r="F145" t="s">
        <v>112</v>
      </c>
      <c r="G145" s="14" t="str">
        <f t="shared" si="29"/>
        <v>2030</v>
      </c>
      <c r="H145" s="14" t="s">
        <v>185</v>
      </c>
      <c r="I145" s="14" t="str">
        <f t="shared" si="30"/>
        <v>2018</v>
      </c>
      <c r="J145" s="14" t="s">
        <v>80</v>
      </c>
      <c r="K145" s="14">
        <v>0</v>
      </c>
      <c r="L145" s="14">
        <v>0</v>
      </c>
      <c r="M145" s="14">
        <v>-1</v>
      </c>
      <c r="N145" s="14">
        <v>1</v>
      </c>
      <c r="O145" s="14">
        <v>0</v>
      </c>
      <c r="P145" t="s">
        <v>177</v>
      </c>
      <c r="Q145" t="s">
        <v>178</v>
      </c>
      <c r="R145" s="104" t="s">
        <v>307</v>
      </c>
      <c r="S145" s="18" t="b">
        <v>0</v>
      </c>
      <c r="T145" t="b">
        <v>1</v>
      </c>
      <c r="U145" s="18" t="b">
        <v>0</v>
      </c>
      <c r="V145" t="b">
        <v>0</v>
      </c>
      <c r="W145" t="b">
        <v>1</v>
      </c>
      <c r="X145" t="b">
        <v>0</v>
      </c>
      <c r="Y145" t="b">
        <v>0</v>
      </c>
      <c r="Z145" t="b">
        <v>1</v>
      </c>
      <c r="AA145" t="b">
        <v>1</v>
      </c>
      <c r="AB145" s="19" t="b">
        <v>0</v>
      </c>
      <c r="AC145" t="b">
        <v>1</v>
      </c>
      <c r="AD145" t="b">
        <v>1</v>
      </c>
      <c r="AE145" t="b">
        <v>1</v>
      </c>
    </row>
    <row r="146" spans="1:31" x14ac:dyDescent="0.35">
      <c r="A146" s="2">
        <f t="shared" si="27"/>
        <v>139</v>
      </c>
      <c r="B146" s="11" t="str">
        <f t="shared" si="36"/>
        <v>Biofuel-AEC-price-heat-0.03</v>
      </c>
      <c r="C146" s="128" t="s">
        <v>299</v>
      </c>
      <c r="D146" t="s">
        <v>185</v>
      </c>
      <c r="E146" s="119" t="s">
        <v>193</v>
      </c>
      <c r="F146" t="s">
        <v>112</v>
      </c>
      <c r="G146" s="14" t="str">
        <f t="shared" si="29"/>
        <v>2030</v>
      </c>
      <c r="H146" s="14" t="s">
        <v>185</v>
      </c>
      <c r="I146" s="14" t="str">
        <f t="shared" si="30"/>
        <v>2018</v>
      </c>
      <c r="J146" s="14" t="s">
        <v>80</v>
      </c>
      <c r="K146" s="14">
        <v>0</v>
      </c>
      <c r="L146" s="14">
        <v>0</v>
      </c>
      <c r="M146" s="14">
        <v>-1</v>
      </c>
      <c r="N146" s="14">
        <v>1</v>
      </c>
      <c r="O146" s="14">
        <v>0</v>
      </c>
      <c r="P146" t="s">
        <v>177</v>
      </c>
      <c r="Q146" t="s">
        <v>178</v>
      </c>
      <c r="R146" s="104" t="s">
        <v>307</v>
      </c>
      <c r="S146" s="18" t="b">
        <v>0</v>
      </c>
      <c r="T146" t="b">
        <v>1</v>
      </c>
      <c r="U146" s="18" t="b">
        <v>0</v>
      </c>
      <c r="V146" t="b">
        <v>0</v>
      </c>
      <c r="W146" t="b">
        <v>1</v>
      </c>
      <c r="X146" t="b">
        <v>0</v>
      </c>
      <c r="Y146" t="b">
        <v>0</v>
      </c>
      <c r="Z146" t="b">
        <v>1</v>
      </c>
      <c r="AA146" t="b">
        <v>1</v>
      </c>
      <c r="AB146" s="19" t="b">
        <v>0</v>
      </c>
      <c r="AC146" t="b">
        <v>1</v>
      </c>
      <c r="AD146" t="b">
        <v>1</v>
      </c>
      <c r="AE146" t="b">
        <v>1</v>
      </c>
    </row>
    <row r="147" spans="1:31" x14ac:dyDescent="0.35">
      <c r="A147" s="2">
        <f t="shared" si="27"/>
        <v>140</v>
      </c>
      <c r="B147" s="11" t="str">
        <f t="shared" si="36"/>
        <v>Biofuel-AEC-price-heat-0.037</v>
      </c>
      <c r="C147" s="128" t="s">
        <v>300</v>
      </c>
      <c r="D147" t="s">
        <v>185</v>
      </c>
      <c r="E147" s="119" t="s">
        <v>193</v>
      </c>
      <c r="F147" t="s">
        <v>112</v>
      </c>
      <c r="G147" s="14" t="str">
        <f t="shared" si="29"/>
        <v>2030</v>
      </c>
      <c r="H147" s="14" t="s">
        <v>185</v>
      </c>
      <c r="I147" s="14" t="str">
        <f t="shared" si="30"/>
        <v>2018</v>
      </c>
      <c r="J147" s="14" t="s">
        <v>80</v>
      </c>
      <c r="K147" s="14">
        <v>0</v>
      </c>
      <c r="L147" s="14">
        <v>0</v>
      </c>
      <c r="M147" s="14">
        <v>-1</v>
      </c>
      <c r="N147" s="14">
        <v>1</v>
      </c>
      <c r="O147" s="14">
        <v>0</v>
      </c>
      <c r="P147" t="s">
        <v>177</v>
      </c>
      <c r="Q147" t="s">
        <v>178</v>
      </c>
      <c r="R147" s="104" t="s">
        <v>307</v>
      </c>
      <c r="S147" s="18" t="b">
        <v>0</v>
      </c>
      <c r="T147" t="b">
        <v>1</v>
      </c>
      <c r="U147" s="18" t="b">
        <v>0</v>
      </c>
      <c r="V147" t="b">
        <v>0</v>
      </c>
      <c r="W147" t="b">
        <v>1</v>
      </c>
      <c r="X147" t="b">
        <v>0</v>
      </c>
      <c r="Y147" t="b">
        <v>0</v>
      </c>
      <c r="Z147" t="b">
        <v>1</v>
      </c>
      <c r="AA147" t="b">
        <v>1</v>
      </c>
      <c r="AB147" s="19" t="b">
        <v>0</v>
      </c>
      <c r="AC147" t="b">
        <v>1</v>
      </c>
      <c r="AD147" t="b">
        <v>1</v>
      </c>
      <c r="AE147" t="b">
        <v>1</v>
      </c>
    </row>
    <row r="148" spans="1:31" x14ac:dyDescent="0.35">
      <c r="A148" s="2">
        <f t="shared" si="27"/>
        <v>141</v>
      </c>
      <c r="B148" s="11" t="str">
        <f t="shared" si="36"/>
        <v>Biofuel-AEC-price-heat-0.044</v>
      </c>
      <c r="C148" s="128" t="s">
        <v>280</v>
      </c>
      <c r="D148" t="s">
        <v>185</v>
      </c>
      <c r="E148" s="119" t="s">
        <v>193</v>
      </c>
      <c r="F148" t="s">
        <v>112</v>
      </c>
      <c r="G148" s="14" t="str">
        <f t="shared" si="29"/>
        <v>2030</v>
      </c>
      <c r="H148" s="14" t="s">
        <v>185</v>
      </c>
      <c r="I148" s="14" t="str">
        <f t="shared" si="30"/>
        <v>2018</v>
      </c>
      <c r="J148" s="14" t="s">
        <v>80</v>
      </c>
      <c r="K148" s="14">
        <v>0</v>
      </c>
      <c r="L148" s="14">
        <v>0</v>
      </c>
      <c r="M148" s="14">
        <v>-1</v>
      </c>
      <c r="N148" s="14">
        <v>1</v>
      </c>
      <c r="O148" s="14">
        <v>0</v>
      </c>
      <c r="P148" t="s">
        <v>177</v>
      </c>
      <c r="Q148" t="s">
        <v>178</v>
      </c>
      <c r="R148" s="104" t="s">
        <v>307</v>
      </c>
      <c r="S148" s="18" t="b">
        <v>0</v>
      </c>
      <c r="T148" t="b">
        <v>1</v>
      </c>
      <c r="U148" s="18" t="b">
        <v>0</v>
      </c>
      <c r="V148" t="b">
        <v>0</v>
      </c>
      <c r="W148" t="b">
        <v>1</v>
      </c>
      <c r="X148" t="b">
        <v>0</v>
      </c>
      <c r="Y148" t="b">
        <v>0</v>
      </c>
      <c r="Z148" t="b">
        <v>1</v>
      </c>
      <c r="AA148" t="b">
        <v>1</v>
      </c>
      <c r="AB148" s="19" t="b">
        <v>0</v>
      </c>
      <c r="AC148" t="b">
        <v>1</v>
      </c>
      <c r="AD148" t="b">
        <v>1</v>
      </c>
      <c r="AE148" t="b">
        <v>1</v>
      </c>
    </row>
    <row r="149" spans="1:31" x14ac:dyDescent="0.35">
      <c r="A149" s="2">
        <f t="shared" si="27"/>
        <v>142</v>
      </c>
      <c r="B149" s="11" t="str">
        <f t="shared" si="36"/>
        <v>Biofuel-AEC-price-heat-0.051</v>
      </c>
      <c r="C149" s="128" t="s">
        <v>301</v>
      </c>
      <c r="D149" t="s">
        <v>185</v>
      </c>
      <c r="E149" s="119" t="s">
        <v>193</v>
      </c>
      <c r="F149" t="s">
        <v>112</v>
      </c>
      <c r="G149" s="14" t="str">
        <f t="shared" si="29"/>
        <v>2030</v>
      </c>
      <c r="H149" s="14" t="s">
        <v>185</v>
      </c>
      <c r="I149" s="14" t="str">
        <f t="shared" si="30"/>
        <v>2018</v>
      </c>
      <c r="J149" s="14" t="s">
        <v>80</v>
      </c>
      <c r="K149" s="14">
        <v>0</v>
      </c>
      <c r="L149" s="14">
        <v>0</v>
      </c>
      <c r="M149" s="14">
        <v>-1</v>
      </c>
      <c r="N149" s="14">
        <v>1</v>
      </c>
      <c r="O149" s="14">
        <v>0</v>
      </c>
      <c r="P149" t="s">
        <v>177</v>
      </c>
      <c r="Q149" t="s">
        <v>178</v>
      </c>
      <c r="R149" s="104" t="s">
        <v>307</v>
      </c>
      <c r="S149" s="18" t="b">
        <v>0</v>
      </c>
      <c r="T149" t="b">
        <v>1</v>
      </c>
      <c r="U149" s="18" t="b">
        <v>0</v>
      </c>
      <c r="V149" t="b">
        <v>0</v>
      </c>
      <c r="W149" t="b">
        <v>1</v>
      </c>
      <c r="X149" t="b">
        <v>0</v>
      </c>
      <c r="Y149" t="b">
        <v>0</v>
      </c>
      <c r="Z149" t="b">
        <v>1</v>
      </c>
      <c r="AA149" t="b">
        <v>1</v>
      </c>
      <c r="AB149" s="19" t="b">
        <v>0</v>
      </c>
      <c r="AC149" t="b">
        <v>1</v>
      </c>
      <c r="AD149" t="b">
        <v>1</v>
      </c>
      <c r="AE149" t="b">
        <v>1</v>
      </c>
    </row>
    <row r="150" spans="1:31" x14ac:dyDescent="0.35">
      <c r="A150" s="2">
        <f t="shared" si="27"/>
        <v>143</v>
      </c>
      <c r="B150" s="11" t="str">
        <f t="shared" si="36"/>
        <v>Biofuel-AEC-price-heat-0.059</v>
      </c>
      <c r="C150" s="128" t="s">
        <v>302</v>
      </c>
      <c r="D150" t="s">
        <v>185</v>
      </c>
      <c r="E150" s="119" t="s">
        <v>193</v>
      </c>
      <c r="F150" t="s">
        <v>112</v>
      </c>
      <c r="G150" s="14" t="str">
        <f t="shared" si="29"/>
        <v>2030</v>
      </c>
      <c r="H150" s="14" t="s">
        <v>185</v>
      </c>
      <c r="I150" s="14" t="str">
        <f t="shared" si="30"/>
        <v>2018</v>
      </c>
      <c r="J150" s="14" t="s">
        <v>80</v>
      </c>
      <c r="K150" s="14">
        <v>0</v>
      </c>
      <c r="L150" s="14">
        <v>0</v>
      </c>
      <c r="M150" s="14">
        <v>-1</v>
      </c>
      <c r="N150" s="14">
        <v>1</v>
      </c>
      <c r="O150" s="14">
        <v>0</v>
      </c>
      <c r="P150" t="s">
        <v>177</v>
      </c>
      <c r="Q150" t="s">
        <v>178</v>
      </c>
      <c r="R150" s="104" t="s">
        <v>307</v>
      </c>
      <c r="S150" s="18" t="b">
        <v>0</v>
      </c>
      <c r="T150" t="b">
        <v>1</v>
      </c>
      <c r="U150" s="18" t="b">
        <v>0</v>
      </c>
      <c r="V150" t="b">
        <v>0</v>
      </c>
      <c r="W150" t="b">
        <v>1</v>
      </c>
      <c r="X150" t="b">
        <v>0</v>
      </c>
      <c r="Y150" t="b">
        <v>0</v>
      </c>
      <c r="Z150" t="b">
        <v>1</v>
      </c>
      <c r="AA150" t="b">
        <v>1</v>
      </c>
      <c r="AB150" s="19" t="b">
        <v>0</v>
      </c>
      <c r="AC150" t="b">
        <v>1</v>
      </c>
      <c r="AD150" t="b">
        <v>1</v>
      </c>
      <c r="AE150" t="b">
        <v>1</v>
      </c>
    </row>
    <row r="151" spans="1:31" x14ac:dyDescent="0.35">
      <c r="A151" s="2">
        <f t="shared" si="27"/>
        <v>144</v>
      </c>
      <c r="B151" s="11" t="str">
        <f t="shared" ref="B151:B156" si="37">CONCATENATE($B$11,"-",C151)</f>
        <v>Biofuel-SOEC-price-heat-0.023</v>
      </c>
      <c r="C151" s="128" t="s">
        <v>298</v>
      </c>
      <c r="D151" t="s">
        <v>185</v>
      </c>
      <c r="E151" s="119" t="s">
        <v>193</v>
      </c>
      <c r="F151" t="s">
        <v>112</v>
      </c>
      <c r="G151" s="14" t="str">
        <f t="shared" si="29"/>
        <v>2030</v>
      </c>
      <c r="H151" s="14" t="s">
        <v>185</v>
      </c>
      <c r="I151" s="14" t="str">
        <f t="shared" si="30"/>
        <v>2018</v>
      </c>
      <c r="J151" s="14" t="s">
        <v>92</v>
      </c>
      <c r="K151" s="14">
        <v>0</v>
      </c>
      <c r="L151" s="14">
        <v>0</v>
      </c>
      <c r="M151" s="14">
        <v>-1</v>
      </c>
      <c r="N151" s="14">
        <v>1</v>
      </c>
      <c r="O151" s="14">
        <v>0</v>
      </c>
      <c r="P151" t="s">
        <v>177</v>
      </c>
      <c r="Q151" t="s">
        <v>178</v>
      </c>
      <c r="R151" s="104" t="s">
        <v>307</v>
      </c>
      <c r="S151" s="18" t="b">
        <v>0</v>
      </c>
      <c r="T151" t="b">
        <v>1</v>
      </c>
      <c r="U151" s="18" t="b">
        <v>0</v>
      </c>
      <c r="V151" t="b">
        <v>0</v>
      </c>
      <c r="W151" t="b">
        <v>1</v>
      </c>
      <c r="X151" t="b">
        <v>0</v>
      </c>
      <c r="Y151" t="b">
        <v>0</v>
      </c>
      <c r="Z151" t="b">
        <v>1</v>
      </c>
      <c r="AA151" t="b">
        <v>1</v>
      </c>
      <c r="AB151" s="19" t="b">
        <v>0</v>
      </c>
      <c r="AC151" t="b">
        <v>1</v>
      </c>
      <c r="AD151" t="b">
        <v>1</v>
      </c>
      <c r="AE151" t="b">
        <v>1</v>
      </c>
    </row>
    <row r="152" spans="1:31" x14ac:dyDescent="0.35">
      <c r="A152" s="2">
        <f t="shared" si="27"/>
        <v>145</v>
      </c>
      <c r="B152" s="11" t="str">
        <f t="shared" si="37"/>
        <v>Biofuel-SOEC-price-heat-0.03</v>
      </c>
      <c r="C152" s="128" t="s">
        <v>299</v>
      </c>
      <c r="D152" t="s">
        <v>185</v>
      </c>
      <c r="E152" s="119" t="s">
        <v>193</v>
      </c>
      <c r="F152" t="s">
        <v>112</v>
      </c>
      <c r="G152" s="14" t="str">
        <f t="shared" si="29"/>
        <v>2030</v>
      </c>
      <c r="H152" s="14" t="s">
        <v>185</v>
      </c>
      <c r="I152" s="14" t="str">
        <f t="shared" si="30"/>
        <v>2018</v>
      </c>
      <c r="J152" s="14" t="s">
        <v>92</v>
      </c>
      <c r="K152" s="14">
        <v>0</v>
      </c>
      <c r="L152" s="14">
        <v>0</v>
      </c>
      <c r="M152" s="14">
        <v>-1</v>
      </c>
      <c r="N152" s="14">
        <v>1</v>
      </c>
      <c r="O152" s="14">
        <v>0</v>
      </c>
      <c r="P152" t="s">
        <v>177</v>
      </c>
      <c r="Q152" t="s">
        <v>178</v>
      </c>
      <c r="R152" s="104" t="s">
        <v>307</v>
      </c>
      <c r="S152" s="18" t="b">
        <v>0</v>
      </c>
      <c r="T152" t="b">
        <v>1</v>
      </c>
      <c r="U152" s="18" t="b">
        <v>0</v>
      </c>
      <c r="V152" t="b">
        <v>0</v>
      </c>
      <c r="W152" t="b">
        <v>1</v>
      </c>
      <c r="X152" t="b">
        <v>0</v>
      </c>
      <c r="Y152" t="b">
        <v>0</v>
      </c>
      <c r="Z152" t="b">
        <v>1</v>
      </c>
      <c r="AA152" t="b">
        <v>1</v>
      </c>
      <c r="AB152" s="19" t="b">
        <v>0</v>
      </c>
      <c r="AC152" t="b">
        <v>1</v>
      </c>
      <c r="AD152" t="b">
        <v>1</v>
      </c>
      <c r="AE152" t="b">
        <v>1</v>
      </c>
    </row>
    <row r="153" spans="1:31" x14ac:dyDescent="0.35">
      <c r="A153" s="2">
        <f t="shared" si="27"/>
        <v>146</v>
      </c>
      <c r="B153" s="11" t="str">
        <f t="shared" si="37"/>
        <v>Biofuel-SOEC-price-heat-0.037</v>
      </c>
      <c r="C153" s="128" t="s">
        <v>300</v>
      </c>
      <c r="D153" t="s">
        <v>185</v>
      </c>
      <c r="E153" s="119" t="s">
        <v>193</v>
      </c>
      <c r="F153" t="s">
        <v>112</v>
      </c>
      <c r="G153" s="14" t="str">
        <f t="shared" si="29"/>
        <v>2030</v>
      </c>
      <c r="H153" s="14" t="s">
        <v>185</v>
      </c>
      <c r="I153" s="14" t="str">
        <f t="shared" si="30"/>
        <v>2018</v>
      </c>
      <c r="J153" s="14" t="s">
        <v>92</v>
      </c>
      <c r="K153" s="14">
        <v>0</v>
      </c>
      <c r="L153" s="14">
        <v>0</v>
      </c>
      <c r="M153" s="14">
        <v>-1</v>
      </c>
      <c r="N153" s="14">
        <v>1</v>
      </c>
      <c r="O153" s="14">
        <v>0</v>
      </c>
      <c r="P153" t="s">
        <v>177</v>
      </c>
      <c r="Q153" t="s">
        <v>178</v>
      </c>
      <c r="R153" s="104" t="s">
        <v>307</v>
      </c>
      <c r="S153" s="18" t="b">
        <v>0</v>
      </c>
      <c r="T153" t="b">
        <v>1</v>
      </c>
      <c r="U153" s="18" t="b">
        <v>0</v>
      </c>
      <c r="V153" t="b">
        <v>0</v>
      </c>
      <c r="W153" t="b">
        <v>1</v>
      </c>
      <c r="X153" t="b">
        <v>0</v>
      </c>
      <c r="Y153" t="b">
        <v>0</v>
      </c>
      <c r="Z153" t="b">
        <v>1</v>
      </c>
      <c r="AA153" t="b">
        <v>1</v>
      </c>
      <c r="AB153" s="19" t="b">
        <v>0</v>
      </c>
      <c r="AC153" t="b">
        <v>1</v>
      </c>
      <c r="AD153" t="b">
        <v>1</v>
      </c>
      <c r="AE153" t="b">
        <v>1</v>
      </c>
    </row>
    <row r="154" spans="1:31" x14ac:dyDescent="0.35">
      <c r="A154" s="2">
        <f t="shared" si="27"/>
        <v>147</v>
      </c>
      <c r="B154" s="11" t="str">
        <f t="shared" si="37"/>
        <v>Biofuel-SOEC-price-heat-0.044</v>
      </c>
      <c r="C154" s="128" t="s">
        <v>280</v>
      </c>
      <c r="D154" t="s">
        <v>185</v>
      </c>
      <c r="E154" s="119" t="s">
        <v>193</v>
      </c>
      <c r="F154" t="s">
        <v>112</v>
      </c>
      <c r="G154" s="14" t="str">
        <f t="shared" si="29"/>
        <v>2030</v>
      </c>
      <c r="H154" s="14" t="s">
        <v>185</v>
      </c>
      <c r="I154" s="14" t="str">
        <f t="shared" si="30"/>
        <v>2018</v>
      </c>
      <c r="J154" s="14" t="s">
        <v>92</v>
      </c>
      <c r="K154" s="14">
        <v>0</v>
      </c>
      <c r="L154" s="14">
        <v>0</v>
      </c>
      <c r="M154" s="14">
        <v>-1</v>
      </c>
      <c r="N154" s="14">
        <v>1</v>
      </c>
      <c r="O154" s="14">
        <v>0</v>
      </c>
      <c r="P154" t="s">
        <v>177</v>
      </c>
      <c r="Q154" t="s">
        <v>178</v>
      </c>
      <c r="R154" s="104" t="s">
        <v>307</v>
      </c>
      <c r="S154" s="18" t="b">
        <v>0</v>
      </c>
      <c r="T154" t="b">
        <v>1</v>
      </c>
      <c r="U154" s="18" t="b">
        <v>0</v>
      </c>
      <c r="V154" t="b">
        <v>0</v>
      </c>
      <c r="W154" t="b">
        <v>1</v>
      </c>
      <c r="X154" t="b">
        <v>0</v>
      </c>
      <c r="Y154" t="b">
        <v>0</v>
      </c>
      <c r="Z154" t="b">
        <v>1</v>
      </c>
      <c r="AA154" t="b">
        <v>1</v>
      </c>
      <c r="AB154" s="19" t="b">
        <v>0</v>
      </c>
      <c r="AC154" t="b">
        <v>1</v>
      </c>
      <c r="AD154" t="b">
        <v>1</v>
      </c>
      <c r="AE154" t="b">
        <v>1</v>
      </c>
    </row>
    <row r="155" spans="1:31" x14ac:dyDescent="0.35">
      <c r="A155" s="2">
        <f t="shared" si="27"/>
        <v>148</v>
      </c>
      <c r="B155" s="11" t="str">
        <f t="shared" si="37"/>
        <v>Biofuel-SOEC-price-heat-0.051</v>
      </c>
      <c r="C155" s="128" t="s">
        <v>301</v>
      </c>
      <c r="D155" t="s">
        <v>185</v>
      </c>
      <c r="E155" s="119" t="s">
        <v>193</v>
      </c>
      <c r="F155" t="s">
        <v>112</v>
      </c>
      <c r="G155" s="14" t="str">
        <f t="shared" si="29"/>
        <v>2030</v>
      </c>
      <c r="H155" s="14" t="s">
        <v>185</v>
      </c>
      <c r="I155" s="14" t="str">
        <f t="shared" si="30"/>
        <v>2018</v>
      </c>
      <c r="J155" s="14" t="s">
        <v>92</v>
      </c>
      <c r="K155" s="14">
        <v>0</v>
      </c>
      <c r="L155" s="14">
        <v>0</v>
      </c>
      <c r="M155" s="14">
        <v>-1</v>
      </c>
      <c r="N155" s="14">
        <v>1</v>
      </c>
      <c r="O155" s="14">
        <v>0</v>
      </c>
      <c r="P155" t="s">
        <v>177</v>
      </c>
      <c r="Q155" t="s">
        <v>178</v>
      </c>
      <c r="R155" s="104" t="s">
        <v>307</v>
      </c>
      <c r="S155" s="18" t="b">
        <v>0</v>
      </c>
      <c r="T155" t="b">
        <v>1</v>
      </c>
      <c r="U155" s="18" t="b">
        <v>0</v>
      </c>
      <c r="V155" t="b">
        <v>0</v>
      </c>
      <c r="W155" t="b">
        <v>1</v>
      </c>
      <c r="X155" t="b">
        <v>0</v>
      </c>
      <c r="Y155" t="b">
        <v>0</v>
      </c>
      <c r="Z155" t="b">
        <v>1</v>
      </c>
      <c r="AA155" t="b">
        <v>1</v>
      </c>
      <c r="AB155" s="19" t="b">
        <v>0</v>
      </c>
      <c r="AC155" t="b">
        <v>1</v>
      </c>
      <c r="AD155" t="b">
        <v>1</v>
      </c>
      <c r="AE155" t="b">
        <v>1</v>
      </c>
    </row>
    <row r="156" spans="1:31" x14ac:dyDescent="0.35">
      <c r="A156" s="2">
        <f t="shared" si="27"/>
        <v>149</v>
      </c>
      <c r="B156" s="11" t="str">
        <f t="shared" si="37"/>
        <v>Biofuel-SOEC-price-heat-0.059</v>
      </c>
      <c r="C156" s="128" t="s">
        <v>302</v>
      </c>
      <c r="D156" t="s">
        <v>185</v>
      </c>
      <c r="E156" s="119" t="s">
        <v>193</v>
      </c>
      <c r="F156" t="s">
        <v>112</v>
      </c>
      <c r="G156" s="14" t="str">
        <f t="shared" si="29"/>
        <v>2030</v>
      </c>
      <c r="H156" s="14" t="s">
        <v>185</v>
      </c>
      <c r="I156" s="14" t="str">
        <f t="shared" si="30"/>
        <v>2018</v>
      </c>
      <c r="J156" s="14" t="s">
        <v>92</v>
      </c>
      <c r="K156" s="14">
        <v>0</v>
      </c>
      <c r="L156" s="14">
        <v>0</v>
      </c>
      <c r="M156" s="14">
        <v>-1</v>
      </c>
      <c r="N156" s="14">
        <v>1</v>
      </c>
      <c r="O156" s="14">
        <v>0</v>
      </c>
      <c r="P156" t="s">
        <v>177</v>
      </c>
      <c r="Q156" t="s">
        <v>178</v>
      </c>
      <c r="R156" s="104" t="s">
        <v>307</v>
      </c>
      <c r="S156" s="18" t="b">
        <v>0</v>
      </c>
      <c r="T156" t="b">
        <v>1</v>
      </c>
      <c r="U156" s="18" t="b">
        <v>0</v>
      </c>
      <c r="V156" t="b">
        <v>0</v>
      </c>
      <c r="W156" t="b">
        <v>1</v>
      </c>
      <c r="X156" t="b">
        <v>0</v>
      </c>
      <c r="Y156" t="b">
        <v>0</v>
      </c>
      <c r="Z156" t="b">
        <v>1</v>
      </c>
      <c r="AA156" t="b">
        <v>1</v>
      </c>
      <c r="AB156" s="19" t="b">
        <v>0</v>
      </c>
      <c r="AC156" t="b">
        <v>1</v>
      </c>
      <c r="AD156" t="b">
        <v>1</v>
      </c>
      <c r="AE156" t="b">
        <v>1</v>
      </c>
    </row>
    <row r="157" spans="1:31" x14ac:dyDescent="0.35">
      <c r="A157" s="2">
        <f t="shared" si="27"/>
        <v>150</v>
      </c>
      <c r="B157" s="11" t="str">
        <f t="shared" ref="B157:B162" si="38">CONCATENATE($B$9,"-",C157)</f>
        <v>Biofuel-AEC-price-biochar-0.21</v>
      </c>
      <c r="C157" s="129" t="s">
        <v>281</v>
      </c>
      <c r="D157" t="s">
        <v>185</v>
      </c>
      <c r="E157" s="119" t="s">
        <v>193</v>
      </c>
      <c r="F157" t="s">
        <v>112</v>
      </c>
      <c r="G157" s="14" t="str">
        <f t="shared" si="29"/>
        <v>2030</v>
      </c>
      <c r="H157" s="14" t="s">
        <v>185</v>
      </c>
      <c r="I157" s="14" t="str">
        <f t="shared" si="30"/>
        <v>2018</v>
      </c>
      <c r="J157" s="14" t="s">
        <v>80</v>
      </c>
      <c r="K157" s="14">
        <v>0</v>
      </c>
      <c r="L157" s="14">
        <v>0</v>
      </c>
      <c r="M157" s="14">
        <v>-1</v>
      </c>
      <c r="N157" s="14">
        <v>1</v>
      </c>
      <c r="O157" s="14">
        <v>0</v>
      </c>
      <c r="P157" t="s">
        <v>177</v>
      </c>
      <c r="Q157" t="s">
        <v>178</v>
      </c>
      <c r="R157" s="104" t="s">
        <v>307</v>
      </c>
      <c r="S157" s="18" t="b">
        <v>0</v>
      </c>
      <c r="T157" t="b">
        <v>1</v>
      </c>
      <c r="U157" s="18" t="b">
        <v>0</v>
      </c>
      <c r="V157" t="b">
        <v>0</v>
      </c>
      <c r="W157" t="b">
        <v>1</v>
      </c>
      <c r="X157" t="b">
        <v>0</v>
      </c>
      <c r="Y157" t="b">
        <v>0</v>
      </c>
      <c r="Z157" t="b">
        <v>1</v>
      </c>
      <c r="AA157" t="b">
        <v>1</v>
      </c>
      <c r="AB157" s="19" t="b">
        <v>0</v>
      </c>
      <c r="AC157" t="b">
        <v>1</v>
      </c>
      <c r="AD157" t="b">
        <v>1</v>
      </c>
      <c r="AE157" t="b">
        <v>1</v>
      </c>
    </row>
    <row r="158" spans="1:31" x14ac:dyDescent="0.35">
      <c r="A158" s="2">
        <f t="shared" si="27"/>
        <v>151</v>
      </c>
      <c r="B158" s="11" t="str">
        <f t="shared" si="38"/>
        <v>Biofuel-AEC-price-biochar-0.24</v>
      </c>
      <c r="C158" s="129" t="s">
        <v>282</v>
      </c>
      <c r="D158" t="s">
        <v>185</v>
      </c>
      <c r="E158" s="119" t="s">
        <v>193</v>
      </c>
      <c r="F158" t="s">
        <v>112</v>
      </c>
      <c r="G158" s="14" t="str">
        <f t="shared" si="29"/>
        <v>2030</v>
      </c>
      <c r="H158" s="14" t="s">
        <v>185</v>
      </c>
      <c r="I158" s="14" t="str">
        <f t="shared" si="30"/>
        <v>2018</v>
      </c>
      <c r="J158" s="14" t="s">
        <v>80</v>
      </c>
      <c r="K158" s="14">
        <v>0</v>
      </c>
      <c r="L158" s="14">
        <v>0</v>
      </c>
      <c r="M158" s="14">
        <v>-1</v>
      </c>
      <c r="N158" s="14">
        <v>1</v>
      </c>
      <c r="O158" s="14">
        <v>0</v>
      </c>
      <c r="P158" t="s">
        <v>177</v>
      </c>
      <c r="Q158" t="s">
        <v>178</v>
      </c>
      <c r="R158" s="104" t="s">
        <v>307</v>
      </c>
      <c r="S158" s="18" t="b">
        <v>0</v>
      </c>
      <c r="T158" t="b">
        <v>1</v>
      </c>
      <c r="U158" s="18" t="b">
        <v>0</v>
      </c>
      <c r="V158" t="b">
        <v>0</v>
      </c>
      <c r="W158" t="b">
        <v>1</v>
      </c>
      <c r="X158" t="b">
        <v>0</v>
      </c>
      <c r="Y158" t="b">
        <v>0</v>
      </c>
      <c r="Z158" t="b">
        <v>1</v>
      </c>
      <c r="AA158" t="b">
        <v>1</v>
      </c>
      <c r="AB158" s="19" t="b">
        <v>0</v>
      </c>
      <c r="AC158" t="b">
        <v>1</v>
      </c>
      <c r="AD158" t="b">
        <v>1</v>
      </c>
      <c r="AE158" t="b">
        <v>1</v>
      </c>
    </row>
    <row r="159" spans="1:31" x14ac:dyDescent="0.35">
      <c r="A159" s="2">
        <f t="shared" si="27"/>
        <v>152</v>
      </c>
      <c r="B159" s="11" t="str">
        <f t="shared" si="38"/>
        <v>Biofuel-AEC-price-biochar-0.28</v>
      </c>
      <c r="C159" s="129" t="s">
        <v>283</v>
      </c>
      <c r="D159" t="s">
        <v>185</v>
      </c>
      <c r="E159" s="119" t="s">
        <v>193</v>
      </c>
      <c r="F159" t="s">
        <v>112</v>
      </c>
      <c r="G159" s="14" t="str">
        <f t="shared" si="29"/>
        <v>2030</v>
      </c>
      <c r="H159" s="14" t="s">
        <v>185</v>
      </c>
      <c r="I159" s="14" t="str">
        <f t="shared" si="30"/>
        <v>2018</v>
      </c>
      <c r="J159" s="14" t="s">
        <v>80</v>
      </c>
      <c r="K159" s="14">
        <v>0</v>
      </c>
      <c r="L159" s="14">
        <v>0</v>
      </c>
      <c r="M159" s="14">
        <v>-1</v>
      </c>
      <c r="N159" s="14">
        <v>1</v>
      </c>
      <c r="O159" s="14">
        <v>0</v>
      </c>
      <c r="P159" t="s">
        <v>177</v>
      </c>
      <c r="Q159" t="s">
        <v>178</v>
      </c>
      <c r="R159" s="104" t="s">
        <v>307</v>
      </c>
      <c r="S159" s="18" t="b">
        <v>0</v>
      </c>
      <c r="T159" t="b">
        <v>1</v>
      </c>
      <c r="U159" s="18" t="b">
        <v>0</v>
      </c>
      <c r="V159" t="b">
        <v>0</v>
      </c>
      <c r="W159" t="b">
        <v>1</v>
      </c>
      <c r="X159" t="b">
        <v>0</v>
      </c>
      <c r="Y159" t="b">
        <v>0</v>
      </c>
      <c r="Z159" t="b">
        <v>1</v>
      </c>
      <c r="AA159" t="b">
        <v>1</v>
      </c>
      <c r="AB159" s="19" t="b">
        <v>0</v>
      </c>
      <c r="AC159" t="b">
        <v>1</v>
      </c>
      <c r="AD159" t="b">
        <v>1</v>
      </c>
      <c r="AE159" t="b">
        <v>1</v>
      </c>
    </row>
    <row r="160" spans="1:31" x14ac:dyDescent="0.35">
      <c r="A160" s="2">
        <f t="shared" si="27"/>
        <v>153</v>
      </c>
      <c r="B160" s="11" t="str">
        <f t="shared" si="38"/>
        <v>Biofuel-AEC-price-biochar-0.32</v>
      </c>
      <c r="C160" s="129" t="s">
        <v>284</v>
      </c>
      <c r="D160" t="s">
        <v>185</v>
      </c>
      <c r="E160" s="119" t="s">
        <v>193</v>
      </c>
      <c r="F160" t="s">
        <v>112</v>
      </c>
      <c r="G160" s="14" t="str">
        <f t="shared" si="29"/>
        <v>2030</v>
      </c>
      <c r="H160" s="14" t="s">
        <v>185</v>
      </c>
      <c r="I160" s="14" t="str">
        <f t="shared" si="30"/>
        <v>2018</v>
      </c>
      <c r="J160" s="14" t="s">
        <v>80</v>
      </c>
      <c r="K160" s="14">
        <v>0</v>
      </c>
      <c r="L160" s="14">
        <v>0</v>
      </c>
      <c r="M160" s="14">
        <v>-1</v>
      </c>
      <c r="N160" s="14">
        <v>1</v>
      </c>
      <c r="O160" s="14">
        <v>0</v>
      </c>
      <c r="P160" t="s">
        <v>177</v>
      </c>
      <c r="Q160" t="s">
        <v>178</v>
      </c>
      <c r="R160" s="104" t="s">
        <v>307</v>
      </c>
      <c r="S160" s="18" t="b">
        <v>0</v>
      </c>
      <c r="T160" t="b">
        <v>1</v>
      </c>
      <c r="U160" s="18" t="b">
        <v>0</v>
      </c>
      <c r="V160" t="b">
        <v>0</v>
      </c>
      <c r="W160" t="b">
        <v>1</v>
      </c>
      <c r="X160" t="b">
        <v>0</v>
      </c>
      <c r="Y160" t="b">
        <v>0</v>
      </c>
      <c r="Z160" t="b">
        <v>1</v>
      </c>
      <c r="AA160" t="b">
        <v>1</v>
      </c>
      <c r="AB160" s="19" t="b">
        <v>0</v>
      </c>
      <c r="AC160" t="b">
        <v>1</v>
      </c>
      <c r="AD160" t="b">
        <v>1</v>
      </c>
      <c r="AE160" t="b">
        <v>1</v>
      </c>
    </row>
    <row r="161" spans="1:31" x14ac:dyDescent="0.35">
      <c r="A161" s="2">
        <f t="shared" si="27"/>
        <v>154</v>
      </c>
      <c r="B161" s="11" t="str">
        <f t="shared" si="38"/>
        <v>Biofuel-AEC-price-biochar-0.35</v>
      </c>
      <c r="C161" s="129" t="s">
        <v>285</v>
      </c>
      <c r="D161" t="s">
        <v>185</v>
      </c>
      <c r="E161" s="119" t="s">
        <v>193</v>
      </c>
      <c r="F161" t="s">
        <v>112</v>
      </c>
      <c r="G161" s="14" t="str">
        <f t="shared" si="29"/>
        <v>2030</v>
      </c>
      <c r="H161" s="14" t="s">
        <v>185</v>
      </c>
      <c r="I161" s="14" t="str">
        <f t="shared" si="30"/>
        <v>2018</v>
      </c>
      <c r="J161" s="14" t="s">
        <v>80</v>
      </c>
      <c r="K161" s="14">
        <v>0</v>
      </c>
      <c r="L161" s="14">
        <v>0</v>
      </c>
      <c r="M161" s="14">
        <v>-1</v>
      </c>
      <c r="N161" s="14">
        <v>1</v>
      </c>
      <c r="O161" s="14">
        <v>0</v>
      </c>
      <c r="P161" t="s">
        <v>177</v>
      </c>
      <c r="Q161" t="s">
        <v>178</v>
      </c>
      <c r="R161" s="104" t="s">
        <v>307</v>
      </c>
      <c r="S161" s="18" t="b">
        <v>0</v>
      </c>
      <c r="T161" t="b">
        <v>1</v>
      </c>
      <c r="U161" s="18" t="b">
        <v>0</v>
      </c>
      <c r="V161" t="b">
        <v>0</v>
      </c>
      <c r="W161" t="b">
        <v>1</v>
      </c>
      <c r="X161" t="b">
        <v>0</v>
      </c>
      <c r="Y161" t="b">
        <v>0</v>
      </c>
      <c r="Z161" t="b">
        <v>1</v>
      </c>
      <c r="AA161" t="b">
        <v>1</v>
      </c>
      <c r="AB161" s="19" t="b">
        <v>0</v>
      </c>
      <c r="AC161" t="b">
        <v>1</v>
      </c>
      <c r="AD161" t="b">
        <v>1</v>
      </c>
      <c r="AE161" t="b">
        <v>1</v>
      </c>
    </row>
    <row r="162" spans="1:31" x14ac:dyDescent="0.35">
      <c r="A162" s="2">
        <f t="shared" si="27"/>
        <v>155</v>
      </c>
      <c r="B162" s="11" t="str">
        <f t="shared" si="38"/>
        <v>Biofuel-AEC-price-biochar-0.39</v>
      </c>
      <c r="C162" s="129" t="s">
        <v>286</v>
      </c>
      <c r="D162" t="s">
        <v>185</v>
      </c>
      <c r="E162" s="119" t="s">
        <v>193</v>
      </c>
      <c r="F162" t="s">
        <v>112</v>
      </c>
      <c r="G162" s="14" t="str">
        <f t="shared" si="29"/>
        <v>2030</v>
      </c>
      <c r="H162" s="14" t="s">
        <v>185</v>
      </c>
      <c r="I162" s="14" t="str">
        <f t="shared" si="30"/>
        <v>2018</v>
      </c>
      <c r="J162" s="14" t="s">
        <v>80</v>
      </c>
      <c r="K162" s="14">
        <v>0</v>
      </c>
      <c r="L162" s="14">
        <v>0</v>
      </c>
      <c r="M162" s="14">
        <v>-1</v>
      </c>
      <c r="N162" s="14">
        <v>1</v>
      </c>
      <c r="O162" s="14">
        <v>0</v>
      </c>
      <c r="P162" t="s">
        <v>177</v>
      </c>
      <c r="Q162" t="s">
        <v>178</v>
      </c>
      <c r="R162" s="104" t="s">
        <v>307</v>
      </c>
      <c r="S162" s="18" t="b">
        <v>0</v>
      </c>
      <c r="T162" t="b">
        <v>1</v>
      </c>
      <c r="U162" s="18" t="b">
        <v>0</v>
      </c>
      <c r="V162" t="b">
        <v>0</v>
      </c>
      <c r="W162" t="b">
        <v>1</v>
      </c>
      <c r="X162" t="b">
        <v>0</v>
      </c>
      <c r="Y162" t="b">
        <v>0</v>
      </c>
      <c r="Z162" t="b">
        <v>1</v>
      </c>
      <c r="AA162" t="b">
        <v>1</v>
      </c>
      <c r="AB162" s="19" t="b">
        <v>0</v>
      </c>
      <c r="AC162" t="b">
        <v>1</v>
      </c>
      <c r="AD162" t="b">
        <v>1</v>
      </c>
      <c r="AE162" t="b">
        <v>1</v>
      </c>
    </row>
    <row r="163" spans="1:31" x14ac:dyDescent="0.35">
      <c r="A163" s="2">
        <f t="shared" si="27"/>
        <v>156</v>
      </c>
      <c r="B163" s="11" t="str">
        <f t="shared" ref="B163:B168" si="39">CONCATENATE($B$11,"-",C163)</f>
        <v>Biofuel-SOEC-price-biochar-0.21</v>
      </c>
      <c r="C163" s="129" t="s">
        <v>281</v>
      </c>
      <c r="D163" t="s">
        <v>185</v>
      </c>
      <c r="E163" s="119" t="s">
        <v>193</v>
      </c>
      <c r="F163" t="s">
        <v>112</v>
      </c>
      <c r="G163" s="14" t="str">
        <f t="shared" si="29"/>
        <v>2030</v>
      </c>
      <c r="H163" s="14" t="s">
        <v>185</v>
      </c>
      <c r="I163" s="14" t="str">
        <f t="shared" si="30"/>
        <v>2018</v>
      </c>
      <c r="J163" s="14" t="s">
        <v>92</v>
      </c>
      <c r="K163" s="14">
        <v>0</v>
      </c>
      <c r="L163" s="14">
        <v>0</v>
      </c>
      <c r="M163" s="14">
        <v>-1</v>
      </c>
      <c r="N163" s="14">
        <v>1</v>
      </c>
      <c r="O163" s="14">
        <v>0</v>
      </c>
      <c r="P163" t="s">
        <v>177</v>
      </c>
      <c r="Q163" t="s">
        <v>178</v>
      </c>
      <c r="R163" s="104" t="s">
        <v>307</v>
      </c>
      <c r="S163" s="18" t="b">
        <v>0</v>
      </c>
      <c r="T163" t="b">
        <v>1</v>
      </c>
      <c r="U163" s="18" t="b">
        <v>0</v>
      </c>
      <c r="V163" t="b">
        <v>0</v>
      </c>
      <c r="W163" t="b">
        <v>1</v>
      </c>
      <c r="X163" t="b">
        <v>0</v>
      </c>
      <c r="Y163" t="b">
        <v>0</v>
      </c>
      <c r="Z163" t="b">
        <v>1</v>
      </c>
      <c r="AA163" t="b">
        <v>1</v>
      </c>
      <c r="AB163" s="19" t="b">
        <v>0</v>
      </c>
      <c r="AC163" t="b">
        <v>1</v>
      </c>
      <c r="AD163" t="b">
        <v>1</v>
      </c>
      <c r="AE163" t="b">
        <v>1</v>
      </c>
    </row>
    <row r="164" spans="1:31" x14ac:dyDescent="0.35">
      <c r="A164" s="2">
        <f t="shared" si="27"/>
        <v>157</v>
      </c>
      <c r="B164" s="11" t="str">
        <f t="shared" si="39"/>
        <v>Biofuel-SOEC-price-biochar-0.24</v>
      </c>
      <c r="C164" s="129" t="s">
        <v>282</v>
      </c>
      <c r="D164" t="s">
        <v>185</v>
      </c>
      <c r="E164" s="119" t="s">
        <v>193</v>
      </c>
      <c r="F164" t="s">
        <v>112</v>
      </c>
      <c r="G164" s="14" t="str">
        <f t="shared" si="29"/>
        <v>2030</v>
      </c>
      <c r="H164" s="14" t="s">
        <v>185</v>
      </c>
      <c r="I164" s="14" t="str">
        <f t="shared" si="30"/>
        <v>2018</v>
      </c>
      <c r="J164" s="14" t="s">
        <v>92</v>
      </c>
      <c r="K164" s="14">
        <v>0</v>
      </c>
      <c r="L164" s="14">
        <v>0</v>
      </c>
      <c r="M164" s="14">
        <v>-1</v>
      </c>
      <c r="N164" s="14">
        <v>1</v>
      </c>
      <c r="O164" s="14">
        <v>0</v>
      </c>
      <c r="P164" t="s">
        <v>177</v>
      </c>
      <c r="Q164" t="s">
        <v>178</v>
      </c>
      <c r="R164" s="104" t="s">
        <v>307</v>
      </c>
      <c r="S164" s="18" t="b">
        <v>0</v>
      </c>
      <c r="T164" t="b">
        <v>1</v>
      </c>
      <c r="U164" s="18" t="b">
        <v>0</v>
      </c>
      <c r="V164" t="b">
        <v>0</v>
      </c>
      <c r="W164" t="b">
        <v>1</v>
      </c>
      <c r="X164" t="b">
        <v>0</v>
      </c>
      <c r="Y164" t="b">
        <v>0</v>
      </c>
      <c r="Z164" t="b">
        <v>1</v>
      </c>
      <c r="AA164" t="b">
        <v>1</v>
      </c>
      <c r="AB164" s="19" t="b">
        <v>0</v>
      </c>
      <c r="AC164" t="b">
        <v>1</v>
      </c>
      <c r="AD164" t="b">
        <v>1</v>
      </c>
      <c r="AE164" t="b">
        <v>1</v>
      </c>
    </row>
    <row r="165" spans="1:31" x14ac:dyDescent="0.35">
      <c r="A165" s="2">
        <f t="shared" si="27"/>
        <v>158</v>
      </c>
      <c r="B165" s="11" t="str">
        <f t="shared" si="39"/>
        <v>Biofuel-SOEC-price-biochar-0.28</v>
      </c>
      <c r="C165" s="129" t="s">
        <v>283</v>
      </c>
      <c r="D165" t="s">
        <v>185</v>
      </c>
      <c r="E165" s="119" t="s">
        <v>193</v>
      </c>
      <c r="F165" t="s">
        <v>112</v>
      </c>
      <c r="G165" s="14" t="str">
        <f t="shared" si="29"/>
        <v>2030</v>
      </c>
      <c r="H165" s="14" t="s">
        <v>185</v>
      </c>
      <c r="I165" s="14" t="str">
        <f t="shared" si="30"/>
        <v>2018</v>
      </c>
      <c r="J165" s="14" t="s">
        <v>92</v>
      </c>
      <c r="K165" s="14">
        <v>0</v>
      </c>
      <c r="L165" s="14">
        <v>0</v>
      </c>
      <c r="M165" s="14">
        <v>-1</v>
      </c>
      <c r="N165" s="14">
        <v>1</v>
      </c>
      <c r="O165" s="14">
        <v>0</v>
      </c>
      <c r="P165" t="s">
        <v>177</v>
      </c>
      <c r="Q165" t="s">
        <v>178</v>
      </c>
      <c r="R165" s="104" t="s">
        <v>307</v>
      </c>
      <c r="S165" s="18" t="b">
        <v>0</v>
      </c>
      <c r="T165" t="b">
        <v>1</v>
      </c>
      <c r="U165" s="18" t="b">
        <v>0</v>
      </c>
      <c r="V165" t="b">
        <v>0</v>
      </c>
      <c r="W165" t="b">
        <v>1</v>
      </c>
      <c r="X165" t="b">
        <v>0</v>
      </c>
      <c r="Y165" t="b">
        <v>0</v>
      </c>
      <c r="Z165" t="b">
        <v>1</v>
      </c>
      <c r="AA165" t="b">
        <v>1</v>
      </c>
      <c r="AB165" s="19" t="b">
        <v>0</v>
      </c>
      <c r="AC165" t="b">
        <v>1</v>
      </c>
      <c r="AD165" t="b">
        <v>1</v>
      </c>
      <c r="AE165" t="b">
        <v>1</v>
      </c>
    </row>
    <row r="166" spans="1:31" x14ac:dyDescent="0.35">
      <c r="A166" s="2">
        <f t="shared" si="27"/>
        <v>159</v>
      </c>
      <c r="B166" s="11" t="str">
        <f t="shared" si="39"/>
        <v>Biofuel-SOEC-price-biochar-0.32</v>
      </c>
      <c r="C166" s="129" t="s">
        <v>284</v>
      </c>
      <c r="D166" t="s">
        <v>185</v>
      </c>
      <c r="E166" s="119" t="s">
        <v>193</v>
      </c>
      <c r="F166" t="s">
        <v>112</v>
      </c>
      <c r="G166" s="14" t="str">
        <f>"2030"</f>
        <v>2030</v>
      </c>
      <c r="H166" s="14" t="s">
        <v>185</v>
      </c>
      <c r="I166" s="14" t="str">
        <f>"2018"</f>
        <v>2018</v>
      </c>
      <c r="J166" s="14" t="s">
        <v>92</v>
      </c>
      <c r="K166" s="14">
        <v>0</v>
      </c>
      <c r="L166" s="14">
        <v>0</v>
      </c>
      <c r="M166" s="14">
        <v>-1</v>
      </c>
      <c r="N166" s="14">
        <v>1</v>
      </c>
      <c r="O166" s="14">
        <v>0</v>
      </c>
      <c r="P166" t="s">
        <v>177</v>
      </c>
      <c r="Q166" t="s">
        <v>178</v>
      </c>
      <c r="R166" s="104" t="s">
        <v>307</v>
      </c>
      <c r="S166" s="18" t="b">
        <v>0</v>
      </c>
      <c r="T166" t="b">
        <v>1</v>
      </c>
      <c r="U166" s="18" t="b">
        <v>0</v>
      </c>
      <c r="V166" t="b">
        <v>0</v>
      </c>
      <c r="W166" t="b">
        <v>1</v>
      </c>
      <c r="X166" t="b">
        <v>0</v>
      </c>
      <c r="Y166" t="b">
        <v>0</v>
      </c>
      <c r="Z166" t="b">
        <v>1</v>
      </c>
      <c r="AA166" t="b">
        <v>1</v>
      </c>
      <c r="AB166" s="19" t="b">
        <v>0</v>
      </c>
      <c r="AC166" t="b">
        <v>1</v>
      </c>
      <c r="AD166" t="b">
        <v>1</v>
      </c>
      <c r="AE166" t="b">
        <v>1</v>
      </c>
    </row>
    <row r="167" spans="1:31" x14ac:dyDescent="0.35">
      <c r="A167" s="2">
        <f t="shared" ref="A167:A204" si="40">ROW(A167)-ROW($A$7)</f>
        <v>160</v>
      </c>
      <c r="B167" s="11" t="str">
        <f t="shared" si="39"/>
        <v>Biofuel-SOEC-price-biochar-0.35</v>
      </c>
      <c r="C167" s="129" t="s">
        <v>285</v>
      </c>
      <c r="D167" t="s">
        <v>185</v>
      </c>
      <c r="E167" s="119" t="s">
        <v>193</v>
      </c>
      <c r="F167" t="s">
        <v>112</v>
      </c>
      <c r="G167" s="14" t="str">
        <f>"2030"</f>
        <v>2030</v>
      </c>
      <c r="H167" s="14" t="s">
        <v>185</v>
      </c>
      <c r="I167" s="14" t="str">
        <f>"2018"</f>
        <v>2018</v>
      </c>
      <c r="J167" s="14" t="s">
        <v>92</v>
      </c>
      <c r="K167" s="14">
        <v>0</v>
      </c>
      <c r="L167" s="14">
        <v>0</v>
      </c>
      <c r="M167" s="14">
        <v>-1</v>
      </c>
      <c r="N167" s="14">
        <v>1</v>
      </c>
      <c r="O167" s="14">
        <v>0</v>
      </c>
      <c r="P167" t="s">
        <v>177</v>
      </c>
      <c r="Q167" t="s">
        <v>178</v>
      </c>
      <c r="R167" s="104" t="s">
        <v>307</v>
      </c>
      <c r="S167" s="18" t="b">
        <v>0</v>
      </c>
      <c r="T167" t="b">
        <v>1</v>
      </c>
      <c r="U167" s="18" t="b">
        <v>0</v>
      </c>
      <c r="V167" t="b">
        <v>0</v>
      </c>
      <c r="W167" t="b">
        <v>1</v>
      </c>
      <c r="X167" t="b">
        <v>0</v>
      </c>
      <c r="Y167" t="b">
        <v>0</v>
      </c>
      <c r="Z167" t="b">
        <v>1</v>
      </c>
      <c r="AA167" t="b">
        <v>1</v>
      </c>
      <c r="AB167" s="19" t="b">
        <v>0</v>
      </c>
      <c r="AC167" t="b">
        <v>1</v>
      </c>
      <c r="AD167" t="b">
        <v>1</v>
      </c>
      <c r="AE167" t="b">
        <v>1</v>
      </c>
    </row>
    <row r="168" spans="1:31" x14ac:dyDescent="0.35">
      <c r="A168" s="2">
        <f t="shared" si="40"/>
        <v>161</v>
      </c>
      <c r="B168" s="11" t="str">
        <f t="shared" si="39"/>
        <v>Biofuel-SOEC-price-biochar-0.39</v>
      </c>
      <c r="C168" s="129" t="s">
        <v>286</v>
      </c>
      <c r="D168" t="s">
        <v>185</v>
      </c>
      <c r="E168" s="119" t="s">
        <v>193</v>
      </c>
      <c r="F168" t="s">
        <v>112</v>
      </c>
      <c r="G168" s="14" t="str">
        <f>"2030"</f>
        <v>2030</v>
      </c>
      <c r="H168" s="14" t="s">
        <v>185</v>
      </c>
      <c r="I168" s="14" t="str">
        <f>"2018"</f>
        <v>2018</v>
      </c>
      <c r="J168" s="14" t="s">
        <v>92</v>
      </c>
      <c r="K168" s="14">
        <v>0</v>
      </c>
      <c r="L168" s="14">
        <v>0</v>
      </c>
      <c r="M168" s="14">
        <v>-1</v>
      </c>
      <c r="N168" s="14">
        <v>1</v>
      </c>
      <c r="O168" s="14">
        <v>0</v>
      </c>
      <c r="P168" t="s">
        <v>177</v>
      </c>
      <c r="Q168" t="s">
        <v>178</v>
      </c>
      <c r="R168" s="104" t="s">
        <v>307</v>
      </c>
      <c r="S168" s="18" t="b">
        <v>0</v>
      </c>
      <c r="T168" t="b">
        <v>1</v>
      </c>
      <c r="U168" s="18" t="b">
        <v>0</v>
      </c>
      <c r="V168" t="b">
        <v>0</v>
      </c>
      <c r="W168" t="b">
        <v>1</v>
      </c>
      <c r="X168" t="b">
        <v>0</v>
      </c>
      <c r="Y168" t="b">
        <v>0</v>
      </c>
      <c r="Z168" t="b">
        <v>1</v>
      </c>
      <c r="AA168" t="b">
        <v>1</v>
      </c>
      <c r="AB168" s="19" t="b">
        <v>0</v>
      </c>
      <c r="AC168" t="b">
        <v>1</v>
      </c>
      <c r="AD168" t="b">
        <v>1</v>
      </c>
      <c r="AE168" t="b">
        <v>1</v>
      </c>
    </row>
    <row r="169" spans="1:31" x14ac:dyDescent="0.35">
      <c r="A169" s="2">
        <f t="shared" si="40"/>
        <v>162</v>
      </c>
      <c r="B169" s="11" t="str">
        <f t="shared" ref="B169:B176" si="41">CONCATENATE($B$8,"-",C169)</f>
        <v>MeOH-AEC-flexibility-meoh-30</v>
      </c>
      <c r="C169" s="121" t="str">
        <f>Scenarios_definition!B84</f>
        <v>flexibility-meoh-30</v>
      </c>
      <c r="D169" t="s">
        <v>185</v>
      </c>
      <c r="E169" s="120" t="s">
        <v>91</v>
      </c>
      <c r="F169" t="s">
        <v>112</v>
      </c>
      <c r="G169" s="14" t="str">
        <f t="shared" si="18"/>
        <v>2030</v>
      </c>
      <c r="H169" s="14" t="s">
        <v>185</v>
      </c>
      <c r="I169" s="14" t="str">
        <f t="shared" si="19"/>
        <v>2018</v>
      </c>
      <c r="J169" s="14" t="s">
        <v>80</v>
      </c>
      <c r="K169" s="14">
        <v>0</v>
      </c>
      <c r="L169" s="14">
        <v>0</v>
      </c>
      <c r="M169" s="14">
        <v>-1</v>
      </c>
      <c r="N169" s="14">
        <v>1</v>
      </c>
      <c r="O169" s="14">
        <v>0</v>
      </c>
      <c r="P169" t="s">
        <v>177</v>
      </c>
      <c r="Q169" t="s">
        <v>178</v>
      </c>
      <c r="R169" s="104" t="s">
        <v>307</v>
      </c>
      <c r="S169" s="18" t="b">
        <v>0</v>
      </c>
      <c r="T169" t="b">
        <v>1</v>
      </c>
      <c r="U169" s="18" t="b">
        <v>0</v>
      </c>
      <c r="V169" t="b">
        <v>0</v>
      </c>
      <c r="W169" t="b">
        <v>1</v>
      </c>
      <c r="X169" t="b">
        <v>0</v>
      </c>
      <c r="Y169" t="b">
        <v>0</v>
      </c>
      <c r="Z169" t="b">
        <v>1</v>
      </c>
      <c r="AA169" t="b">
        <v>1</v>
      </c>
      <c r="AB169" s="19" t="b">
        <v>0</v>
      </c>
      <c r="AC169" t="b">
        <v>1</v>
      </c>
      <c r="AD169" t="b">
        <v>1</v>
      </c>
      <c r="AE169" t="b">
        <v>1</v>
      </c>
    </row>
    <row r="170" spans="1:31" x14ac:dyDescent="0.35">
      <c r="A170" s="2">
        <f t="shared" si="40"/>
        <v>163</v>
      </c>
      <c r="B170" s="11" t="str">
        <f t="shared" si="41"/>
        <v>MeOH-AEC-flexibility-meoh-40</v>
      </c>
      <c r="C170" s="121" t="str">
        <f>Scenarios_definition!B85</f>
        <v>flexibility-meoh-40</v>
      </c>
      <c r="D170" t="s">
        <v>185</v>
      </c>
      <c r="E170" s="120" t="s">
        <v>91</v>
      </c>
      <c r="F170" t="s">
        <v>112</v>
      </c>
      <c r="G170" s="14" t="str">
        <f t="shared" si="18"/>
        <v>2030</v>
      </c>
      <c r="H170" s="14" t="s">
        <v>185</v>
      </c>
      <c r="I170" s="14" t="str">
        <f t="shared" si="19"/>
        <v>2018</v>
      </c>
      <c r="J170" s="14" t="s">
        <v>80</v>
      </c>
      <c r="K170" s="14">
        <v>0</v>
      </c>
      <c r="L170" s="14">
        <v>0</v>
      </c>
      <c r="M170" s="14">
        <v>-1</v>
      </c>
      <c r="N170" s="14">
        <v>1</v>
      </c>
      <c r="O170" s="14">
        <v>0</v>
      </c>
      <c r="P170" t="s">
        <v>177</v>
      </c>
      <c r="Q170" t="s">
        <v>178</v>
      </c>
      <c r="R170" s="104" t="s">
        <v>307</v>
      </c>
      <c r="S170" s="18" t="b">
        <v>0</v>
      </c>
      <c r="T170" t="b">
        <v>1</v>
      </c>
      <c r="U170" s="18" t="b">
        <v>0</v>
      </c>
      <c r="V170" t="b">
        <v>0</v>
      </c>
      <c r="W170" t="b">
        <v>1</v>
      </c>
      <c r="X170" t="b">
        <v>0</v>
      </c>
      <c r="Y170" t="b">
        <v>0</v>
      </c>
      <c r="Z170" t="b">
        <v>1</v>
      </c>
      <c r="AA170" t="b">
        <v>1</v>
      </c>
      <c r="AB170" s="19" t="b">
        <v>0</v>
      </c>
      <c r="AC170" t="b">
        <v>1</v>
      </c>
      <c r="AD170" t="b">
        <v>1</v>
      </c>
      <c r="AE170" t="b">
        <v>1</v>
      </c>
    </row>
    <row r="171" spans="1:31" x14ac:dyDescent="0.35">
      <c r="A171" s="2">
        <f t="shared" si="40"/>
        <v>164</v>
      </c>
      <c r="B171" s="11" t="str">
        <f t="shared" si="41"/>
        <v>MeOH-AEC-flexibility-meoh-50</v>
      </c>
      <c r="C171" s="121" t="str">
        <f>Scenarios_definition!B86</f>
        <v>flexibility-meoh-50</v>
      </c>
      <c r="D171" t="s">
        <v>185</v>
      </c>
      <c r="E171" s="120" t="s">
        <v>91</v>
      </c>
      <c r="F171" t="s">
        <v>112</v>
      </c>
      <c r="G171" s="14" t="str">
        <f t="shared" si="18"/>
        <v>2030</v>
      </c>
      <c r="H171" s="14" t="s">
        <v>185</v>
      </c>
      <c r="I171" s="14" t="str">
        <f t="shared" si="19"/>
        <v>2018</v>
      </c>
      <c r="J171" s="14" t="s">
        <v>80</v>
      </c>
      <c r="K171" s="14">
        <v>0</v>
      </c>
      <c r="L171" s="14">
        <v>0</v>
      </c>
      <c r="M171" s="14">
        <v>-1</v>
      </c>
      <c r="N171" s="14">
        <v>1</v>
      </c>
      <c r="O171" s="14">
        <v>0</v>
      </c>
      <c r="P171" t="s">
        <v>177</v>
      </c>
      <c r="Q171" t="s">
        <v>178</v>
      </c>
      <c r="R171" s="104" t="s">
        <v>307</v>
      </c>
      <c r="S171" s="18" t="b">
        <v>0</v>
      </c>
      <c r="T171" t="b">
        <v>1</v>
      </c>
      <c r="U171" s="18" t="b">
        <v>0</v>
      </c>
      <c r="V171" t="b">
        <v>0</v>
      </c>
      <c r="W171" t="b">
        <v>1</v>
      </c>
      <c r="X171" t="b">
        <v>0</v>
      </c>
      <c r="Y171" t="b">
        <v>0</v>
      </c>
      <c r="Z171" t="b">
        <v>1</v>
      </c>
      <c r="AA171" t="b">
        <v>1</v>
      </c>
      <c r="AB171" s="19" t="b">
        <v>0</v>
      </c>
      <c r="AC171" t="b">
        <v>1</v>
      </c>
      <c r="AD171" t="b">
        <v>1</v>
      </c>
      <c r="AE171" t="b">
        <v>1</v>
      </c>
    </row>
    <row r="172" spans="1:31" x14ac:dyDescent="0.35">
      <c r="A172" s="2">
        <f t="shared" si="40"/>
        <v>165</v>
      </c>
      <c r="B172" s="11" t="str">
        <f t="shared" si="41"/>
        <v>MeOH-AEC-flexibility-meoh-60</v>
      </c>
      <c r="C172" s="121" t="str">
        <f>Scenarios_definition!B87</f>
        <v>flexibility-meoh-60</v>
      </c>
      <c r="D172" t="s">
        <v>185</v>
      </c>
      <c r="E172" s="120" t="s">
        <v>91</v>
      </c>
      <c r="F172" t="s">
        <v>112</v>
      </c>
      <c r="G172" s="14" t="str">
        <f t="shared" si="18"/>
        <v>2030</v>
      </c>
      <c r="H172" s="14" t="s">
        <v>185</v>
      </c>
      <c r="I172" s="14" t="str">
        <f t="shared" si="19"/>
        <v>2018</v>
      </c>
      <c r="J172" s="14" t="s">
        <v>80</v>
      </c>
      <c r="K172" s="14">
        <v>0</v>
      </c>
      <c r="L172" s="14">
        <v>0</v>
      </c>
      <c r="M172" s="14">
        <v>-1</v>
      </c>
      <c r="N172" s="14">
        <v>1</v>
      </c>
      <c r="O172" s="14">
        <v>0</v>
      </c>
      <c r="P172" t="s">
        <v>177</v>
      </c>
      <c r="Q172" t="s">
        <v>178</v>
      </c>
      <c r="R172" s="104" t="s">
        <v>307</v>
      </c>
      <c r="S172" s="18" t="b">
        <v>0</v>
      </c>
      <c r="T172" t="b">
        <v>1</v>
      </c>
      <c r="U172" s="18" t="b">
        <v>0</v>
      </c>
      <c r="V172" t="b">
        <v>0</v>
      </c>
      <c r="W172" t="b">
        <v>1</v>
      </c>
      <c r="X172" t="b">
        <v>0</v>
      </c>
      <c r="Y172" t="b">
        <v>0</v>
      </c>
      <c r="Z172" t="b">
        <v>1</v>
      </c>
      <c r="AA172" t="b">
        <v>1</v>
      </c>
      <c r="AB172" s="19" t="b">
        <v>0</v>
      </c>
      <c r="AC172" t="b">
        <v>1</v>
      </c>
      <c r="AD172" t="b">
        <v>1</v>
      </c>
      <c r="AE172" t="b">
        <v>1</v>
      </c>
    </row>
    <row r="173" spans="1:31" x14ac:dyDescent="0.35">
      <c r="A173" s="2">
        <f t="shared" si="40"/>
        <v>166</v>
      </c>
      <c r="B173" s="11" t="str">
        <f t="shared" si="41"/>
        <v>MeOH-AEC-flexibility-meoh-70</v>
      </c>
      <c r="C173" s="121" t="str">
        <f>Scenarios_definition!B88</f>
        <v>flexibility-meoh-70</v>
      </c>
      <c r="D173" t="s">
        <v>185</v>
      </c>
      <c r="E173" s="120" t="s">
        <v>91</v>
      </c>
      <c r="F173" t="s">
        <v>112</v>
      </c>
      <c r="G173" s="14" t="str">
        <f t="shared" si="18"/>
        <v>2030</v>
      </c>
      <c r="H173" s="14" t="s">
        <v>185</v>
      </c>
      <c r="I173" s="14" t="str">
        <f t="shared" si="19"/>
        <v>2018</v>
      </c>
      <c r="J173" s="14" t="s">
        <v>80</v>
      </c>
      <c r="K173" s="14">
        <v>0</v>
      </c>
      <c r="L173" s="14">
        <v>0</v>
      </c>
      <c r="M173" s="14">
        <v>-1</v>
      </c>
      <c r="N173" s="14">
        <v>1</v>
      </c>
      <c r="O173" s="14">
        <v>0</v>
      </c>
      <c r="P173" t="s">
        <v>177</v>
      </c>
      <c r="Q173" t="s">
        <v>178</v>
      </c>
      <c r="R173" s="104" t="s">
        <v>307</v>
      </c>
      <c r="S173" s="18" t="b">
        <v>0</v>
      </c>
      <c r="T173" t="b">
        <v>1</v>
      </c>
      <c r="U173" s="18" t="b">
        <v>0</v>
      </c>
      <c r="V173" t="b">
        <v>0</v>
      </c>
      <c r="W173" t="b">
        <v>1</v>
      </c>
      <c r="X173" t="b">
        <v>0</v>
      </c>
      <c r="Y173" t="b">
        <v>0</v>
      </c>
      <c r="Z173" t="b">
        <v>1</v>
      </c>
      <c r="AA173" t="b">
        <v>1</v>
      </c>
      <c r="AB173" s="19" t="b">
        <v>0</v>
      </c>
      <c r="AC173" t="b">
        <v>1</v>
      </c>
      <c r="AD173" t="b">
        <v>1</v>
      </c>
      <c r="AE173" t="b">
        <v>1</v>
      </c>
    </row>
    <row r="174" spans="1:31" x14ac:dyDescent="0.35">
      <c r="A174" s="2">
        <f t="shared" si="40"/>
        <v>167</v>
      </c>
      <c r="B174" s="11" t="str">
        <f t="shared" si="41"/>
        <v>MeOH-AEC-flexibility-meoh-80</v>
      </c>
      <c r="C174" s="121" t="str">
        <f>Scenarios_definition!B89</f>
        <v>flexibility-meoh-80</v>
      </c>
      <c r="D174" t="s">
        <v>185</v>
      </c>
      <c r="E174" s="120" t="s">
        <v>91</v>
      </c>
      <c r="F174" t="s">
        <v>112</v>
      </c>
      <c r="G174" s="14" t="str">
        <f t="shared" si="18"/>
        <v>2030</v>
      </c>
      <c r="H174" s="14" t="s">
        <v>185</v>
      </c>
      <c r="I174" s="14" t="str">
        <f t="shared" si="19"/>
        <v>2018</v>
      </c>
      <c r="J174" s="14" t="s">
        <v>80</v>
      </c>
      <c r="K174" s="14">
        <v>0</v>
      </c>
      <c r="L174" s="14">
        <v>0</v>
      </c>
      <c r="M174" s="14">
        <v>-1</v>
      </c>
      <c r="N174" s="14">
        <v>1</v>
      </c>
      <c r="O174" s="14">
        <v>0</v>
      </c>
      <c r="P174" t="s">
        <v>177</v>
      </c>
      <c r="Q174" t="s">
        <v>178</v>
      </c>
      <c r="R174" s="104" t="s">
        <v>307</v>
      </c>
      <c r="S174" s="18" t="b">
        <v>0</v>
      </c>
      <c r="T174" t="b">
        <v>1</v>
      </c>
      <c r="U174" s="18" t="b">
        <v>0</v>
      </c>
      <c r="V174" t="b">
        <v>0</v>
      </c>
      <c r="W174" t="b">
        <v>1</v>
      </c>
      <c r="X174" t="b">
        <v>0</v>
      </c>
      <c r="Y174" t="b">
        <v>0</v>
      </c>
      <c r="Z174" t="b">
        <v>1</v>
      </c>
      <c r="AA174" t="b">
        <v>1</v>
      </c>
      <c r="AB174" s="19" t="b">
        <v>0</v>
      </c>
      <c r="AC174" t="b">
        <v>1</v>
      </c>
      <c r="AD174" t="b">
        <v>1</v>
      </c>
      <c r="AE174" t="b">
        <v>1</v>
      </c>
    </row>
    <row r="175" spans="1:31" x14ac:dyDescent="0.35">
      <c r="A175" s="2">
        <f t="shared" si="40"/>
        <v>168</v>
      </c>
      <c r="B175" s="11" t="str">
        <f t="shared" si="41"/>
        <v>MeOH-AEC-flexibility-meoh-90</v>
      </c>
      <c r="C175" s="121" t="str">
        <f>Scenarios_definition!B90</f>
        <v>flexibility-meoh-90</v>
      </c>
      <c r="D175" t="s">
        <v>185</v>
      </c>
      <c r="E175" s="120" t="s">
        <v>91</v>
      </c>
      <c r="F175" t="s">
        <v>112</v>
      </c>
      <c r="G175" s="14" t="str">
        <f t="shared" si="18"/>
        <v>2030</v>
      </c>
      <c r="H175" s="14" t="s">
        <v>185</v>
      </c>
      <c r="I175" s="14" t="str">
        <f t="shared" si="19"/>
        <v>2018</v>
      </c>
      <c r="J175" s="14" t="s">
        <v>80</v>
      </c>
      <c r="K175" s="14">
        <v>0</v>
      </c>
      <c r="L175" s="14">
        <v>0</v>
      </c>
      <c r="M175" s="14">
        <v>-1</v>
      </c>
      <c r="N175" s="14">
        <v>1</v>
      </c>
      <c r="O175" s="14">
        <v>0</v>
      </c>
      <c r="P175" t="s">
        <v>177</v>
      </c>
      <c r="Q175" t="s">
        <v>178</v>
      </c>
      <c r="R175" s="104" t="s">
        <v>307</v>
      </c>
      <c r="S175" s="18" t="b">
        <v>0</v>
      </c>
      <c r="T175" t="b">
        <v>1</v>
      </c>
      <c r="U175" s="18" t="b">
        <v>0</v>
      </c>
      <c r="V175" t="b">
        <v>0</v>
      </c>
      <c r="W175" t="b">
        <v>1</v>
      </c>
      <c r="X175" t="b">
        <v>0</v>
      </c>
      <c r="Y175" t="b">
        <v>0</v>
      </c>
      <c r="Z175" t="b">
        <v>1</v>
      </c>
      <c r="AA175" t="b">
        <v>1</v>
      </c>
      <c r="AB175" s="19" t="b">
        <v>0</v>
      </c>
      <c r="AC175" t="b">
        <v>1</v>
      </c>
      <c r="AD175" t="b">
        <v>1</v>
      </c>
      <c r="AE175" t="b">
        <v>1</v>
      </c>
    </row>
    <row r="176" spans="1:31" x14ac:dyDescent="0.35">
      <c r="A176" s="2">
        <f t="shared" si="40"/>
        <v>169</v>
      </c>
      <c r="B176" s="11" t="str">
        <f t="shared" si="41"/>
        <v>MeOH-AEC-flexibility-meoh-100</v>
      </c>
      <c r="C176" s="121" t="str">
        <f>Scenarios_definition!B91</f>
        <v>flexibility-meoh-100</v>
      </c>
      <c r="D176" t="s">
        <v>185</v>
      </c>
      <c r="E176" s="120" t="s">
        <v>91</v>
      </c>
      <c r="F176" t="s">
        <v>112</v>
      </c>
      <c r="G176" s="14" t="str">
        <f t="shared" si="18"/>
        <v>2030</v>
      </c>
      <c r="H176" s="14" t="s">
        <v>185</v>
      </c>
      <c r="I176" s="14" t="str">
        <f t="shared" si="19"/>
        <v>2018</v>
      </c>
      <c r="J176" s="14" t="s">
        <v>80</v>
      </c>
      <c r="K176" s="14">
        <v>0</v>
      </c>
      <c r="L176" s="14">
        <v>0</v>
      </c>
      <c r="M176" s="14">
        <v>-1</v>
      </c>
      <c r="N176" s="14">
        <v>1</v>
      </c>
      <c r="O176" s="14">
        <v>0</v>
      </c>
      <c r="P176" t="s">
        <v>177</v>
      </c>
      <c r="Q176" t="s">
        <v>178</v>
      </c>
      <c r="R176" s="104" t="s">
        <v>307</v>
      </c>
      <c r="S176" s="18" t="b">
        <v>0</v>
      </c>
      <c r="T176" t="b">
        <v>1</v>
      </c>
      <c r="U176" s="18" t="b">
        <v>0</v>
      </c>
      <c r="V176" t="b">
        <v>0</v>
      </c>
      <c r="W176" t="b">
        <v>1</v>
      </c>
      <c r="X176" t="b">
        <v>0</v>
      </c>
      <c r="Y176" t="b">
        <v>0</v>
      </c>
      <c r="Z176" t="b">
        <v>1</v>
      </c>
      <c r="AA176" t="b">
        <v>1</v>
      </c>
      <c r="AB176" s="19" t="b">
        <v>0</v>
      </c>
      <c r="AC176" t="b">
        <v>1</v>
      </c>
      <c r="AD176" t="b">
        <v>1</v>
      </c>
      <c r="AE176" t="b">
        <v>1</v>
      </c>
    </row>
    <row r="177" spans="1:31" x14ac:dyDescent="0.35">
      <c r="A177" s="2">
        <f t="shared" si="40"/>
        <v>170</v>
      </c>
      <c r="B177" s="11" t="str">
        <f>CONCATENATE($B$10,"-",C177)</f>
        <v>MeOH-SOEC-flexibility-meoh-30</v>
      </c>
      <c r="C177" s="121" t="str">
        <f>C169</f>
        <v>flexibility-meoh-30</v>
      </c>
      <c r="D177" t="s">
        <v>185</v>
      </c>
      <c r="E177" s="120" t="s">
        <v>91</v>
      </c>
      <c r="F177" t="s">
        <v>112</v>
      </c>
      <c r="G177" s="14" t="str">
        <f t="shared" si="18"/>
        <v>2030</v>
      </c>
      <c r="H177" s="14" t="s">
        <v>185</v>
      </c>
      <c r="I177" s="14" t="str">
        <f t="shared" si="19"/>
        <v>2018</v>
      </c>
      <c r="J177" s="14" t="s">
        <v>92</v>
      </c>
      <c r="K177" s="14">
        <v>0</v>
      </c>
      <c r="L177" s="14">
        <v>0</v>
      </c>
      <c r="M177" s="14">
        <v>-1</v>
      </c>
      <c r="N177" s="14">
        <v>1</v>
      </c>
      <c r="O177" s="14">
        <v>0</v>
      </c>
      <c r="P177" t="s">
        <v>177</v>
      </c>
      <c r="Q177" t="s">
        <v>178</v>
      </c>
      <c r="R177" s="104" t="s">
        <v>307</v>
      </c>
      <c r="S177" s="18" t="b">
        <v>0</v>
      </c>
      <c r="T177" t="b">
        <v>1</v>
      </c>
      <c r="U177" s="18" t="b">
        <v>0</v>
      </c>
      <c r="V177" t="b">
        <v>0</v>
      </c>
      <c r="W177" t="b">
        <v>1</v>
      </c>
      <c r="X177" t="b">
        <v>0</v>
      </c>
      <c r="Y177" t="b">
        <v>0</v>
      </c>
      <c r="Z177" t="b">
        <v>1</v>
      </c>
      <c r="AA177" t="b">
        <v>1</v>
      </c>
      <c r="AB177" s="19" t="b">
        <v>0</v>
      </c>
      <c r="AC177" t="b">
        <v>1</v>
      </c>
      <c r="AD177" t="b">
        <v>1</v>
      </c>
      <c r="AE177" t="b">
        <v>1</v>
      </c>
    </row>
    <row r="178" spans="1:31" x14ac:dyDescent="0.35">
      <c r="A178" s="2">
        <f t="shared" si="40"/>
        <v>171</v>
      </c>
      <c r="B178" s="11" t="str">
        <f t="shared" ref="B178:B184" si="42">CONCATENATE($B$10,"-",C178)</f>
        <v>MeOH-SOEC-flexibility-meoh-40</v>
      </c>
      <c r="C178" s="121" t="str">
        <f t="shared" ref="C178:C184" si="43">C170</f>
        <v>flexibility-meoh-40</v>
      </c>
      <c r="D178" t="s">
        <v>185</v>
      </c>
      <c r="E178" s="120" t="s">
        <v>91</v>
      </c>
      <c r="F178" t="s">
        <v>112</v>
      </c>
      <c r="G178" s="14" t="str">
        <f t="shared" si="18"/>
        <v>2030</v>
      </c>
      <c r="H178" s="14" t="s">
        <v>185</v>
      </c>
      <c r="I178" s="14" t="str">
        <f t="shared" si="19"/>
        <v>2018</v>
      </c>
      <c r="J178" s="14" t="s">
        <v>92</v>
      </c>
      <c r="K178" s="14">
        <v>0</v>
      </c>
      <c r="L178" s="14">
        <v>0</v>
      </c>
      <c r="M178" s="14">
        <v>-1</v>
      </c>
      <c r="N178" s="14">
        <v>1</v>
      </c>
      <c r="O178" s="14">
        <v>0</v>
      </c>
      <c r="P178" t="s">
        <v>177</v>
      </c>
      <c r="Q178" t="s">
        <v>178</v>
      </c>
      <c r="R178" s="104" t="s">
        <v>307</v>
      </c>
      <c r="S178" s="18" t="b">
        <v>0</v>
      </c>
      <c r="T178" t="b">
        <v>1</v>
      </c>
      <c r="U178" s="18" t="b">
        <v>0</v>
      </c>
      <c r="V178" t="b">
        <v>0</v>
      </c>
      <c r="W178" t="b">
        <v>1</v>
      </c>
      <c r="X178" t="b">
        <v>0</v>
      </c>
      <c r="Y178" t="b">
        <v>0</v>
      </c>
      <c r="Z178" t="b">
        <v>1</v>
      </c>
      <c r="AA178" t="b">
        <v>1</v>
      </c>
      <c r="AB178" s="19" t="b">
        <v>0</v>
      </c>
      <c r="AC178" t="b">
        <v>1</v>
      </c>
      <c r="AD178" t="b">
        <v>1</v>
      </c>
      <c r="AE178" t="b">
        <v>1</v>
      </c>
    </row>
    <row r="179" spans="1:31" x14ac:dyDescent="0.35">
      <c r="A179" s="2">
        <f t="shared" si="40"/>
        <v>172</v>
      </c>
      <c r="B179" s="11" t="str">
        <f t="shared" si="42"/>
        <v>MeOH-SOEC-flexibility-meoh-50</v>
      </c>
      <c r="C179" s="121" t="str">
        <f t="shared" si="43"/>
        <v>flexibility-meoh-50</v>
      </c>
      <c r="D179" t="s">
        <v>185</v>
      </c>
      <c r="E179" s="120" t="s">
        <v>91</v>
      </c>
      <c r="F179" t="s">
        <v>112</v>
      </c>
      <c r="G179" s="14" t="str">
        <f t="shared" si="18"/>
        <v>2030</v>
      </c>
      <c r="H179" s="14" t="s">
        <v>185</v>
      </c>
      <c r="I179" s="14" t="str">
        <f t="shared" si="19"/>
        <v>2018</v>
      </c>
      <c r="J179" s="14" t="s">
        <v>92</v>
      </c>
      <c r="K179" s="14">
        <v>0</v>
      </c>
      <c r="L179" s="14">
        <v>0</v>
      </c>
      <c r="M179" s="14">
        <v>-1</v>
      </c>
      <c r="N179" s="14">
        <v>1</v>
      </c>
      <c r="O179" s="14">
        <v>0</v>
      </c>
      <c r="P179" t="s">
        <v>177</v>
      </c>
      <c r="Q179" t="s">
        <v>178</v>
      </c>
      <c r="R179" s="104" t="s">
        <v>307</v>
      </c>
      <c r="S179" s="18" t="b">
        <v>0</v>
      </c>
      <c r="T179" t="b">
        <v>1</v>
      </c>
      <c r="U179" s="18" t="b">
        <v>0</v>
      </c>
      <c r="V179" t="b">
        <v>0</v>
      </c>
      <c r="W179" t="b">
        <v>1</v>
      </c>
      <c r="X179" t="b">
        <v>0</v>
      </c>
      <c r="Y179" t="b">
        <v>0</v>
      </c>
      <c r="Z179" t="b">
        <v>1</v>
      </c>
      <c r="AA179" t="b">
        <v>1</v>
      </c>
      <c r="AB179" s="19" t="b">
        <v>0</v>
      </c>
      <c r="AC179" t="b">
        <v>1</v>
      </c>
      <c r="AD179" t="b">
        <v>1</v>
      </c>
      <c r="AE179" t="b">
        <v>1</v>
      </c>
    </row>
    <row r="180" spans="1:31" x14ac:dyDescent="0.35">
      <c r="A180" s="2">
        <f t="shared" si="40"/>
        <v>173</v>
      </c>
      <c r="B180" s="11" t="str">
        <f t="shared" si="42"/>
        <v>MeOH-SOEC-flexibility-meoh-60</v>
      </c>
      <c r="C180" s="121" t="str">
        <f t="shared" si="43"/>
        <v>flexibility-meoh-60</v>
      </c>
      <c r="D180" t="s">
        <v>185</v>
      </c>
      <c r="E180" s="120" t="s">
        <v>91</v>
      </c>
      <c r="F180" t="s">
        <v>112</v>
      </c>
      <c r="G180" s="14" t="str">
        <f t="shared" si="18"/>
        <v>2030</v>
      </c>
      <c r="H180" s="14" t="s">
        <v>185</v>
      </c>
      <c r="I180" s="14" t="str">
        <f t="shared" si="19"/>
        <v>2018</v>
      </c>
      <c r="J180" s="14" t="s">
        <v>92</v>
      </c>
      <c r="K180" s="14">
        <v>0</v>
      </c>
      <c r="L180" s="14">
        <v>0</v>
      </c>
      <c r="M180" s="14">
        <v>-1</v>
      </c>
      <c r="N180" s="14">
        <v>1</v>
      </c>
      <c r="O180" s="14">
        <v>0</v>
      </c>
      <c r="P180" t="s">
        <v>177</v>
      </c>
      <c r="Q180" t="s">
        <v>178</v>
      </c>
      <c r="R180" s="104" t="s">
        <v>307</v>
      </c>
      <c r="S180" s="18" t="b">
        <v>0</v>
      </c>
      <c r="T180" t="b">
        <v>1</v>
      </c>
      <c r="U180" s="18" t="b">
        <v>0</v>
      </c>
      <c r="V180" t="b">
        <v>0</v>
      </c>
      <c r="W180" t="b">
        <v>1</v>
      </c>
      <c r="X180" t="b">
        <v>0</v>
      </c>
      <c r="Y180" t="b">
        <v>0</v>
      </c>
      <c r="Z180" t="b">
        <v>1</v>
      </c>
      <c r="AA180" t="b">
        <v>1</v>
      </c>
      <c r="AB180" s="19" t="b">
        <v>0</v>
      </c>
      <c r="AC180" t="b">
        <v>1</v>
      </c>
      <c r="AD180" t="b">
        <v>1</v>
      </c>
      <c r="AE180" t="b">
        <v>1</v>
      </c>
    </row>
    <row r="181" spans="1:31" x14ac:dyDescent="0.35">
      <c r="A181" s="2">
        <f t="shared" si="40"/>
        <v>174</v>
      </c>
      <c r="B181" s="11" t="str">
        <f t="shared" si="42"/>
        <v>MeOH-SOEC-flexibility-meoh-70</v>
      </c>
      <c r="C181" s="121" t="str">
        <f t="shared" si="43"/>
        <v>flexibility-meoh-70</v>
      </c>
      <c r="D181" t="s">
        <v>185</v>
      </c>
      <c r="E181" s="120" t="s">
        <v>91</v>
      </c>
      <c r="F181" t="s">
        <v>112</v>
      </c>
      <c r="G181" s="14" t="str">
        <f t="shared" si="18"/>
        <v>2030</v>
      </c>
      <c r="H181" s="14" t="s">
        <v>185</v>
      </c>
      <c r="I181" s="14" t="str">
        <f t="shared" si="19"/>
        <v>2018</v>
      </c>
      <c r="J181" s="14" t="s">
        <v>92</v>
      </c>
      <c r="K181" s="14">
        <v>0</v>
      </c>
      <c r="L181" s="14">
        <v>0</v>
      </c>
      <c r="M181" s="14">
        <v>-1</v>
      </c>
      <c r="N181" s="14">
        <v>1</v>
      </c>
      <c r="O181" s="14">
        <v>0</v>
      </c>
      <c r="P181" t="s">
        <v>177</v>
      </c>
      <c r="Q181" t="s">
        <v>178</v>
      </c>
      <c r="R181" s="104" t="s">
        <v>307</v>
      </c>
      <c r="S181" s="18" t="b">
        <v>0</v>
      </c>
      <c r="T181" t="b">
        <v>1</v>
      </c>
      <c r="U181" s="18" t="b">
        <v>0</v>
      </c>
      <c r="V181" t="b">
        <v>0</v>
      </c>
      <c r="W181" t="b">
        <v>1</v>
      </c>
      <c r="X181" t="b">
        <v>0</v>
      </c>
      <c r="Y181" t="b">
        <v>0</v>
      </c>
      <c r="Z181" t="b">
        <v>1</v>
      </c>
      <c r="AA181" t="b">
        <v>1</v>
      </c>
      <c r="AB181" s="19" t="b">
        <v>0</v>
      </c>
      <c r="AC181" t="b">
        <v>1</v>
      </c>
      <c r="AD181" t="b">
        <v>1</v>
      </c>
      <c r="AE181" t="b">
        <v>1</v>
      </c>
    </row>
    <row r="182" spans="1:31" x14ac:dyDescent="0.35">
      <c r="A182" s="2">
        <f t="shared" si="40"/>
        <v>175</v>
      </c>
      <c r="B182" s="11" t="str">
        <f t="shared" si="42"/>
        <v>MeOH-SOEC-flexibility-meoh-80</v>
      </c>
      <c r="C182" s="121" t="str">
        <f t="shared" si="43"/>
        <v>flexibility-meoh-80</v>
      </c>
      <c r="D182" t="s">
        <v>185</v>
      </c>
      <c r="E182" s="120" t="s">
        <v>91</v>
      </c>
      <c r="F182" t="s">
        <v>112</v>
      </c>
      <c r="G182" s="14" t="str">
        <f t="shared" si="18"/>
        <v>2030</v>
      </c>
      <c r="H182" s="14" t="s">
        <v>185</v>
      </c>
      <c r="I182" s="14" t="str">
        <f t="shared" si="19"/>
        <v>2018</v>
      </c>
      <c r="J182" s="14" t="s">
        <v>92</v>
      </c>
      <c r="K182" s="14">
        <v>0</v>
      </c>
      <c r="L182" s="14">
        <v>0</v>
      </c>
      <c r="M182" s="14">
        <v>-1</v>
      </c>
      <c r="N182" s="14">
        <v>1</v>
      </c>
      <c r="O182" s="14">
        <v>0</v>
      </c>
      <c r="P182" t="s">
        <v>177</v>
      </c>
      <c r="Q182" t="s">
        <v>178</v>
      </c>
      <c r="R182" s="104" t="s">
        <v>307</v>
      </c>
      <c r="S182" s="18" t="b">
        <v>0</v>
      </c>
      <c r="T182" t="b">
        <v>1</v>
      </c>
      <c r="U182" s="18" t="b">
        <v>0</v>
      </c>
      <c r="V182" t="b">
        <v>0</v>
      </c>
      <c r="W182" t="b">
        <v>1</v>
      </c>
      <c r="X182" t="b">
        <v>0</v>
      </c>
      <c r="Y182" t="b">
        <v>0</v>
      </c>
      <c r="Z182" t="b">
        <v>1</v>
      </c>
      <c r="AA182" t="b">
        <v>1</v>
      </c>
      <c r="AB182" s="19" t="b">
        <v>0</v>
      </c>
      <c r="AC182" t="b">
        <v>1</v>
      </c>
      <c r="AD182" t="b">
        <v>1</v>
      </c>
      <c r="AE182" t="b">
        <v>1</v>
      </c>
    </row>
    <row r="183" spans="1:31" x14ac:dyDescent="0.35">
      <c r="A183" s="2">
        <f t="shared" si="40"/>
        <v>176</v>
      </c>
      <c r="B183" s="11" t="str">
        <f t="shared" si="42"/>
        <v>MeOH-SOEC-flexibility-meoh-90</v>
      </c>
      <c r="C183" s="121" t="str">
        <f t="shared" si="43"/>
        <v>flexibility-meoh-90</v>
      </c>
      <c r="D183" t="s">
        <v>185</v>
      </c>
      <c r="E183" s="120" t="s">
        <v>91</v>
      </c>
      <c r="F183" t="s">
        <v>112</v>
      </c>
      <c r="G183" s="14" t="str">
        <f t="shared" si="18"/>
        <v>2030</v>
      </c>
      <c r="H183" s="14" t="s">
        <v>185</v>
      </c>
      <c r="I183" s="14" t="str">
        <f t="shared" si="19"/>
        <v>2018</v>
      </c>
      <c r="J183" s="14" t="s">
        <v>92</v>
      </c>
      <c r="K183" s="14">
        <v>0</v>
      </c>
      <c r="L183" s="14">
        <v>0</v>
      </c>
      <c r="M183" s="14">
        <v>-1</v>
      </c>
      <c r="N183" s="14">
        <v>1</v>
      </c>
      <c r="O183" s="14">
        <v>0</v>
      </c>
      <c r="P183" t="s">
        <v>177</v>
      </c>
      <c r="Q183" t="s">
        <v>178</v>
      </c>
      <c r="R183" s="104" t="s">
        <v>307</v>
      </c>
      <c r="S183" s="18" t="b">
        <v>0</v>
      </c>
      <c r="T183" t="b">
        <v>1</v>
      </c>
      <c r="U183" s="18" t="b">
        <v>0</v>
      </c>
      <c r="V183" t="b">
        <v>0</v>
      </c>
      <c r="W183" t="b">
        <v>1</v>
      </c>
      <c r="X183" t="b">
        <v>0</v>
      </c>
      <c r="Y183" t="b">
        <v>0</v>
      </c>
      <c r="Z183" t="b">
        <v>1</v>
      </c>
      <c r="AA183" t="b">
        <v>1</v>
      </c>
      <c r="AB183" s="19" t="b">
        <v>0</v>
      </c>
      <c r="AC183" t="b">
        <v>1</v>
      </c>
      <c r="AD183" t="b">
        <v>1</v>
      </c>
      <c r="AE183" t="b">
        <v>1</v>
      </c>
    </row>
    <row r="184" spans="1:31" x14ac:dyDescent="0.35">
      <c r="A184" s="2">
        <f t="shared" si="40"/>
        <v>177</v>
      </c>
      <c r="B184" s="11" t="str">
        <f t="shared" si="42"/>
        <v>MeOH-SOEC-flexibility-meoh-100</v>
      </c>
      <c r="C184" s="121" t="str">
        <f t="shared" si="43"/>
        <v>flexibility-meoh-100</v>
      </c>
      <c r="D184" t="s">
        <v>185</v>
      </c>
      <c r="E184" s="120" t="s">
        <v>91</v>
      </c>
      <c r="F184" t="s">
        <v>112</v>
      </c>
      <c r="G184" s="14" t="str">
        <f t="shared" si="18"/>
        <v>2030</v>
      </c>
      <c r="H184" s="14" t="s">
        <v>185</v>
      </c>
      <c r="I184" s="14" t="str">
        <f t="shared" si="19"/>
        <v>2018</v>
      </c>
      <c r="J184" s="14" t="s">
        <v>92</v>
      </c>
      <c r="K184" s="14">
        <v>0</v>
      </c>
      <c r="L184" s="14">
        <v>0</v>
      </c>
      <c r="M184" s="14">
        <v>-1</v>
      </c>
      <c r="N184" s="14">
        <v>1</v>
      </c>
      <c r="O184" s="14">
        <v>0</v>
      </c>
      <c r="P184" t="s">
        <v>177</v>
      </c>
      <c r="Q184" t="s">
        <v>178</v>
      </c>
      <c r="R184" s="104" t="s">
        <v>307</v>
      </c>
      <c r="S184" s="18" t="b">
        <v>0</v>
      </c>
      <c r="T184" t="b">
        <v>1</v>
      </c>
      <c r="U184" s="18" t="b">
        <v>0</v>
      </c>
      <c r="V184" t="b">
        <v>0</v>
      </c>
      <c r="W184" t="b">
        <v>1</v>
      </c>
      <c r="X184" t="b">
        <v>0</v>
      </c>
      <c r="Y184" t="b">
        <v>0</v>
      </c>
      <c r="Z184" t="b">
        <v>1</v>
      </c>
      <c r="AA184" t="b">
        <v>1</v>
      </c>
      <c r="AB184" s="19" t="b">
        <v>0</v>
      </c>
      <c r="AC184" t="b">
        <v>1</v>
      </c>
      <c r="AD184" t="b">
        <v>1</v>
      </c>
      <c r="AE184" t="b">
        <v>1</v>
      </c>
    </row>
    <row r="185" spans="1:31" x14ac:dyDescent="0.35">
      <c r="A185" s="2">
        <f t="shared" si="40"/>
        <v>178</v>
      </c>
      <c r="B185" s="11" t="str">
        <f t="shared" ref="B185:B190" si="44">CONCATENATE($B$9,"-",C185)</f>
        <v>Biofuel-AEC-flexibility-pyro-30</v>
      </c>
      <c r="C185" s="122" t="str">
        <f>Scenarios_definition!B94</f>
        <v>flexibility-pyro-30</v>
      </c>
      <c r="D185" t="s">
        <v>185</v>
      </c>
      <c r="E185" s="119" t="s">
        <v>193</v>
      </c>
      <c r="F185" t="s">
        <v>112</v>
      </c>
      <c r="G185" s="14" t="str">
        <f t="shared" si="18"/>
        <v>2030</v>
      </c>
      <c r="H185" s="14" t="s">
        <v>185</v>
      </c>
      <c r="I185" s="14" t="str">
        <f t="shared" si="19"/>
        <v>2018</v>
      </c>
      <c r="J185" s="14" t="s">
        <v>80</v>
      </c>
      <c r="K185" s="14">
        <v>0</v>
      </c>
      <c r="L185" s="14">
        <v>0</v>
      </c>
      <c r="M185" s="14">
        <v>-1</v>
      </c>
      <c r="N185" s="14">
        <v>1</v>
      </c>
      <c r="O185" s="14">
        <v>0</v>
      </c>
      <c r="P185" t="s">
        <v>177</v>
      </c>
      <c r="Q185" t="s">
        <v>178</v>
      </c>
      <c r="R185" s="104" t="s">
        <v>307</v>
      </c>
      <c r="S185" s="18" t="b">
        <v>0</v>
      </c>
      <c r="T185" t="b">
        <v>1</v>
      </c>
      <c r="U185" s="18" t="b">
        <v>0</v>
      </c>
      <c r="V185" t="b">
        <v>0</v>
      </c>
      <c r="W185" t="b">
        <v>1</v>
      </c>
      <c r="X185" t="b">
        <v>0</v>
      </c>
      <c r="Y185" t="b">
        <v>0</v>
      </c>
      <c r="Z185" t="b">
        <v>1</v>
      </c>
      <c r="AA185" t="b">
        <v>1</v>
      </c>
      <c r="AB185" s="19" t="b">
        <v>0</v>
      </c>
      <c r="AC185" t="b">
        <v>1</v>
      </c>
      <c r="AD185" t="b">
        <v>1</v>
      </c>
      <c r="AE185" t="b">
        <v>1</v>
      </c>
    </row>
    <row r="186" spans="1:31" x14ac:dyDescent="0.35">
      <c r="A186" s="2">
        <f t="shared" si="40"/>
        <v>179</v>
      </c>
      <c r="B186" s="11" t="str">
        <f t="shared" si="44"/>
        <v>Biofuel-AEC-flexibility-pyro-40</v>
      </c>
      <c r="C186" s="122" t="str">
        <f>Scenarios_definition!B95</f>
        <v>flexibility-pyro-40</v>
      </c>
      <c r="D186" t="s">
        <v>185</v>
      </c>
      <c r="E186" s="119" t="s">
        <v>193</v>
      </c>
      <c r="F186" t="s">
        <v>112</v>
      </c>
      <c r="G186" s="14" t="str">
        <f t="shared" si="18"/>
        <v>2030</v>
      </c>
      <c r="H186" s="14" t="s">
        <v>185</v>
      </c>
      <c r="I186" s="14" t="str">
        <f t="shared" si="19"/>
        <v>2018</v>
      </c>
      <c r="J186" s="14" t="s">
        <v>80</v>
      </c>
      <c r="K186" s="14">
        <v>0</v>
      </c>
      <c r="L186" s="14">
        <v>0</v>
      </c>
      <c r="M186" s="14">
        <v>-1</v>
      </c>
      <c r="N186" s="14">
        <v>1</v>
      </c>
      <c r="O186" s="14">
        <v>0</v>
      </c>
      <c r="P186" t="s">
        <v>177</v>
      </c>
      <c r="Q186" t="s">
        <v>178</v>
      </c>
      <c r="R186" s="104" t="s">
        <v>307</v>
      </c>
      <c r="S186" s="18" t="b">
        <v>0</v>
      </c>
      <c r="T186" t="b">
        <v>1</v>
      </c>
      <c r="U186" s="18" t="b">
        <v>0</v>
      </c>
      <c r="V186" t="b">
        <v>0</v>
      </c>
      <c r="W186" t="b">
        <v>1</v>
      </c>
      <c r="X186" t="b">
        <v>0</v>
      </c>
      <c r="Y186" t="b">
        <v>0</v>
      </c>
      <c r="Z186" t="b">
        <v>1</v>
      </c>
      <c r="AA186" t="b">
        <v>1</v>
      </c>
      <c r="AB186" s="19" t="b">
        <v>0</v>
      </c>
      <c r="AC186" t="b">
        <v>1</v>
      </c>
      <c r="AD186" t="b">
        <v>1</v>
      </c>
      <c r="AE186" t="b">
        <v>1</v>
      </c>
    </row>
    <row r="187" spans="1:31" x14ac:dyDescent="0.35">
      <c r="A187" s="2">
        <f t="shared" si="40"/>
        <v>180</v>
      </c>
      <c r="B187" s="11" t="str">
        <f t="shared" si="44"/>
        <v>Biofuel-AEC-flexibility-pyro-50</v>
      </c>
      <c r="C187" s="122" t="str">
        <f>Scenarios_definition!B96</f>
        <v>flexibility-pyro-50</v>
      </c>
      <c r="D187" t="s">
        <v>185</v>
      </c>
      <c r="E187" s="119" t="s">
        <v>193</v>
      </c>
      <c r="F187" t="s">
        <v>112</v>
      </c>
      <c r="G187" s="14" t="str">
        <f t="shared" si="18"/>
        <v>2030</v>
      </c>
      <c r="H187" s="14" t="s">
        <v>185</v>
      </c>
      <c r="I187" s="14" t="str">
        <f t="shared" si="19"/>
        <v>2018</v>
      </c>
      <c r="J187" s="14" t="s">
        <v>80</v>
      </c>
      <c r="K187" s="14">
        <v>0</v>
      </c>
      <c r="L187" s="14">
        <v>0</v>
      </c>
      <c r="M187" s="14">
        <v>-1</v>
      </c>
      <c r="N187" s="14">
        <v>1</v>
      </c>
      <c r="O187" s="14">
        <v>0</v>
      </c>
      <c r="P187" t="s">
        <v>177</v>
      </c>
      <c r="Q187" t="s">
        <v>178</v>
      </c>
      <c r="R187" s="104" t="s">
        <v>307</v>
      </c>
      <c r="S187" s="18" t="b">
        <v>0</v>
      </c>
      <c r="T187" t="b">
        <v>1</v>
      </c>
      <c r="U187" s="18" t="b">
        <v>0</v>
      </c>
      <c r="V187" t="b">
        <v>0</v>
      </c>
      <c r="W187" t="b">
        <v>1</v>
      </c>
      <c r="X187" t="b">
        <v>0</v>
      </c>
      <c r="Y187" t="b">
        <v>0</v>
      </c>
      <c r="Z187" t="b">
        <v>1</v>
      </c>
      <c r="AA187" t="b">
        <v>1</v>
      </c>
      <c r="AB187" s="19" t="b">
        <v>0</v>
      </c>
      <c r="AC187" t="b">
        <v>1</v>
      </c>
      <c r="AD187" t="b">
        <v>1</v>
      </c>
      <c r="AE187" t="b">
        <v>1</v>
      </c>
    </row>
    <row r="188" spans="1:31" x14ac:dyDescent="0.35">
      <c r="A188" s="2">
        <f t="shared" si="40"/>
        <v>181</v>
      </c>
      <c r="B188" s="11" t="str">
        <f t="shared" si="44"/>
        <v>Biofuel-AEC-flexibility-pyro-60</v>
      </c>
      <c r="C188" s="122" t="str">
        <f>Scenarios_definition!B97</f>
        <v>flexibility-pyro-60</v>
      </c>
      <c r="D188" t="s">
        <v>185</v>
      </c>
      <c r="E188" s="119" t="s">
        <v>193</v>
      </c>
      <c r="F188" t="s">
        <v>112</v>
      </c>
      <c r="G188" s="14" t="str">
        <f t="shared" si="18"/>
        <v>2030</v>
      </c>
      <c r="H188" s="14" t="s">
        <v>185</v>
      </c>
      <c r="I188" s="14" t="str">
        <f t="shared" si="19"/>
        <v>2018</v>
      </c>
      <c r="J188" s="14" t="s">
        <v>80</v>
      </c>
      <c r="K188" s="14">
        <v>0</v>
      </c>
      <c r="L188" s="14">
        <v>0</v>
      </c>
      <c r="M188" s="14">
        <v>-1</v>
      </c>
      <c r="N188" s="14">
        <v>1</v>
      </c>
      <c r="O188" s="14">
        <v>0</v>
      </c>
      <c r="P188" t="s">
        <v>177</v>
      </c>
      <c r="Q188" t="s">
        <v>178</v>
      </c>
      <c r="R188" s="104" t="s">
        <v>307</v>
      </c>
      <c r="S188" s="18" t="b">
        <v>0</v>
      </c>
      <c r="T188" t="b">
        <v>1</v>
      </c>
      <c r="U188" s="18" t="b">
        <v>0</v>
      </c>
      <c r="V188" t="b">
        <v>0</v>
      </c>
      <c r="W188" t="b">
        <v>1</v>
      </c>
      <c r="X188" t="b">
        <v>0</v>
      </c>
      <c r="Y188" t="b">
        <v>0</v>
      </c>
      <c r="Z188" t="b">
        <v>1</v>
      </c>
      <c r="AA188" t="b">
        <v>1</v>
      </c>
      <c r="AB188" s="19" t="b">
        <v>0</v>
      </c>
      <c r="AC188" t="b">
        <v>1</v>
      </c>
      <c r="AD188" t="b">
        <v>1</v>
      </c>
      <c r="AE188" t="b">
        <v>1</v>
      </c>
    </row>
    <row r="189" spans="1:31" x14ac:dyDescent="0.35">
      <c r="A189" s="2">
        <f t="shared" si="40"/>
        <v>182</v>
      </c>
      <c r="B189" s="11" t="str">
        <f t="shared" si="44"/>
        <v>Biofuel-AEC-flexibility-pyro-70</v>
      </c>
      <c r="C189" s="122" t="str">
        <f>Scenarios_definition!B98</f>
        <v>flexibility-pyro-70</v>
      </c>
      <c r="D189" t="s">
        <v>185</v>
      </c>
      <c r="E189" s="119" t="s">
        <v>193</v>
      </c>
      <c r="F189" t="s">
        <v>112</v>
      </c>
      <c r="G189" s="14" t="str">
        <f t="shared" si="18"/>
        <v>2030</v>
      </c>
      <c r="H189" s="14" t="s">
        <v>185</v>
      </c>
      <c r="I189" s="14" t="str">
        <f t="shared" si="19"/>
        <v>2018</v>
      </c>
      <c r="J189" s="14" t="s">
        <v>80</v>
      </c>
      <c r="K189" s="14">
        <v>0</v>
      </c>
      <c r="L189" s="14">
        <v>0</v>
      </c>
      <c r="M189" s="14">
        <v>-1</v>
      </c>
      <c r="N189" s="14">
        <v>1</v>
      </c>
      <c r="O189" s="14">
        <v>0</v>
      </c>
      <c r="P189" t="s">
        <v>177</v>
      </c>
      <c r="Q189" t="s">
        <v>178</v>
      </c>
      <c r="R189" s="104" t="s">
        <v>307</v>
      </c>
      <c r="S189" s="18" t="b">
        <v>0</v>
      </c>
      <c r="T189" t="b">
        <v>1</v>
      </c>
      <c r="U189" s="18" t="b">
        <v>0</v>
      </c>
      <c r="V189" t="b">
        <v>0</v>
      </c>
      <c r="W189" t="b">
        <v>1</v>
      </c>
      <c r="X189" t="b">
        <v>0</v>
      </c>
      <c r="Y189" t="b">
        <v>0</v>
      </c>
      <c r="Z189" t="b">
        <v>1</v>
      </c>
      <c r="AA189" t="b">
        <v>1</v>
      </c>
      <c r="AB189" s="19" t="b">
        <v>0</v>
      </c>
      <c r="AC189" t="b">
        <v>1</v>
      </c>
      <c r="AD189" t="b">
        <v>1</v>
      </c>
      <c r="AE189" t="b">
        <v>1</v>
      </c>
    </row>
    <row r="190" spans="1:31" x14ac:dyDescent="0.35">
      <c r="A190" s="2">
        <f t="shared" si="40"/>
        <v>183</v>
      </c>
      <c r="B190" s="11" t="str">
        <f t="shared" si="44"/>
        <v>Biofuel-AEC-flexibility-pyro-80</v>
      </c>
      <c r="C190" s="122" t="str">
        <f>Scenarios_definition!B99</f>
        <v>flexibility-pyro-80</v>
      </c>
      <c r="D190" t="s">
        <v>185</v>
      </c>
      <c r="E190" s="119" t="s">
        <v>193</v>
      </c>
      <c r="F190" t="s">
        <v>112</v>
      </c>
      <c r="G190" s="14" t="str">
        <f t="shared" si="18"/>
        <v>2030</v>
      </c>
      <c r="H190" s="14" t="s">
        <v>185</v>
      </c>
      <c r="I190" s="14" t="str">
        <f t="shared" si="19"/>
        <v>2018</v>
      </c>
      <c r="J190" s="14" t="s">
        <v>80</v>
      </c>
      <c r="K190" s="14">
        <v>0</v>
      </c>
      <c r="L190" s="14">
        <v>0</v>
      </c>
      <c r="M190" s="14">
        <v>-1</v>
      </c>
      <c r="N190" s="14">
        <v>1</v>
      </c>
      <c r="O190" s="14">
        <v>0</v>
      </c>
      <c r="P190" t="s">
        <v>177</v>
      </c>
      <c r="Q190" t="s">
        <v>178</v>
      </c>
      <c r="R190" s="104" t="s">
        <v>307</v>
      </c>
      <c r="S190" s="18" t="b">
        <v>0</v>
      </c>
      <c r="T190" t="b">
        <v>1</v>
      </c>
      <c r="U190" s="18" t="b">
        <v>0</v>
      </c>
      <c r="V190" t="b">
        <v>0</v>
      </c>
      <c r="W190" t="b">
        <v>1</v>
      </c>
      <c r="X190" t="b">
        <v>0</v>
      </c>
      <c r="Y190" t="b">
        <v>0</v>
      </c>
      <c r="Z190" t="b">
        <v>1</v>
      </c>
      <c r="AA190" t="b">
        <v>1</v>
      </c>
      <c r="AB190" s="19" t="b">
        <v>0</v>
      </c>
      <c r="AC190" t="b">
        <v>1</v>
      </c>
      <c r="AD190" t="b">
        <v>1</v>
      </c>
      <c r="AE190" t="b">
        <v>1</v>
      </c>
    </row>
    <row r="191" spans="1:31" x14ac:dyDescent="0.35">
      <c r="A191" s="2">
        <f t="shared" si="40"/>
        <v>184</v>
      </c>
      <c r="B191" s="11" t="str">
        <f>CONCATENATE($B$9,"-",C191)</f>
        <v>Biofuel-AEC-flexibility-pyro-90</v>
      </c>
      <c r="C191" s="122" t="str">
        <f>Scenarios_definition!B100</f>
        <v>flexibility-pyro-90</v>
      </c>
      <c r="D191" t="s">
        <v>185</v>
      </c>
      <c r="E191" s="119" t="s">
        <v>193</v>
      </c>
      <c r="F191" t="s">
        <v>112</v>
      </c>
      <c r="G191" s="14" t="str">
        <f t="shared" si="18"/>
        <v>2030</v>
      </c>
      <c r="H191" s="14" t="s">
        <v>185</v>
      </c>
      <c r="I191" s="14" t="str">
        <f t="shared" si="19"/>
        <v>2018</v>
      </c>
      <c r="J191" s="14" t="s">
        <v>80</v>
      </c>
      <c r="K191" s="14">
        <v>0</v>
      </c>
      <c r="L191" s="14">
        <v>0</v>
      </c>
      <c r="M191" s="14">
        <v>-1</v>
      </c>
      <c r="N191" s="14">
        <v>1</v>
      </c>
      <c r="O191" s="14">
        <v>0</v>
      </c>
      <c r="P191" t="s">
        <v>177</v>
      </c>
      <c r="Q191" t="s">
        <v>178</v>
      </c>
      <c r="R191" s="104" t="s">
        <v>307</v>
      </c>
      <c r="S191" s="18" t="b">
        <v>0</v>
      </c>
      <c r="T191" t="b">
        <v>1</v>
      </c>
      <c r="U191" s="18" t="b">
        <v>0</v>
      </c>
      <c r="V191" t="b">
        <v>0</v>
      </c>
      <c r="W191" t="b">
        <v>1</v>
      </c>
      <c r="X191" t="b">
        <v>0</v>
      </c>
      <c r="Y191" t="b">
        <v>0</v>
      </c>
      <c r="Z191" t="b">
        <v>1</v>
      </c>
      <c r="AA191" t="b">
        <v>1</v>
      </c>
      <c r="AB191" s="19" t="b">
        <v>0</v>
      </c>
      <c r="AC191" t="b">
        <v>1</v>
      </c>
      <c r="AD191" t="b">
        <v>1</v>
      </c>
      <c r="AE191" t="b">
        <v>1</v>
      </c>
    </row>
    <row r="192" spans="1:31" x14ac:dyDescent="0.35">
      <c r="A192" s="2">
        <f t="shared" si="40"/>
        <v>185</v>
      </c>
      <c r="B192" s="11" t="str">
        <f>CONCATENATE($B$9,"-",C192)</f>
        <v>Biofuel-AEC-flexibility-pyro-100</v>
      </c>
      <c r="C192" s="122" t="str">
        <f>Scenarios_definition!B101</f>
        <v>flexibility-pyro-100</v>
      </c>
      <c r="D192" t="s">
        <v>185</v>
      </c>
      <c r="E192" s="119" t="s">
        <v>193</v>
      </c>
      <c r="F192" t="s">
        <v>112</v>
      </c>
      <c r="G192" s="14" t="str">
        <f t="shared" si="18"/>
        <v>2030</v>
      </c>
      <c r="H192" s="14" t="s">
        <v>185</v>
      </c>
      <c r="I192" s="14" t="str">
        <f t="shared" si="19"/>
        <v>2018</v>
      </c>
      <c r="J192" s="14" t="s">
        <v>80</v>
      </c>
      <c r="K192" s="14">
        <v>0</v>
      </c>
      <c r="L192" s="14">
        <v>0</v>
      </c>
      <c r="M192" s="14">
        <v>-1</v>
      </c>
      <c r="N192" s="14">
        <v>1</v>
      </c>
      <c r="O192" s="14">
        <v>0</v>
      </c>
      <c r="P192" t="s">
        <v>177</v>
      </c>
      <c r="Q192" t="s">
        <v>178</v>
      </c>
      <c r="R192" s="104" t="s">
        <v>307</v>
      </c>
      <c r="S192" s="18" t="b">
        <v>0</v>
      </c>
      <c r="T192" t="b">
        <v>1</v>
      </c>
      <c r="U192" s="18" t="b">
        <v>0</v>
      </c>
      <c r="V192" t="b">
        <v>0</v>
      </c>
      <c r="W192" t="b">
        <v>1</v>
      </c>
      <c r="X192" t="b">
        <v>0</v>
      </c>
      <c r="Y192" t="b">
        <v>0</v>
      </c>
      <c r="Z192" t="b">
        <v>1</v>
      </c>
      <c r="AA192" t="b">
        <v>1</v>
      </c>
      <c r="AB192" s="19" t="b">
        <v>0</v>
      </c>
      <c r="AC192" t="b">
        <v>1</v>
      </c>
      <c r="AD192" t="b">
        <v>1</v>
      </c>
      <c r="AE192" t="b">
        <v>1</v>
      </c>
    </row>
    <row r="193" spans="1:31" x14ac:dyDescent="0.35">
      <c r="A193" s="2">
        <f t="shared" si="40"/>
        <v>186</v>
      </c>
      <c r="B193" s="11" t="str">
        <f t="shared" ref="B193:B200" si="45">CONCATENATE($B$11,"-",C193)</f>
        <v>Biofuel-SOEC-flexibility-pyro-30</v>
      </c>
      <c r="C193" s="122" t="str">
        <f>C185</f>
        <v>flexibility-pyro-30</v>
      </c>
      <c r="D193" t="s">
        <v>185</v>
      </c>
      <c r="E193" s="119" t="s">
        <v>193</v>
      </c>
      <c r="F193" t="s">
        <v>112</v>
      </c>
      <c r="G193" s="14" t="str">
        <f t="shared" si="18"/>
        <v>2030</v>
      </c>
      <c r="H193" s="14" t="s">
        <v>185</v>
      </c>
      <c r="I193" s="14" t="str">
        <f t="shared" si="19"/>
        <v>2018</v>
      </c>
      <c r="J193" s="14" t="s">
        <v>92</v>
      </c>
      <c r="K193" s="14">
        <v>0</v>
      </c>
      <c r="L193" s="14">
        <v>0</v>
      </c>
      <c r="M193" s="14">
        <v>-1</v>
      </c>
      <c r="N193" s="14">
        <v>1</v>
      </c>
      <c r="O193" s="14">
        <v>0</v>
      </c>
      <c r="P193" t="s">
        <v>177</v>
      </c>
      <c r="Q193" t="s">
        <v>178</v>
      </c>
      <c r="R193" s="104" t="s">
        <v>307</v>
      </c>
      <c r="S193" s="18" t="b">
        <v>0</v>
      </c>
      <c r="T193" t="b">
        <v>1</v>
      </c>
      <c r="U193" s="18" t="b">
        <v>0</v>
      </c>
      <c r="V193" t="b">
        <v>0</v>
      </c>
      <c r="W193" t="b">
        <v>1</v>
      </c>
      <c r="X193" t="b">
        <v>0</v>
      </c>
      <c r="Y193" t="b">
        <v>0</v>
      </c>
      <c r="Z193" t="b">
        <v>1</v>
      </c>
      <c r="AA193" t="b">
        <v>1</v>
      </c>
      <c r="AB193" s="19" t="b">
        <v>0</v>
      </c>
      <c r="AC193" t="b">
        <v>1</v>
      </c>
      <c r="AD193" t="b">
        <v>1</v>
      </c>
      <c r="AE193" t="b">
        <v>1</v>
      </c>
    </row>
    <row r="194" spans="1:31" x14ac:dyDescent="0.35">
      <c r="A194" s="2">
        <f t="shared" si="40"/>
        <v>187</v>
      </c>
      <c r="B194" s="11" t="str">
        <f t="shared" si="45"/>
        <v>Biofuel-SOEC-flexibility-pyro-40</v>
      </c>
      <c r="C194" s="122" t="str">
        <f t="shared" ref="C194:C199" si="46">C186</f>
        <v>flexibility-pyro-40</v>
      </c>
      <c r="D194" t="s">
        <v>185</v>
      </c>
      <c r="E194" s="119" t="s">
        <v>193</v>
      </c>
      <c r="F194" t="s">
        <v>112</v>
      </c>
      <c r="G194" s="14" t="str">
        <f t="shared" si="18"/>
        <v>2030</v>
      </c>
      <c r="H194" s="14" t="s">
        <v>185</v>
      </c>
      <c r="I194" s="14" t="str">
        <f t="shared" si="19"/>
        <v>2018</v>
      </c>
      <c r="J194" s="14" t="s">
        <v>92</v>
      </c>
      <c r="K194" s="14">
        <v>0</v>
      </c>
      <c r="L194" s="14">
        <v>0</v>
      </c>
      <c r="M194" s="14">
        <v>-1</v>
      </c>
      <c r="N194" s="14">
        <v>1</v>
      </c>
      <c r="O194" s="14">
        <v>0</v>
      </c>
      <c r="P194" t="s">
        <v>177</v>
      </c>
      <c r="Q194" t="s">
        <v>178</v>
      </c>
      <c r="R194" s="104" t="s">
        <v>307</v>
      </c>
      <c r="S194" s="18" t="b">
        <v>0</v>
      </c>
      <c r="T194" t="b">
        <v>1</v>
      </c>
      <c r="U194" s="18" t="b">
        <v>0</v>
      </c>
      <c r="V194" t="b">
        <v>0</v>
      </c>
      <c r="W194" t="b">
        <v>1</v>
      </c>
      <c r="X194" t="b">
        <v>0</v>
      </c>
      <c r="Y194" t="b">
        <v>0</v>
      </c>
      <c r="Z194" t="b">
        <v>1</v>
      </c>
      <c r="AA194" t="b">
        <v>1</v>
      </c>
      <c r="AB194" s="19" t="b">
        <v>0</v>
      </c>
      <c r="AC194" t="b">
        <v>1</v>
      </c>
      <c r="AD194" t="b">
        <v>1</v>
      </c>
      <c r="AE194" t="b">
        <v>1</v>
      </c>
    </row>
    <row r="195" spans="1:31" x14ac:dyDescent="0.35">
      <c r="A195" s="2">
        <f t="shared" si="40"/>
        <v>188</v>
      </c>
      <c r="B195" s="11" t="str">
        <f t="shared" si="45"/>
        <v>Biofuel-SOEC-flexibility-pyro-50</v>
      </c>
      <c r="C195" s="122" t="str">
        <f t="shared" si="46"/>
        <v>flexibility-pyro-50</v>
      </c>
      <c r="D195" t="s">
        <v>185</v>
      </c>
      <c r="E195" s="119" t="s">
        <v>193</v>
      </c>
      <c r="F195" t="s">
        <v>112</v>
      </c>
      <c r="G195" s="14" t="str">
        <f t="shared" si="18"/>
        <v>2030</v>
      </c>
      <c r="H195" s="14" t="s">
        <v>185</v>
      </c>
      <c r="I195" s="14" t="str">
        <f t="shared" si="19"/>
        <v>2018</v>
      </c>
      <c r="J195" s="14" t="s">
        <v>92</v>
      </c>
      <c r="K195" s="14">
        <v>0</v>
      </c>
      <c r="L195" s="14">
        <v>0</v>
      </c>
      <c r="M195" s="14">
        <v>-1</v>
      </c>
      <c r="N195" s="14">
        <v>1</v>
      </c>
      <c r="O195" s="14">
        <v>0</v>
      </c>
      <c r="P195" t="s">
        <v>177</v>
      </c>
      <c r="Q195" t="s">
        <v>178</v>
      </c>
      <c r="R195" s="104" t="s">
        <v>307</v>
      </c>
      <c r="S195" s="18" t="b">
        <v>0</v>
      </c>
      <c r="T195" t="b">
        <v>1</v>
      </c>
      <c r="U195" s="18" t="b">
        <v>0</v>
      </c>
      <c r="V195" t="b">
        <v>0</v>
      </c>
      <c r="W195" t="b">
        <v>1</v>
      </c>
      <c r="X195" t="b">
        <v>0</v>
      </c>
      <c r="Y195" t="b">
        <v>0</v>
      </c>
      <c r="Z195" t="b">
        <v>1</v>
      </c>
      <c r="AA195" t="b">
        <v>1</v>
      </c>
      <c r="AB195" s="19" t="b">
        <v>0</v>
      </c>
      <c r="AC195" t="b">
        <v>1</v>
      </c>
      <c r="AD195" t="b">
        <v>1</v>
      </c>
      <c r="AE195" t="b">
        <v>1</v>
      </c>
    </row>
    <row r="196" spans="1:31" x14ac:dyDescent="0.35">
      <c r="A196" s="2">
        <f t="shared" si="40"/>
        <v>189</v>
      </c>
      <c r="B196" s="11" t="str">
        <f t="shared" si="45"/>
        <v>Biofuel-SOEC-flexibility-pyro-60</v>
      </c>
      <c r="C196" s="122" t="str">
        <f t="shared" si="46"/>
        <v>flexibility-pyro-60</v>
      </c>
      <c r="D196" t="s">
        <v>185</v>
      </c>
      <c r="E196" s="119" t="s">
        <v>193</v>
      </c>
      <c r="F196" t="s">
        <v>112</v>
      </c>
      <c r="G196" s="14" t="str">
        <f t="shared" si="29"/>
        <v>2030</v>
      </c>
      <c r="H196" s="14" t="s">
        <v>185</v>
      </c>
      <c r="I196" s="14" t="str">
        <f t="shared" si="30"/>
        <v>2018</v>
      </c>
      <c r="J196" s="14" t="s">
        <v>92</v>
      </c>
      <c r="K196" s="14">
        <v>0</v>
      </c>
      <c r="L196" s="14">
        <v>0</v>
      </c>
      <c r="M196" s="14">
        <v>-1</v>
      </c>
      <c r="N196" s="14">
        <v>1</v>
      </c>
      <c r="O196" s="14">
        <v>0</v>
      </c>
      <c r="P196" t="s">
        <v>177</v>
      </c>
      <c r="Q196" t="s">
        <v>178</v>
      </c>
      <c r="R196" s="104" t="s">
        <v>307</v>
      </c>
      <c r="S196" s="18" t="b">
        <v>0</v>
      </c>
      <c r="T196" t="b">
        <v>1</v>
      </c>
      <c r="U196" s="18" t="b">
        <v>0</v>
      </c>
      <c r="V196" t="b">
        <v>0</v>
      </c>
      <c r="W196" t="b">
        <v>1</v>
      </c>
      <c r="X196" t="b">
        <v>0</v>
      </c>
      <c r="Y196" t="b">
        <v>0</v>
      </c>
      <c r="Z196" t="b">
        <v>1</v>
      </c>
      <c r="AA196" t="b">
        <v>1</v>
      </c>
      <c r="AB196" s="19" t="b">
        <v>0</v>
      </c>
      <c r="AC196" t="b">
        <v>1</v>
      </c>
      <c r="AD196" t="b">
        <v>1</v>
      </c>
      <c r="AE196" t="b">
        <v>1</v>
      </c>
    </row>
    <row r="197" spans="1:31" x14ac:dyDescent="0.35">
      <c r="A197" s="2">
        <f t="shared" si="40"/>
        <v>190</v>
      </c>
      <c r="B197" s="11" t="str">
        <f t="shared" si="45"/>
        <v>Biofuel-SOEC-flexibility-pyro-70</v>
      </c>
      <c r="C197" s="122" t="str">
        <f t="shared" si="46"/>
        <v>flexibility-pyro-70</v>
      </c>
      <c r="D197" t="s">
        <v>185</v>
      </c>
      <c r="E197" s="119" t="s">
        <v>193</v>
      </c>
      <c r="F197" t="s">
        <v>112</v>
      </c>
      <c r="G197" s="14" t="str">
        <f t="shared" si="29"/>
        <v>2030</v>
      </c>
      <c r="H197" s="14" t="s">
        <v>185</v>
      </c>
      <c r="I197" s="14" t="str">
        <f t="shared" si="30"/>
        <v>2018</v>
      </c>
      <c r="J197" s="14" t="s">
        <v>92</v>
      </c>
      <c r="K197" s="14">
        <v>0</v>
      </c>
      <c r="L197" s="14">
        <v>0</v>
      </c>
      <c r="M197" s="14">
        <v>-1</v>
      </c>
      <c r="N197" s="14">
        <v>1</v>
      </c>
      <c r="O197" s="14">
        <v>0</v>
      </c>
      <c r="P197" t="s">
        <v>177</v>
      </c>
      <c r="Q197" t="s">
        <v>178</v>
      </c>
      <c r="R197" s="104" t="s">
        <v>307</v>
      </c>
      <c r="S197" s="18" t="b">
        <v>0</v>
      </c>
      <c r="T197" t="b">
        <v>1</v>
      </c>
      <c r="U197" s="18" t="b">
        <v>0</v>
      </c>
      <c r="V197" t="b">
        <v>0</v>
      </c>
      <c r="W197" t="b">
        <v>1</v>
      </c>
      <c r="X197" t="b">
        <v>0</v>
      </c>
      <c r="Y197" t="b">
        <v>0</v>
      </c>
      <c r="Z197" t="b">
        <v>1</v>
      </c>
      <c r="AA197" t="b">
        <v>1</v>
      </c>
      <c r="AB197" s="19" t="b">
        <v>0</v>
      </c>
      <c r="AC197" t="b">
        <v>1</v>
      </c>
      <c r="AD197" t="b">
        <v>1</v>
      </c>
      <c r="AE197" t="b">
        <v>1</v>
      </c>
    </row>
    <row r="198" spans="1:31" x14ac:dyDescent="0.35">
      <c r="A198" s="2">
        <f t="shared" si="40"/>
        <v>191</v>
      </c>
      <c r="B198" s="11" t="str">
        <f t="shared" si="45"/>
        <v>Biofuel-SOEC-flexibility-pyro-80</v>
      </c>
      <c r="C198" s="122" t="str">
        <f t="shared" si="46"/>
        <v>flexibility-pyro-80</v>
      </c>
      <c r="D198" t="s">
        <v>185</v>
      </c>
      <c r="E198" s="119" t="s">
        <v>193</v>
      </c>
      <c r="F198" t="s">
        <v>112</v>
      </c>
      <c r="G198" s="14" t="str">
        <f t="shared" si="29"/>
        <v>2030</v>
      </c>
      <c r="H198" s="14" t="s">
        <v>185</v>
      </c>
      <c r="I198" s="14" t="str">
        <f t="shared" si="30"/>
        <v>2018</v>
      </c>
      <c r="J198" s="14" t="s">
        <v>92</v>
      </c>
      <c r="K198" s="14">
        <v>0</v>
      </c>
      <c r="L198" s="14">
        <v>0</v>
      </c>
      <c r="M198" s="14">
        <v>-1</v>
      </c>
      <c r="N198" s="14">
        <v>1</v>
      </c>
      <c r="O198" s="14">
        <v>0</v>
      </c>
      <c r="P198" t="s">
        <v>177</v>
      </c>
      <c r="Q198" t="s">
        <v>178</v>
      </c>
      <c r="R198" s="104" t="s">
        <v>307</v>
      </c>
      <c r="S198" s="18" t="b">
        <v>0</v>
      </c>
      <c r="T198" t="b">
        <v>1</v>
      </c>
      <c r="U198" s="18" t="b">
        <v>0</v>
      </c>
      <c r="V198" t="b">
        <v>0</v>
      </c>
      <c r="W198" t="b">
        <v>1</v>
      </c>
      <c r="X198" t="b">
        <v>0</v>
      </c>
      <c r="Y198" t="b">
        <v>0</v>
      </c>
      <c r="Z198" t="b">
        <v>1</v>
      </c>
      <c r="AA198" t="b">
        <v>1</v>
      </c>
      <c r="AB198" s="19" t="b">
        <v>0</v>
      </c>
      <c r="AC198" t="b">
        <v>1</v>
      </c>
      <c r="AD198" t="b">
        <v>1</v>
      </c>
      <c r="AE198" t="b">
        <v>1</v>
      </c>
    </row>
    <row r="199" spans="1:31" x14ac:dyDescent="0.35">
      <c r="A199" s="2">
        <f t="shared" si="40"/>
        <v>192</v>
      </c>
      <c r="B199" s="11" t="str">
        <f t="shared" si="45"/>
        <v>Biofuel-SOEC-flexibility-pyro-90</v>
      </c>
      <c r="C199" s="122" t="str">
        <f t="shared" si="46"/>
        <v>flexibility-pyro-90</v>
      </c>
      <c r="D199" t="s">
        <v>185</v>
      </c>
      <c r="E199" s="119" t="s">
        <v>193</v>
      </c>
      <c r="F199" t="s">
        <v>112</v>
      </c>
      <c r="G199" s="14" t="str">
        <f t="shared" si="29"/>
        <v>2030</v>
      </c>
      <c r="H199" s="14" t="s">
        <v>185</v>
      </c>
      <c r="I199" s="14" t="str">
        <f t="shared" si="30"/>
        <v>2018</v>
      </c>
      <c r="J199" s="14" t="s">
        <v>92</v>
      </c>
      <c r="K199" s="14">
        <v>0</v>
      </c>
      <c r="L199" s="14">
        <v>0</v>
      </c>
      <c r="M199" s="14">
        <v>-1</v>
      </c>
      <c r="N199" s="14">
        <v>1</v>
      </c>
      <c r="O199" s="14">
        <v>0</v>
      </c>
      <c r="P199" t="s">
        <v>177</v>
      </c>
      <c r="Q199" t="s">
        <v>178</v>
      </c>
      <c r="R199" s="104" t="s">
        <v>307</v>
      </c>
      <c r="S199" s="18" t="b">
        <v>0</v>
      </c>
      <c r="T199" t="b">
        <v>1</v>
      </c>
      <c r="U199" s="18" t="b">
        <v>0</v>
      </c>
      <c r="V199" t="b">
        <v>0</v>
      </c>
      <c r="W199" t="b">
        <v>1</v>
      </c>
      <c r="X199" t="b">
        <v>0</v>
      </c>
      <c r="Y199" t="b">
        <v>0</v>
      </c>
      <c r="Z199" t="b">
        <v>1</v>
      </c>
      <c r="AA199" t="b">
        <v>1</v>
      </c>
      <c r="AB199" s="19" t="b">
        <v>0</v>
      </c>
      <c r="AC199" t="b">
        <v>1</v>
      </c>
      <c r="AD199" t="b">
        <v>1</v>
      </c>
      <c r="AE199" t="b">
        <v>1</v>
      </c>
    </row>
    <row r="200" spans="1:31" x14ac:dyDescent="0.35">
      <c r="A200" s="2">
        <f t="shared" si="40"/>
        <v>193</v>
      </c>
      <c r="B200" s="11" t="str">
        <f t="shared" si="45"/>
        <v>Biofuel-SOEC-flexibility-pyro-100</v>
      </c>
      <c r="C200" s="122" t="str">
        <f>C192</f>
        <v>flexibility-pyro-100</v>
      </c>
      <c r="D200" t="s">
        <v>185</v>
      </c>
      <c r="E200" s="119" t="s">
        <v>193</v>
      </c>
      <c r="F200" t="s">
        <v>112</v>
      </c>
      <c r="G200" s="14" t="str">
        <f t="shared" si="29"/>
        <v>2030</v>
      </c>
      <c r="H200" s="14" t="s">
        <v>185</v>
      </c>
      <c r="I200" s="14" t="str">
        <f t="shared" si="30"/>
        <v>2018</v>
      </c>
      <c r="J200" s="14" t="s">
        <v>92</v>
      </c>
      <c r="K200" s="14">
        <v>0</v>
      </c>
      <c r="L200" s="14">
        <v>0</v>
      </c>
      <c r="M200" s="14">
        <v>-1</v>
      </c>
      <c r="N200" s="14">
        <v>1</v>
      </c>
      <c r="O200" s="14">
        <v>0</v>
      </c>
      <c r="P200" t="s">
        <v>177</v>
      </c>
      <c r="Q200" t="s">
        <v>178</v>
      </c>
      <c r="R200" s="104" t="s">
        <v>307</v>
      </c>
      <c r="S200" s="18" t="b">
        <v>0</v>
      </c>
      <c r="T200" t="b">
        <v>1</v>
      </c>
      <c r="U200" s="18" t="b">
        <v>0</v>
      </c>
      <c r="V200" t="b">
        <v>0</v>
      </c>
      <c r="W200" t="b">
        <v>1</v>
      </c>
      <c r="X200" t="b">
        <v>0</v>
      </c>
      <c r="Y200" t="b">
        <v>0</v>
      </c>
      <c r="Z200" t="b">
        <v>1</v>
      </c>
      <c r="AA200" t="b">
        <v>1</v>
      </c>
      <c r="AB200" s="19" t="b">
        <v>0</v>
      </c>
      <c r="AC200" t="b">
        <v>1</v>
      </c>
      <c r="AD200" t="b">
        <v>1</v>
      </c>
      <c r="AE200" t="b">
        <v>1</v>
      </c>
    </row>
    <row r="201" spans="1:31" x14ac:dyDescent="0.35">
      <c r="A201" s="2">
        <f t="shared" si="40"/>
        <v>194</v>
      </c>
      <c r="B201" s="11" t="str">
        <f>CONCATENATE($B$11,"-",C201)</f>
        <v>Biofuel-SOEC-flexibility-pyro-0</v>
      </c>
      <c r="C201" s="122" t="s">
        <v>303</v>
      </c>
      <c r="D201" t="s">
        <v>185</v>
      </c>
      <c r="E201" s="119" t="s">
        <v>193</v>
      </c>
      <c r="F201" t="s">
        <v>112</v>
      </c>
      <c r="G201" s="14" t="str">
        <f t="shared" si="29"/>
        <v>2030</v>
      </c>
      <c r="H201" s="14" t="s">
        <v>185</v>
      </c>
      <c r="I201" s="14" t="str">
        <f t="shared" si="30"/>
        <v>2018</v>
      </c>
      <c r="J201" s="14" t="s">
        <v>80</v>
      </c>
      <c r="K201" s="14">
        <v>0</v>
      </c>
      <c r="L201" s="14">
        <v>0</v>
      </c>
      <c r="M201" s="14">
        <v>-1</v>
      </c>
      <c r="N201" s="14">
        <v>1</v>
      </c>
      <c r="O201" s="14">
        <v>0</v>
      </c>
      <c r="P201" t="s">
        <v>177</v>
      </c>
      <c r="Q201" t="s">
        <v>178</v>
      </c>
      <c r="R201" s="104" t="s">
        <v>307</v>
      </c>
      <c r="S201" s="18" t="b">
        <v>0</v>
      </c>
      <c r="T201" t="b">
        <v>1</v>
      </c>
      <c r="U201" s="18" t="b">
        <v>0</v>
      </c>
      <c r="V201" t="b">
        <v>0</v>
      </c>
      <c r="W201" t="b">
        <v>1</v>
      </c>
      <c r="X201" t="b">
        <v>0</v>
      </c>
      <c r="Y201" t="b">
        <v>0</v>
      </c>
      <c r="Z201" t="b">
        <v>1</v>
      </c>
      <c r="AA201" t="b">
        <v>1</v>
      </c>
      <c r="AB201" s="19" t="b">
        <v>0</v>
      </c>
      <c r="AC201" t="b">
        <v>1</v>
      </c>
      <c r="AD201" t="b">
        <v>1</v>
      </c>
      <c r="AE201" t="b">
        <v>1</v>
      </c>
    </row>
    <row r="202" spans="1:31" x14ac:dyDescent="0.35">
      <c r="A202" s="2">
        <f t="shared" si="40"/>
        <v>195</v>
      </c>
      <c r="B202" s="11" t="str">
        <f>CONCATENATE($B$11,"-",C202)</f>
        <v>Biofuel-SOEC-flexibility-pyro-10</v>
      </c>
      <c r="C202" s="122" t="s">
        <v>306</v>
      </c>
      <c r="D202" t="s">
        <v>185</v>
      </c>
      <c r="E202" s="119" t="s">
        <v>193</v>
      </c>
      <c r="F202" t="s">
        <v>112</v>
      </c>
      <c r="G202" s="14" t="str">
        <f t="shared" si="29"/>
        <v>2030</v>
      </c>
      <c r="H202" s="14" t="s">
        <v>185</v>
      </c>
      <c r="I202" s="14" t="str">
        <f t="shared" si="30"/>
        <v>2018</v>
      </c>
      <c r="J202" s="14" t="s">
        <v>80</v>
      </c>
      <c r="K202" s="14">
        <v>0</v>
      </c>
      <c r="L202" s="14">
        <v>0</v>
      </c>
      <c r="M202" s="14">
        <v>-1</v>
      </c>
      <c r="N202" s="14">
        <v>1</v>
      </c>
      <c r="O202" s="14">
        <v>0</v>
      </c>
      <c r="P202" t="s">
        <v>177</v>
      </c>
      <c r="Q202" t="s">
        <v>178</v>
      </c>
      <c r="R202" s="104" t="s">
        <v>307</v>
      </c>
      <c r="S202" s="18" t="b">
        <v>0</v>
      </c>
      <c r="T202" t="b">
        <v>1</v>
      </c>
      <c r="U202" s="18" t="b">
        <v>0</v>
      </c>
      <c r="V202" t="b">
        <v>0</v>
      </c>
      <c r="W202" t="b">
        <v>1</v>
      </c>
      <c r="X202" t="b">
        <v>0</v>
      </c>
      <c r="Y202" t="b">
        <v>0</v>
      </c>
      <c r="Z202" t="b">
        <v>1</v>
      </c>
      <c r="AA202" t="b">
        <v>1</v>
      </c>
      <c r="AB202" s="19" t="b">
        <v>0</v>
      </c>
      <c r="AC202" t="b">
        <v>1</v>
      </c>
      <c r="AD202" t="b">
        <v>1</v>
      </c>
      <c r="AE202" t="b">
        <v>1</v>
      </c>
    </row>
    <row r="203" spans="1:31" x14ac:dyDescent="0.35">
      <c r="A203" s="2">
        <f t="shared" si="40"/>
        <v>196</v>
      </c>
      <c r="B203" s="11" t="str">
        <f>CONCATENATE($B$10,"-",C203)</f>
        <v>MeOH-SOEC-flexibility-meoh-0</v>
      </c>
      <c r="C203" s="121" t="s">
        <v>304</v>
      </c>
      <c r="D203" t="s">
        <v>185</v>
      </c>
      <c r="E203" s="120" t="s">
        <v>91</v>
      </c>
      <c r="F203" t="s">
        <v>112</v>
      </c>
      <c r="G203" s="14" t="str">
        <f>"2030"</f>
        <v>2030</v>
      </c>
      <c r="H203" s="14" t="s">
        <v>185</v>
      </c>
      <c r="I203" s="14" t="str">
        <f>"2018"</f>
        <v>2018</v>
      </c>
      <c r="J203" s="14" t="s">
        <v>80</v>
      </c>
      <c r="K203" s="14">
        <v>0</v>
      </c>
      <c r="L203" s="14">
        <v>0</v>
      </c>
      <c r="M203" s="14">
        <v>-1</v>
      </c>
      <c r="N203" s="14">
        <v>1</v>
      </c>
      <c r="O203" s="14">
        <v>0</v>
      </c>
      <c r="P203" t="s">
        <v>177</v>
      </c>
      <c r="Q203" t="s">
        <v>178</v>
      </c>
      <c r="R203" s="104" t="s">
        <v>307</v>
      </c>
      <c r="S203" s="18" t="b">
        <v>0</v>
      </c>
      <c r="T203" t="b">
        <v>1</v>
      </c>
      <c r="U203" s="18" t="b">
        <v>0</v>
      </c>
      <c r="V203" t="b">
        <v>0</v>
      </c>
      <c r="W203" t="b">
        <v>1</v>
      </c>
      <c r="X203" t="b">
        <v>0</v>
      </c>
      <c r="Y203" t="b">
        <v>0</v>
      </c>
      <c r="Z203" t="b">
        <v>1</v>
      </c>
      <c r="AA203" t="b">
        <v>1</v>
      </c>
      <c r="AB203" s="19" t="b">
        <v>0</v>
      </c>
      <c r="AC203" t="b">
        <v>1</v>
      </c>
      <c r="AD203" t="b">
        <v>1</v>
      </c>
      <c r="AE203" t="b">
        <v>1</v>
      </c>
    </row>
    <row r="204" spans="1:31" x14ac:dyDescent="0.35">
      <c r="A204" s="2">
        <f t="shared" si="40"/>
        <v>197</v>
      </c>
      <c r="B204" s="11" t="str">
        <f>CONCATENATE($B$10,"-",C204)</f>
        <v>MeOH-SOEC-flexibility-meoh-10</v>
      </c>
      <c r="C204" s="121" t="s">
        <v>305</v>
      </c>
      <c r="D204" t="s">
        <v>185</v>
      </c>
      <c r="E204" s="120" t="s">
        <v>91</v>
      </c>
      <c r="F204" t="s">
        <v>112</v>
      </c>
      <c r="G204" s="14" t="str">
        <f>"2030"</f>
        <v>2030</v>
      </c>
      <c r="H204" s="14" t="s">
        <v>185</v>
      </c>
      <c r="I204" s="14" t="str">
        <f>"2018"</f>
        <v>2018</v>
      </c>
      <c r="J204" s="14" t="s">
        <v>80</v>
      </c>
      <c r="K204" s="14">
        <v>0</v>
      </c>
      <c r="L204" s="14">
        <v>0</v>
      </c>
      <c r="M204" s="14">
        <v>-1</v>
      </c>
      <c r="N204" s="14">
        <v>1</v>
      </c>
      <c r="O204" s="14">
        <v>0</v>
      </c>
      <c r="P204" t="s">
        <v>177</v>
      </c>
      <c r="Q204" t="s">
        <v>178</v>
      </c>
      <c r="R204" s="104" t="s">
        <v>307</v>
      </c>
      <c r="S204" s="18" t="b">
        <v>0</v>
      </c>
      <c r="T204" t="b">
        <v>1</v>
      </c>
      <c r="U204" s="18" t="b">
        <v>0</v>
      </c>
      <c r="V204" t="b">
        <v>0</v>
      </c>
      <c r="W204" t="b">
        <v>1</v>
      </c>
      <c r="X204" t="b">
        <v>0</v>
      </c>
      <c r="Y204" t="b">
        <v>0</v>
      </c>
      <c r="Z204" t="b">
        <v>1</v>
      </c>
      <c r="AA204" t="b">
        <v>1</v>
      </c>
      <c r="AB204" s="19" t="b">
        <v>0</v>
      </c>
      <c r="AC204" t="b">
        <v>1</v>
      </c>
      <c r="AD204" t="b">
        <v>1</v>
      </c>
      <c r="AE204" t="b">
        <v>1</v>
      </c>
    </row>
  </sheetData>
  <mergeCells count="8">
    <mergeCell ref="AC5:AE5"/>
    <mergeCell ref="B2:B5"/>
    <mergeCell ref="C2:C5"/>
    <mergeCell ref="N2:N5"/>
    <mergeCell ref="O2:O5"/>
    <mergeCell ref="I2:I4"/>
    <mergeCell ref="H2:H3"/>
    <mergeCell ref="M3:M4"/>
  </mergeCells>
  <phoneticPr fontId="1" type="noConversion"/>
  <conditionalFormatting sqref="S8:AE204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  <pageSetup paperSize="9" orientation="portrait" horizont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1d4a826-69ee-461d-ac15-34dbab210e19"/>
    <lcf76f155ced4ddcb4097134ff3c332f xmlns="e15c759e-c422-4d6a-805a-c156c3256987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6F52B397E11A94F85CC1B699D1FC3F8" ma:contentTypeVersion="11" ma:contentTypeDescription="Opret et nyt dokument." ma:contentTypeScope="" ma:versionID="32d7e4a3a59a431077a6302ef4ec9b07">
  <xsd:schema xmlns:xsd="http://www.w3.org/2001/XMLSchema" xmlns:xs="http://www.w3.org/2001/XMLSchema" xmlns:p="http://schemas.microsoft.com/office/2006/metadata/properties" xmlns:ns2="e15c759e-c422-4d6a-805a-c156c3256987" xmlns:ns3="61d4a826-69ee-461d-ac15-34dbab210e19" targetNamespace="http://schemas.microsoft.com/office/2006/metadata/properties" ma:root="true" ma:fieldsID="017b1f87fdbf43a9717574d1ec2b30f0" ns2:_="" ns3:_="">
    <xsd:import namespace="e15c759e-c422-4d6a-805a-c156c3256987"/>
    <xsd:import namespace="61d4a826-69ee-461d-ac15-34dbab210e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5c759e-c422-4d6a-805a-c156c32569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ledmærker" ma:readOnly="false" ma:fieldId="{5cf76f15-5ced-4ddc-b409-7134ff3c332f}" ma:taxonomyMulti="true" ma:sspId="b2102423-6c9a-45d0-aa71-0069027da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d4a826-69ee-461d-ac15-34dbab210e1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a6541ee-48cd-4aa2-9486-96c7b1c6895d}" ma:internalName="TaxCatchAll" ma:showField="CatchAllData" ma:web="61d4a826-69ee-461d-ac15-34dbab210e1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229131E-022F-430F-9A1D-EA0C22ADCB5D}">
  <ds:schemaRefs>
    <ds:schemaRef ds:uri="http://schemas.microsoft.com/office/2006/metadata/properties"/>
    <ds:schemaRef ds:uri="http://schemas.microsoft.com/office/infopath/2007/PartnerControls"/>
    <ds:schemaRef ds:uri="61d4a826-69ee-461d-ac15-34dbab210e19"/>
    <ds:schemaRef ds:uri="e15c759e-c422-4d6a-805a-c156c3256987"/>
  </ds:schemaRefs>
</ds:datastoreItem>
</file>

<file path=customXml/itemProps2.xml><?xml version="1.0" encoding="utf-8"?>
<ds:datastoreItem xmlns:ds="http://schemas.openxmlformats.org/officeDocument/2006/customXml" ds:itemID="{F16A8141-6539-4BE6-89D0-7B1E1C8F54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5c759e-c422-4d6a-805a-c156c3256987"/>
    <ds:schemaRef ds:uri="61d4a826-69ee-461d-ac15-34dbab210e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BF9E07-EA38-403C-8A5E-BB2EF47BE78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Data_base_case</vt:lpstr>
      <vt:lpstr>Selected_units</vt:lpstr>
      <vt:lpstr>Scenarios_definition</vt:lpstr>
      <vt:lpstr>ScenariosToRun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2024-02-26T20:53:19Z</dcterms:modified>
</cp:coreProperties>
</file>